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https://universityofyorkits-my.sharepoint.com/personal/paula_schirrmacher_york_ac_uk/Documents/Documents/Open_Research_Indicators/openresearchyork_dashboard/"/>
    </mc:Choice>
  </mc:AlternateContent>
  <xr:revisionPtr revIDLastSave="4" documentId="11_BFC569930E50B51CDBFAC2B2F0AE5060BB08E68E" xr6:coauthVersionLast="47" xr6:coauthVersionMax="47" xr10:uidLastSave="{0F3E7CA8-D96E-4908-901B-6544BF725D4D}"/>
  <bookViews>
    <workbookView xWindow="3360" yWindow="1410" windowWidth="14400" windowHeight="7400" xr2:uid="{00000000-000D-0000-FFFF-FFFF00000000}"/>
  </bookViews>
  <sheets>
    <sheet name="Articles" sheetId="1" r:id="rId1"/>
    <sheet name="Sources" sheetId="2" r:id="rId2"/>
    <sheet name="Publishers" sheetId="3" r:id="rId3"/>
    <sheet name="Deals_master" sheetId="4" r:id="rId4"/>
    <sheet name="Average_APC_price" sheetId="5" r:id="rId5"/>
    <sheet name="UKRI_APCs" sheetId="6" r:id="rId6"/>
    <sheet name="APC_source" sheetId="7" r:id="rId7"/>
    <sheet name="Fully_OA_APCs" sheetId="8" r:id="rId8"/>
    <sheet name="PlumX_snapshot" sheetId="9" r:id="rId9"/>
    <sheet name="PlumX_aggregation" sheetId="10" r:id="rId10"/>
    <sheet name="Exchange_rates" sheetId="11" r:id="rId11"/>
    <sheet name="Metadata" sheetId="12" r:id="rId12"/>
  </sheets>
  <definedNames>
    <definedName name="_xlnm._FilterDatabase" localSheetId="0" hidden="1">Articles!$A$1:$AS$3176</definedName>
    <definedName name="Z_0DA76F69_3F21_46C7_8116_4CA36BE0F6B7_.wvu.FilterData" localSheetId="0" hidden="1">Articles!$A$1:$AN$1764</definedName>
    <definedName name="Z_18A36FA6_9FAC_4D54_A7E9_C3A675B6F9FF_.wvu.FilterData" localSheetId="0" hidden="1">Articles!$A$1:$AJ$1830</definedName>
    <definedName name="Z_317CA3DD_64E5_4964_9599_12B9EA927E75_.wvu.FilterData" localSheetId="0" hidden="1">Articles!$A$1:$AJ$1830</definedName>
    <definedName name="Z_37E516E1_8F81_45D8_907F_5E4EAC599559_.wvu.FilterData" localSheetId="0" hidden="1">Articles!$A$1:$AJ$1830</definedName>
    <definedName name="Z_3C788783_53D4_479F_BAD6_717F357D5949_.wvu.FilterData" localSheetId="0" hidden="1">Articles!$A$1:$AB$1830</definedName>
    <definedName name="Z_4ED587DC_2A79_4A0B_8803_108290801255_.wvu.FilterData" localSheetId="0" hidden="1">Articles!$A$1:$AJ$1830</definedName>
    <definedName name="Z_54D2244B_4E6F_42DC_B8B0_0DA633AA5F10_.wvu.FilterData" localSheetId="0" hidden="1">Articles!$A$1:$AJ$1830</definedName>
    <definedName name="Z_5A05EFA9_001C_4D78_8230_129AC312A6D6_.wvu.FilterData" localSheetId="0" hidden="1">Articles!$A$1:$AJ$1830</definedName>
    <definedName name="Z_60054907_5418_4B03_9F6A_6F21CC4DE2ED_.wvu.FilterData" localSheetId="0" hidden="1">Articles!$A$1:$AJ$1830</definedName>
    <definedName name="Z_60A3D4CE_52FC_4B77_B697_35F4014540B7_.wvu.FilterData" localSheetId="0" hidden="1">Articles!$A$1:$AJ$1830</definedName>
    <definedName name="Z_69A6BF51_D718_4660_B202_035B079FA39F_.wvu.FilterData" localSheetId="0" hidden="1">Articles!$A$1:$AJ$1830</definedName>
    <definedName name="Z_86DF5ACA_5976_4E3D_B826_3621E58A67E5_.wvu.FilterData" localSheetId="0" hidden="1">Articles!$A$1:$AJ$1830</definedName>
    <definedName name="Z_892B7054_E2FE_4D73_9115_781372186E33_.wvu.FilterData" localSheetId="0" hidden="1">Articles!$A$1:$AJ$1830</definedName>
    <definedName name="Z_8B83D168_79DB_46AB_8006_70336EB7D280_.wvu.FilterData" localSheetId="0" hidden="1">Articles!$A$1:$AJ$1830</definedName>
    <definedName name="Z_938EDCF4_AB81_40CE_A541_53F43F8CF7F7_.wvu.FilterData" localSheetId="0" hidden="1">Articles!$A$1:$AJ$1830</definedName>
    <definedName name="Z_B0A3CC75_EA7E_486E_98BF_5D95CF7FE686_.wvu.FilterData" localSheetId="0" hidden="1">Articles!$A$1:$AJ$1830</definedName>
    <definedName name="Z_C4650DB2_C427_44A8_A006_D481303AD1A8_.wvu.FilterData" localSheetId="0" hidden="1">Articles!$A$1:$AN$1976</definedName>
    <definedName name="Z_C9546FF7_367C_4E7B_A08E_62C9379FDCEB_.wvu.FilterData" localSheetId="0" hidden="1">Articles!$A$1:$AJ$1830</definedName>
    <definedName name="Z_D01FA1FD_7852_4241_BC86_A0EFC1E75DC2_.wvu.FilterData" localSheetId="0" hidden="1">Articles!$A$1:$AJ$1830</definedName>
    <definedName name="Z_D24324F3_8BA8_4D50_BED6_1A996E1DAA2C_.wvu.FilterData" localSheetId="0" hidden="1">Articles!$A$1:$AJ$1830</definedName>
    <definedName name="Z_D295850C_D4D8_424D_9D55_FBA32A761E18_.wvu.FilterData" localSheetId="0" hidden="1">Articles!$A$1:$AJ$1830</definedName>
    <definedName name="Z_D3B25634_33FE_4F9E_80EC_EC91DD1A21B0_.wvu.FilterData" localSheetId="0" hidden="1">Articles!$A$1:$AJ$1830</definedName>
    <definedName name="Z_E438F98E_8F7A_477F_9B4B_C3DEFA8A6CE6_.wvu.FilterData" localSheetId="0" hidden="1">Articles!$A$1:$AJ$1830</definedName>
  </definedNames>
  <calcPr calcId="191029"/>
  <customWorkbookViews>
    <customWorkbookView name="Portland Press" guid="{D3B25634-33FE-4F9E-80EC-EC91DD1A21B0}" maximized="1" windowWidth="0" windowHeight="0" activeSheetId="0"/>
    <customWorkbookView name="RSC" guid="{54D2244B-4E6F-42DC-B8B0-0DA633AA5F10}" maximized="1" windowWidth="0" windowHeight="0" activeSheetId="0"/>
    <customWorkbookView name="PLOS" guid="{D24324F3-8BA8-4D50-BED6-1A996E1DAA2C}" maximized="1" windowWidth="0" windowHeight="0" activeSheetId="0"/>
    <customWorkbookView name="Springer" guid="{C9546FF7-367C-4E7B-A08E-62C9379FDCEB}" maximized="1" windowWidth="0" windowHeight="0" activeSheetId="0"/>
    <customWorkbookView name="AIP" guid="{3C788783-53D4-479F-BAD6-717F357D5949}" maximized="1" windowWidth="0" windowHeight="0" activeSheetId="0"/>
    <customWorkbookView name="OUP" guid="{5A05EFA9-001C-4D78-8230-129AC312A6D6}" maximized="1" windowWidth="0" windowHeight="0" activeSheetId="0"/>
    <customWorkbookView name="Sage" guid="{60054907-5418-4B03-9F6A-6F21CC4DE2ED}" maximized="1" windowWidth="0" windowHeight="0" activeSheetId="0"/>
    <customWorkbookView name="IOP" guid="{892B7054-E2FE-4D73-9115-781372186E33}" maximized="1" windowWidth="0" windowHeight="0" activeSheetId="0"/>
    <customWorkbookView name="ACM" guid="{8B83D168-79DB-46AB-8006-70336EB7D280}" maximized="1" windowWidth="0" windowHeight="0" activeSheetId="0"/>
    <customWorkbookView name="Royal Society" guid="{69A6BF51-D718-4660-B202-035B079FA39F}" maximized="1" windowWidth="0" windowHeight="0" activeSheetId="0"/>
    <customWorkbookView name="Elsevier" guid="{D01FA1FD-7852-4241-BC86-A0EFC1E75DC2}" maximized="1" windowWidth="0" windowHeight="0" activeSheetId="0"/>
    <customWorkbookView name="Brill" guid="{37E516E1-8F81-45D8-907F-5E4EAC599559}" maximized="1" windowWidth="0" windowHeight="0" activeSheetId="0"/>
    <customWorkbookView name="Company of Biologists" guid="{4ED587DC-2A79-4A0B-8803-108290801255}" maximized="1" windowWidth="0" windowHeight="0" activeSheetId="0"/>
    <customWorkbookView name="John Benjamins" guid="{D295850C-D4D8-424D-9D55-FBA32A761E18}" maximized="1" windowWidth="0" windowHeight="0" activeSheetId="0"/>
    <customWorkbookView name="ACS" guid="{60A3D4CE-52FC-4B77-B697-35F4014540B7}" maximized="1" windowWidth="0" windowHeight="0" activeSheetId="0"/>
    <customWorkbookView name="Filter 2" guid="{C4650DB2-C427-44A8-A006-D481303AD1A8}" maximized="1" windowWidth="0" windowHeight="0" activeSheetId="0"/>
    <customWorkbookView name="Wiley" guid="{18A36FA6-9FAC-4D54-A7E9-C3A675B6F9FF}" maximized="1" windowWidth="0" windowHeight="0" activeSheetId="0"/>
    <customWorkbookView name="T&amp;F" guid="{938EDCF4-AB81-40CE-A541-53F43F8CF7F7}" maximized="1" windowWidth="0" windowHeight="0" activeSheetId="0"/>
    <customWorkbookView name="PNAS" guid="{317CA3DD-64E5-4964-9599-12B9EA927E75}" maximized="1" windowWidth="0" windowHeight="0" activeSheetId="0"/>
    <customWorkbookView name="Filter 1" guid="{0DA76F69-3F21-46C7-8116-4CA36BE0F6B7}" maximized="1" windowWidth="0" windowHeight="0" activeSheetId="0"/>
    <customWorkbookView name="Microbiology Society" guid="{B0A3CC75-EA7E-486E-98BF-5D95CF7FE686}" maximized="1" windowWidth="0" windowHeight="0" activeSheetId="0"/>
    <customWorkbookView name="BMJ" guid="{E438F98E-8F7A-477F-9B4B-C3DEFA8A6CE6}" maximized="1" windowWidth="0" windowHeight="0" activeSheetId="0"/>
    <customWorkbookView name="CUP" guid="{86DF5ACA-5976-4E3D-B826-3621E58A67E5}"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6" i="11" l="1"/>
  <c r="C15" i="11"/>
  <c r="C14" i="11"/>
  <c r="C13" i="11"/>
  <c r="C12" i="11"/>
  <c r="C11" i="11"/>
  <c r="C10" i="11"/>
  <c r="C9" i="11"/>
  <c r="C8" i="11"/>
  <c r="C7" i="11"/>
  <c r="C6" i="11"/>
  <c r="C5" i="11"/>
  <c r="C4" i="11"/>
  <c r="C3" i="11"/>
  <c r="C2" i="11"/>
  <c r="F269" i="10"/>
  <c r="E269" i="10"/>
  <c r="D269" i="10"/>
  <c r="C269" i="10"/>
  <c r="B269" i="10"/>
  <c r="F268" i="10"/>
  <c r="E268" i="10"/>
  <c r="D268" i="10"/>
  <c r="C268" i="10"/>
  <c r="B268" i="10"/>
  <c r="F267" i="10"/>
  <c r="E267" i="10"/>
  <c r="D267" i="10"/>
  <c r="C267" i="10"/>
  <c r="B267" i="10"/>
  <c r="F266" i="10"/>
  <c r="E266" i="10"/>
  <c r="D266" i="10"/>
  <c r="C266" i="10"/>
  <c r="B266" i="10"/>
  <c r="F265" i="10"/>
  <c r="E265" i="10"/>
  <c r="D265" i="10"/>
  <c r="C265" i="10"/>
  <c r="B265" i="10"/>
  <c r="F264" i="10"/>
  <c r="E264" i="10"/>
  <c r="D264" i="10"/>
  <c r="C264" i="10"/>
  <c r="B264" i="10"/>
  <c r="F263" i="10"/>
  <c r="E263" i="10"/>
  <c r="D263" i="10"/>
  <c r="C263" i="10"/>
  <c r="B263" i="10"/>
  <c r="F262" i="10"/>
  <c r="E262" i="10"/>
  <c r="D262" i="10"/>
  <c r="C262" i="10"/>
  <c r="B262" i="10"/>
  <c r="F261" i="10"/>
  <c r="E261" i="10"/>
  <c r="D261" i="10"/>
  <c r="C261" i="10"/>
  <c r="B261" i="10"/>
  <c r="F260" i="10"/>
  <c r="E260" i="10"/>
  <c r="D260" i="10"/>
  <c r="C260" i="10"/>
  <c r="B260" i="10"/>
  <c r="F259" i="10"/>
  <c r="E259" i="10"/>
  <c r="D259" i="10"/>
  <c r="C259" i="10"/>
  <c r="B259" i="10"/>
  <c r="F258" i="10"/>
  <c r="E258" i="10"/>
  <c r="D258" i="10"/>
  <c r="C258" i="10"/>
  <c r="B258" i="10"/>
  <c r="F257" i="10"/>
  <c r="E257" i="10"/>
  <c r="D257" i="10"/>
  <c r="C257" i="10"/>
  <c r="B257" i="10"/>
  <c r="F256" i="10"/>
  <c r="E256" i="10"/>
  <c r="D256" i="10"/>
  <c r="C256" i="10"/>
  <c r="B256" i="10"/>
  <c r="F255" i="10"/>
  <c r="E255" i="10"/>
  <c r="D255" i="10"/>
  <c r="C255" i="10"/>
  <c r="B255" i="10"/>
  <c r="F254" i="10"/>
  <c r="E254" i="10"/>
  <c r="D254" i="10"/>
  <c r="C254" i="10"/>
  <c r="B254" i="10"/>
  <c r="F253" i="10"/>
  <c r="E253" i="10"/>
  <c r="D253" i="10"/>
  <c r="C253" i="10"/>
  <c r="B253" i="10"/>
  <c r="F252" i="10"/>
  <c r="E252" i="10"/>
  <c r="D252" i="10"/>
  <c r="C252" i="10"/>
  <c r="B252" i="10"/>
  <c r="F251" i="10"/>
  <c r="E251" i="10"/>
  <c r="D251" i="10"/>
  <c r="C251" i="10"/>
  <c r="B251" i="10"/>
  <c r="F250" i="10"/>
  <c r="E250" i="10"/>
  <c r="D250" i="10"/>
  <c r="C250" i="10"/>
  <c r="B250" i="10"/>
  <c r="F249" i="10"/>
  <c r="E249" i="10"/>
  <c r="D249" i="10"/>
  <c r="C249" i="10"/>
  <c r="B249" i="10"/>
  <c r="F248" i="10"/>
  <c r="E248" i="10"/>
  <c r="D248" i="10"/>
  <c r="C248" i="10"/>
  <c r="B248" i="10"/>
  <c r="F247" i="10"/>
  <c r="E247" i="10"/>
  <c r="D247" i="10"/>
  <c r="C247" i="10"/>
  <c r="B247" i="10"/>
  <c r="F246" i="10"/>
  <c r="E246" i="10"/>
  <c r="D246" i="10"/>
  <c r="C246" i="10"/>
  <c r="B246" i="10"/>
  <c r="F245" i="10"/>
  <c r="E245" i="10"/>
  <c r="D245" i="10"/>
  <c r="C245" i="10"/>
  <c r="B245" i="10"/>
  <c r="F244" i="10"/>
  <c r="E244" i="10"/>
  <c r="D244" i="10"/>
  <c r="C244" i="10"/>
  <c r="B244" i="10"/>
  <c r="F243" i="10"/>
  <c r="E243" i="10"/>
  <c r="D243" i="10"/>
  <c r="C243" i="10"/>
  <c r="B243" i="10"/>
  <c r="F242" i="10"/>
  <c r="E242" i="10"/>
  <c r="D242" i="10"/>
  <c r="C242" i="10"/>
  <c r="B242" i="10"/>
  <c r="F241" i="10"/>
  <c r="E241" i="10"/>
  <c r="D241" i="10"/>
  <c r="C241" i="10"/>
  <c r="B241" i="10"/>
  <c r="F240" i="10"/>
  <c r="E240" i="10"/>
  <c r="D240" i="10"/>
  <c r="C240" i="10"/>
  <c r="B240" i="10"/>
  <c r="F239" i="10"/>
  <c r="E239" i="10"/>
  <c r="D239" i="10"/>
  <c r="C239" i="10"/>
  <c r="B239" i="10"/>
  <c r="F238" i="10"/>
  <c r="E238" i="10"/>
  <c r="D238" i="10"/>
  <c r="C238" i="10"/>
  <c r="B238" i="10"/>
  <c r="F237" i="10"/>
  <c r="E237" i="10"/>
  <c r="D237" i="10"/>
  <c r="C237" i="10"/>
  <c r="B237" i="10"/>
  <c r="F236" i="10"/>
  <c r="E236" i="10"/>
  <c r="D236" i="10"/>
  <c r="C236" i="10"/>
  <c r="B236" i="10"/>
  <c r="F235" i="10"/>
  <c r="E235" i="10"/>
  <c r="D235" i="10"/>
  <c r="C235" i="10"/>
  <c r="B235" i="10"/>
  <c r="F234" i="10"/>
  <c r="E234" i="10"/>
  <c r="D234" i="10"/>
  <c r="C234" i="10"/>
  <c r="B234" i="10"/>
  <c r="F233" i="10"/>
  <c r="E233" i="10"/>
  <c r="D233" i="10"/>
  <c r="C233" i="10"/>
  <c r="B233" i="10"/>
  <c r="F232" i="10"/>
  <c r="E232" i="10"/>
  <c r="D232" i="10"/>
  <c r="C232" i="10"/>
  <c r="B232" i="10"/>
  <c r="F231" i="10"/>
  <c r="E231" i="10"/>
  <c r="D231" i="10"/>
  <c r="C231" i="10"/>
  <c r="B231" i="10"/>
  <c r="F230" i="10"/>
  <c r="E230" i="10"/>
  <c r="D230" i="10"/>
  <c r="C230" i="10"/>
  <c r="B230" i="10"/>
  <c r="F229" i="10"/>
  <c r="E229" i="10"/>
  <c r="D229" i="10"/>
  <c r="C229" i="10"/>
  <c r="B229" i="10"/>
  <c r="F228" i="10"/>
  <c r="E228" i="10"/>
  <c r="D228" i="10"/>
  <c r="C228" i="10"/>
  <c r="B228" i="10"/>
  <c r="F227" i="10"/>
  <c r="E227" i="10"/>
  <c r="D227" i="10"/>
  <c r="C227" i="10"/>
  <c r="B227" i="10"/>
  <c r="F226" i="10"/>
  <c r="E226" i="10"/>
  <c r="D226" i="10"/>
  <c r="C226" i="10"/>
  <c r="B226" i="10"/>
  <c r="F225" i="10"/>
  <c r="E225" i="10"/>
  <c r="D225" i="10"/>
  <c r="C225" i="10"/>
  <c r="B225" i="10"/>
  <c r="F224" i="10"/>
  <c r="E224" i="10"/>
  <c r="D224" i="10"/>
  <c r="C224" i="10"/>
  <c r="B224" i="10"/>
  <c r="F223" i="10"/>
  <c r="E223" i="10"/>
  <c r="D223" i="10"/>
  <c r="C223" i="10"/>
  <c r="B223" i="10"/>
  <c r="F222" i="10"/>
  <c r="E222" i="10"/>
  <c r="D222" i="10"/>
  <c r="C222" i="10"/>
  <c r="B222" i="10"/>
  <c r="F221" i="10"/>
  <c r="E221" i="10"/>
  <c r="D221" i="10"/>
  <c r="C221" i="10"/>
  <c r="B221" i="10"/>
  <c r="F220" i="10"/>
  <c r="E220" i="10"/>
  <c r="D220" i="10"/>
  <c r="C220" i="10"/>
  <c r="B220" i="10"/>
  <c r="F219" i="10"/>
  <c r="E219" i="10"/>
  <c r="D219" i="10"/>
  <c r="C219" i="10"/>
  <c r="B219" i="10"/>
  <c r="F218" i="10"/>
  <c r="E218" i="10"/>
  <c r="D218" i="10"/>
  <c r="C218" i="10"/>
  <c r="B218" i="10"/>
  <c r="F217" i="10"/>
  <c r="E217" i="10"/>
  <c r="D217" i="10"/>
  <c r="C217" i="10"/>
  <c r="B217" i="10"/>
  <c r="F216" i="10"/>
  <c r="E216" i="10"/>
  <c r="D216" i="10"/>
  <c r="C216" i="10"/>
  <c r="B216" i="10"/>
  <c r="F215" i="10"/>
  <c r="E215" i="10"/>
  <c r="D215" i="10"/>
  <c r="C215" i="10"/>
  <c r="B215" i="10"/>
  <c r="F214" i="10"/>
  <c r="E214" i="10"/>
  <c r="D214" i="10"/>
  <c r="C214" i="10"/>
  <c r="B214" i="10"/>
  <c r="F213" i="10"/>
  <c r="E213" i="10"/>
  <c r="D213" i="10"/>
  <c r="C213" i="10"/>
  <c r="B213" i="10"/>
  <c r="F212" i="10"/>
  <c r="E212" i="10"/>
  <c r="D212" i="10"/>
  <c r="C212" i="10"/>
  <c r="B212" i="10"/>
  <c r="F211" i="10"/>
  <c r="E211" i="10"/>
  <c r="D211" i="10"/>
  <c r="C211" i="10"/>
  <c r="B211" i="10"/>
  <c r="F210" i="10"/>
  <c r="E210" i="10"/>
  <c r="D210" i="10"/>
  <c r="C210" i="10"/>
  <c r="B210" i="10"/>
  <c r="F209" i="10"/>
  <c r="E209" i="10"/>
  <c r="D209" i="10"/>
  <c r="C209" i="10"/>
  <c r="B209" i="10"/>
  <c r="F208" i="10"/>
  <c r="E208" i="10"/>
  <c r="D208" i="10"/>
  <c r="C208" i="10"/>
  <c r="B208" i="10"/>
  <c r="F207" i="10"/>
  <c r="E207" i="10"/>
  <c r="D207" i="10"/>
  <c r="C207" i="10"/>
  <c r="B207" i="10"/>
  <c r="F206" i="10"/>
  <c r="E206" i="10"/>
  <c r="D206" i="10"/>
  <c r="C206" i="10"/>
  <c r="B206" i="10"/>
  <c r="F205" i="10"/>
  <c r="E205" i="10"/>
  <c r="D205" i="10"/>
  <c r="C205" i="10"/>
  <c r="B205" i="10"/>
  <c r="F204" i="10"/>
  <c r="E204" i="10"/>
  <c r="D204" i="10"/>
  <c r="C204" i="10"/>
  <c r="B204" i="10"/>
  <c r="F203" i="10"/>
  <c r="E203" i="10"/>
  <c r="D203" i="10"/>
  <c r="C203" i="10"/>
  <c r="B203" i="10"/>
  <c r="F202" i="10"/>
  <c r="E202" i="10"/>
  <c r="D202" i="10"/>
  <c r="C202" i="10"/>
  <c r="B202" i="10"/>
  <c r="F201" i="10"/>
  <c r="E201" i="10"/>
  <c r="D201" i="10"/>
  <c r="C201" i="10"/>
  <c r="B201" i="10"/>
  <c r="F200" i="10"/>
  <c r="E200" i="10"/>
  <c r="D200" i="10"/>
  <c r="C200" i="10"/>
  <c r="B200" i="10"/>
  <c r="F199" i="10"/>
  <c r="E199" i="10"/>
  <c r="D199" i="10"/>
  <c r="C199" i="10"/>
  <c r="B199" i="10"/>
  <c r="F198" i="10"/>
  <c r="E198" i="10"/>
  <c r="D198" i="10"/>
  <c r="C198" i="10"/>
  <c r="B198" i="10"/>
  <c r="F197" i="10"/>
  <c r="E197" i="10"/>
  <c r="D197" i="10"/>
  <c r="C197" i="10"/>
  <c r="B197" i="10"/>
  <c r="F196" i="10"/>
  <c r="E196" i="10"/>
  <c r="D196" i="10"/>
  <c r="C196" i="10"/>
  <c r="B196" i="10"/>
  <c r="F195" i="10"/>
  <c r="E195" i="10"/>
  <c r="D195" i="10"/>
  <c r="C195" i="10"/>
  <c r="B195" i="10"/>
  <c r="F194" i="10"/>
  <c r="E194" i="10"/>
  <c r="D194" i="10"/>
  <c r="C194" i="10"/>
  <c r="B194" i="10"/>
  <c r="F193" i="10"/>
  <c r="E193" i="10"/>
  <c r="D193" i="10"/>
  <c r="C193" i="10"/>
  <c r="B193" i="10"/>
  <c r="F192" i="10"/>
  <c r="E192" i="10"/>
  <c r="D192" i="10"/>
  <c r="C192" i="10"/>
  <c r="B192" i="10"/>
  <c r="F191" i="10"/>
  <c r="E191" i="10"/>
  <c r="D191" i="10"/>
  <c r="C191" i="10"/>
  <c r="B191" i="10"/>
  <c r="F190" i="10"/>
  <c r="E190" i="10"/>
  <c r="D190" i="10"/>
  <c r="C190" i="10"/>
  <c r="B190" i="10"/>
  <c r="F189" i="10"/>
  <c r="E189" i="10"/>
  <c r="D189" i="10"/>
  <c r="C189" i="10"/>
  <c r="B189" i="10"/>
  <c r="F188" i="10"/>
  <c r="E188" i="10"/>
  <c r="D188" i="10"/>
  <c r="C188" i="10"/>
  <c r="B188" i="10"/>
  <c r="F187" i="10"/>
  <c r="E187" i="10"/>
  <c r="D187" i="10"/>
  <c r="C187" i="10"/>
  <c r="B187" i="10"/>
  <c r="F186" i="10"/>
  <c r="E186" i="10"/>
  <c r="D186" i="10"/>
  <c r="C186" i="10"/>
  <c r="B186" i="10"/>
  <c r="F185" i="10"/>
  <c r="E185" i="10"/>
  <c r="D185" i="10"/>
  <c r="C185" i="10"/>
  <c r="B185" i="10"/>
  <c r="F184" i="10"/>
  <c r="E184" i="10"/>
  <c r="D184" i="10"/>
  <c r="C184" i="10"/>
  <c r="B184" i="10"/>
  <c r="F183" i="10"/>
  <c r="E183" i="10"/>
  <c r="D183" i="10"/>
  <c r="C183" i="10"/>
  <c r="B183" i="10"/>
  <c r="F182" i="10"/>
  <c r="E182" i="10"/>
  <c r="D182" i="10"/>
  <c r="C182" i="10"/>
  <c r="B182" i="10"/>
  <c r="F181" i="10"/>
  <c r="E181" i="10"/>
  <c r="D181" i="10"/>
  <c r="C181" i="10"/>
  <c r="B181" i="10"/>
  <c r="F180" i="10"/>
  <c r="E180" i="10"/>
  <c r="D180" i="10"/>
  <c r="C180" i="10"/>
  <c r="B180" i="10"/>
  <c r="F179" i="10"/>
  <c r="E179" i="10"/>
  <c r="D179" i="10"/>
  <c r="C179" i="10"/>
  <c r="B179" i="10"/>
  <c r="F178" i="10"/>
  <c r="E178" i="10"/>
  <c r="D178" i="10"/>
  <c r="C178" i="10"/>
  <c r="B178" i="10"/>
  <c r="F177" i="10"/>
  <c r="E177" i="10"/>
  <c r="D177" i="10"/>
  <c r="C177" i="10"/>
  <c r="B177" i="10"/>
  <c r="F176" i="10"/>
  <c r="E176" i="10"/>
  <c r="D176" i="10"/>
  <c r="C176" i="10"/>
  <c r="B176" i="10"/>
  <c r="F175" i="10"/>
  <c r="E175" i="10"/>
  <c r="D175" i="10"/>
  <c r="C175" i="10"/>
  <c r="B175" i="10"/>
  <c r="F174" i="10"/>
  <c r="E174" i="10"/>
  <c r="D174" i="10"/>
  <c r="C174" i="10"/>
  <c r="B174" i="10"/>
  <c r="F173" i="10"/>
  <c r="E173" i="10"/>
  <c r="D173" i="10"/>
  <c r="C173" i="10"/>
  <c r="B173" i="10"/>
  <c r="F172" i="10"/>
  <c r="E172" i="10"/>
  <c r="D172" i="10"/>
  <c r="C172" i="10"/>
  <c r="B172" i="10"/>
  <c r="F171" i="10"/>
  <c r="E171" i="10"/>
  <c r="D171" i="10"/>
  <c r="C171" i="10"/>
  <c r="B171" i="10"/>
  <c r="F170" i="10"/>
  <c r="E170" i="10"/>
  <c r="D170" i="10"/>
  <c r="C170" i="10"/>
  <c r="B170" i="10"/>
  <c r="F169" i="10"/>
  <c r="E169" i="10"/>
  <c r="D169" i="10"/>
  <c r="C169" i="10"/>
  <c r="B169" i="10"/>
  <c r="F168" i="10"/>
  <c r="E168" i="10"/>
  <c r="D168" i="10"/>
  <c r="C168" i="10"/>
  <c r="B168" i="10"/>
  <c r="F167" i="10"/>
  <c r="E167" i="10"/>
  <c r="D167" i="10"/>
  <c r="C167" i="10"/>
  <c r="B167" i="10"/>
  <c r="F166" i="10"/>
  <c r="E166" i="10"/>
  <c r="D166" i="10"/>
  <c r="C166" i="10"/>
  <c r="B166" i="10"/>
  <c r="F165" i="10"/>
  <c r="E165" i="10"/>
  <c r="D165" i="10"/>
  <c r="C165" i="10"/>
  <c r="B165" i="10"/>
  <c r="F164" i="10"/>
  <c r="E164" i="10"/>
  <c r="D164" i="10"/>
  <c r="C164" i="10"/>
  <c r="B164" i="10"/>
  <c r="F163" i="10"/>
  <c r="E163" i="10"/>
  <c r="D163" i="10"/>
  <c r="C163" i="10"/>
  <c r="B163" i="10"/>
  <c r="F162" i="10"/>
  <c r="E162" i="10"/>
  <c r="D162" i="10"/>
  <c r="C162" i="10"/>
  <c r="B162" i="10"/>
  <c r="F161" i="10"/>
  <c r="E161" i="10"/>
  <c r="D161" i="10"/>
  <c r="C161" i="10"/>
  <c r="B161" i="10"/>
  <c r="F160" i="10"/>
  <c r="E160" i="10"/>
  <c r="D160" i="10"/>
  <c r="C160" i="10"/>
  <c r="B160" i="10"/>
  <c r="F159" i="10"/>
  <c r="E159" i="10"/>
  <c r="D159" i="10"/>
  <c r="C159" i="10"/>
  <c r="B159" i="10"/>
  <c r="F158" i="10"/>
  <c r="E158" i="10"/>
  <c r="D158" i="10"/>
  <c r="C158" i="10"/>
  <c r="B158" i="10"/>
  <c r="F157" i="10"/>
  <c r="E157" i="10"/>
  <c r="D157" i="10"/>
  <c r="C157" i="10"/>
  <c r="B157" i="10"/>
  <c r="F156" i="10"/>
  <c r="E156" i="10"/>
  <c r="D156" i="10"/>
  <c r="C156" i="10"/>
  <c r="B156" i="10"/>
  <c r="F155" i="10"/>
  <c r="E155" i="10"/>
  <c r="D155" i="10"/>
  <c r="C155" i="10"/>
  <c r="B155" i="10"/>
  <c r="F154" i="10"/>
  <c r="E154" i="10"/>
  <c r="D154" i="10"/>
  <c r="C154" i="10"/>
  <c r="B154" i="10"/>
  <c r="F153" i="10"/>
  <c r="E153" i="10"/>
  <c r="D153" i="10"/>
  <c r="C153" i="10"/>
  <c r="B153" i="10"/>
  <c r="F152" i="10"/>
  <c r="E152" i="10"/>
  <c r="D152" i="10"/>
  <c r="C152" i="10"/>
  <c r="B152" i="10"/>
  <c r="F151" i="10"/>
  <c r="E151" i="10"/>
  <c r="D151" i="10"/>
  <c r="C151" i="10"/>
  <c r="B151" i="10"/>
  <c r="F150" i="10"/>
  <c r="E150" i="10"/>
  <c r="D150" i="10"/>
  <c r="C150" i="10"/>
  <c r="B150" i="10"/>
  <c r="F149" i="10"/>
  <c r="E149" i="10"/>
  <c r="D149" i="10"/>
  <c r="C149" i="10"/>
  <c r="B149" i="10"/>
  <c r="F148" i="10"/>
  <c r="E148" i="10"/>
  <c r="D148" i="10"/>
  <c r="C148" i="10"/>
  <c r="B148" i="10"/>
  <c r="F147" i="10"/>
  <c r="E147" i="10"/>
  <c r="D147" i="10"/>
  <c r="C147" i="10"/>
  <c r="B147" i="10"/>
  <c r="F146" i="10"/>
  <c r="E146" i="10"/>
  <c r="D146" i="10"/>
  <c r="C146" i="10"/>
  <c r="B146" i="10"/>
  <c r="F145" i="10"/>
  <c r="E145" i="10"/>
  <c r="D145" i="10"/>
  <c r="C145" i="10"/>
  <c r="B145" i="10"/>
  <c r="F144" i="10"/>
  <c r="E144" i="10"/>
  <c r="D144" i="10"/>
  <c r="C144" i="10"/>
  <c r="B144" i="10"/>
  <c r="F143" i="10"/>
  <c r="E143" i="10"/>
  <c r="D143" i="10"/>
  <c r="C143" i="10"/>
  <c r="B143" i="10"/>
  <c r="F142" i="10"/>
  <c r="E142" i="10"/>
  <c r="D142" i="10"/>
  <c r="C142" i="10"/>
  <c r="B142" i="10"/>
  <c r="F141" i="10"/>
  <c r="E141" i="10"/>
  <c r="D141" i="10"/>
  <c r="C141" i="10"/>
  <c r="B141" i="10"/>
  <c r="F140" i="10"/>
  <c r="E140" i="10"/>
  <c r="D140" i="10"/>
  <c r="C140" i="10"/>
  <c r="B140" i="10"/>
  <c r="F139" i="10"/>
  <c r="E139" i="10"/>
  <c r="D139" i="10"/>
  <c r="C139" i="10"/>
  <c r="B139" i="10"/>
  <c r="F138" i="10"/>
  <c r="E138" i="10"/>
  <c r="D138" i="10"/>
  <c r="C138" i="10"/>
  <c r="B138" i="10"/>
  <c r="F137" i="10"/>
  <c r="E137" i="10"/>
  <c r="D137" i="10"/>
  <c r="C137" i="10"/>
  <c r="B137" i="10"/>
  <c r="F136" i="10"/>
  <c r="E136" i="10"/>
  <c r="D136" i="10"/>
  <c r="C136" i="10"/>
  <c r="B136" i="10"/>
  <c r="F135" i="10"/>
  <c r="E135" i="10"/>
  <c r="D135" i="10"/>
  <c r="C135" i="10"/>
  <c r="B135" i="10"/>
  <c r="F134" i="10"/>
  <c r="E134" i="10"/>
  <c r="D134" i="10"/>
  <c r="C134" i="10"/>
  <c r="B134" i="10"/>
  <c r="F133" i="10"/>
  <c r="E133" i="10"/>
  <c r="D133" i="10"/>
  <c r="C133" i="10"/>
  <c r="B133" i="10"/>
  <c r="F132" i="10"/>
  <c r="E132" i="10"/>
  <c r="D132" i="10"/>
  <c r="C132" i="10"/>
  <c r="B132" i="10"/>
  <c r="F131" i="10"/>
  <c r="E131" i="10"/>
  <c r="D131" i="10"/>
  <c r="C131" i="10"/>
  <c r="B131" i="10"/>
  <c r="F130" i="10"/>
  <c r="E130" i="10"/>
  <c r="D130" i="10"/>
  <c r="C130" i="10"/>
  <c r="B130" i="10"/>
  <c r="F129" i="10"/>
  <c r="E129" i="10"/>
  <c r="D129" i="10"/>
  <c r="C129" i="10"/>
  <c r="B129" i="10"/>
  <c r="F128" i="10"/>
  <c r="E128" i="10"/>
  <c r="D128" i="10"/>
  <c r="C128" i="10"/>
  <c r="B128" i="10"/>
  <c r="F127" i="10"/>
  <c r="E127" i="10"/>
  <c r="D127" i="10"/>
  <c r="C127" i="10"/>
  <c r="B127" i="10"/>
  <c r="F126" i="10"/>
  <c r="E126" i="10"/>
  <c r="D126" i="10"/>
  <c r="C126" i="10"/>
  <c r="B126" i="10"/>
  <c r="F125" i="10"/>
  <c r="E125" i="10"/>
  <c r="D125" i="10"/>
  <c r="C125" i="10"/>
  <c r="B125" i="10"/>
  <c r="F124" i="10"/>
  <c r="E124" i="10"/>
  <c r="D124" i="10"/>
  <c r="C124" i="10"/>
  <c r="B124" i="10"/>
  <c r="F123" i="10"/>
  <c r="E123" i="10"/>
  <c r="D123" i="10"/>
  <c r="C123" i="10"/>
  <c r="B123" i="10"/>
  <c r="F122" i="10"/>
  <c r="E122" i="10"/>
  <c r="D122" i="10"/>
  <c r="C122" i="10"/>
  <c r="B122" i="10"/>
  <c r="A121" i="10"/>
  <c r="A120" i="10"/>
  <c r="F120" i="10" s="1"/>
  <c r="A119" i="10"/>
  <c r="F119" i="10" s="1"/>
  <c r="A118" i="10"/>
  <c r="A117" i="10"/>
  <c r="A116" i="10"/>
  <c r="A115" i="10"/>
  <c r="A114" i="10"/>
  <c r="C114" i="10" s="1"/>
  <c r="A113" i="10"/>
  <c r="A112" i="10"/>
  <c r="A111" i="10"/>
  <c r="A110" i="10"/>
  <c r="E110" i="10" s="1"/>
  <c r="A109" i="10"/>
  <c r="F109" i="10" s="1"/>
  <c r="A108" i="10"/>
  <c r="A107" i="10"/>
  <c r="A106" i="10"/>
  <c r="A105" i="10"/>
  <c r="A104" i="10"/>
  <c r="A103" i="10"/>
  <c r="A102" i="10"/>
  <c r="A101" i="10"/>
  <c r="A100" i="10"/>
  <c r="B100" i="10" s="1"/>
  <c r="A99" i="10"/>
  <c r="D99" i="10" s="1"/>
  <c r="A98" i="10"/>
  <c r="B98" i="10" s="1"/>
  <c r="A97" i="10"/>
  <c r="A96" i="10"/>
  <c r="E96" i="10" s="1"/>
  <c r="A95" i="10"/>
  <c r="A94" i="10"/>
  <c r="A93" i="10"/>
  <c r="E93" i="10" s="1"/>
  <c r="A92" i="10"/>
  <c r="B92" i="10" s="1"/>
  <c r="A91" i="10"/>
  <c r="A90" i="10"/>
  <c r="A89" i="10"/>
  <c r="A88" i="10"/>
  <c r="A87" i="10"/>
  <c r="F87" i="10" s="1"/>
  <c r="A86" i="10"/>
  <c r="A85" i="10"/>
  <c r="C85" i="10" s="1"/>
  <c r="A84" i="10"/>
  <c r="A83" i="10"/>
  <c r="A82" i="10"/>
  <c r="E82" i="10" s="1"/>
  <c r="A81" i="10"/>
  <c r="A80" i="10"/>
  <c r="A79" i="10"/>
  <c r="A78" i="10"/>
  <c r="C78" i="10" s="1"/>
  <c r="A77" i="10"/>
  <c r="A76" i="10"/>
  <c r="A75" i="10"/>
  <c r="A74" i="10"/>
  <c r="A73" i="10"/>
  <c r="A72" i="10"/>
  <c r="F72" i="10" s="1"/>
  <c r="A71" i="10"/>
  <c r="F71" i="10" s="1"/>
  <c r="A70" i="10"/>
  <c r="A69" i="10"/>
  <c r="A68" i="10"/>
  <c r="D68" i="10" s="1"/>
  <c r="A67" i="10"/>
  <c r="E67" i="10" s="1"/>
  <c r="B66" i="10"/>
  <c r="A66" i="10"/>
  <c r="E66" i="10" s="1"/>
  <c r="A65" i="10"/>
  <c r="A64" i="10"/>
  <c r="A63" i="10"/>
  <c r="A62" i="10"/>
  <c r="E62" i="10" s="1"/>
  <c r="A61" i="10"/>
  <c r="A60" i="10"/>
  <c r="A59" i="10"/>
  <c r="F59" i="10" s="1"/>
  <c r="A58" i="10"/>
  <c r="A57" i="10"/>
  <c r="A56" i="10"/>
  <c r="A55" i="10"/>
  <c r="A54" i="10"/>
  <c r="C54" i="10" s="1"/>
  <c r="A53" i="10"/>
  <c r="E53" i="10" s="1"/>
  <c r="A52" i="10"/>
  <c r="E52" i="10" s="1"/>
  <c r="A51" i="10"/>
  <c r="A50" i="10"/>
  <c r="A49" i="10"/>
  <c r="A48" i="10"/>
  <c r="B48" i="10" s="1"/>
  <c r="A47" i="10"/>
  <c r="D47" i="10" s="1"/>
  <c r="A46" i="10"/>
  <c r="D46" i="10" s="1"/>
  <c r="A45" i="10"/>
  <c r="D45" i="10" s="1"/>
  <c r="A44" i="10"/>
  <c r="D44" i="10" s="1"/>
  <c r="A43" i="10"/>
  <c r="F43" i="10" s="1"/>
  <c r="A42" i="10"/>
  <c r="F42" i="10" s="1"/>
  <c r="A41" i="10"/>
  <c r="C41" i="10" s="1"/>
  <c r="A40" i="10"/>
  <c r="B40" i="10" s="1"/>
  <c r="A39" i="10"/>
  <c r="A38" i="10"/>
  <c r="A37" i="10"/>
  <c r="D37" i="10" s="1"/>
  <c r="A36" i="10"/>
  <c r="B36" i="10" s="1"/>
  <c r="A35" i="10"/>
  <c r="F35" i="10" s="1"/>
  <c r="A34" i="10"/>
  <c r="F34" i="10" s="1"/>
  <c r="A33" i="10"/>
  <c r="D33" i="10" s="1"/>
  <c r="A32" i="10"/>
  <c r="A31" i="10"/>
  <c r="A30" i="10"/>
  <c r="A29" i="10"/>
  <c r="F29" i="10" s="1"/>
  <c r="A28" i="10"/>
  <c r="B28" i="10" s="1"/>
  <c r="A27" i="10"/>
  <c r="A26" i="10"/>
  <c r="A25" i="10"/>
  <c r="A24" i="10"/>
  <c r="E24" i="10" s="1"/>
  <c r="A23" i="10"/>
  <c r="C23" i="10" s="1"/>
  <c r="A22" i="10"/>
  <c r="F22" i="10" s="1"/>
  <c r="A21" i="10"/>
  <c r="E21" i="10" s="1"/>
  <c r="A20" i="10"/>
  <c r="D20" i="10" s="1"/>
  <c r="A19" i="10"/>
  <c r="A18" i="10"/>
  <c r="C18" i="10" s="1"/>
  <c r="A17" i="10"/>
  <c r="F17" i="10" s="1"/>
  <c r="A16" i="10"/>
  <c r="B16" i="10" s="1"/>
  <c r="A15" i="10"/>
  <c r="A14" i="10"/>
  <c r="A13" i="10"/>
  <c r="D13" i="10" s="1"/>
  <c r="A12" i="10"/>
  <c r="C12" i="10" s="1"/>
  <c r="A11" i="10"/>
  <c r="B11" i="10" s="1"/>
  <c r="A10" i="10"/>
  <c r="F10" i="10" s="1"/>
  <c r="A9" i="10"/>
  <c r="F9" i="10" s="1"/>
  <c r="A8" i="10"/>
  <c r="B8" i="10" s="1"/>
  <c r="A7" i="10"/>
  <c r="B7" i="10" s="1"/>
  <c r="A6" i="10"/>
  <c r="F6" i="10" s="1"/>
  <c r="A5" i="10"/>
  <c r="D5" i="10" s="1"/>
  <c r="A4" i="10"/>
  <c r="B4" i="10" s="1"/>
  <c r="A3" i="10"/>
  <c r="A2" i="10"/>
  <c r="A26" i="8"/>
  <c r="B25" i="8"/>
  <c r="A25" i="8"/>
  <c r="B24" i="8"/>
  <c r="A24" i="8"/>
  <c r="B23" i="8"/>
  <c r="A23" i="8"/>
  <c r="B22" i="8"/>
  <c r="A22" i="8"/>
  <c r="B21" i="8"/>
  <c r="A21" i="8"/>
  <c r="B20" i="8"/>
  <c r="A20" i="8"/>
  <c r="B19" i="8"/>
  <c r="A19" i="8"/>
  <c r="A18" i="8"/>
  <c r="B17" i="8"/>
  <c r="A17" i="8"/>
  <c r="A16" i="8"/>
  <c r="B15" i="8"/>
  <c r="A15" i="8"/>
  <c r="B14" i="8"/>
  <c r="A14" i="8"/>
  <c r="B13" i="8"/>
  <c r="A13" i="8"/>
  <c r="B12" i="8"/>
  <c r="A12" i="8"/>
  <c r="B11" i="8"/>
  <c r="A11" i="8"/>
  <c r="B10" i="8"/>
  <c r="A10" i="8"/>
  <c r="B9" i="8"/>
  <c r="A9" i="8"/>
  <c r="B8" i="8"/>
  <c r="A8" i="8"/>
  <c r="B7" i="8"/>
  <c r="A7" i="8"/>
  <c r="B6" i="8"/>
  <c r="A6" i="8"/>
  <c r="B5" i="8"/>
  <c r="A5" i="8"/>
  <c r="B4" i="8"/>
  <c r="A4" i="8"/>
  <c r="B3" i="8"/>
  <c r="A3" i="8"/>
  <c r="B2" i="8"/>
  <c r="A2" i="8"/>
  <c r="B1" i="8"/>
  <c r="A1" i="8"/>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A121" i="6"/>
  <c r="B121" i="6" s="1"/>
  <c r="A120" i="6"/>
  <c r="B120" i="6" s="1"/>
  <c r="A119" i="6"/>
  <c r="A118" i="6"/>
  <c r="A117" i="6"/>
  <c r="A116" i="6"/>
  <c r="A115" i="6"/>
  <c r="B115" i="6" s="1"/>
  <c r="A114" i="6"/>
  <c r="A113" i="6"/>
  <c r="A112" i="6"/>
  <c r="A111" i="6"/>
  <c r="A110" i="6"/>
  <c r="B110" i="6" s="1"/>
  <c r="A109" i="6"/>
  <c r="A108" i="6"/>
  <c r="A107" i="6"/>
  <c r="A106" i="6"/>
  <c r="A105" i="6"/>
  <c r="B105" i="6" s="1"/>
  <c r="A104" i="6"/>
  <c r="A103" i="6"/>
  <c r="A102" i="6"/>
  <c r="A101" i="6"/>
  <c r="A100" i="6"/>
  <c r="B100" i="6" s="1"/>
  <c r="A99" i="6"/>
  <c r="A98" i="6"/>
  <c r="A97" i="6"/>
  <c r="A96" i="6"/>
  <c r="A95" i="6"/>
  <c r="A94" i="6"/>
  <c r="A93" i="6"/>
  <c r="B93" i="6" s="1"/>
  <c r="A92" i="6"/>
  <c r="A91" i="6"/>
  <c r="A90" i="6"/>
  <c r="A89" i="6"/>
  <c r="A88" i="6"/>
  <c r="B88" i="6" s="1"/>
  <c r="A87" i="6"/>
  <c r="A86" i="6"/>
  <c r="B86" i="6" s="1"/>
  <c r="A85" i="6"/>
  <c r="B85" i="6" s="1"/>
  <c r="A84" i="6"/>
  <c r="A83" i="6"/>
  <c r="B83" i="6" s="1"/>
  <c r="A82" i="6"/>
  <c r="A81" i="6"/>
  <c r="B81" i="6" s="1"/>
  <c r="A80" i="6"/>
  <c r="B80" i="6" s="1"/>
  <c r="A79" i="6"/>
  <c r="B79" i="6" s="1"/>
  <c r="A78" i="6"/>
  <c r="B78" i="6" s="1"/>
  <c r="A77" i="6"/>
  <c r="A76" i="6"/>
  <c r="B76" i="6" s="1"/>
  <c r="A75" i="6"/>
  <c r="A74" i="6"/>
  <c r="A73" i="6"/>
  <c r="A72" i="6"/>
  <c r="B72" i="6" s="1"/>
  <c r="A71" i="6"/>
  <c r="A70" i="6"/>
  <c r="A69" i="6"/>
  <c r="A68" i="6"/>
  <c r="B68" i="6" s="1"/>
  <c r="A67" i="6"/>
  <c r="B67" i="6" s="1"/>
  <c r="A66" i="6"/>
  <c r="B66" i="6" s="1"/>
  <c r="A65" i="6"/>
  <c r="B65" i="6" s="1"/>
  <c r="A64" i="6"/>
  <c r="B64" i="6" s="1"/>
  <c r="A63" i="6"/>
  <c r="B63" i="6" s="1"/>
  <c r="A62" i="6"/>
  <c r="A61" i="6"/>
  <c r="A60" i="6"/>
  <c r="A59" i="6"/>
  <c r="B59" i="6" s="1"/>
  <c r="A58" i="6"/>
  <c r="A57" i="6"/>
  <c r="A56" i="6"/>
  <c r="A55" i="6"/>
  <c r="A54" i="6"/>
  <c r="B54" i="6" s="1"/>
  <c r="A53" i="6"/>
  <c r="B53" i="6" s="1"/>
  <c r="A52" i="6"/>
  <c r="A51" i="6"/>
  <c r="A50" i="6"/>
  <c r="A49" i="6"/>
  <c r="A48" i="6"/>
  <c r="B48" i="6" s="1"/>
  <c r="A47" i="6"/>
  <c r="B47" i="6" s="1"/>
  <c r="A46" i="6"/>
  <c r="B46" i="6" s="1"/>
  <c r="A45" i="6"/>
  <c r="B45" i="6" s="1"/>
  <c r="A44" i="6"/>
  <c r="B44" i="6" s="1"/>
  <c r="A43" i="6"/>
  <c r="B43" i="6" s="1"/>
  <c r="A42" i="6"/>
  <c r="B42" i="6" s="1"/>
  <c r="A41" i="6"/>
  <c r="B41" i="6" s="1"/>
  <c r="A40" i="6"/>
  <c r="A39" i="6"/>
  <c r="A38" i="6"/>
  <c r="A37" i="6"/>
  <c r="B37" i="6" s="1"/>
  <c r="A36" i="6"/>
  <c r="B36" i="6" s="1"/>
  <c r="A35" i="6"/>
  <c r="B35" i="6" s="1"/>
  <c r="A34" i="6"/>
  <c r="B34" i="6" s="1"/>
  <c r="A33" i="6"/>
  <c r="A32" i="6"/>
  <c r="A31" i="6"/>
  <c r="A30" i="6"/>
  <c r="A29" i="6"/>
  <c r="B29" i="6" s="1"/>
  <c r="A28" i="6"/>
  <c r="B28" i="6" s="1"/>
  <c r="A27" i="6"/>
  <c r="A26" i="6"/>
  <c r="A25" i="6"/>
  <c r="A24" i="6"/>
  <c r="B24" i="6" s="1"/>
  <c r="A23" i="6"/>
  <c r="B23" i="6" s="1"/>
  <c r="A22" i="6"/>
  <c r="B22" i="6" s="1"/>
  <c r="A21" i="6"/>
  <c r="B21" i="6" s="1"/>
  <c r="A20" i="6"/>
  <c r="B20" i="6" s="1"/>
  <c r="A19" i="6"/>
  <c r="A18" i="6"/>
  <c r="B18" i="6" s="1"/>
  <c r="A17" i="6"/>
  <c r="B17" i="6" s="1"/>
  <c r="A16" i="6"/>
  <c r="B16" i="6" s="1"/>
  <c r="A15" i="6"/>
  <c r="B15" i="6" s="1"/>
  <c r="A14" i="6"/>
  <c r="A13" i="6"/>
  <c r="B13" i="6" s="1"/>
  <c r="A12" i="6"/>
  <c r="A11" i="6"/>
  <c r="B11" i="6" s="1"/>
  <c r="A10" i="6"/>
  <c r="B10" i="6" s="1"/>
  <c r="A9" i="6"/>
  <c r="A8" i="6"/>
  <c r="B8" i="6" s="1"/>
  <c r="A7" i="6"/>
  <c r="B7" i="6" s="1"/>
  <c r="A6" i="6"/>
  <c r="A5" i="6"/>
  <c r="A4" i="6"/>
  <c r="A3" i="6"/>
  <c r="A2" i="6"/>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A120" i="5"/>
  <c r="B120" i="5" s="1"/>
  <c r="A119" i="5"/>
  <c r="B119" i="5" s="1"/>
  <c r="A118" i="5"/>
  <c r="A117" i="5"/>
  <c r="A116" i="5"/>
  <c r="A115" i="5"/>
  <c r="A114" i="5"/>
  <c r="B114" i="5" s="1"/>
  <c r="A113" i="5"/>
  <c r="A112" i="5"/>
  <c r="A111" i="5"/>
  <c r="A110" i="5"/>
  <c r="A109" i="5"/>
  <c r="B109" i="5" s="1"/>
  <c r="A108" i="5"/>
  <c r="A107" i="5"/>
  <c r="A106" i="5"/>
  <c r="A105" i="5"/>
  <c r="A104" i="5"/>
  <c r="A103" i="5"/>
  <c r="A102" i="5"/>
  <c r="A101" i="5"/>
  <c r="A100" i="5"/>
  <c r="A99" i="5"/>
  <c r="B99" i="5" s="1"/>
  <c r="A98" i="5"/>
  <c r="A97" i="5"/>
  <c r="A96" i="5"/>
  <c r="A95" i="5"/>
  <c r="A94" i="5"/>
  <c r="A93" i="5"/>
  <c r="A92" i="5"/>
  <c r="B92" i="5" s="1"/>
  <c r="A91" i="5"/>
  <c r="A90" i="5"/>
  <c r="A89" i="5"/>
  <c r="A88" i="5"/>
  <c r="A87" i="5"/>
  <c r="B87" i="5" s="1"/>
  <c r="A86" i="5"/>
  <c r="A85" i="5"/>
  <c r="B85" i="5" s="1"/>
  <c r="A84" i="5"/>
  <c r="B84" i="5" s="1"/>
  <c r="A83" i="5"/>
  <c r="A82" i="5"/>
  <c r="A81" i="5"/>
  <c r="A80" i="5"/>
  <c r="B80" i="5" s="1"/>
  <c r="A79" i="5"/>
  <c r="B79" i="5" s="1"/>
  <c r="A78" i="5"/>
  <c r="B78" i="5" s="1"/>
  <c r="A77" i="5"/>
  <c r="A76" i="5"/>
  <c r="A75" i="5"/>
  <c r="A74" i="5"/>
  <c r="A73" i="5"/>
  <c r="A72" i="5"/>
  <c r="A71" i="5"/>
  <c r="B71" i="5" s="1"/>
  <c r="A70" i="5"/>
  <c r="A69" i="5"/>
  <c r="A68" i="5"/>
  <c r="A67" i="5"/>
  <c r="B67" i="5" s="1"/>
  <c r="A66" i="5"/>
  <c r="B66" i="5" s="1"/>
  <c r="A65" i="5"/>
  <c r="A64" i="5"/>
  <c r="A63" i="5"/>
  <c r="A62" i="5"/>
  <c r="B62" i="5" s="1"/>
  <c r="A61" i="5"/>
  <c r="A60" i="5"/>
  <c r="A59" i="5"/>
  <c r="A58" i="5"/>
  <c r="B58" i="5" s="1"/>
  <c r="A57" i="5"/>
  <c r="A56" i="5"/>
  <c r="A55" i="5"/>
  <c r="A54" i="5"/>
  <c r="A53" i="5"/>
  <c r="B53" i="5" s="1"/>
  <c r="A52" i="5"/>
  <c r="B52" i="5" s="1"/>
  <c r="A51" i="5"/>
  <c r="A50" i="5"/>
  <c r="A49" i="5"/>
  <c r="A48" i="5"/>
  <c r="A47" i="5"/>
  <c r="B47" i="5" s="1"/>
  <c r="A46" i="5"/>
  <c r="A45" i="5"/>
  <c r="A44" i="5"/>
  <c r="B44" i="5" s="1"/>
  <c r="A43" i="5"/>
  <c r="B43" i="5" s="1"/>
  <c r="A42" i="5"/>
  <c r="B42" i="5" s="1"/>
  <c r="A41" i="5"/>
  <c r="B41" i="5" s="1"/>
  <c r="A40" i="5"/>
  <c r="B40" i="5" s="1"/>
  <c r="A39" i="5"/>
  <c r="A38" i="5"/>
  <c r="A37" i="5"/>
  <c r="A36" i="5"/>
  <c r="B36" i="5" s="1"/>
  <c r="A35" i="5"/>
  <c r="B35" i="5" s="1"/>
  <c r="A34" i="5"/>
  <c r="B34" i="5" s="1"/>
  <c r="A33" i="5"/>
  <c r="B33" i="5" s="1"/>
  <c r="A32" i="5"/>
  <c r="A31" i="5"/>
  <c r="A30" i="5"/>
  <c r="A29" i="5"/>
  <c r="A28" i="5"/>
  <c r="B28" i="5" s="1"/>
  <c r="A27" i="5"/>
  <c r="A26" i="5"/>
  <c r="A25" i="5"/>
  <c r="A24" i="5"/>
  <c r="A23" i="5"/>
  <c r="B23" i="5" s="1"/>
  <c r="A22" i="5"/>
  <c r="B22" i="5" s="1"/>
  <c r="A21" i="5"/>
  <c r="B21" i="5" s="1"/>
  <c r="A20" i="5"/>
  <c r="B20" i="5" s="1"/>
  <c r="A19" i="5"/>
  <c r="B19" i="5" s="1"/>
  <c r="A18" i="5"/>
  <c r="A17" i="5"/>
  <c r="B17" i="5" s="1"/>
  <c r="A16" i="5"/>
  <c r="A15" i="5"/>
  <c r="A14" i="5"/>
  <c r="A13" i="5"/>
  <c r="A12" i="5"/>
  <c r="A11" i="5"/>
  <c r="A10" i="5"/>
  <c r="B10" i="5" s="1"/>
  <c r="A9" i="5"/>
  <c r="B9" i="5" s="1"/>
  <c r="A8" i="5"/>
  <c r="A7" i="5"/>
  <c r="B7" i="5" s="1"/>
  <c r="A6" i="5"/>
  <c r="B6" i="5" s="1"/>
  <c r="A5" i="5"/>
  <c r="A4" i="5"/>
  <c r="A3" i="5"/>
  <c r="A2" i="5"/>
  <c r="A1" i="5"/>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c r="A3" i="4"/>
  <c r="A2" i="4"/>
  <c r="A1" i="4"/>
  <c r="A28" i="3"/>
  <c r="A27" i="3"/>
  <c r="A26" i="3"/>
  <c r="A25" i="3"/>
  <c r="A24" i="3"/>
  <c r="A23" i="3"/>
  <c r="A22" i="3"/>
  <c r="A21" i="3"/>
  <c r="A20" i="3"/>
  <c r="A19" i="3"/>
  <c r="A18" i="3"/>
  <c r="A17" i="3"/>
  <c r="A16" i="3"/>
  <c r="A15" i="3"/>
  <c r="A14" i="3"/>
  <c r="A13" i="3"/>
  <c r="A12" i="3"/>
  <c r="A11" i="3"/>
  <c r="A10" i="3"/>
  <c r="A9" i="3"/>
  <c r="A8" i="3"/>
  <c r="A7" i="3"/>
  <c r="A6" i="3"/>
  <c r="A5" i="3"/>
  <c r="A4" i="3"/>
  <c r="A3" i="3"/>
  <c r="A2" i="3"/>
  <c r="A1" i="3"/>
  <c r="AQ3176" i="1"/>
  <c r="AQ3175" i="1"/>
  <c r="AQ3174" i="1"/>
  <c r="AQ3173" i="1"/>
  <c r="AQ3172" i="1"/>
  <c r="AQ3171" i="1"/>
  <c r="AQ3170" i="1"/>
  <c r="AQ3169" i="1"/>
  <c r="AQ3168" i="1"/>
  <c r="AQ3167" i="1"/>
  <c r="AQ3166" i="1"/>
  <c r="AQ3165" i="1"/>
  <c r="AQ3164" i="1"/>
  <c r="AQ3163" i="1"/>
  <c r="AQ3162" i="1"/>
  <c r="AQ3161" i="1"/>
  <c r="AQ3160" i="1"/>
  <c r="AQ3159" i="1"/>
  <c r="AQ3158" i="1"/>
  <c r="AQ3157" i="1"/>
  <c r="AQ3156" i="1"/>
  <c r="AQ3155" i="1"/>
  <c r="AQ3154" i="1"/>
  <c r="AQ3153" i="1"/>
  <c r="AQ3152" i="1"/>
  <c r="AQ3151" i="1"/>
  <c r="AQ3150" i="1"/>
  <c r="AQ3149" i="1"/>
  <c r="AQ3148" i="1"/>
  <c r="AQ3147" i="1"/>
  <c r="AQ3146" i="1"/>
  <c r="AQ3145" i="1"/>
  <c r="AQ3144" i="1"/>
  <c r="AQ3143" i="1"/>
  <c r="AQ3142" i="1"/>
  <c r="AQ3141" i="1"/>
  <c r="AQ3140" i="1"/>
  <c r="AQ3139" i="1"/>
  <c r="AQ3138" i="1"/>
  <c r="AQ3137" i="1"/>
  <c r="AQ3136" i="1"/>
  <c r="AQ3135" i="1"/>
  <c r="AQ3134" i="1"/>
  <c r="AQ3133" i="1"/>
  <c r="AQ3132" i="1"/>
  <c r="AQ3131" i="1"/>
  <c r="AQ3130" i="1"/>
  <c r="AQ3129" i="1"/>
  <c r="AQ3128" i="1"/>
  <c r="AQ3127" i="1"/>
  <c r="AQ3126" i="1"/>
  <c r="AQ3125" i="1"/>
  <c r="AQ3124" i="1"/>
  <c r="AQ3123" i="1"/>
  <c r="AQ3122" i="1"/>
  <c r="AQ3121" i="1"/>
  <c r="AQ3120" i="1"/>
  <c r="AQ3119" i="1"/>
  <c r="AQ3118" i="1"/>
  <c r="AQ3117" i="1"/>
  <c r="AQ3116" i="1"/>
  <c r="AQ3115" i="1"/>
  <c r="AQ3114" i="1"/>
  <c r="AQ3113" i="1"/>
  <c r="AQ3112" i="1"/>
  <c r="AQ3111" i="1"/>
  <c r="AQ3110" i="1"/>
  <c r="AQ3109" i="1"/>
  <c r="AQ3108" i="1"/>
  <c r="AQ3107" i="1"/>
  <c r="AQ3106" i="1"/>
  <c r="AQ3105" i="1"/>
  <c r="AQ3104" i="1"/>
  <c r="AQ3103" i="1"/>
  <c r="AQ3102" i="1"/>
  <c r="AQ3101" i="1"/>
  <c r="AQ3100" i="1"/>
  <c r="AQ3099" i="1"/>
  <c r="AQ3098" i="1"/>
  <c r="AQ3097" i="1"/>
  <c r="AQ3096" i="1"/>
  <c r="AQ3095" i="1"/>
  <c r="AQ3094" i="1"/>
  <c r="AQ3093" i="1"/>
  <c r="AQ3092" i="1"/>
  <c r="AQ3091" i="1"/>
  <c r="AQ3090" i="1"/>
  <c r="AQ3089" i="1"/>
  <c r="AQ3088" i="1"/>
  <c r="AQ3087" i="1"/>
  <c r="AQ3086" i="1"/>
  <c r="AQ3085" i="1"/>
  <c r="AQ3084" i="1"/>
  <c r="AQ3083" i="1"/>
  <c r="AQ3082" i="1"/>
  <c r="AQ3081" i="1"/>
  <c r="AQ3080" i="1"/>
  <c r="AQ3079" i="1"/>
  <c r="AQ3078" i="1"/>
  <c r="AQ3077" i="1"/>
  <c r="AQ3076" i="1"/>
  <c r="AQ3075" i="1"/>
  <c r="AQ3074" i="1"/>
  <c r="AQ3073" i="1"/>
  <c r="AQ3072" i="1"/>
  <c r="AQ3071" i="1"/>
  <c r="AQ3070" i="1"/>
  <c r="AQ3069" i="1"/>
  <c r="AQ3068" i="1"/>
  <c r="AQ3067" i="1"/>
  <c r="AQ3066" i="1"/>
  <c r="AQ3065" i="1"/>
  <c r="AQ3064" i="1"/>
  <c r="AQ3063" i="1"/>
  <c r="AQ3062" i="1"/>
  <c r="AQ3061" i="1"/>
  <c r="AQ3060" i="1"/>
  <c r="AQ3059" i="1"/>
  <c r="AQ3058" i="1"/>
  <c r="AQ3057" i="1"/>
  <c r="AQ3056" i="1"/>
  <c r="AQ3055" i="1"/>
  <c r="AQ3054" i="1"/>
  <c r="AQ3053" i="1"/>
  <c r="AQ3052" i="1"/>
  <c r="AQ3051" i="1"/>
  <c r="AQ3050" i="1"/>
  <c r="AQ3049" i="1"/>
  <c r="AQ3048" i="1"/>
  <c r="AQ3047" i="1"/>
  <c r="AQ3046" i="1"/>
  <c r="AQ3045" i="1"/>
  <c r="AQ3044" i="1"/>
  <c r="AQ3043" i="1"/>
  <c r="AQ3042" i="1"/>
  <c r="AQ3041" i="1"/>
  <c r="AQ3040" i="1"/>
  <c r="AQ3039" i="1"/>
  <c r="AQ3038" i="1"/>
  <c r="AQ3037" i="1"/>
  <c r="AQ3036" i="1"/>
  <c r="AQ3035" i="1"/>
  <c r="AQ3034" i="1"/>
  <c r="AQ3033" i="1"/>
  <c r="AQ3032" i="1"/>
  <c r="AQ3031" i="1"/>
  <c r="AQ3030" i="1"/>
  <c r="AQ3029" i="1"/>
  <c r="AQ3028" i="1"/>
  <c r="AQ3027" i="1"/>
  <c r="AQ3026" i="1"/>
  <c r="AQ3025" i="1"/>
  <c r="AQ3024" i="1"/>
  <c r="AQ3023" i="1"/>
  <c r="AQ3022" i="1"/>
  <c r="AQ3021" i="1"/>
  <c r="AQ3020" i="1"/>
  <c r="AQ3019" i="1"/>
  <c r="AQ3018" i="1"/>
  <c r="AQ3017" i="1"/>
  <c r="AQ3016" i="1"/>
  <c r="AQ3015" i="1"/>
  <c r="AQ3014" i="1"/>
  <c r="AQ3013" i="1"/>
  <c r="AQ3012" i="1"/>
  <c r="AQ3011" i="1"/>
  <c r="AQ3010" i="1"/>
  <c r="AQ3009" i="1"/>
  <c r="AQ3008" i="1"/>
  <c r="AQ3007" i="1"/>
  <c r="AQ3006" i="1"/>
  <c r="AQ3005" i="1"/>
  <c r="AQ3004" i="1"/>
  <c r="AQ3003" i="1"/>
  <c r="AQ3002" i="1"/>
  <c r="AQ3001" i="1"/>
  <c r="AQ3000" i="1"/>
  <c r="AQ2999" i="1"/>
  <c r="AQ2998" i="1"/>
  <c r="AQ2997" i="1"/>
  <c r="AQ2996" i="1"/>
  <c r="AQ2995" i="1"/>
  <c r="AQ2994" i="1"/>
  <c r="AQ2993" i="1"/>
  <c r="AQ2992" i="1"/>
  <c r="AQ2991" i="1"/>
  <c r="AQ2990" i="1"/>
  <c r="AQ2989" i="1"/>
  <c r="AQ2988" i="1"/>
  <c r="AQ2987" i="1"/>
  <c r="AQ2986" i="1"/>
  <c r="AQ2985" i="1"/>
  <c r="AQ2984" i="1"/>
  <c r="AQ2983" i="1"/>
  <c r="AQ2982" i="1"/>
  <c r="AQ2981" i="1"/>
  <c r="AQ2980" i="1"/>
  <c r="AQ2979" i="1"/>
  <c r="AQ2978" i="1"/>
  <c r="AQ2977" i="1"/>
  <c r="AQ2976" i="1"/>
  <c r="AQ2975" i="1"/>
  <c r="AQ2974" i="1"/>
  <c r="AQ2973" i="1"/>
  <c r="AQ2972" i="1"/>
  <c r="AQ2971" i="1"/>
  <c r="AQ2970" i="1"/>
  <c r="AQ2969" i="1"/>
  <c r="AQ2968" i="1"/>
  <c r="AQ2967" i="1"/>
  <c r="AQ2966" i="1"/>
  <c r="AQ2965" i="1"/>
  <c r="AQ2964" i="1"/>
  <c r="AQ2963" i="1"/>
  <c r="AQ2962" i="1"/>
  <c r="AQ2961" i="1"/>
  <c r="AQ2960" i="1"/>
  <c r="AQ2959" i="1"/>
  <c r="AQ2958" i="1"/>
  <c r="AQ2957" i="1"/>
  <c r="AQ2956" i="1"/>
  <c r="AQ2955" i="1"/>
  <c r="AQ2954" i="1"/>
  <c r="AQ2953" i="1"/>
  <c r="AQ2952" i="1"/>
  <c r="AQ2951" i="1"/>
  <c r="AQ2950" i="1"/>
  <c r="AQ2949" i="1"/>
  <c r="AQ2948" i="1"/>
  <c r="AQ2947" i="1"/>
  <c r="AQ2946" i="1"/>
  <c r="AQ2945" i="1"/>
  <c r="AQ2944" i="1"/>
  <c r="AQ2943" i="1"/>
  <c r="AQ2942" i="1"/>
  <c r="AQ2941" i="1"/>
  <c r="AQ2940" i="1"/>
  <c r="AQ2939" i="1"/>
  <c r="AQ2938" i="1"/>
  <c r="AQ2937" i="1"/>
  <c r="AQ2936" i="1"/>
  <c r="AQ2935" i="1"/>
  <c r="AQ2934" i="1"/>
  <c r="AQ2933" i="1"/>
  <c r="AQ2932" i="1"/>
  <c r="AQ2931" i="1"/>
  <c r="AQ2930" i="1"/>
  <c r="AQ2929" i="1"/>
  <c r="AQ2928" i="1"/>
  <c r="AQ2927" i="1"/>
  <c r="AQ2926" i="1"/>
  <c r="AQ2925" i="1"/>
  <c r="AQ2924" i="1"/>
  <c r="AQ2923" i="1"/>
  <c r="AQ2922" i="1"/>
  <c r="AQ2921" i="1"/>
  <c r="AQ2920" i="1"/>
  <c r="AQ2919" i="1"/>
  <c r="AQ2918" i="1"/>
  <c r="AQ2917" i="1"/>
  <c r="AQ2916" i="1"/>
  <c r="AQ2915" i="1"/>
  <c r="AQ2914" i="1"/>
  <c r="AQ2913" i="1"/>
  <c r="AQ2912" i="1"/>
  <c r="AQ2911" i="1"/>
  <c r="AQ2910" i="1"/>
  <c r="AQ2909" i="1"/>
  <c r="AQ2908" i="1"/>
  <c r="AQ2907" i="1"/>
  <c r="AQ2906" i="1"/>
  <c r="AQ2905" i="1"/>
  <c r="AQ2904" i="1"/>
  <c r="AQ2903" i="1"/>
  <c r="AQ2902" i="1"/>
  <c r="AQ2901" i="1"/>
  <c r="AQ2900" i="1"/>
  <c r="AQ2899" i="1"/>
  <c r="AQ2898" i="1"/>
  <c r="AQ2897" i="1"/>
  <c r="AQ2896" i="1"/>
  <c r="AQ2895" i="1"/>
  <c r="AQ2894" i="1"/>
  <c r="AQ2893" i="1"/>
  <c r="AQ2892" i="1"/>
  <c r="AQ2891" i="1"/>
  <c r="AQ2890" i="1"/>
  <c r="AQ2889" i="1"/>
  <c r="AQ2888" i="1"/>
  <c r="AQ2887" i="1"/>
  <c r="AQ2886" i="1"/>
  <c r="AQ2885" i="1"/>
  <c r="AQ2884" i="1"/>
  <c r="AQ2883" i="1"/>
  <c r="AQ2882" i="1"/>
  <c r="AQ2881" i="1"/>
  <c r="AQ2880" i="1"/>
  <c r="AQ2879" i="1"/>
  <c r="AQ2878" i="1"/>
  <c r="AQ2877" i="1"/>
  <c r="AQ2876" i="1"/>
  <c r="AQ2875" i="1"/>
  <c r="AQ2874" i="1"/>
  <c r="AQ2873" i="1"/>
  <c r="AQ2872" i="1"/>
  <c r="AQ2871" i="1"/>
  <c r="AQ2870" i="1"/>
  <c r="AQ2869" i="1"/>
  <c r="AQ2868" i="1"/>
  <c r="AQ2867" i="1"/>
  <c r="AQ2866" i="1"/>
  <c r="AQ2865" i="1"/>
  <c r="AQ2864" i="1"/>
  <c r="AQ2863" i="1"/>
  <c r="AQ2862" i="1"/>
  <c r="AQ2861" i="1"/>
  <c r="AQ2860" i="1"/>
  <c r="AQ2859" i="1"/>
  <c r="AQ2858" i="1"/>
  <c r="AQ2857" i="1"/>
  <c r="AQ2856" i="1"/>
  <c r="AQ2855" i="1"/>
  <c r="AQ2854" i="1"/>
  <c r="AQ2853" i="1"/>
  <c r="AQ2852" i="1"/>
  <c r="AQ2851" i="1"/>
  <c r="AQ2850" i="1"/>
  <c r="AQ2849" i="1"/>
  <c r="AQ2848" i="1"/>
  <c r="AQ2847" i="1"/>
  <c r="AQ2846" i="1"/>
  <c r="AQ2845" i="1"/>
  <c r="AQ2844" i="1"/>
  <c r="AQ2843" i="1"/>
  <c r="AQ2842" i="1"/>
  <c r="AQ2841" i="1"/>
  <c r="AQ2840" i="1"/>
  <c r="AQ2839" i="1"/>
  <c r="AQ2838" i="1"/>
  <c r="AQ2837" i="1"/>
  <c r="AQ2836" i="1"/>
  <c r="AQ2835" i="1"/>
  <c r="AQ2834" i="1"/>
  <c r="AQ2833" i="1"/>
  <c r="AQ2832" i="1"/>
  <c r="AQ2831" i="1"/>
  <c r="AQ2830" i="1"/>
  <c r="AQ2829" i="1"/>
  <c r="AQ2828" i="1"/>
  <c r="AQ2827" i="1"/>
  <c r="AQ2826" i="1"/>
  <c r="AQ2825" i="1"/>
  <c r="AQ2824" i="1"/>
  <c r="AQ2823" i="1"/>
  <c r="AQ2822" i="1"/>
  <c r="AQ2821" i="1"/>
  <c r="AQ2820" i="1"/>
  <c r="AQ2819" i="1"/>
  <c r="AQ2818" i="1"/>
  <c r="AQ2817" i="1"/>
  <c r="AQ2816" i="1"/>
  <c r="AQ2815" i="1"/>
  <c r="AQ2814" i="1"/>
  <c r="AQ2813" i="1"/>
  <c r="AQ2812" i="1"/>
  <c r="AQ2811" i="1"/>
  <c r="AQ2810" i="1"/>
  <c r="AQ2809" i="1"/>
  <c r="AQ2808" i="1"/>
  <c r="AQ2807" i="1"/>
  <c r="AQ2806" i="1"/>
  <c r="AQ2805" i="1"/>
  <c r="AQ2804" i="1"/>
  <c r="AQ2803" i="1"/>
  <c r="AQ2802" i="1"/>
  <c r="AQ2801" i="1"/>
  <c r="AQ2800" i="1"/>
  <c r="AQ2799" i="1"/>
  <c r="AQ2798" i="1"/>
  <c r="AQ2797" i="1"/>
  <c r="AQ2796" i="1"/>
  <c r="AQ2795" i="1"/>
  <c r="AQ2794" i="1"/>
  <c r="AQ2793" i="1"/>
  <c r="AQ2792" i="1"/>
  <c r="AQ2791" i="1"/>
  <c r="AQ2790" i="1"/>
  <c r="AQ2789" i="1"/>
  <c r="AQ2788" i="1"/>
  <c r="AQ2787" i="1"/>
  <c r="AQ2786" i="1"/>
  <c r="AQ2785" i="1"/>
  <c r="AQ2784" i="1"/>
  <c r="AQ2783" i="1"/>
  <c r="AQ2782" i="1"/>
  <c r="AQ2781" i="1"/>
  <c r="AQ2780" i="1"/>
  <c r="AQ2779" i="1"/>
  <c r="AQ2778" i="1"/>
  <c r="AQ2777" i="1"/>
  <c r="AQ2776" i="1"/>
  <c r="AQ2775" i="1"/>
  <c r="AQ2774" i="1"/>
  <c r="AQ2773" i="1"/>
  <c r="AQ2772" i="1"/>
  <c r="AQ2771" i="1"/>
  <c r="AQ2770" i="1"/>
  <c r="AQ2769" i="1"/>
  <c r="AQ2768" i="1"/>
  <c r="AQ2767" i="1"/>
  <c r="AQ2766" i="1"/>
  <c r="AQ2765" i="1"/>
  <c r="AQ2764" i="1"/>
  <c r="AQ2763" i="1"/>
  <c r="AQ2762" i="1"/>
  <c r="AQ2761" i="1"/>
  <c r="AQ2760" i="1"/>
  <c r="AQ2759" i="1"/>
  <c r="AQ2758" i="1"/>
  <c r="AQ2757" i="1"/>
  <c r="AQ2756" i="1"/>
  <c r="AQ2755" i="1"/>
  <c r="AQ2754" i="1"/>
  <c r="AQ2753" i="1"/>
  <c r="AQ2752" i="1"/>
  <c r="AQ2751" i="1"/>
  <c r="AQ2750" i="1"/>
  <c r="AQ2749" i="1"/>
  <c r="AQ2748" i="1"/>
  <c r="AQ2747" i="1"/>
  <c r="AQ2746" i="1"/>
  <c r="AQ2745" i="1"/>
  <c r="AQ2744" i="1"/>
  <c r="AQ2743" i="1"/>
  <c r="AQ2742" i="1"/>
  <c r="AQ2741" i="1"/>
  <c r="AQ2740" i="1"/>
  <c r="AQ2739" i="1"/>
  <c r="AQ2738" i="1"/>
  <c r="AQ2737" i="1"/>
  <c r="AQ2736" i="1"/>
  <c r="AQ2735" i="1"/>
  <c r="AQ2734" i="1"/>
  <c r="AQ2733" i="1"/>
  <c r="AQ2732" i="1"/>
  <c r="AQ2731" i="1"/>
  <c r="AQ2730" i="1"/>
  <c r="AQ2729" i="1"/>
  <c r="AQ2728" i="1"/>
  <c r="AQ2727" i="1"/>
  <c r="AQ2726" i="1"/>
  <c r="AQ2725" i="1"/>
  <c r="AQ2724" i="1"/>
  <c r="AQ2723" i="1"/>
  <c r="AQ2722" i="1"/>
  <c r="AQ2721" i="1"/>
  <c r="AQ2720" i="1"/>
  <c r="AQ2719" i="1"/>
  <c r="AQ2718" i="1"/>
  <c r="AQ2717" i="1"/>
  <c r="AQ2716" i="1"/>
  <c r="AQ2715" i="1"/>
  <c r="AQ2714" i="1"/>
  <c r="AQ2713" i="1"/>
  <c r="AQ2712" i="1"/>
  <c r="AQ2711" i="1"/>
  <c r="AQ2710" i="1"/>
  <c r="AQ2709" i="1"/>
  <c r="AQ2708" i="1"/>
  <c r="AQ2707" i="1"/>
  <c r="AQ2706" i="1"/>
  <c r="AQ2705" i="1"/>
  <c r="AQ2704" i="1"/>
  <c r="AQ2703" i="1"/>
  <c r="AQ2702" i="1"/>
  <c r="AQ2701" i="1"/>
  <c r="AQ2700" i="1"/>
  <c r="AQ2699" i="1"/>
  <c r="AQ2698" i="1"/>
  <c r="AQ2697" i="1"/>
  <c r="AQ2696" i="1"/>
  <c r="AQ2695" i="1"/>
  <c r="AQ2694" i="1"/>
  <c r="AQ2693" i="1"/>
  <c r="AQ2692" i="1"/>
  <c r="AQ2691" i="1"/>
  <c r="AQ2690" i="1"/>
  <c r="AQ2689" i="1"/>
  <c r="AQ2688" i="1"/>
  <c r="AQ2687" i="1"/>
  <c r="AQ2686" i="1"/>
  <c r="AQ2685" i="1"/>
  <c r="AQ2684" i="1"/>
  <c r="AQ2683" i="1"/>
  <c r="AQ2682" i="1"/>
  <c r="AQ2681" i="1"/>
  <c r="AQ2680" i="1"/>
  <c r="AQ2679" i="1"/>
  <c r="AQ2678" i="1"/>
  <c r="AQ2677" i="1"/>
  <c r="AQ2676" i="1"/>
  <c r="AQ2675" i="1"/>
  <c r="AQ2674" i="1"/>
  <c r="AQ2673" i="1"/>
  <c r="AQ2672" i="1"/>
  <c r="AQ2671" i="1"/>
  <c r="AQ2670" i="1"/>
  <c r="AQ2669" i="1"/>
  <c r="AQ2668" i="1"/>
  <c r="AQ2667" i="1"/>
  <c r="AQ2666" i="1"/>
  <c r="AQ2665" i="1"/>
  <c r="AQ2664" i="1"/>
  <c r="AQ2663" i="1"/>
  <c r="AQ2662" i="1"/>
  <c r="AQ2661" i="1"/>
  <c r="AQ2660" i="1"/>
  <c r="AQ2659" i="1"/>
  <c r="AQ2658" i="1"/>
  <c r="AQ2657" i="1"/>
  <c r="AQ2656" i="1"/>
  <c r="AQ2655" i="1"/>
  <c r="AQ2654" i="1"/>
  <c r="AQ2653" i="1"/>
  <c r="AQ2652" i="1"/>
  <c r="AQ2651" i="1"/>
  <c r="AQ2650" i="1"/>
  <c r="AQ2649" i="1"/>
  <c r="AQ2648" i="1"/>
  <c r="AQ2647" i="1"/>
  <c r="AQ2646" i="1"/>
  <c r="AQ2645" i="1"/>
  <c r="AQ2644" i="1"/>
  <c r="AQ2643" i="1"/>
  <c r="AQ2642" i="1"/>
  <c r="AQ2641" i="1"/>
  <c r="AQ2640" i="1"/>
  <c r="AQ2639" i="1"/>
  <c r="AQ2638" i="1"/>
  <c r="AQ2637" i="1"/>
  <c r="AQ2636" i="1"/>
  <c r="AQ2635" i="1"/>
  <c r="AQ2634" i="1"/>
  <c r="AQ2633" i="1"/>
  <c r="AQ2632" i="1"/>
  <c r="AQ2631" i="1"/>
  <c r="AQ2630" i="1"/>
  <c r="AQ2629" i="1"/>
  <c r="AQ2628" i="1"/>
  <c r="AQ2627" i="1"/>
  <c r="AQ2626" i="1"/>
  <c r="AQ2625" i="1"/>
  <c r="AQ2624" i="1"/>
  <c r="AQ2623" i="1"/>
  <c r="AQ2622" i="1"/>
  <c r="AQ2621" i="1"/>
  <c r="AQ2620" i="1"/>
  <c r="AQ2619" i="1"/>
  <c r="AQ2618" i="1"/>
  <c r="AQ2617" i="1"/>
  <c r="AQ2616" i="1"/>
  <c r="AQ2615" i="1"/>
  <c r="AQ2614" i="1"/>
  <c r="AQ2613" i="1"/>
  <c r="AQ2612" i="1"/>
  <c r="AQ2611" i="1"/>
  <c r="AQ2610" i="1"/>
  <c r="AQ2609" i="1"/>
  <c r="AQ2608" i="1"/>
  <c r="AQ2607" i="1"/>
  <c r="AQ2606" i="1"/>
  <c r="AQ2605" i="1"/>
  <c r="AQ2604" i="1"/>
  <c r="AQ2603" i="1"/>
  <c r="AQ2602" i="1"/>
  <c r="AQ2601" i="1"/>
  <c r="AQ2600" i="1"/>
  <c r="AQ2599" i="1"/>
  <c r="AQ2598" i="1"/>
  <c r="AK2598" i="1"/>
  <c r="AL2598" i="1" s="1"/>
  <c r="AM2598" i="1" s="1"/>
  <c r="AQ2597" i="1"/>
  <c r="AK2597" i="1"/>
  <c r="AL2597" i="1" s="1"/>
  <c r="AM2597" i="1" s="1"/>
  <c r="AQ2596" i="1"/>
  <c r="AK2596" i="1"/>
  <c r="AL2596" i="1" s="1"/>
  <c r="AM2596" i="1" s="1"/>
  <c r="AQ2595" i="1"/>
  <c r="AK2595" i="1"/>
  <c r="AL2595" i="1" s="1"/>
  <c r="AM2595" i="1" s="1"/>
  <c r="AQ2594" i="1"/>
  <c r="AK2594" i="1"/>
  <c r="AL2594" i="1" s="1"/>
  <c r="AM2594" i="1" s="1"/>
  <c r="AQ2593" i="1"/>
  <c r="AK2593" i="1"/>
  <c r="AL2593" i="1" s="1"/>
  <c r="AM2593" i="1" s="1"/>
  <c r="AQ2592" i="1"/>
  <c r="AK2592" i="1"/>
  <c r="AL2592" i="1" s="1"/>
  <c r="AM2592" i="1" s="1"/>
  <c r="AQ2591" i="1"/>
  <c r="AQ2590" i="1"/>
  <c r="AL2590" i="1"/>
  <c r="AM2590" i="1" s="1"/>
  <c r="AK2590" i="1"/>
  <c r="AQ2589" i="1"/>
  <c r="AQ2588" i="1"/>
  <c r="AK2588" i="1"/>
  <c r="AL2588" i="1" s="1"/>
  <c r="AM2588" i="1" s="1"/>
  <c r="AQ2587" i="1"/>
  <c r="AK2587" i="1"/>
  <c r="AL2587" i="1" s="1"/>
  <c r="AM2587" i="1" s="1"/>
  <c r="AQ2586" i="1"/>
  <c r="AQ2585" i="1"/>
  <c r="AK2585" i="1"/>
  <c r="AL2585" i="1" s="1"/>
  <c r="AM2585" i="1" s="1"/>
  <c r="AQ2584" i="1"/>
  <c r="AK2584" i="1"/>
  <c r="AL2584" i="1" s="1"/>
  <c r="AM2584" i="1" s="1"/>
  <c r="AQ2583" i="1"/>
  <c r="AK2583" i="1"/>
  <c r="AL2583" i="1" s="1"/>
  <c r="AM2583" i="1" s="1"/>
  <c r="AQ2582" i="1"/>
  <c r="AK2582" i="1"/>
  <c r="AL2582" i="1" s="1"/>
  <c r="AM2582" i="1" s="1"/>
  <c r="AQ2581" i="1"/>
  <c r="AK2581" i="1"/>
  <c r="AL2581" i="1" s="1"/>
  <c r="AM2581" i="1" s="1"/>
  <c r="AQ2580" i="1"/>
  <c r="AK2580" i="1"/>
  <c r="AL2580" i="1" s="1"/>
  <c r="AM2580" i="1" s="1"/>
  <c r="AQ2579" i="1"/>
  <c r="AK2579" i="1"/>
  <c r="AL2579" i="1" s="1"/>
  <c r="AM2579" i="1" s="1"/>
  <c r="AQ2578" i="1"/>
  <c r="AK2578" i="1"/>
  <c r="AL2578" i="1" s="1"/>
  <c r="AM2578" i="1" s="1"/>
  <c r="AQ2577" i="1"/>
  <c r="AK2577" i="1"/>
  <c r="AL2577" i="1" s="1"/>
  <c r="AM2577" i="1" s="1"/>
  <c r="AQ2576" i="1"/>
  <c r="AK2576" i="1"/>
  <c r="AL2576" i="1" s="1"/>
  <c r="AM2576" i="1" s="1"/>
  <c r="AQ2575" i="1"/>
  <c r="AK2575" i="1"/>
  <c r="AL2575" i="1" s="1"/>
  <c r="AM2575" i="1" s="1"/>
  <c r="AQ2574" i="1"/>
  <c r="AK2574" i="1"/>
  <c r="AL2574" i="1" s="1"/>
  <c r="AM2574" i="1" s="1"/>
  <c r="AQ2573" i="1"/>
  <c r="AK2573" i="1"/>
  <c r="AL2573" i="1" s="1"/>
  <c r="AM2573" i="1" s="1"/>
  <c r="AQ2572" i="1"/>
  <c r="AK2572" i="1"/>
  <c r="AL2572" i="1" s="1"/>
  <c r="AM2572" i="1" s="1"/>
  <c r="AQ2571" i="1"/>
  <c r="AK2571" i="1"/>
  <c r="AL2571" i="1" s="1"/>
  <c r="AM2571" i="1" s="1"/>
  <c r="AQ2570" i="1"/>
  <c r="AQ2569" i="1"/>
  <c r="AK2569" i="1"/>
  <c r="AL2569" i="1" s="1"/>
  <c r="AM2569" i="1" s="1"/>
  <c r="AQ2568" i="1"/>
  <c r="AL2568" i="1"/>
  <c r="AM2568" i="1" s="1"/>
  <c r="AK2568" i="1"/>
  <c r="AQ2567" i="1"/>
  <c r="AL2567" i="1"/>
  <c r="AM2567" i="1" s="1"/>
  <c r="AK2567" i="1"/>
  <c r="AQ2566" i="1"/>
  <c r="AL2566" i="1"/>
  <c r="AM2566" i="1" s="1"/>
  <c r="AK2566" i="1"/>
  <c r="AQ2565" i="1"/>
  <c r="AQ2564" i="1"/>
  <c r="AK2564" i="1"/>
  <c r="AL2564" i="1" s="1"/>
  <c r="AM2564" i="1" s="1"/>
  <c r="AQ2563" i="1"/>
  <c r="AQ2562" i="1"/>
  <c r="AK2562" i="1"/>
  <c r="AL2562" i="1" s="1"/>
  <c r="AM2562" i="1" s="1"/>
  <c r="AQ2561" i="1"/>
  <c r="AK2561" i="1"/>
  <c r="AL2561" i="1" s="1"/>
  <c r="AM2561" i="1" s="1"/>
  <c r="AQ2560" i="1"/>
  <c r="AK2560" i="1"/>
  <c r="AL2560" i="1" s="1"/>
  <c r="AM2560" i="1" s="1"/>
  <c r="AQ2559" i="1"/>
  <c r="AQ2558" i="1"/>
  <c r="AK2558" i="1"/>
  <c r="AL2558" i="1" s="1"/>
  <c r="AM2558" i="1" s="1"/>
  <c r="AQ2557" i="1"/>
  <c r="AK2557" i="1"/>
  <c r="AL2557" i="1" s="1"/>
  <c r="AM2557" i="1" s="1"/>
  <c r="AQ2556" i="1"/>
  <c r="AQ2555" i="1"/>
  <c r="AQ2554" i="1"/>
  <c r="AK2554" i="1"/>
  <c r="AL2554" i="1" s="1"/>
  <c r="AM2554" i="1" s="1"/>
  <c r="AQ2553" i="1"/>
  <c r="AK2553" i="1"/>
  <c r="AL2553" i="1" s="1"/>
  <c r="AM2553" i="1" s="1"/>
  <c r="AQ2552" i="1"/>
  <c r="AK2552" i="1"/>
  <c r="AL2552" i="1" s="1"/>
  <c r="AM2552" i="1" s="1"/>
  <c r="AQ2551" i="1"/>
  <c r="AK2551" i="1"/>
  <c r="AL2551" i="1" s="1"/>
  <c r="AM2551" i="1" s="1"/>
  <c r="AQ2550" i="1"/>
  <c r="AK2550" i="1"/>
  <c r="AL2550" i="1" s="1"/>
  <c r="AM2550" i="1" s="1"/>
  <c r="AQ2549" i="1"/>
  <c r="AQ2548" i="1"/>
  <c r="AK2548" i="1"/>
  <c r="AL2548" i="1" s="1"/>
  <c r="AM2548" i="1" s="1"/>
  <c r="AQ2547" i="1"/>
  <c r="AK2547" i="1"/>
  <c r="AL2547" i="1" s="1"/>
  <c r="AM2547" i="1" s="1"/>
  <c r="AQ2546" i="1"/>
  <c r="AK2546" i="1"/>
  <c r="AL2546" i="1" s="1"/>
  <c r="AM2546" i="1" s="1"/>
  <c r="AQ2545" i="1"/>
  <c r="AK2545" i="1"/>
  <c r="AL2545" i="1" s="1"/>
  <c r="AM2545" i="1" s="1"/>
  <c r="AQ2544" i="1"/>
  <c r="AK2544" i="1"/>
  <c r="AL2544" i="1" s="1"/>
  <c r="AM2544" i="1" s="1"/>
  <c r="AQ2543" i="1"/>
  <c r="AK2543" i="1"/>
  <c r="AL2543" i="1" s="1"/>
  <c r="AM2543" i="1" s="1"/>
  <c r="AQ2542" i="1"/>
  <c r="AK2542" i="1"/>
  <c r="AL2542" i="1" s="1"/>
  <c r="AM2542" i="1" s="1"/>
  <c r="AQ2541" i="1"/>
  <c r="AK2541" i="1"/>
  <c r="AL2541" i="1" s="1"/>
  <c r="AM2541" i="1" s="1"/>
  <c r="AQ2540" i="1"/>
  <c r="AK2540" i="1"/>
  <c r="AL2540" i="1" s="1"/>
  <c r="AM2540" i="1" s="1"/>
  <c r="AQ2539" i="1"/>
  <c r="AK2539" i="1"/>
  <c r="AL2539" i="1" s="1"/>
  <c r="AM2539" i="1" s="1"/>
  <c r="AQ2538" i="1"/>
  <c r="AQ2537" i="1"/>
  <c r="AK2536" i="1"/>
  <c r="AL2536" i="1" s="1"/>
  <c r="AM2536" i="1" s="1"/>
  <c r="AK2535" i="1"/>
  <c r="AL2535" i="1" s="1"/>
  <c r="AM2535" i="1" s="1"/>
  <c r="AK2534" i="1"/>
  <c r="AL2534" i="1" s="1"/>
  <c r="AM2534" i="1" s="1"/>
  <c r="AK2533" i="1"/>
  <c r="AL2533" i="1" s="1"/>
  <c r="AM2533" i="1" s="1"/>
  <c r="AK2532" i="1"/>
  <c r="AL2532" i="1" s="1"/>
  <c r="AM2532" i="1" s="1"/>
  <c r="AK2531" i="1"/>
  <c r="AL2531" i="1" s="1"/>
  <c r="AM2531" i="1" s="1"/>
  <c r="AK2530" i="1"/>
  <c r="AL2530" i="1" s="1"/>
  <c r="AM2530" i="1" s="1"/>
  <c r="AK2529" i="1"/>
  <c r="AL2529" i="1" s="1"/>
  <c r="AM2529" i="1" s="1"/>
  <c r="AK2528" i="1"/>
  <c r="AL2528" i="1" s="1"/>
  <c r="AM2528" i="1" s="1"/>
  <c r="AK2527" i="1"/>
  <c r="AL2527" i="1" s="1"/>
  <c r="AM2527" i="1" s="1"/>
  <c r="AK2526" i="1"/>
  <c r="AL2526" i="1" s="1"/>
  <c r="AM2526" i="1" s="1"/>
  <c r="AK2525" i="1"/>
  <c r="AL2525" i="1" s="1"/>
  <c r="AM2525" i="1" s="1"/>
  <c r="AK2524" i="1"/>
  <c r="AL2524" i="1" s="1"/>
  <c r="AM2524" i="1" s="1"/>
  <c r="AK2523" i="1"/>
  <c r="AL2523" i="1" s="1"/>
  <c r="AM2523" i="1" s="1"/>
  <c r="AK2522" i="1"/>
  <c r="AL2522" i="1" s="1"/>
  <c r="AM2522" i="1" s="1"/>
  <c r="AK2521" i="1"/>
  <c r="AL2521" i="1" s="1"/>
  <c r="AM2521" i="1" s="1"/>
  <c r="AK2520" i="1"/>
  <c r="AL2520" i="1" s="1"/>
  <c r="AM2520" i="1" s="1"/>
  <c r="AL2519" i="1"/>
  <c r="AM2519" i="1" s="1"/>
  <c r="AK2519" i="1"/>
  <c r="AK2518" i="1"/>
  <c r="AL2518" i="1" s="1"/>
  <c r="AM2518" i="1" s="1"/>
  <c r="AK2517" i="1"/>
  <c r="AL2517" i="1" s="1"/>
  <c r="AM2517" i="1" s="1"/>
  <c r="AK2516" i="1"/>
  <c r="AL2516" i="1" s="1"/>
  <c r="AM2516" i="1" s="1"/>
  <c r="AK2515" i="1"/>
  <c r="AL2515" i="1" s="1"/>
  <c r="AM2515" i="1" s="1"/>
  <c r="AK2514" i="1"/>
  <c r="AL2514" i="1" s="1"/>
  <c r="AM2514" i="1" s="1"/>
  <c r="AK2513" i="1"/>
  <c r="AL2513" i="1" s="1"/>
  <c r="AM2513" i="1" s="1"/>
  <c r="AK2512" i="1"/>
  <c r="AL2512" i="1" s="1"/>
  <c r="AM2512" i="1" s="1"/>
  <c r="AK2511" i="1"/>
  <c r="AL2511" i="1" s="1"/>
  <c r="AM2511" i="1" s="1"/>
  <c r="AK2510" i="1"/>
  <c r="AL2510" i="1" s="1"/>
  <c r="AM2510" i="1" s="1"/>
  <c r="AK2509" i="1"/>
  <c r="AL2509" i="1" s="1"/>
  <c r="AM2509" i="1" s="1"/>
  <c r="AK2508" i="1"/>
  <c r="AL2508" i="1" s="1"/>
  <c r="AM2508" i="1" s="1"/>
  <c r="AK2507" i="1"/>
  <c r="AL2507" i="1" s="1"/>
  <c r="AM2507" i="1" s="1"/>
  <c r="AK2506" i="1"/>
  <c r="AL2506" i="1" s="1"/>
  <c r="AM2506" i="1" s="1"/>
  <c r="AK2505" i="1"/>
  <c r="AL2505" i="1" s="1"/>
  <c r="AM2505" i="1" s="1"/>
  <c r="AK2504" i="1"/>
  <c r="AL2504" i="1" s="1"/>
  <c r="AM2504" i="1" s="1"/>
  <c r="AK2503" i="1"/>
  <c r="AL2503" i="1" s="1"/>
  <c r="AM2503" i="1" s="1"/>
  <c r="AK2502" i="1"/>
  <c r="AL2502" i="1" s="1"/>
  <c r="AM2502" i="1" s="1"/>
  <c r="AK2501" i="1"/>
  <c r="AL2501" i="1" s="1"/>
  <c r="AM2501" i="1" s="1"/>
  <c r="AK2500" i="1"/>
  <c r="AL2500" i="1" s="1"/>
  <c r="AM2500" i="1" s="1"/>
  <c r="AK2499" i="1"/>
  <c r="AL2499" i="1" s="1"/>
  <c r="AM2499" i="1" s="1"/>
  <c r="AK2498" i="1"/>
  <c r="AL2498" i="1" s="1"/>
  <c r="AM2498" i="1" s="1"/>
  <c r="AK2497" i="1"/>
  <c r="AL2497" i="1" s="1"/>
  <c r="AM2497" i="1" s="1"/>
  <c r="B87" i="6" s="1"/>
  <c r="AK2496" i="1"/>
  <c r="AL2496" i="1" s="1"/>
  <c r="AM2496" i="1" s="1"/>
  <c r="AK2495" i="1"/>
  <c r="AL2495" i="1" s="1"/>
  <c r="AM2495" i="1" s="1"/>
  <c r="AK2494" i="1"/>
  <c r="AL2494" i="1" s="1"/>
  <c r="AM2494" i="1" s="1"/>
  <c r="AK2493" i="1"/>
  <c r="AL2493" i="1" s="1"/>
  <c r="AM2493" i="1" s="1"/>
  <c r="AK2492" i="1"/>
  <c r="AL2492" i="1" s="1"/>
  <c r="AM2492" i="1" s="1"/>
  <c r="AK2491" i="1"/>
  <c r="AL2491" i="1" s="1"/>
  <c r="AM2491" i="1" s="1"/>
  <c r="AK2490" i="1"/>
  <c r="AL2490" i="1" s="1"/>
  <c r="AM2490" i="1" s="1"/>
  <c r="AK2489" i="1"/>
  <c r="AL2489" i="1" s="1"/>
  <c r="AM2489" i="1" s="1"/>
  <c r="AK2488" i="1"/>
  <c r="AL2488" i="1" s="1"/>
  <c r="AM2488" i="1" s="1"/>
  <c r="AK2487" i="1"/>
  <c r="AL2487" i="1" s="1"/>
  <c r="AM2487" i="1" s="1"/>
  <c r="AK2486" i="1"/>
  <c r="AL2486" i="1" s="1"/>
  <c r="AM2486" i="1" s="1"/>
  <c r="AK2485" i="1"/>
  <c r="AL2485" i="1" s="1"/>
  <c r="AM2485" i="1" s="1"/>
  <c r="AK2484" i="1"/>
  <c r="AL2484" i="1" s="1"/>
  <c r="AM2484" i="1" s="1"/>
  <c r="AK2483" i="1"/>
  <c r="AL2483" i="1" s="1"/>
  <c r="AM2483" i="1" s="1"/>
  <c r="AK2482" i="1"/>
  <c r="AL2482" i="1" s="1"/>
  <c r="AM2482" i="1" s="1"/>
  <c r="AK2481" i="1"/>
  <c r="AL2481" i="1" s="1"/>
  <c r="AM2481" i="1" s="1"/>
  <c r="AL2480" i="1"/>
  <c r="AM2480" i="1" s="1"/>
  <c r="AK2480" i="1"/>
  <c r="AK2479" i="1"/>
  <c r="AL2479" i="1" s="1"/>
  <c r="AM2479" i="1" s="1"/>
  <c r="AK2478" i="1"/>
  <c r="AL2478" i="1" s="1"/>
  <c r="AM2478" i="1" s="1"/>
  <c r="AK2477" i="1"/>
  <c r="AL2477" i="1" s="1"/>
  <c r="AM2477" i="1" s="1"/>
  <c r="AK2476" i="1"/>
  <c r="AL2476" i="1" s="1"/>
  <c r="AM2476" i="1" s="1"/>
  <c r="AK2475" i="1"/>
  <c r="AL2475" i="1" s="1"/>
  <c r="AM2475" i="1" s="1"/>
  <c r="AK2474" i="1"/>
  <c r="AL2474" i="1" s="1"/>
  <c r="AM2474" i="1" s="1"/>
  <c r="AK2473" i="1"/>
  <c r="AL2473" i="1" s="1"/>
  <c r="AM2473" i="1" s="1"/>
  <c r="AK2472" i="1"/>
  <c r="AL2472" i="1" s="1"/>
  <c r="AM2472" i="1" s="1"/>
  <c r="AK2471" i="1"/>
  <c r="AL2471" i="1" s="1"/>
  <c r="AM2471" i="1" s="1"/>
  <c r="AK2470" i="1"/>
  <c r="AL2470" i="1" s="1"/>
  <c r="AM2470" i="1" s="1"/>
  <c r="AK2469" i="1"/>
  <c r="AL2469" i="1" s="1"/>
  <c r="AM2469" i="1" s="1"/>
  <c r="AK2468" i="1"/>
  <c r="AL2468" i="1" s="1"/>
  <c r="AM2468" i="1" s="1"/>
  <c r="AK2467" i="1"/>
  <c r="AL2467" i="1" s="1"/>
  <c r="AM2467" i="1" s="1"/>
  <c r="AL2466" i="1"/>
  <c r="AM2466" i="1" s="1"/>
  <c r="AK2466" i="1"/>
  <c r="AK2465" i="1"/>
  <c r="AL2465" i="1" s="1"/>
  <c r="AM2465" i="1" s="1"/>
  <c r="AK2464" i="1"/>
  <c r="AL2464" i="1" s="1"/>
  <c r="AM2464" i="1" s="1"/>
  <c r="AK2463" i="1"/>
  <c r="AL2463" i="1" s="1"/>
  <c r="AM2463" i="1" s="1"/>
  <c r="AK2462" i="1"/>
  <c r="AL2462" i="1" s="1"/>
  <c r="AM2462" i="1" s="1"/>
  <c r="AK2461" i="1"/>
  <c r="AL2461" i="1" s="1"/>
  <c r="AM2461" i="1" s="1"/>
  <c r="AK2460" i="1"/>
  <c r="AL2460" i="1" s="1"/>
  <c r="AM2460" i="1" s="1"/>
  <c r="AK2459" i="1"/>
  <c r="AL2459" i="1" s="1"/>
  <c r="AM2459" i="1" s="1"/>
  <c r="AK2458" i="1"/>
  <c r="AL2458" i="1" s="1"/>
  <c r="AM2458" i="1" s="1"/>
  <c r="AK2457" i="1"/>
  <c r="AL2457" i="1" s="1"/>
  <c r="AM2457" i="1" s="1"/>
  <c r="AK2456" i="1"/>
  <c r="AL2456" i="1" s="1"/>
  <c r="AM2456" i="1" s="1"/>
  <c r="AK2455" i="1"/>
  <c r="AL2455" i="1" s="1"/>
  <c r="AM2455" i="1" s="1"/>
  <c r="AK2454" i="1"/>
  <c r="AL2454" i="1" s="1"/>
  <c r="AM2454" i="1" s="1"/>
  <c r="AK2453" i="1"/>
  <c r="AL2453" i="1" s="1"/>
  <c r="AM2453" i="1" s="1"/>
  <c r="AK2452" i="1"/>
  <c r="AL2452" i="1" s="1"/>
  <c r="AM2452" i="1" s="1"/>
  <c r="AK2451" i="1"/>
  <c r="AL2451" i="1" s="1"/>
  <c r="AM2451" i="1" s="1"/>
  <c r="AK2450" i="1"/>
  <c r="AL2450" i="1" s="1"/>
  <c r="AM2450" i="1" s="1"/>
  <c r="AK2449" i="1"/>
  <c r="AL2449" i="1" s="1"/>
  <c r="AM2449" i="1" s="1"/>
  <c r="AK2448" i="1"/>
  <c r="AL2448" i="1" s="1"/>
  <c r="AM2448" i="1" s="1"/>
  <c r="AK2447" i="1"/>
  <c r="AL2447" i="1" s="1"/>
  <c r="AM2447" i="1" s="1"/>
  <c r="AK2446" i="1"/>
  <c r="AL2446" i="1" s="1"/>
  <c r="AM2446" i="1" s="1"/>
  <c r="AK2445" i="1"/>
  <c r="AL2445" i="1" s="1"/>
  <c r="AM2445" i="1" s="1"/>
  <c r="AK2444" i="1"/>
  <c r="AL2444" i="1" s="1"/>
  <c r="AM2444" i="1" s="1"/>
  <c r="AK2443" i="1"/>
  <c r="AL2443" i="1" s="1"/>
  <c r="AM2443" i="1" s="1"/>
  <c r="AK2442" i="1"/>
  <c r="AL2442" i="1" s="1"/>
  <c r="AM2442" i="1" s="1"/>
  <c r="AK2441" i="1"/>
  <c r="AL2441" i="1" s="1"/>
  <c r="AM2441" i="1" s="1"/>
  <c r="AK2440" i="1"/>
  <c r="AL2440" i="1" s="1"/>
  <c r="AM2440" i="1" s="1"/>
  <c r="AM2439" i="1"/>
  <c r="AK2439" i="1"/>
  <c r="AL2439" i="1" s="1"/>
  <c r="AK2438" i="1"/>
  <c r="AL2438" i="1" s="1"/>
  <c r="AM2438" i="1" s="1"/>
  <c r="AK2437" i="1"/>
  <c r="AL2437" i="1" s="1"/>
  <c r="AM2437" i="1" s="1"/>
  <c r="AK2436" i="1"/>
  <c r="AL2436" i="1" s="1"/>
  <c r="AM2436" i="1" s="1"/>
  <c r="AK2435" i="1"/>
  <c r="AL2435" i="1" s="1"/>
  <c r="AM2435" i="1" s="1"/>
  <c r="AK2434" i="1"/>
  <c r="AL2434" i="1" s="1"/>
  <c r="AM2434" i="1" s="1"/>
  <c r="AK2433" i="1"/>
  <c r="AL2433" i="1" s="1"/>
  <c r="AM2433" i="1" s="1"/>
  <c r="AK2432" i="1"/>
  <c r="AL2432" i="1" s="1"/>
  <c r="AM2432" i="1" s="1"/>
  <c r="AK2431" i="1"/>
  <c r="AL2431" i="1" s="1"/>
  <c r="AM2431" i="1" s="1"/>
  <c r="AK2430" i="1"/>
  <c r="AL2430" i="1" s="1"/>
  <c r="AM2430" i="1" s="1"/>
  <c r="AK2429" i="1"/>
  <c r="AL2429" i="1" s="1"/>
  <c r="AM2429" i="1" s="1"/>
  <c r="AK2428" i="1"/>
  <c r="AL2428" i="1" s="1"/>
  <c r="AM2428" i="1" s="1"/>
  <c r="AK2427" i="1"/>
  <c r="AL2427" i="1" s="1"/>
  <c r="AM2427" i="1" s="1"/>
  <c r="AK2426" i="1"/>
  <c r="AL2426" i="1" s="1"/>
  <c r="AM2426" i="1" s="1"/>
  <c r="AL2425" i="1"/>
  <c r="AM2425" i="1" s="1"/>
  <c r="AK2425" i="1"/>
  <c r="AK2424" i="1"/>
  <c r="AL2424" i="1" s="1"/>
  <c r="AM2424" i="1" s="1"/>
  <c r="AK2423" i="1"/>
  <c r="AL2423" i="1" s="1"/>
  <c r="AM2423" i="1" s="1"/>
  <c r="AK2422" i="1"/>
  <c r="AL2422" i="1" s="1"/>
  <c r="AM2422" i="1" s="1"/>
  <c r="AK2421" i="1"/>
  <c r="AL2421" i="1" s="1"/>
  <c r="AM2421" i="1" s="1"/>
  <c r="AK2420" i="1"/>
  <c r="AL2420" i="1" s="1"/>
  <c r="AM2420" i="1" s="1"/>
  <c r="AK2419" i="1"/>
  <c r="AL2419" i="1" s="1"/>
  <c r="AM2419" i="1" s="1"/>
  <c r="AK2418" i="1"/>
  <c r="AL2418" i="1" s="1"/>
  <c r="AM2418" i="1" s="1"/>
  <c r="AK2417" i="1"/>
  <c r="AL2417" i="1" s="1"/>
  <c r="AM2417" i="1" s="1"/>
  <c r="AL2416" i="1"/>
  <c r="AM2416" i="1" s="1"/>
  <c r="AK2416" i="1"/>
  <c r="AK2415" i="1"/>
  <c r="AL2415" i="1" s="1"/>
  <c r="AM2415" i="1" s="1"/>
  <c r="AK2414" i="1"/>
  <c r="AL2414" i="1" s="1"/>
  <c r="AM2414" i="1" s="1"/>
  <c r="AK2413" i="1"/>
  <c r="AL2413" i="1" s="1"/>
  <c r="AM2413" i="1" s="1"/>
  <c r="AK2412" i="1"/>
  <c r="AL2412" i="1" s="1"/>
  <c r="AM2412" i="1" s="1"/>
  <c r="AK2411" i="1"/>
  <c r="AL2411" i="1" s="1"/>
  <c r="AM2411" i="1" s="1"/>
  <c r="AK2410" i="1"/>
  <c r="AL2410" i="1" s="1"/>
  <c r="AM2410" i="1" s="1"/>
  <c r="AK2409" i="1"/>
  <c r="AL2409" i="1" s="1"/>
  <c r="AM2409" i="1" s="1"/>
  <c r="AK2408" i="1"/>
  <c r="AL2408" i="1" s="1"/>
  <c r="AM2408" i="1" s="1"/>
  <c r="AK2407" i="1"/>
  <c r="AL2407" i="1" s="1"/>
  <c r="AM2407" i="1" s="1"/>
  <c r="AK2406" i="1"/>
  <c r="AL2406" i="1" s="1"/>
  <c r="AM2406" i="1" s="1"/>
  <c r="B109" i="6" s="1"/>
  <c r="AK2405" i="1"/>
  <c r="AL2405" i="1" s="1"/>
  <c r="AM2405" i="1" s="1"/>
  <c r="AK2404" i="1"/>
  <c r="AL2404" i="1" s="1"/>
  <c r="AM2404" i="1" s="1"/>
  <c r="AK2403" i="1"/>
  <c r="AL2403" i="1" s="1"/>
  <c r="AM2403" i="1" s="1"/>
  <c r="AK2402" i="1"/>
  <c r="AL2402" i="1" s="1"/>
  <c r="AM2402" i="1" s="1"/>
  <c r="AK2401" i="1"/>
  <c r="AL2401" i="1" s="1"/>
  <c r="AM2401" i="1" s="1"/>
  <c r="AK2400" i="1"/>
  <c r="AL2400" i="1" s="1"/>
  <c r="AM2400" i="1" s="1"/>
  <c r="AK2399" i="1"/>
  <c r="AL2399" i="1" s="1"/>
  <c r="AM2399" i="1" s="1"/>
  <c r="AK2398" i="1"/>
  <c r="AL2398" i="1" s="1"/>
  <c r="AM2398" i="1" s="1"/>
  <c r="AK2397" i="1"/>
  <c r="AL2397" i="1" s="1"/>
  <c r="AM2397" i="1" s="1"/>
  <c r="AK2396" i="1"/>
  <c r="AL2396" i="1" s="1"/>
  <c r="AM2396" i="1" s="1"/>
  <c r="AK2395" i="1"/>
  <c r="AL2395" i="1" s="1"/>
  <c r="AM2395" i="1" s="1"/>
  <c r="AK2394" i="1"/>
  <c r="AL2394" i="1" s="1"/>
  <c r="AM2394" i="1" s="1"/>
  <c r="AK2393" i="1"/>
  <c r="AL2393" i="1" s="1"/>
  <c r="AM2393" i="1" s="1"/>
  <c r="AK2392" i="1"/>
  <c r="AL2392" i="1" s="1"/>
  <c r="AM2392" i="1" s="1"/>
  <c r="AK2391" i="1"/>
  <c r="AL2391" i="1" s="1"/>
  <c r="AM2391" i="1" s="1"/>
  <c r="AK2390" i="1"/>
  <c r="AL2390" i="1" s="1"/>
  <c r="AM2390" i="1" s="1"/>
  <c r="AK2389" i="1"/>
  <c r="AL2389" i="1" s="1"/>
  <c r="AM2389" i="1" s="1"/>
  <c r="AK2388" i="1"/>
  <c r="AL2388" i="1" s="1"/>
  <c r="AM2388" i="1" s="1"/>
  <c r="AK2387" i="1"/>
  <c r="AL2387" i="1" s="1"/>
  <c r="AM2387" i="1" s="1"/>
  <c r="AK2386" i="1"/>
  <c r="AL2386" i="1" s="1"/>
  <c r="AM2386" i="1" s="1"/>
  <c r="AK2385" i="1"/>
  <c r="AL2385" i="1" s="1"/>
  <c r="AM2385" i="1" s="1"/>
  <c r="AK2384" i="1"/>
  <c r="AL2384" i="1" s="1"/>
  <c r="AM2384" i="1" s="1"/>
  <c r="AK2383" i="1"/>
  <c r="AL2383" i="1" s="1"/>
  <c r="AM2383" i="1" s="1"/>
  <c r="AK2382" i="1"/>
  <c r="AL2382" i="1" s="1"/>
  <c r="AM2382" i="1" s="1"/>
  <c r="AK2381" i="1"/>
  <c r="AL2381" i="1" s="1"/>
  <c r="AM2381" i="1" s="1"/>
  <c r="AK2380" i="1"/>
  <c r="AL2380" i="1" s="1"/>
  <c r="AM2380" i="1" s="1"/>
  <c r="AK2379" i="1"/>
  <c r="AL2379" i="1" s="1"/>
  <c r="AM2379" i="1" s="1"/>
  <c r="AK2378" i="1"/>
  <c r="AL2378" i="1" s="1"/>
  <c r="AM2378" i="1" s="1"/>
  <c r="AK2377" i="1"/>
  <c r="AL2377" i="1" s="1"/>
  <c r="AM2377" i="1" s="1"/>
  <c r="AK2376" i="1"/>
  <c r="AL2376" i="1" s="1"/>
  <c r="AM2376" i="1" s="1"/>
  <c r="AK2375" i="1"/>
  <c r="AL2375" i="1" s="1"/>
  <c r="AM2375" i="1" s="1"/>
  <c r="AK2374" i="1"/>
  <c r="AL2374" i="1" s="1"/>
  <c r="AM2374" i="1" s="1"/>
  <c r="AK2373" i="1"/>
  <c r="AL2373" i="1" s="1"/>
  <c r="AM2373" i="1" s="1"/>
  <c r="AK2372" i="1"/>
  <c r="AL2372" i="1" s="1"/>
  <c r="AM2372" i="1" s="1"/>
  <c r="AK2371" i="1"/>
  <c r="AL2371" i="1" s="1"/>
  <c r="AM2371" i="1" s="1"/>
  <c r="AK2370" i="1"/>
  <c r="AL2370" i="1" s="1"/>
  <c r="AM2370" i="1" s="1"/>
  <c r="AK2369" i="1"/>
  <c r="AL2369" i="1" s="1"/>
  <c r="AM2369" i="1" s="1"/>
  <c r="AK2368" i="1"/>
  <c r="AL2368" i="1" s="1"/>
  <c r="AM2368" i="1" s="1"/>
  <c r="AK2367" i="1"/>
  <c r="AL2367" i="1" s="1"/>
  <c r="AM2367" i="1" s="1"/>
  <c r="AK2366" i="1"/>
  <c r="AL2366" i="1" s="1"/>
  <c r="AM2366" i="1" s="1"/>
  <c r="AK2365" i="1"/>
  <c r="AL2365" i="1" s="1"/>
  <c r="AM2365" i="1" s="1"/>
  <c r="AK2364" i="1"/>
  <c r="AL2364" i="1" s="1"/>
  <c r="AM2364" i="1" s="1"/>
  <c r="AK2363" i="1"/>
  <c r="AL2363" i="1" s="1"/>
  <c r="AM2363" i="1" s="1"/>
  <c r="AK2362" i="1"/>
  <c r="AL2362" i="1" s="1"/>
  <c r="AM2362" i="1" s="1"/>
  <c r="AK2361" i="1"/>
  <c r="AL2361" i="1" s="1"/>
  <c r="AM2361" i="1" s="1"/>
  <c r="AK2360" i="1"/>
  <c r="AL2360" i="1" s="1"/>
  <c r="AM2360" i="1" s="1"/>
  <c r="AK2359" i="1"/>
  <c r="AL2359" i="1" s="1"/>
  <c r="AM2359" i="1" s="1"/>
  <c r="AK2358" i="1"/>
  <c r="AL2358" i="1" s="1"/>
  <c r="AM2358" i="1" s="1"/>
  <c r="AK2357" i="1"/>
  <c r="AL2357" i="1" s="1"/>
  <c r="AM2357" i="1" s="1"/>
  <c r="AK2356" i="1"/>
  <c r="AL2356" i="1" s="1"/>
  <c r="AM2356" i="1" s="1"/>
  <c r="AK2355" i="1"/>
  <c r="AL2355" i="1" s="1"/>
  <c r="AM2355" i="1" s="1"/>
  <c r="AK2354" i="1"/>
  <c r="AL2354" i="1" s="1"/>
  <c r="AM2354" i="1" s="1"/>
  <c r="AK2353" i="1"/>
  <c r="AL2353" i="1" s="1"/>
  <c r="AM2353" i="1" s="1"/>
  <c r="AK2352" i="1"/>
  <c r="AL2352" i="1" s="1"/>
  <c r="AM2352" i="1" s="1"/>
  <c r="AK2351" i="1"/>
  <c r="AL2351" i="1" s="1"/>
  <c r="AM2351" i="1" s="1"/>
  <c r="AK2350" i="1"/>
  <c r="AL2350" i="1" s="1"/>
  <c r="AM2350" i="1" s="1"/>
  <c r="AK2349" i="1"/>
  <c r="AL2349" i="1" s="1"/>
  <c r="AM2349" i="1" s="1"/>
  <c r="AK2348" i="1"/>
  <c r="AL2348" i="1" s="1"/>
  <c r="AM2348" i="1" s="1"/>
  <c r="AK2347" i="1"/>
  <c r="AL2347" i="1" s="1"/>
  <c r="AM2347" i="1" s="1"/>
  <c r="AK2346" i="1"/>
  <c r="AL2346" i="1" s="1"/>
  <c r="AM2346" i="1" s="1"/>
  <c r="AK2345" i="1"/>
  <c r="AL2345" i="1" s="1"/>
  <c r="AM2345" i="1" s="1"/>
  <c r="AK2344" i="1"/>
  <c r="AL2344" i="1" s="1"/>
  <c r="AM2344" i="1" s="1"/>
  <c r="AK2343" i="1"/>
  <c r="AL2343" i="1" s="1"/>
  <c r="AM2343" i="1" s="1"/>
  <c r="AK2342" i="1"/>
  <c r="AL2342" i="1" s="1"/>
  <c r="AM2342" i="1" s="1"/>
  <c r="AK2341" i="1"/>
  <c r="AL2341" i="1" s="1"/>
  <c r="AM2341" i="1" s="1"/>
  <c r="AK2340" i="1"/>
  <c r="AL2340" i="1" s="1"/>
  <c r="AM2340" i="1" s="1"/>
  <c r="AK2339" i="1"/>
  <c r="AL2339" i="1" s="1"/>
  <c r="AM2339" i="1" s="1"/>
  <c r="AK2338" i="1"/>
  <c r="AL2338" i="1" s="1"/>
  <c r="AM2338" i="1" s="1"/>
  <c r="AK2337" i="1"/>
  <c r="AL2337" i="1" s="1"/>
  <c r="AM2337" i="1" s="1"/>
  <c r="AK2336" i="1"/>
  <c r="AL2336" i="1" s="1"/>
  <c r="AM2336" i="1" s="1"/>
  <c r="AK2335" i="1"/>
  <c r="AL2335" i="1" s="1"/>
  <c r="AM2335" i="1" s="1"/>
  <c r="AK2334" i="1"/>
  <c r="AL2334" i="1" s="1"/>
  <c r="AM2334" i="1" s="1"/>
  <c r="AK2333" i="1"/>
  <c r="AL2333" i="1" s="1"/>
  <c r="AM2333" i="1" s="1"/>
  <c r="AK2332" i="1"/>
  <c r="AL2332" i="1" s="1"/>
  <c r="AM2332" i="1" s="1"/>
  <c r="AK2331" i="1"/>
  <c r="AL2331" i="1" s="1"/>
  <c r="AM2331" i="1" s="1"/>
  <c r="AK2330" i="1"/>
  <c r="AL2330" i="1" s="1"/>
  <c r="AM2330" i="1" s="1"/>
  <c r="AK2329" i="1"/>
  <c r="AL2329" i="1" s="1"/>
  <c r="AM2329" i="1" s="1"/>
  <c r="AK2328" i="1"/>
  <c r="AL2328" i="1" s="1"/>
  <c r="AM2328" i="1" s="1"/>
  <c r="AK2327" i="1"/>
  <c r="AL2327" i="1" s="1"/>
  <c r="AM2327" i="1" s="1"/>
  <c r="AK2326" i="1"/>
  <c r="AL2326" i="1" s="1"/>
  <c r="AM2326" i="1" s="1"/>
  <c r="AK2325" i="1"/>
  <c r="AL2325" i="1" s="1"/>
  <c r="AM2325" i="1" s="1"/>
  <c r="AK2324" i="1"/>
  <c r="AL2324" i="1" s="1"/>
  <c r="AM2324" i="1" s="1"/>
  <c r="AK2323" i="1"/>
  <c r="AL2323" i="1" s="1"/>
  <c r="AM2323" i="1" s="1"/>
  <c r="AK2322" i="1"/>
  <c r="AL2322" i="1" s="1"/>
  <c r="AM2322" i="1" s="1"/>
  <c r="AK2321" i="1"/>
  <c r="AL2321" i="1" s="1"/>
  <c r="AM2321" i="1" s="1"/>
  <c r="AK2320" i="1"/>
  <c r="AL2320" i="1" s="1"/>
  <c r="AM2320" i="1" s="1"/>
  <c r="AK2319" i="1"/>
  <c r="AL2319" i="1" s="1"/>
  <c r="AM2319" i="1" s="1"/>
  <c r="AK2318" i="1"/>
  <c r="AL2318" i="1" s="1"/>
  <c r="AM2318" i="1" s="1"/>
  <c r="AK2317" i="1"/>
  <c r="AL2317" i="1" s="1"/>
  <c r="AM2317" i="1" s="1"/>
  <c r="AK2316" i="1"/>
  <c r="AL2316" i="1" s="1"/>
  <c r="AM2316" i="1" s="1"/>
  <c r="AK2315" i="1"/>
  <c r="AL2315" i="1" s="1"/>
  <c r="AM2315" i="1" s="1"/>
  <c r="AK2314" i="1"/>
  <c r="AL2314" i="1" s="1"/>
  <c r="AM2314" i="1" s="1"/>
  <c r="AK2313" i="1"/>
  <c r="AL2313" i="1" s="1"/>
  <c r="AM2313" i="1" s="1"/>
  <c r="AK2312" i="1"/>
  <c r="AL2312" i="1" s="1"/>
  <c r="AM2312" i="1" s="1"/>
  <c r="AK2311" i="1"/>
  <c r="AL2311" i="1" s="1"/>
  <c r="AM2311" i="1" s="1"/>
  <c r="AK2310" i="1"/>
  <c r="AL2310" i="1" s="1"/>
  <c r="AM2310" i="1" s="1"/>
  <c r="AK2309" i="1"/>
  <c r="AL2309" i="1" s="1"/>
  <c r="AM2309" i="1" s="1"/>
  <c r="AK2308" i="1"/>
  <c r="AL2308" i="1" s="1"/>
  <c r="AM2308" i="1" s="1"/>
  <c r="AK2307" i="1"/>
  <c r="AL2307" i="1" s="1"/>
  <c r="AM2307" i="1" s="1"/>
  <c r="AK2306" i="1"/>
  <c r="AL2306" i="1" s="1"/>
  <c r="AM2306" i="1" s="1"/>
  <c r="AK2305" i="1"/>
  <c r="AL2305" i="1" s="1"/>
  <c r="AM2305" i="1" s="1"/>
  <c r="AK2304" i="1"/>
  <c r="AL2304" i="1" s="1"/>
  <c r="AM2304" i="1" s="1"/>
  <c r="AK2303" i="1"/>
  <c r="AL2303" i="1" s="1"/>
  <c r="AM2303" i="1" s="1"/>
  <c r="AK2302" i="1"/>
  <c r="AL2302" i="1" s="1"/>
  <c r="AM2302" i="1" s="1"/>
  <c r="AK2301" i="1"/>
  <c r="AL2301" i="1" s="1"/>
  <c r="AM2301" i="1" s="1"/>
  <c r="AK2300" i="1"/>
  <c r="AL2300" i="1" s="1"/>
  <c r="AM2300" i="1" s="1"/>
  <c r="AK2299" i="1"/>
  <c r="AL2299" i="1" s="1"/>
  <c r="AM2299" i="1" s="1"/>
  <c r="AK2298" i="1"/>
  <c r="AL2298" i="1" s="1"/>
  <c r="AM2298" i="1" s="1"/>
  <c r="AL2297" i="1"/>
  <c r="AM2297" i="1" s="1"/>
  <c r="AK2297" i="1"/>
  <c r="AK2296" i="1"/>
  <c r="AL2296" i="1" s="1"/>
  <c r="AM2296" i="1" s="1"/>
  <c r="AK2295" i="1"/>
  <c r="AL2295" i="1" s="1"/>
  <c r="AM2295" i="1" s="1"/>
  <c r="AK2294" i="1"/>
  <c r="AL2294" i="1" s="1"/>
  <c r="AM2294" i="1" s="1"/>
  <c r="AK2293" i="1"/>
  <c r="AL2293" i="1" s="1"/>
  <c r="AM2293" i="1" s="1"/>
  <c r="AK2292" i="1"/>
  <c r="AL2292" i="1" s="1"/>
  <c r="AM2292" i="1" s="1"/>
  <c r="AK2291" i="1"/>
  <c r="AL2291" i="1" s="1"/>
  <c r="AM2291" i="1" s="1"/>
  <c r="AK2290" i="1"/>
  <c r="AL2290" i="1" s="1"/>
  <c r="AM2290" i="1" s="1"/>
  <c r="AK2289" i="1"/>
  <c r="AL2289" i="1" s="1"/>
  <c r="AM2289" i="1" s="1"/>
  <c r="AK2288" i="1"/>
  <c r="AL2288" i="1" s="1"/>
  <c r="AM2288" i="1" s="1"/>
  <c r="AK2287" i="1"/>
  <c r="AL2287" i="1" s="1"/>
  <c r="AM2287" i="1" s="1"/>
  <c r="AK2286" i="1"/>
  <c r="AL2286" i="1" s="1"/>
  <c r="AM2286" i="1" s="1"/>
  <c r="AK2285" i="1"/>
  <c r="AL2285" i="1" s="1"/>
  <c r="AM2285" i="1" s="1"/>
  <c r="AK2284" i="1"/>
  <c r="AL2284" i="1" s="1"/>
  <c r="AM2284" i="1" s="1"/>
  <c r="AK2283" i="1"/>
  <c r="AL2283" i="1" s="1"/>
  <c r="AM2283" i="1" s="1"/>
  <c r="AK2282" i="1"/>
  <c r="AL2282" i="1" s="1"/>
  <c r="AM2282" i="1" s="1"/>
  <c r="AK2281" i="1"/>
  <c r="AL2281" i="1" s="1"/>
  <c r="AM2281" i="1" s="1"/>
  <c r="AK2280" i="1"/>
  <c r="AL2280" i="1" s="1"/>
  <c r="AM2280" i="1" s="1"/>
  <c r="AK2279" i="1"/>
  <c r="AL2279" i="1" s="1"/>
  <c r="AM2279" i="1" s="1"/>
  <c r="AK2278" i="1"/>
  <c r="AL2278" i="1" s="1"/>
  <c r="AM2278" i="1" s="1"/>
  <c r="AK2277" i="1"/>
  <c r="AL2277" i="1" s="1"/>
  <c r="AM2277" i="1" s="1"/>
  <c r="AK2276" i="1"/>
  <c r="AL2276" i="1" s="1"/>
  <c r="AM2276" i="1" s="1"/>
  <c r="AK2275" i="1"/>
  <c r="AL2275" i="1" s="1"/>
  <c r="AM2275" i="1" s="1"/>
  <c r="AK2274" i="1"/>
  <c r="AL2274" i="1" s="1"/>
  <c r="AM2274" i="1" s="1"/>
  <c r="AK2273" i="1"/>
  <c r="AL2273" i="1" s="1"/>
  <c r="AM2273" i="1" s="1"/>
  <c r="AK2272" i="1"/>
  <c r="AL2272" i="1" s="1"/>
  <c r="AM2272" i="1" s="1"/>
  <c r="AK2271" i="1"/>
  <c r="AL2271" i="1" s="1"/>
  <c r="AM2271" i="1" s="1"/>
  <c r="AK2270" i="1"/>
  <c r="AL2270" i="1" s="1"/>
  <c r="AM2270" i="1" s="1"/>
  <c r="AK2269" i="1"/>
  <c r="AL2269" i="1" s="1"/>
  <c r="AM2269" i="1" s="1"/>
  <c r="AK2268" i="1"/>
  <c r="AL2268" i="1" s="1"/>
  <c r="AM2268" i="1" s="1"/>
  <c r="AK2267" i="1"/>
  <c r="AL2267" i="1" s="1"/>
  <c r="AM2267" i="1" s="1"/>
  <c r="AK2266" i="1"/>
  <c r="AL2266" i="1" s="1"/>
  <c r="AM2266" i="1" s="1"/>
  <c r="AK2265" i="1"/>
  <c r="AL2265" i="1" s="1"/>
  <c r="AM2265" i="1" s="1"/>
  <c r="AK2264" i="1"/>
  <c r="AL2264" i="1" s="1"/>
  <c r="AM2264" i="1" s="1"/>
  <c r="AK2263" i="1"/>
  <c r="AL2263" i="1" s="1"/>
  <c r="AM2263" i="1" s="1"/>
  <c r="AK2262" i="1"/>
  <c r="AL2262" i="1" s="1"/>
  <c r="AM2262" i="1" s="1"/>
  <c r="AK2261" i="1"/>
  <c r="AL2261" i="1" s="1"/>
  <c r="AM2261" i="1" s="1"/>
  <c r="AK2260" i="1"/>
  <c r="AL2260" i="1" s="1"/>
  <c r="AM2260" i="1" s="1"/>
  <c r="AK2259" i="1"/>
  <c r="AL2259" i="1" s="1"/>
  <c r="AM2259" i="1" s="1"/>
  <c r="AK2258" i="1"/>
  <c r="AL2258" i="1" s="1"/>
  <c r="AM2258" i="1" s="1"/>
  <c r="AK2257" i="1"/>
  <c r="AL2257" i="1" s="1"/>
  <c r="AM2257" i="1" s="1"/>
  <c r="AK2256" i="1"/>
  <c r="AL2256" i="1" s="1"/>
  <c r="AM2256" i="1" s="1"/>
  <c r="AK2255" i="1"/>
  <c r="AL2255" i="1" s="1"/>
  <c r="AM2255" i="1" s="1"/>
  <c r="AK2254" i="1"/>
  <c r="AL2254" i="1" s="1"/>
  <c r="AM2254" i="1" s="1"/>
  <c r="AK2253" i="1"/>
  <c r="AL2253" i="1" s="1"/>
  <c r="AM2253" i="1" s="1"/>
  <c r="AK2252" i="1"/>
  <c r="AL2252" i="1" s="1"/>
  <c r="AM2252" i="1" s="1"/>
  <c r="AK2251" i="1"/>
  <c r="AL2251" i="1" s="1"/>
  <c r="AM2251" i="1" s="1"/>
  <c r="AK2250" i="1"/>
  <c r="AL2250" i="1" s="1"/>
  <c r="AM2250" i="1" s="1"/>
  <c r="AK2249" i="1"/>
  <c r="AL2249" i="1" s="1"/>
  <c r="AM2249" i="1" s="1"/>
  <c r="AK2248" i="1"/>
  <c r="AL2248" i="1" s="1"/>
  <c r="AM2248" i="1" s="1"/>
  <c r="AK2247" i="1"/>
  <c r="AL2247" i="1" s="1"/>
  <c r="AM2247" i="1" s="1"/>
  <c r="AK2246" i="1"/>
  <c r="AL2246" i="1" s="1"/>
  <c r="AM2246" i="1" s="1"/>
  <c r="AK2245" i="1"/>
  <c r="AL2245" i="1" s="1"/>
  <c r="AM2245" i="1" s="1"/>
  <c r="AK2244" i="1"/>
  <c r="AL2244" i="1" s="1"/>
  <c r="AM2244" i="1" s="1"/>
  <c r="AK2243" i="1"/>
  <c r="AL2243" i="1" s="1"/>
  <c r="AM2243" i="1" s="1"/>
  <c r="AK2242" i="1"/>
  <c r="AL2242" i="1" s="1"/>
  <c r="AM2242" i="1" s="1"/>
  <c r="AK2241" i="1"/>
  <c r="AL2241" i="1" s="1"/>
  <c r="AM2241" i="1" s="1"/>
  <c r="AK2240" i="1"/>
  <c r="AL2240" i="1" s="1"/>
  <c r="AM2240" i="1" s="1"/>
  <c r="AK2239" i="1"/>
  <c r="AL2239" i="1" s="1"/>
  <c r="AM2239" i="1" s="1"/>
  <c r="AK2238" i="1"/>
  <c r="AL2238" i="1" s="1"/>
  <c r="AM2238" i="1" s="1"/>
  <c r="AK2237" i="1"/>
  <c r="AL2237" i="1" s="1"/>
  <c r="AM2237" i="1" s="1"/>
  <c r="AK2236" i="1"/>
  <c r="AL2236" i="1" s="1"/>
  <c r="AM2236" i="1" s="1"/>
  <c r="AL2235" i="1"/>
  <c r="AM2235" i="1" s="1"/>
  <c r="AK2235" i="1"/>
  <c r="AK2234" i="1"/>
  <c r="AL2234" i="1" s="1"/>
  <c r="AM2234" i="1" s="1"/>
  <c r="AK2233" i="1"/>
  <c r="AL2233" i="1" s="1"/>
  <c r="AM2233" i="1" s="1"/>
  <c r="AK2232" i="1"/>
  <c r="AL2232" i="1" s="1"/>
  <c r="AM2232" i="1" s="1"/>
  <c r="AK2231" i="1"/>
  <c r="AL2231" i="1" s="1"/>
  <c r="AM2231" i="1" s="1"/>
  <c r="AK2230" i="1"/>
  <c r="AL2230" i="1" s="1"/>
  <c r="AM2230" i="1" s="1"/>
  <c r="AK2229" i="1"/>
  <c r="AL2229" i="1" s="1"/>
  <c r="AM2229" i="1" s="1"/>
  <c r="AK2228" i="1"/>
  <c r="AL2228" i="1" s="1"/>
  <c r="AM2228" i="1" s="1"/>
  <c r="AK2227" i="1"/>
  <c r="AL2227" i="1" s="1"/>
  <c r="AM2227" i="1" s="1"/>
  <c r="AK2226" i="1"/>
  <c r="AL2226" i="1" s="1"/>
  <c r="AM2226" i="1" s="1"/>
  <c r="AK2225" i="1"/>
  <c r="AL2225" i="1" s="1"/>
  <c r="AM2225" i="1" s="1"/>
  <c r="AK2224" i="1"/>
  <c r="AL2224" i="1" s="1"/>
  <c r="AM2224" i="1" s="1"/>
  <c r="AK2223" i="1"/>
  <c r="AL2223" i="1" s="1"/>
  <c r="AM2223" i="1" s="1"/>
  <c r="AK2222" i="1"/>
  <c r="AL2222" i="1" s="1"/>
  <c r="AM2222" i="1" s="1"/>
  <c r="AK2221" i="1"/>
  <c r="AL2221" i="1" s="1"/>
  <c r="AM2221" i="1" s="1"/>
  <c r="AK2220" i="1"/>
  <c r="AL2220" i="1" s="1"/>
  <c r="AM2220" i="1" s="1"/>
  <c r="AK2219" i="1"/>
  <c r="AL2219" i="1" s="1"/>
  <c r="AM2219" i="1" s="1"/>
  <c r="AK2218" i="1"/>
  <c r="AL2218" i="1" s="1"/>
  <c r="AM2218" i="1" s="1"/>
  <c r="AK2217" i="1"/>
  <c r="AL2217" i="1" s="1"/>
  <c r="AM2217" i="1" s="1"/>
  <c r="AK2216" i="1"/>
  <c r="AL2216" i="1" s="1"/>
  <c r="AM2216" i="1" s="1"/>
  <c r="AK2215" i="1"/>
  <c r="AL2215" i="1" s="1"/>
  <c r="AM2215" i="1" s="1"/>
  <c r="AK2214" i="1"/>
  <c r="AL2214" i="1" s="1"/>
  <c r="AM2214" i="1" s="1"/>
  <c r="AK2213" i="1"/>
  <c r="AL2213" i="1" s="1"/>
  <c r="AM2213" i="1" s="1"/>
  <c r="AL2212" i="1"/>
  <c r="AM2212" i="1" s="1"/>
  <c r="AK2212" i="1"/>
  <c r="AK2211" i="1"/>
  <c r="AL2211" i="1" s="1"/>
  <c r="AM2211" i="1" s="1"/>
  <c r="AK2210" i="1"/>
  <c r="AL2210" i="1" s="1"/>
  <c r="AM2210" i="1" s="1"/>
  <c r="AK2209" i="1"/>
  <c r="AL2209" i="1" s="1"/>
  <c r="AM2209" i="1" s="1"/>
  <c r="AK2208" i="1"/>
  <c r="AL2208" i="1" s="1"/>
  <c r="AM2208" i="1" s="1"/>
  <c r="AK2207" i="1"/>
  <c r="AL2207" i="1" s="1"/>
  <c r="AM2207" i="1" s="1"/>
  <c r="AK2206" i="1"/>
  <c r="AL2206" i="1" s="1"/>
  <c r="AM2206" i="1" s="1"/>
  <c r="AK2205" i="1"/>
  <c r="AL2205" i="1" s="1"/>
  <c r="AM2205" i="1" s="1"/>
  <c r="AK2204" i="1"/>
  <c r="AL2204" i="1" s="1"/>
  <c r="AM2204" i="1" s="1"/>
  <c r="AK2203" i="1"/>
  <c r="AL2203" i="1" s="1"/>
  <c r="AM2203" i="1" s="1"/>
  <c r="AK2202" i="1"/>
  <c r="AL2202" i="1" s="1"/>
  <c r="AM2202" i="1" s="1"/>
  <c r="AK2201" i="1"/>
  <c r="AL2201" i="1" s="1"/>
  <c r="AM2201" i="1" s="1"/>
  <c r="AK2200" i="1"/>
  <c r="AL2200" i="1" s="1"/>
  <c r="AM2200" i="1" s="1"/>
  <c r="AK2199" i="1"/>
  <c r="AL2199" i="1" s="1"/>
  <c r="AM2199" i="1" s="1"/>
  <c r="AK2198" i="1"/>
  <c r="AL2198" i="1" s="1"/>
  <c r="AM2198" i="1" s="1"/>
  <c r="AK2197" i="1"/>
  <c r="AL2197" i="1" s="1"/>
  <c r="AM2197" i="1" s="1"/>
  <c r="AK2196" i="1"/>
  <c r="AL2196" i="1" s="1"/>
  <c r="AM2196" i="1" s="1"/>
  <c r="AK2195" i="1"/>
  <c r="AL2195" i="1" s="1"/>
  <c r="AM2195" i="1" s="1"/>
  <c r="AK2194" i="1"/>
  <c r="AL2194" i="1" s="1"/>
  <c r="AM2194" i="1" s="1"/>
  <c r="AL2193" i="1"/>
  <c r="AM2193" i="1" s="1"/>
  <c r="AK2193" i="1"/>
  <c r="AK2192" i="1"/>
  <c r="AL2192" i="1" s="1"/>
  <c r="AM2192" i="1" s="1"/>
  <c r="AK2191" i="1"/>
  <c r="AL2191" i="1" s="1"/>
  <c r="AM2191" i="1" s="1"/>
  <c r="AK2190" i="1"/>
  <c r="AL2190" i="1" s="1"/>
  <c r="AM2190" i="1" s="1"/>
  <c r="AK2189" i="1"/>
  <c r="AL2189" i="1" s="1"/>
  <c r="AM2189" i="1" s="1"/>
  <c r="AK2188" i="1"/>
  <c r="AL2188" i="1" s="1"/>
  <c r="AM2188" i="1" s="1"/>
  <c r="AK2187" i="1"/>
  <c r="AL2187" i="1" s="1"/>
  <c r="AM2187" i="1" s="1"/>
  <c r="AK2186" i="1"/>
  <c r="AL2186" i="1" s="1"/>
  <c r="AM2186" i="1" s="1"/>
  <c r="AK2185" i="1"/>
  <c r="AL2185" i="1" s="1"/>
  <c r="AM2185" i="1" s="1"/>
  <c r="AK2184" i="1"/>
  <c r="AL2184" i="1" s="1"/>
  <c r="AM2184" i="1" s="1"/>
  <c r="AK2183" i="1"/>
  <c r="AL2183" i="1" s="1"/>
  <c r="AM2183" i="1" s="1"/>
  <c r="AK2182" i="1"/>
  <c r="AL2182" i="1" s="1"/>
  <c r="AM2182" i="1" s="1"/>
  <c r="AK2181" i="1"/>
  <c r="AL2181" i="1" s="1"/>
  <c r="AM2181" i="1" s="1"/>
  <c r="AL2180" i="1"/>
  <c r="AM2180" i="1" s="1"/>
  <c r="AK2180" i="1"/>
  <c r="AK2179" i="1"/>
  <c r="AL2179" i="1" s="1"/>
  <c r="AM2179" i="1" s="1"/>
  <c r="AK2178" i="1"/>
  <c r="AL2178" i="1" s="1"/>
  <c r="AM2178" i="1" s="1"/>
  <c r="AK2177" i="1"/>
  <c r="AL2177" i="1" s="1"/>
  <c r="AM2177" i="1" s="1"/>
  <c r="AK2176" i="1"/>
  <c r="AL2176" i="1" s="1"/>
  <c r="AM2176" i="1" s="1"/>
  <c r="AK2175" i="1"/>
  <c r="AL2175" i="1" s="1"/>
  <c r="AM2175" i="1" s="1"/>
  <c r="AK2174" i="1"/>
  <c r="AL2174" i="1" s="1"/>
  <c r="AM2174" i="1" s="1"/>
  <c r="AM2173" i="1"/>
  <c r="AK2173" i="1"/>
  <c r="AL2173" i="1" s="1"/>
  <c r="AK2172" i="1"/>
  <c r="AL2172" i="1" s="1"/>
  <c r="AM2172" i="1" s="1"/>
  <c r="AK2171" i="1"/>
  <c r="AL2171" i="1" s="1"/>
  <c r="AM2171" i="1" s="1"/>
  <c r="AK2170" i="1"/>
  <c r="AL2170" i="1" s="1"/>
  <c r="AM2170" i="1" s="1"/>
  <c r="AM2169" i="1"/>
  <c r="AK2169" i="1"/>
  <c r="AL2169" i="1" s="1"/>
  <c r="AK2168" i="1"/>
  <c r="AL2168" i="1" s="1"/>
  <c r="AM2168" i="1" s="1"/>
  <c r="AK2167" i="1"/>
  <c r="AL2167" i="1" s="1"/>
  <c r="AM2167" i="1" s="1"/>
  <c r="AK2166" i="1"/>
  <c r="AL2166" i="1" s="1"/>
  <c r="AM2166" i="1" s="1"/>
  <c r="AK2165" i="1"/>
  <c r="AL2165" i="1" s="1"/>
  <c r="AM2165" i="1" s="1"/>
  <c r="AK2164" i="1"/>
  <c r="AL2164" i="1" s="1"/>
  <c r="AM2164" i="1" s="1"/>
  <c r="AK2163" i="1"/>
  <c r="AL2163" i="1" s="1"/>
  <c r="AM2163" i="1" s="1"/>
  <c r="AK2162" i="1"/>
  <c r="AL2162" i="1" s="1"/>
  <c r="AM2162" i="1" s="1"/>
  <c r="AK2161" i="1"/>
  <c r="AL2161" i="1" s="1"/>
  <c r="AM2161" i="1" s="1"/>
  <c r="AK2160" i="1"/>
  <c r="AL2160" i="1" s="1"/>
  <c r="AM2160" i="1" s="1"/>
  <c r="AK2159" i="1"/>
  <c r="AL2159" i="1" s="1"/>
  <c r="AM2159" i="1" s="1"/>
  <c r="AK2158" i="1"/>
  <c r="AL2158" i="1" s="1"/>
  <c r="AM2158" i="1" s="1"/>
  <c r="AK2157" i="1"/>
  <c r="AL2157" i="1" s="1"/>
  <c r="AM2157" i="1" s="1"/>
  <c r="AK2156" i="1"/>
  <c r="AL2156" i="1" s="1"/>
  <c r="AM2156" i="1" s="1"/>
  <c r="AK2155" i="1"/>
  <c r="AL2155" i="1" s="1"/>
  <c r="AM2155" i="1" s="1"/>
  <c r="AK2154" i="1"/>
  <c r="AL2154" i="1" s="1"/>
  <c r="AM2154" i="1" s="1"/>
  <c r="AK2153" i="1"/>
  <c r="AL2153" i="1" s="1"/>
  <c r="AM2153" i="1" s="1"/>
  <c r="AK2152" i="1"/>
  <c r="AL2152" i="1" s="1"/>
  <c r="AM2152" i="1" s="1"/>
  <c r="AK2151" i="1"/>
  <c r="AL2151" i="1" s="1"/>
  <c r="AM2151" i="1" s="1"/>
  <c r="AK2150" i="1"/>
  <c r="AL2150" i="1" s="1"/>
  <c r="AM2150" i="1" s="1"/>
  <c r="AK2149" i="1"/>
  <c r="AL2149" i="1" s="1"/>
  <c r="AM2149" i="1" s="1"/>
  <c r="AK2148" i="1"/>
  <c r="AL2148" i="1" s="1"/>
  <c r="AM2148" i="1" s="1"/>
  <c r="AK2147" i="1"/>
  <c r="AL2147" i="1" s="1"/>
  <c r="AM2147" i="1" s="1"/>
  <c r="AK2146" i="1"/>
  <c r="AL2146" i="1" s="1"/>
  <c r="AM2146" i="1" s="1"/>
  <c r="AK2145" i="1"/>
  <c r="AL2145" i="1" s="1"/>
  <c r="AM2145" i="1" s="1"/>
  <c r="AK2144" i="1"/>
  <c r="AL2144" i="1" s="1"/>
  <c r="AM2144" i="1" s="1"/>
  <c r="AK2143" i="1"/>
  <c r="AL2143" i="1" s="1"/>
  <c r="AM2143" i="1" s="1"/>
  <c r="AK2142" i="1"/>
  <c r="AL2142" i="1" s="1"/>
  <c r="AM2142" i="1" s="1"/>
  <c r="AK2141" i="1"/>
  <c r="AL2141" i="1" s="1"/>
  <c r="AM2141" i="1" s="1"/>
  <c r="AK2140" i="1"/>
  <c r="AL2140" i="1" s="1"/>
  <c r="AM2140" i="1" s="1"/>
  <c r="AK2139" i="1"/>
  <c r="AL2139" i="1" s="1"/>
  <c r="AM2139" i="1" s="1"/>
  <c r="AK2138" i="1"/>
  <c r="AL2138" i="1" s="1"/>
  <c r="AM2138" i="1" s="1"/>
  <c r="AK2137" i="1"/>
  <c r="AL2137" i="1" s="1"/>
  <c r="AM2137" i="1" s="1"/>
  <c r="AK2136" i="1"/>
  <c r="AL2136" i="1" s="1"/>
  <c r="AM2136" i="1" s="1"/>
  <c r="AL2135" i="1"/>
  <c r="AM2135" i="1" s="1"/>
  <c r="AK2135" i="1"/>
  <c r="AK2134" i="1"/>
  <c r="AL2134" i="1" s="1"/>
  <c r="AM2134" i="1" s="1"/>
  <c r="AL2133" i="1"/>
  <c r="AM2133" i="1" s="1"/>
  <c r="AK2133" i="1"/>
  <c r="AK2132" i="1"/>
  <c r="AL2132" i="1" s="1"/>
  <c r="AM2132" i="1" s="1"/>
  <c r="AK2131" i="1"/>
  <c r="AL2131" i="1" s="1"/>
  <c r="AM2131" i="1" s="1"/>
  <c r="AK2130" i="1"/>
  <c r="AL2130" i="1" s="1"/>
  <c r="AM2130" i="1" s="1"/>
  <c r="AK2129" i="1"/>
  <c r="AL2129" i="1" s="1"/>
  <c r="AM2129" i="1" s="1"/>
  <c r="AK2128" i="1"/>
  <c r="AL2128" i="1" s="1"/>
  <c r="AM2128" i="1" s="1"/>
  <c r="AL2127" i="1"/>
  <c r="AM2127" i="1" s="1"/>
  <c r="AK2127" i="1"/>
  <c r="AL2126" i="1"/>
  <c r="AM2126" i="1" s="1"/>
  <c r="AK2126" i="1"/>
  <c r="AK2125" i="1"/>
  <c r="AL2125" i="1" s="1"/>
  <c r="AM2125" i="1" s="1"/>
  <c r="AK2124" i="1"/>
  <c r="AL2124" i="1" s="1"/>
  <c r="AM2124" i="1" s="1"/>
  <c r="AK2123" i="1"/>
  <c r="AL2123" i="1" s="1"/>
  <c r="AM2123" i="1" s="1"/>
  <c r="AK2122" i="1"/>
  <c r="AL2122" i="1" s="1"/>
  <c r="AM2122" i="1" s="1"/>
  <c r="AK2121" i="1"/>
  <c r="AL2121" i="1" s="1"/>
  <c r="AM2121" i="1" s="1"/>
  <c r="AK2120" i="1"/>
  <c r="AL2120" i="1" s="1"/>
  <c r="AM2120" i="1" s="1"/>
  <c r="AK2119" i="1"/>
  <c r="AL2119" i="1" s="1"/>
  <c r="AM2119" i="1" s="1"/>
  <c r="AL2118" i="1"/>
  <c r="AM2118" i="1" s="1"/>
  <c r="AK2118" i="1"/>
  <c r="AM2117" i="1"/>
  <c r="AK2117" i="1"/>
  <c r="AL2117" i="1" s="1"/>
  <c r="AK2116" i="1"/>
  <c r="AL2116" i="1" s="1"/>
  <c r="AM2116" i="1" s="1"/>
  <c r="AK2115" i="1"/>
  <c r="AL2115" i="1" s="1"/>
  <c r="AM2115" i="1" s="1"/>
  <c r="AK2114" i="1"/>
  <c r="AL2114" i="1" s="1"/>
  <c r="AM2114" i="1" s="1"/>
  <c r="AK2113" i="1"/>
  <c r="AL2113" i="1" s="1"/>
  <c r="AM2113" i="1" s="1"/>
  <c r="AK2112" i="1"/>
  <c r="AL2112" i="1" s="1"/>
  <c r="AM2112" i="1" s="1"/>
  <c r="AK2111" i="1"/>
  <c r="AL2111" i="1" s="1"/>
  <c r="AM2111" i="1" s="1"/>
  <c r="AK2110" i="1"/>
  <c r="AL2110" i="1" s="1"/>
  <c r="AM2110" i="1" s="1"/>
  <c r="AK2109" i="1"/>
  <c r="AL2109" i="1" s="1"/>
  <c r="AM2109" i="1" s="1"/>
  <c r="AK2108" i="1"/>
  <c r="AL2108" i="1" s="1"/>
  <c r="AM2108" i="1" s="1"/>
  <c r="AK2107" i="1"/>
  <c r="AL2107" i="1" s="1"/>
  <c r="AM2107" i="1" s="1"/>
  <c r="AK2106" i="1"/>
  <c r="AL2106" i="1" s="1"/>
  <c r="AM2106" i="1" s="1"/>
  <c r="AK2105" i="1"/>
  <c r="AL2105" i="1" s="1"/>
  <c r="AM2105" i="1" s="1"/>
  <c r="AK2104" i="1"/>
  <c r="AL2104" i="1" s="1"/>
  <c r="AM2104" i="1" s="1"/>
  <c r="AK2103" i="1"/>
  <c r="AL2103" i="1" s="1"/>
  <c r="AM2103" i="1" s="1"/>
  <c r="AK2102" i="1"/>
  <c r="AL2102" i="1" s="1"/>
  <c r="AM2102" i="1" s="1"/>
  <c r="AK2101" i="1"/>
  <c r="AL2101" i="1" s="1"/>
  <c r="AM2101" i="1" s="1"/>
  <c r="AL2100" i="1"/>
  <c r="AM2100" i="1" s="1"/>
  <c r="AK2100" i="1"/>
  <c r="AK2099" i="1"/>
  <c r="AL2099" i="1" s="1"/>
  <c r="AM2099" i="1" s="1"/>
  <c r="AK2098" i="1"/>
  <c r="AL2098" i="1" s="1"/>
  <c r="AM2098" i="1" s="1"/>
  <c r="AK2097" i="1"/>
  <c r="AL2097" i="1" s="1"/>
  <c r="AM2097" i="1" s="1"/>
  <c r="AK2096" i="1"/>
  <c r="AL2096" i="1" s="1"/>
  <c r="AM2096" i="1" s="1"/>
  <c r="AK2095" i="1"/>
  <c r="AL2095" i="1" s="1"/>
  <c r="AM2095" i="1" s="1"/>
  <c r="AK2094" i="1"/>
  <c r="AL2094" i="1" s="1"/>
  <c r="AM2094" i="1" s="1"/>
  <c r="AM2093" i="1"/>
  <c r="AK2093" i="1"/>
  <c r="AL2093" i="1" s="1"/>
  <c r="AK2092" i="1"/>
  <c r="AL2092" i="1" s="1"/>
  <c r="AM2092" i="1" s="1"/>
  <c r="AK2091" i="1"/>
  <c r="AL2091" i="1" s="1"/>
  <c r="AM2091" i="1" s="1"/>
  <c r="AK2090" i="1"/>
  <c r="AL2090" i="1" s="1"/>
  <c r="AM2090" i="1" s="1"/>
  <c r="AM2089" i="1"/>
  <c r="AK2089" i="1"/>
  <c r="AL2089" i="1" s="1"/>
  <c r="AK2088" i="1"/>
  <c r="AL2088" i="1" s="1"/>
  <c r="AM2088" i="1" s="1"/>
  <c r="AK2087" i="1"/>
  <c r="AL2087" i="1" s="1"/>
  <c r="AM2087" i="1" s="1"/>
  <c r="AK2086" i="1"/>
  <c r="AL2086" i="1" s="1"/>
  <c r="AM2086" i="1" s="1"/>
  <c r="AM2085" i="1"/>
  <c r="AK2085" i="1"/>
  <c r="AL2085" i="1" s="1"/>
  <c r="AK2084" i="1"/>
  <c r="AL2084" i="1" s="1"/>
  <c r="AM2084" i="1" s="1"/>
  <c r="AK2083" i="1"/>
  <c r="AL2083" i="1" s="1"/>
  <c r="AM2083" i="1" s="1"/>
  <c r="AK2082" i="1"/>
  <c r="AL2082" i="1" s="1"/>
  <c r="AM2082" i="1" s="1"/>
  <c r="AK2081" i="1"/>
  <c r="AL2081" i="1" s="1"/>
  <c r="AM2081" i="1" s="1"/>
  <c r="AK2080" i="1"/>
  <c r="AL2080" i="1" s="1"/>
  <c r="AM2080" i="1" s="1"/>
  <c r="AL2079" i="1"/>
  <c r="AM2079" i="1" s="1"/>
  <c r="AK2079" i="1"/>
  <c r="AK2078" i="1"/>
  <c r="AL2078" i="1" s="1"/>
  <c r="AM2078" i="1" s="1"/>
  <c r="AK2077" i="1"/>
  <c r="AL2077" i="1" s="1"/>
  <c r="AM2077" i="1" s="1"/>
  <c r="AK2076" i="1"/>
  <c r="AL2076" i="1" s="1"/>
  <c r="AM2076" i="1" s="1"/>
  <c r="AK2075" i="1"/>
  <c r="AL2075" i="1" s="1"/>
  <c r="AM2075" i="1" s="1"/>
  <c r="AK2074" i="1"/>
  <c r="AL2074" i="1" s="1"/>
  <c r="AM2074" i="1" s="1"/>
  <c r="AK2073" i="1"/>
  <c r="AL2073" i="1" s="1"/>
  <c r="AM2073" i="1" s="1"/>
  <c r="AK2072" i="1"/>
  <c r="AL2072" i="1" s="1"/>
  <c r="AM2072" i="1" s="1"/>
  <c r="AK2071" i="1"/>
  <c r="AL2071" i="1" s="1"/>
  <c r="AM2071" i="1" s="1"/>
  <c r="AL2070" i="1"/>
  <c r="AM2070" i="1" s="1"/>
  <c r="AK2070" i="1"/>
  <c r="AK2069" i="1"/>
  <c r="AL2069" i="1" s="1"/>
  <c r="AM2069" i="1" s="1"/>
  <c r="AK2068" i="1"/>
  <c r="AL2068" i="1" s="1"/>
  <c r="AM2068" i="1" s="1"/>
  <c r="AK2067" i="1"/>
  <c r="AL2067" i="1" s="1"/>
  <c r="AM2067" i="1" s="1"/>
  <c r="AK2066" i="1"/>
  <c r="AL2066" i="1" s="1"/>
  <c r="AM2066" i="1" s="1"/>
  <c r="AK2065" i="1"/>
  <c r="AL2065" i="1" s="1"/>
  <c r="AM2065" i="1" s="1"/>
  <c r="AK2064" i="1"/>
  <c r="AL2064" i="1" s="1"/>
  <c r="AM2064" i="1" s="1"/>
  <c r="AK2063" i="1"/>
  <c r="AL2063" i="1" s="1"/>
  <c r="AM2063" i="1" s="1"/>
  <c r="AK2062" i="1"/>
  <c r="AL2062" i="1" s="1"/>
  <c r="AM2062" i="1" s="1"/>
  <c r="AK2061" i="1"/>
  <c r="AL2061" i="1" s="1"/>
  <c r="AM2061" i="1" s="1"/>
  <c r="AK2060" i="1"/>
  <c r="AL2060" i="1" s="1"/>
  <c r="AM2060" i="1" s="1"/>
  <c r="AK2059" i="1"/>
  <c r="AL2059" i="1" s="1"/>
  <c r="AM2059" i="1" s="1"/>
  <c r="AK2058" i="1"/>
  <c r="AL2058" i="1" s="1"/>
  <c r="AM2058" i="1" s="1"/>
  <c r="AK2057" i="1"/>
  <c r="AL2057" i="1" s="1"/>
  <c r="AM2057" i="1" s="1"/>
  <c r="AK2056" i="1"/>
  <c r="AL2056" i="1" s="1"/>
  <c r="AM2056" i="1" s="1"/>
  <c r="AK2055" i="1"/>
  <c r="AL2055" i="1" s="1"/>
  <c r="AM2055" i="1" s="1"/>
  <c r="AK2054" i="1"/>
  <c r="AL2054" i="1" s="1"/>
  <c r="AM2054" i="1" s="1"/>
  <c r="AK2053" i="1"/>
  <c r="AL2053" i="1" s="1"/>
  <c r="AM2053" i="1" s="1"/>
  <c r="AK2052" i="1"/>
  <c r="AL2052" i="1" s="1"/>
  <c r="AM2052" i="1" s="1"/>
  <c r="AK2051" i="1"/>
  <c r="AL2051" i="1" s="1"/>
  <c r="AM2051" i="1" s="1"/>
  <c r="AK2050" i="1"/>
  <c r="AL2050" i="1" s="1"/>
  <c r="AM2050" i="1" s="1"/>
  <c r="AK2049" i="1"/>
  <c r="AL2049" i="1" s="1"/>
  <c r="AM2049" i="1" s="1"/>
  <c r="AK2048" i="1"/>
  <c r="AL2048" i="1" s="1"/>
  <c r="AM2048" i="1" s="1"/>
  <c r="AK2047" i="1"/>
  <c r="AL2047" i="1" s="1"/>
  <c r="AM2047" i="1" s="1"/>
  <c r="AK2046" i="1"/>
  <c r="AL2046" i="1" s="1"/>
  <c r="AM2046" i="1" s="1"/>
  <c r="AK2045" i="1"/>
  <c r="AL2045" i="1" s="1"/>
  <c r="AM2045" i="1" s="1"/>
  <c r="AK2044" i="1"/>
  <c r="AL2044" i="1" s="1"/>
  <c r="AM2044" i="1" s="1"/>
  <c r="AK2043" i="1"/>
  <c r="AL2043" i="1" s="1"/>
  <c r="AM2043" i="1" s="1"/>
  <c r="AK2042" i="1"/>
  <c r="AL2042" i="1" s="1"/>
  <c r="AM2042" i="1" s="1"/>
  <c r="AK2041" i="1"/>
  <c r="AL2041" i="1" s="1"/>
  <c r="AM2041" i="1" s="1"/>
  <c r="AK2040" i="1"/>
  <c r="AL2040" i="1" s="1"/>
  <c r="AM2040" i="1" s="1"/>
  <c r="AK2039" i="1"/>
  <c r="AL2039" i="1" s="1"/>
  <c r="AM2039" i="1" s="1"/>
  <c r="AK2038" i="1"/>
  <c r="AL2038" i="1" s="1"/>
  <c r="AM2038" i="1" s="1"/>
  <c r="AK2037" i="1"/>
  <c r="AL2037" i="1" s="1"/>
  <c r="AM2037" i="1" s="1"/>
  <c r="AK2036" i="1"/>
  <c r="AL2036" i="1" s="1"/>
  <c r="AM2036" i="1" s="1"/>
  <c r="AK2035" i="1"/>
  <c r="AL2035" i="1" s="1"/>
  <c r="AM2035" i="1" s="1"/>
  <c r="AK2034" i="1"/>
  <c r="AL2034" i="1" s="1"/>
  <c r="AM2034" i="1" s="1"/>
  <c r="AK2033" i="1"/>
  <c r="AL2033" i="1" s="1"/>
  <c r="AM2033" i="1" s="1"/>
  <c r="AK2032" i="1"/>
  <c r="AL2032" i="1" s="1"/>
  <c r="AM2032" i="1" s="1"/>
  <c r="AK2031" i="1"/>
  <c r="AL2031" i="1" s="1"/>
  <c r="AM2031" i="1" s="1"/>
  <c r="AK2030" i="1"/>
  <c r="AL2030" i="1" s="1"/>
  <c r="AM2030" i="1" s="1"/>
  <c r="AK2029" i="1"/>
  <c r="AL2029" i="1" s="1"/>
  <c r="AM2029" i="1" s="1"/>
  <c r="AK2028" i="1"/>
  <c r="AL2028" i="1" s="1"/>
  <c r="AM2028" i="1" s="1"/>
  <c r="AK2027" i="1"/>
  <c r="AL2027" i="1" s="1"/>
  <c r="AM2027" i="1" s="1"/>
  <c r="AK2026" i="1"/>
  <c r="AL2026" i="1" s="1"/>
  <c r="AM2026" i="1" s="1"/>
  <c r="AK2025" i="1"/>
  <c r="AL2025" i="1" s="1"/>
  <c r="AM2025" i="1" s="1"/>
  <c r="AK2024" i="1"/>
  <c r="AL2024" i="1" s="1"/>
  <c r="AM2024" i="1" s="1"/>
  <c r="AK2017" i="1"/>
  <c r="AL2017" i="1" s="1"/>
  <c r="AM2017" i="1" s="1"/>
  <c r="AK2016" i="1"/>
  <c r="AL2016" i="1" s="1"/>
  <c r="AM2016" i="1" s="1"/>
  <c r="AK2015" i="1"/>
  <c r="AL2015" i="1" s="1"/>
  <c r="AM2015" i="1" s="1"/>
  <c r="AK2014" i="1"/>
  <c r="AL2014" i="1" s="1"/>
  <c r="AM2014" i="1" s="1"/>
  <c r="AK2013" i="1"/>
  <c r="AL2013" i="1" s="1"/>
  <c r="AM2013" i="1" s="1"/>
  <c r="AK2012" i="1"/>
  <c r="AL2012" i="1" s="1"/>
  <c r="AM2012" i="1" s="1"/>
  <c r="AK2011" i="1"/>
  <c r="AL2011" i="1" s="1"/>
  <c r="AM2011" i="1" s="1"/>
  <c r="AK2010" i="1"/>
  <c r="AL2010" i="1" s="1"/>
  <c r="AM2010" i="1" s="1"/>
  <c r="AK2009" i="1"/>
  <c r="AL2009" i="1" s="1"/>
  <c r="AM2009" i="1" s="1"/>
  <c r="AK2008" i="1"/>
  <c r="AL2008" i="1" s="1"/>
  <c r="AM2008" i="1" s="1"/>
  <c r="AK2007" i="1"/>
  <c r="AL2007" i="1" s="1"/>
  <c r="AM2007" i="1" s="1"/>
  <c r="AK2006" i="1"/>
  <c r="AL2006" i="1" s="1"/>
  <c r="AM2006" i="1" s="1"/>
  <c r="AK2005" i="1"/>
  <c r="AL2005" i="1" s="1"/>
  <c r="AM2005" i="1" s="1"/>
  <c r="AL2004" i="1"/>
  <c r="AM2004" i="1" s="1"/>
  <c r="AK2004" i="1"/>
  <c r="AK2003" i="1"/>
  <c r="AL2003" i="1" s="1"/>
  <c r="AM2003" i="1" s="1"/>
  <c r="AK2002" i="1"/>
  <c r="AL2002" i="1" s="1"/>
  <c r="AM2002" i="1" s="1"/>
  <c r="AK2001" i="1"/>
  <c r="AL2001" i="1" s="1"/>
  <c r="AM2001" i="1" s="1"/>
  <c r="AK2000" i="1"/>
  <c r="AL2000" i="1" s="1"/>
  <c r="AM2000" i="1" s="1"/>
  <c r="AK1999" i="1"/>
  <c r="AL1999" i="1" s="1"/>
  <c r="AM1999" i="1" s="1"/>
  <c r="AK1998" i="1"/>
  <c r="AL1998" i="1" s="1"/>
  <c r="AM1998" i="1" s="1"/>
  <c r="AK1997" i="1"/>
  <c r="AL1997" i="1" s="1"/>
  <c r="AM1997" i="1" s="1"/>
  <c r="AK1996" i="1"/>
  <c r="AL1996" i="1" s="1"/>
  <c r="AM1996" i="1" s="1"/>
  <c r="AK1995" i="1"/>
  <c r="AL1995" i="1" s="1"/>
  <c r="AM1995" i="1" s="1"/>
  <c r="AK1994" i="1"/>
  <c r="AL1994" i="1" s="1"/>
  <c r="AM1994" i="1" s="1"/>
  <c r="AK1993" i="1"/>
  <c r="AL1993" i="1" s="1"/>
  <c r="AM1993" i="1" s="1"/>
  <c r="AL1992" i="1"/>
  <c r="AM1992" i="1" s="1"/>
  <c r="AK1992" i="1"/>
  <c r="AK1991" i="1"/>
  <c r="AL1991" i="1" s="1"/>
  <c r="AM1991" i="1" s="1"/>
  <c r="AK1990" i="1"/>
  <c r="AL1990" i="1" s="1"/>
  <c r="AM1990" i="1" s="1"/>
  <c r="AK1989" i="1"/>
  <c r="AL1989" i="1" s="1"/>
  <c r="AM1989" i="1" s="1"/>
  <c r="AK1988" i="1"/>
  <c r="AL1988" i="1" s="1"/>
  <c r="AM1988" i="1" s="1"/>
  <c r="AK1987" i="1"/>
  <c r="AL1987" i="1" s="1"/>
  <c r="AM1987" i="1" s="1"/>
  <c r="AK1986" i="1"/>
  <c r="AL1986" i="1" s="1"/>
  <c r="AM1986" i="1" s="1"/>
  <c r="AK1985" i="1"/>
  <c r="AL1985" i="1" s="1"/>
  <c r="AM1985" i="1" s="1"/>
  <c r="AK1984" i="1"/>
  <c r="AL1984" i="1" s="1"/>
  <c r="AM1984" i="1" s="1"/>
  <c r="AK1983" i="1"/>
  <c r="AL1983" i="1" s="1"/>
  <c r="AM1983" i="1" s="1"/>
  <c r="AK1982" i="1"/>
  <c r="AL1982" i="1" s="1"/>
  <c r="AM1982" i="1" s="1"/>
  <c r="AK1981" i="1"/>
  <c r="AL1981" i="1" s="1"/>
  <c r="AM1981" i="1" s="1"/>
  <c r="AK1980" i="1"/>
  <c r="AL1980" i="1" s="1"/>
  <c r="AM1980" i="1" s="1"/>
  <c r="AK1979" i="1"/>
  <c r="AL1979" i="1" s="1"/>
  <c r="AM1979" i="1" s="1"/>
  <c r="AK1978" i="1"/>
  <c r="AL1978" i="1" s="1"/>
  <c r="AM1978" i="1" s="1"/>
  <c r="AK1977" i="1"/>
  <c r="AL1977" i="1" s="1"/>
  <c r="AM1977" i="1" s="1"/>
  <c r="AK1976" i="1"/>
  <c r="AL1976" i="1" s="1"/>
  <c r="AM1976" i="1" s="1"/>
  <c r="AK1975" i="1"/>
  <c r="AL1975" i="1" s="1"/>
  <c r="AM1975" i="1" s="1"/>
  <c r="AK1974" i="1"/>
  <c r="AL1974" i="1" s="1"/>
  <c r="AM1974" i="1" s="1"/>
  <c r="AK1973" i="1"/>
  <c r="AL1973" i="1" s="1"/>
  <c r="AM1973" i="1" s="1"/>
  <c r="AK1972" i="1"/>
  <c r="AL1972" i="1" s="1"/>
  <c r="AM1972" i="1" s="1"/>
  <c r="AK1971" i="1"/>
  <c r="AL1971" i="1" s="1"/>
  <c r="AM1971" i="1" s="1"/>
  <c r="AK1970" i="1"/>
  <c r="AL1970" i="1" s="1"/>
  <c r="AM1970" i="1" s="1"/>
  <c r="AK1969" i="1"/>
  <c r="AL1969" i="1" s="1"/>
  <c r="AM1969" i="1" s="1"/>
  <c r="AK1968" i="1"/>
  <c r="AL1968" i="1" s="1"/>
  <c r="AM1968" i="1" s="1"/>
  <c r="AK1967" i="1"/>
  <c r="AL1967" i="1" s="1"/>
  <c r="AM1967" i="1" s="1"/>
  <c r="AK1966" i="1"/>
  <c r="AL1966" i="1" s="1"/>
  <c r="AM1966" i="1" s="1"/>
  <c r="AK1965" i="1"/>
  <c r="AL1965" i="1" s="1"/>
  <c r="AM1965" i="1" s="1"/>
  <c r="AK1964" i="1"/>
  <c r="AL1964" i="1" s="1"/>
  <c r="AM1964" i="1" s="1"/>
  <c r="AM1963" i="1"/>
  <c r="AK1963" i="1"/>
  <c r="AL1963" i="1" s="1"/>
  <c r="AK1962" i="1"/>
  <c r="AL1962" i="1" s="1"/>
  <c r="AM1962" i="1" s="1"/>
  <c r="AK1961" i="1"/>
  <c r="AL1961" i="1" s="1"/>
  <c r="AM1961" i="1" s="1"/>
  <c r="AK1960" i="1"/>
  <c r="AL1960" i="1" s="1"/>
  <c r="AM1960" i="1" s="1"/>
  <c r="AK1959" i="1"/>
  <c r="AL1959" i="1" s="1"/>
  <c r="AM1959" i="1" s="1"/>
  <c r="AK1958" i="1"/>
  <c r="AL1958" i="1" s="1"/>
  <c r="AM1958" i="1" s="1"/>
  <c r="AK1957" i="1"/>
  <c r="AL1957" i="1" s="1"/>
  <c r="AM1957" i="1" s="1"/>
  <c r="AK1956" i="1"/>
  <c r="AL1956" i="1" s="1"/>
  <c r="AM1956" i="1" s="1"/>
  <c r="AM1955" i="1"/>
  <c r="AK1955" i="1"/>
  <c r="AL1955" i="1" s="1"/>
  <c r="AK1954" i="1"/>
  <c r="AL1954" i="1" s="1"/>
  <c r="AM1954" i="1" s="1"/>
  <c r="AK1953" i="1"/>
  <c r="AL1953" i="1" s="1"/>
  <c r="AM1953" i="1" s="1"/>
  <c r="AK1952" i="1"/>
  <c r="AL1952" i="1" s="1"/>
  <c r="AM1952" i="1" s="1"/>
  <c r="AK1951" i="1"/>
  <c r="AL1951" i="1" s="1"/>
  <c r="AM1951" i="1" s="1"/>
  <c r="AK1950" i="1"/>
  <c r="AL1950" i="1" s="1"/>
  <c r="AM1950" i="1" s="1"/>
  <c r="AK1949" i="1"/>
  <c r="AL1949" i="1" s="1"/>
  <c r="AM1949" i="1" s="1"/>
  <c r="AK1948" i="1"/>
  <c r="AL1948" i="1" s="1"/>
  <c r="AM1948" i="1" s="1"/>
  <c r="AK1947" i="1"/>
  <c r="AL1947" i="1" s="1"/>
  <c r="AM1947" i="1" s="1"/>
  <c r="AK1946" i="1"/>
  <c r="AL1946" i="1" s="1"/>
  <c r="AM1946" i="1" s="1"/>
  <c r="AK1945" i="1"/>
  <c r="AL1945" i="1" s="1"/>
  <c r="AM1945" i="1" s="1"/>
  <c r="AK1944" i="1"/>
  <c r="AL1944" i="1" s="1"/>
  <c r="AM1944" i="1" s="1"/>
  <c r="AK1943" i="1"/>
  <c r="AL1943" i="1" s="1"/>
  <c r="AM1943" i="1" s="1"/>
  <c r="AK1942" i="1"/>
  <c r="AL1942" i="1" s="1"/>
  <c r="AM1942" i="1" s="1"/>
  <c r="AK1941" i="1"/>
  <c r="AL1941" i="1" s="1"/>
  <c r="AM1941" i="1" s="1"/>
  <c r="AK1940" i="1"/>
  <c r="AL1940" i="1" s="1"/>
  <c r="AM1940" i="1" s="1"/>
  <c r="AK1939" i="1"/>
  <c r="AL1939" i="1" s="1"/>
  <c r="AM1939" i="1" s="1"/>
  <c r="AK1938" i="1"/>
  <c r="AL1938" i="1" s="1"/>
  <c r="AM1938" i="1" s="1"/>
  <c r="AK1937" i="1"/>
  <c r="AL1937" i="1" s="1"/>
  <c r="AM1937" i="1" s="1"/>
  <c r="AK1936" i="1"/>
  <c r="AL1936" i="1" s="1"/>
  <c r="AM1936" i="1" s="1"/>
  <c r="AK1935" i="1"/>
  <c r="AL1935" i="1" s="1"/>
  <c r="AM1935" i="1" s="1"/>
  <c r="AK1934" i="1"/>
  <c r="AL1934" i="1" s="1"/>
  <c r="AM1934" i="1" s="1"/>
  <c r="AK1933" i="1"/>
  <c r="AL1933" i="1" s="1"/>
  <c r="AM1933" i="1" s="1"/>
  <c r="AK1932" i="1"/>
  <c r="AL1932" i="1" s="1"/>
  <c r="AM1932" i="1" s="1"/>
  <c r="AK1931" i="1"/>
  <c r="AL1931" i="1" s="1"/>
  <c r="AM1931" i="1" s="1"/>
  <c r="AK1930" i="1"/>
  <c r="AL1930" i="1" s="1"/>
  <c r="AM1930" i="1" s="1"/>
  <c r="AK1929" i="1"/>
  <c r="AL1929" i="1" s="1"/>
  <c r="AM1929" i="1" s="1"/>
  <c r="AK1928" i="1"/>
  <c r="AL1928" i="1" s="1"/>
  <c r="AM1928" i="1" s="1"/>
  <c r="AK1927" i="1"/>
  <c r="AL1927" i="1" s="1"/>
  <c r="AM1927" i="1" s="1"/>
  <c r="AK1926" i="1"/>
  <c r="AL1926" i="1" s="1"/>
  <c r="AM1926" i="1" s="1"/>
  <c r="AK1925" i="1"/>
  <c r="AL1925" i="1" s="1"/>
  <c r="AM1925" i="1" s="1"/>
  <c r="AK1924" i="1"/>
  <c r="AL1924" i="1" s="1"/>
  <c r="AM1924" i="1" s="1"/>
  <c r="AK1923" i="1"/>
  <c r="AL1923" i="1" s="1"/>
  <c r="AM1923" i="1" s="1"/>
  <c r="AK1922" i="1"/>
  <c r="AL1922" i="1" s="1"/>
  <c r="AM1922" i="1" s="1"/>
  <c r="AK1921" i="1"/>
  <c r="AL1921" i="1" s="1"/>
  <c r="AM1921" i="1" s="1"/>
  <c r="AK1920" i="1"/>
  <c r="AL1920" i="1" s="1"/>
  <c r="AM1920" i="1" s="1"/>
  <c r="AM1919" i="1"/>
  <c r="AK1919" i="1"/>
  <c r="AL1919" i="1" s="1"/>
  <c r="AK1918" i="1"/>
  <c r="AL1918" i="1" s="1"/>
  <c r="AM1918" i="1" s="1"/>
  <c r="AK1917" i="1"/>
  <c r="AL1917" i="1" s="1"/>
  <c r="AM1917" i="1" s="1"/>
  <c r="AK1916" i="1"/>
  <c r="AL1916" i="1" s="1"/>
  <c r="AM1916" i="1" s="1"/>
  <c r="AK1915" i="1"/>
  <c r="AL1915" i="1" s="1"/>
  <c r="AM1915" i="1" s="1"/>
  <c r="AK1914" i="1"/>
  <c r="AL1914" i="1" s="1"/>
  <c r="AM1914" i="1" s="1"/>
  <c r="AK1913" i="1"/>
  <c r="AL1913" i="1" s="1"/>
  <c r="AM1913" i="1" s="1"/>
  <c r="AK1912" i="1"/>
  <c r="AL1912" i="1" s="1"/>
  <c r="AM1912" i="1" s="1"/>
  <c r="AK1911" i="1"/>
  <c r="AL1911" i="1" s="1"/>
  <c r="AM1911" i="1" s="1"/>
  <c r="AK1910" i="1"/>
  <c r="AL1910" i="1" s="1"/>
  <c r="AM1910" i="1" s="1"/>
  <c r="AK1909" i="1"/>
  <c r="AL1909" i="1" s="1"/>
  <c r="AM1909" i="1" s="1"/>
  <c r="AK1908" i="1"/>
  <c r="AL1908" i="1" s="1"/>
  <c r="AM1908" i="1" s="1"/>
  <c r="AK1907" i="1"/>
  <c r="AL1907" i="1" s="1"/>
  <c r="AM1907" i="1" s="1"/>
  <c r="AK1906" i="1"/>
  <c r="AL1906" i="1" s="1"/>
  <c r="AM1906" i="1" s="1"/>
  <c r="AK1905" i="1"/>
  <c r="AL1905" i="1" s="1"/>
  <c r="AM1905" i="1" s="1"/>
  <c r="AK1904" i="1"/>
  <c r="AL1904" i="1" s="1"/>
  <c r="AM1904" i="1" s="1"/>
  <c r="AK1903" i="1"/>
  <c r="AL1903" i="1" s="1"/>
  <c r="AM1903" i="1" s="1"/>
  <c r="AK1902" i="1"/>
  <c r="AL1902" i="1" s="1"/>
  <c r="AM1902" i="1" s="1"/>
  <c r="AK1901" i="1"/>
  <c r="AL1901" i="1" s="1"/>
  <c r="AM1901" i="1" s="1"/>
  <c r="AK1900" i="1"/>
  <c r="AL1900" i="1" s="1"/>
  <c r="AM1900" i="1" s="1"/>
  <c r="AM1899" i="1"/>
  <c r="AK1899" i="1"/>
  <c r="AL1899" i="1" s="1"/>
  <c r="AK1898" i="1"/>
  <c r="AL1898" i="1" s="1"/>
  <c r="AM1898" i="1" s="1"/>
  <c r="AK1897" i="1"/>
  <c r="AL1897" i="1" s="1"/>
  <c r="AM1897" i="1" s="1"/>
  <c r="AK1896" i="1"/>
  <c r="AL1896" i="1" s="1"/>
  <c r="AM1896" i="1" s="1"/>
  <c r="AK1895" i="1"/>
  <c r="AL1895" i="1" s="1"/>
  <c r="AM1895" i="1" s="1"/>
  <c r="AK1894" i="1"/>
  <c r="AL1894" i="1" s="1"/>
  <c r="AM1894" i="1" s="1"/>
  <c r="AK1893" i="1"/>
  <c r="AL1893" i="1" s="1"/>
  <c r="AM1893" i="1" s="1"/>
  <c r="AK1892" i="1"/>
  <c r="AL1892" i="1" s="1"/>
  <c r="AM1892" i="1" s="1"/>
  <c r="AK1891" i="1"/>
  <c r="AL1891" i="1" s="1"/>
  <c r="AM1891" i="1" s="1"/>
  <c r="AK1890" i="1"/>
  <c r="AL1890" i="1" s="1"/>
  <c r="AM1890" i="1" s="1"/>
  <c r="AK1889" i="1"/>
  <c r="AL1889" i="1" s="1"/>
  <c r="AM1889" i="1" s="1"/>
  <c r="AK1888" i="1"/>
  <c r="AL1888" i="1" s="1"/>
  <c r="AM1888" i="1" s="1"/>
  <c r="AK1887" i="1"/>
  <c r="AL1887" i="1" s="1"/>
  <c r="AM1887" i="1" s="1"/>
  <c r="AK1886" i="1"/>
  <c r="AL1886" i="1" s="1"/>
  <c r="AM1886" i="1" s="1"/>
  <c r="AK1885" i="1"/>
  <c r="AL1885" i="1" s="1"/>
  <c r="AM1885" i="1" s="1"/>
  <c r="AK1884" i="1"/>
  <c r="AL1884" i="1" s="1"/>
  <c r="AM1884" i="1" s="1"/>
  <c r="AK1883" i="1"/>
  <c r="AL1883" i="1" s="1"/>
  <c r="AM1883" i="1" s="1"/>
  <c r="AK1882" i="1"/>
  <c r="AL1882" i="1" s="1"/>
  <c r="AM1882" i="1" s="1"/>
  <c r="AK1881" i="1"/>
  <c r="AL1881" i="1" s="1"/>
  <c r="AM1881" i="1" s="1"/>
  <c r="AK1880" i="1"/>
  <c r="AL1880" i="1" s="1"/>
  <c r="AM1880" i="1" s="1"/>
  <c r="AK1879" i="1"/>
  <c r="AL1879" i="1" s="1"/>
  <c r="AM1879" i="1" s="1"/>
  <c r="AK1878" i="1"/>
  <c r="AL1878" i="1" s="1"/>
  <c r="AM1878" i="1" s="1"/>
  <c r="AK1877" i="1"/>
  <c r="AL1877" i="1" s="1"/>
  <c r="AM1877" i="1" s="1"/>
  <c r="AK1876" i="1"/>
  <c r="AL1876" i="1" s="1"/>
  <c r="AM1876" i="1" s="1"/>
  <c r="AK1875" i="1"/>
  <c r="AL1875" i="1" s="1"/>
  <c r="AM1875" i="1" s="1"/>
  <c r="AK1874" i="1"/>
  <c r="AL1874" i="1" s="1"/>
  <c r="AM1874" i="1" s="1"/>
  <c r="AK1873" i="1"/>
  <c r="AL1873" i="1" s="1"/>
  <c r="AM1873" i="1" s="1"/>
  <c r="AK1872" i="1"/>
  <c r="AL1872" i="1" s="1"/>
  <c r="AM1872" i="1" s="1"/>
  <c r="AK1871" i="1"/>
  <c r="AL1871" i="1" s="1"/>
  <c r="AM1871" i="1" s="1"/>
  <c r="AK1870" i="1"/>
  <c r="AL1870" i="1" s="1"/>
  <c r="AM1870" i="1" s="1"/>
  <c r="AK1869" i="1"/>
  <c r="AL1869" i="1" s="1"/>
  <c r="AM1869" i="1" s="1"/>
  <c r="AK1868" i="1"/>
  <c r="AL1868" i="1" s="1"/>
  <c r="AM1868" i="1" s="1"/>
  <c r="AK1867" i="1"/>
  <c r="AL1867" i="1" s="1"/>
  <c r="AM1867" i="1" s="1"/>
  <c r="AK1866" i="1"/>
  <c r="AL1866" i="1" s="1"/>
  <c r="AM1866" i="1" s="1"/>
  <c r="AK1865" i="1"/>
  <c r="AL1865" i="1" s="1"/>
  <c r="AM1865" i="1" s="1"/>
  <c r="AK1864" i="1"/>
  <c r="AL1864" i="1" s="1"/>
  <c r="AM1864" i="1" s="1"/>
  <c r="AK1863" i="1"/>
  <c r="AL1863" i="1" s="1"/>
  <c r="AM1863" i="1" s="1"/>
  <c r="AK1862" i="1"/>
  <c r="AL1862" i="1" s="1"/>
  <c r="AM1862" i="1" s="1"/>
  <c r="AK1861" i="1"/>
  <c r="AL1861" i="1" s="1"/>
  <c r="AM1861" i="1" s="1"/>
  <c r="AK1860" i="1"/>
  <c r="AL1860" i="1" s="1"/>
  <c r="AM1860" i="1" s="1"/>
  <c r="AK1859" i="1"/>
  <c r="AL1859" i="1" s="1"/>
  <c r="AM1859" i="1" s="1"/>
  <c r="AK1858" i="1"/>
  <c r="AL1858" i="1" s="1"/>
  <c r="AM1858" i="1" s="1"/>
  <c r="AK1857" i="1"/>
  <c r="AL1857" i="1" s="1"/>
  <c r="AM1857" i="1" s="1"/>
  <c r="AK1856" i="1"/>
  <c r="AL1856" i="1" s="1"/>
  <c r="AM1856" i="1" s="1"/>
  <c r="AK1855" i="1"/>
  <c r="AL1855" i="1" s="1"/>
  <c r="AM1855" i="1" s="1"/>
  <c r="AK1854" i="1"/>
  <c r="AL1854" i="1" s="1"/>
  <c r="AM1854" i="1" s="1"/>
  <c r="AK1853" i="1"/>
  <c r="AL1853" i="1" s="1"/>
  <c r="AM1853" i="1" s="1"/>
  <c r="AK1852" i="1"/>
  <c r="AL1852" i="1" s="1"/>
  <c r="AM1852" i="1" s="1"/>
  <c r="AK1851" i="1"/>
  <c r="AL1851" i="1" s="1"/>
  <c r="AM1851" i="1" s="1"/>
  <c r="AK1850" i="1"/>
  <c r="AL1850" i="1" s="1"/>
  <c r="AM1850" i="1" s="1"/>
  <c r="AK1849" i="1"/>
  <c r="AL1849" i="1" s="1"/>
  <c r="AM1849" i="1" s="1"/>
  <c r="AK1848" i="1"/>
  <c r="AL1848" i="1" s="1"/>
  <c r="AM1848" i="1" s="1"/>
  <c r="AK1847" i="1"/>
  <c r="AL1847" i="1" s="1"/>
  <c r="AM1847" i="1" s="1"/>
  <c r="AK1846" i="1"/>
  <c r="AL1846" i="1" s="1"/>
  <c r="AM1846" i="1" s="1"/>
  <c r="AK1845" i="1"/>
  <c r="AL1845" i="1" s="1"/>
  <c r="AM1845" i="1" s="1"/>
  <c r="AL1844" i="1"/>
  <c r="AM1844" i="1" s="1"/>
  <c r="AK1844" i="1"/>
  <c r="AK1843" i="1"/>
  <c r="AL1843" i="1" s="1"/>
  <c r="AM1843" i="1" s="1"/>
  <c r="AK1842" i="1"/>
  <c r="AL1842" i="1" s="1"/>
  <c r="AM1842" i="1" s="1"/>
  <c r="AK1841" i="1"/>
  <c r="AL1841" i="1" s="1"/>
  <c r="AM1841" i="1" s="1"/>
  <c r="AK1840" i="1"/>
  <c r="AL1840" i="1" s="1"/>
  <c r="AM1840" i="1" s="1"/>
  <c r="AK1839" i="1"/>
  <c r="AL1839" i="1" s="1"/>
  <c r="AM1839" i="1" s="1"/>
  <c r="AK1838" i="1"/>
  <c r="AL1838" i="1" s="1"/>
  <c r="AM1838" i="1" s="1"/>
  <c r="AK1837" i="1"/>
  <c r="AL1837" i="1" s="1"/>
  <c r="AM1837" i="1" s="1"/>
  <c r="AL1836" i="1"/>
  <c r="AM1836" i="1" s="1"/>
  <c r="AK1836" i="1"/>
  <c r="AK1835" i="1"/>
  <c r="AL1835" i="1" s="1"/>
  <c r="AM1835" i="1" s="1"/>
  <c r="AK1834" i="1"/>
  <c r="AL1834" i="1" s="1"/>
  <c r="AM1834" i="1" s="1"/>
  <c r="AK1833" i="1"/>
  <c r="AL1833" i="1" s="1"/>
  <c r="AM1833" i="1" s="1"/>
  <c r="AK1832" i="1"/>
  <c r="AL1832" i="1" s="1"/>
  <c r="AM1832" i="1" s="1"/>
  <c r="AK1831" i="1"/>
  <c r="AL1831" i="1" s="1"/>
  <c r="AM1831" i="1" s="1"/>
  <c r="AL1830" i="1"/>
  <c r="AM1830" i="1" s="1"/>
  <c r="AK1830" i="1"/>
  <c r="AK1829" i="1"/>
  <c r="AL1829" i="1" s="1"/>
  <c r="AM1829" i="1" s="1"/>
  <c r="AK1828" i="1"/>
  <c r="AL1828" i="1" s="1"/>
  <c r="AM1828" i="1" s="1"/>
  <c r="AK1827" i="1"/>
  <c r="AL1827" i="1" s="1"/>
  <c r="AM1827" i="1" s="1"/>
  <c r="AL1826" i="1"/>
  <c r="AM1826" i="1" s="1"/>
  <c r="AK1826" i="1"/>
  <c r="AK1825" i="1"/>
  <c r="AL1825" i="1" s="1"/>
  <c r="AM1825" i="1" s="1"/>
  <c r="AK1824" i="1"/>
  <c r="AL1824" i="1" s="1"/>
  <c r="AM1824" i="1" s="1"/>
  <c r="AK1823" i="1"/>
  <c r="AL1823" i="1" s="1"/>
  <c r="AM1823" i="1" s="1"/>
  <c r="AK1822" i="1"/>
  <c r="AL1822" i="1" s="1"/>
  <c r="AM1822" i="1" s="1"/>
  <c r="AK1821" i="1"/>
  <c r="AL1821" i="1" s="1"/>
  <c r="AM1821" i="1" s="1"/>
  <c r="AK1820" i="1"/>
  <c r="AL1820" i="1" s="1"/>
  <c r="AM1820" i="1" s="1"/>
  <c r="AM1819" i="1"/>
  <c r="AK1819" i="1"/>
  <c r="AL1819" i="1" s="1"/>
  <c r="AK1818" i="1"/>
  <c r="AL1818" i="1" s="1"/>
  <c r="AM1818" i="1" s="1"/>
  <c r="AK1817" i="1"/>
  <c r="AL1817" i="1" s="1"/>
  <c r="AM1817" i="1" s="1"/>
  <c r="AK1816" i="1"/>
  <c r="AL1816" i="1" s="1"/>
  <c r="AM1816" i="1" s="1"/>
  <c r="AK1815" i="1"/>
  <c r="AL1815" i="1" s="1"/>
  <c r="AM1815" i="1" s="1"/>
  <c r="AK1814" i="1"/>
  <c r="AL1814" i="1" s="1"/>
  <c r="AM1814" i="1" s="1"/>
  <c r="AK1813" i="1"/>
  <c r="AL1813" i="1" s="1"/>
  <c r="AM1813" i="1" s="1"/>
  <c r="AK1812" i="1"/>
  <c r="AL1812" i="1" s="1"/>
  <c r="AM1812" i="1" s="1"/>
  <c r="AK1811" i="1"/>
  <c r="AL1811" i="1" s="1"/>
  <c r="AM1811" i="1" s="1"/>
  <c r="AK1810" i="1"/>
  <c r="AL1810" i="1" s="1"/>
  <c r="AM1810" i="1" s="1"/>
  <c r="AK1809" i="1"/>
  <c r="AL1809" i="1" s="1"/>
  <c r="AM1809" i="1" s="1"/>
  <c r="AK1808" i="1"/>
  <c r="AL1808" i="1" s="1"/>
  <c r="AM1808" i="1" s="1"/>
  <c r="AK1807" i="1"/>
  <c r="AL1807" i="1" s="1"/>
  <c r="AM1807" i="1" s="1"/>
  <c r="AK1806" i="1"/>
  <c r="AL1806" i="1" s="1"/>
  <c r="AM1806" i="1" s="1"/>
  <c r="AK1805" i="1"/>
  <c r="AL1805" i="1" s="1"/>
  <c r="AM1805" i="1" s="1"/>
  <c r="AK1804" i="1"/>
  <c r="AL1804" i="1" s="1"/>
  <c r="AM1804" i="1" s="1"/>
  <c r="AK1803" i="1"/>
  <c r="AL1803" i="1" s="1"/>
  <c r="AM1803" i="1" s="1"/>
  <c r="AK1802" i="1"/>
  <c r="AL1802" i="1" s="1"/>
  <c r="AM1802" i="1" s="1"/>
  <c r="AK1801" i="1"/>
  <c r="AL1801" i="1" s="1"/>
  <c r="AM1801" i="1" s="1"/>
  <c r="AK1800" i="1"/>
  <c r="AL1800" i="1" s="1"/>
  <c r="AM1800" i="1" s="1"/>
  <c r="AL1799" i="1"/>
  <c r="AM1799" i="1" s="1"/>
  <c r="AK1799" i="1"/>
  <c r="AK1798" i="1"/>
  <c r="AL1798" i="1" s="1"/>
  <c r="AM1798" i="1" s="1"/>
  <c r="AK1797" i="1"/>
  <c r="AL1797" i="1" s="1"/>
  <c r="AM1797" i="1" s="1"/>
  <c r="AK1796" i="1"/>
  <c r="AL1796" i="1" s="1"/>
  <c r="AM1796" i="1" s="1"/>
  <c r="AK1795" i="1"/>
  <c r="AL1795" i="1" s="1"/>
  <c r="AM1795" i="1" s="1"/>
  <c r="AL1794" i="1"/>
  <c r="AM1794" i="1" s="1"/>
  <c r="AK1794" i="1"/>
  <c r="AK1793" i="1"/>
  <c r="AL1793" i="1" s="1"/>
  <c r="AM1793" i="1" s="1"/>
  <c r="AK1792" i="1"/>
  <c r="AL1792" i="1" s="1"/>
  <c r="AM1792" i="1" s="1"/>
  <c r="AK1791" i="1"/>
  <c r="AL1791" i="1" s="1"/>
  <c r="AM1791" i="1" s="1"/>
  <c r="AK1790" i="1"/>
  <c r="AL1790" i="1" s="1"/>
  <c r="AM1790" i="1" s="1"/>
  <c r="AK1789" i="1"/>
  <c r="AL1789" i="1" s="1"/>
  <c r="AM1789" i="1" s="1"/>
  <c r="AK1788" i="1"/>
  <c r="AL1788" i="1" s="1"/>
  <c r="AM1788" i="1" s="1"/>
  <c r="AK1787" i="1"/>
  <c r="AL1787" i="1" s="1"/>
  <c r="AM1787" i="1" s="1"/>
  <c r="AK1786" i="1"/>
  <c r="AL1786" i="1" s="1"/>
  <c r="AM1786" i="1" s="1"/>
  <c r="AK1785" i="1"/>
  <c r="AL1785" i="1" s="1"/>
  <c r="AM1785" i="1" s="1"/>
  <c r="AK1784" i="1"/>
  <c r="AL1784" i="1" s="1"/>
  <c r="AM1784" i="1" s="1"/>
  <c r="AK1783" i="1"/>
  <c r="AL1783" i="1" s="1"/>
  <c r="AM1783" i="1" s="1"/>
  <c r="AK1782" i="1"/>
  <c r="AL1782" i="1" s="1"/>
  <c r="AM1782" i="1" s="1"/>
  <c r="AK1781" i="1"/>
  <c r="AL1781" i="1" s="1"/>
  <c r="AM1781" i="1" s="1"/>
  <c r="AK1780" i="1"/>
  <c r="AL1780" i="1" s="1"/>
  <c r="AM1780" i="1" s="1"/>
  <c r="AK1779" i="1"/>
  <c r="AL1779" i="1" s="1"/>
  <c r="AM1779" i="1" s="1"/>
  <c r="AK1778" i="1"/>
  <c r="AL1778" i="1" s="1"/>
  <c r="AM1778" i="1" s="1"/>
  <c r="AK1777" i="1"/>
  <c r="AL1777" i="1" s="1"/>
  <c r="AM1777" i="1" s="1"/>
  <c r="AK1776" i="1"/>
  <c r="AL1776" i="1" s="1"/>
  <c r="AM1776" i="1" s="1"/>
  <c r="AK1775" i="1"/>
  <c r="AL1775" i="1" s="1"/>
  <c r="AM1775" i="1" s="1"/>
  <c r="AK1774" i="1"/>
  <c r="AL1774" i="1" s="1"/>
  <c r="AM1774" i="1" s="1"/>
  <c r="AK1773" i="1"/>
  <c r="AL1773" i="1" s="1"/>
  <c r="AM1773" i="1" s="1"/>
  <c r="AK1772" i="1"/>
  <c r="AL1772" i="1" s="1"/>
  <c r="AM1772" i="1" s="1"/>
  <c r="AK1771" i="1"/>
  <c r="AL1771" i="1" s="1"/>
  <c r="AM1771" i="1" s="1"/>
  <c r="AK1770" i="1"/>
  <c r="AL1770" i="1" s="1"/>
  <c r="AM1770" i="1" s="1"/>
  <c r="AK1769" i="1"/>
  <c r="AL1769" i="1" s="1"/>
  <c r="AM1769" i="1" s="1"/>
  <c r="AK1768" i="1"/>
  <c r="AL1768" i="1" s="1"/>
  <c r="AM1768" i="1" s="1"/>
  <c r="AK1767" i="1"/>
  <c r="AL1767" i="1" s="1"/>
  <c r="AM1767" i="1" s="1"/>
  <c r="AL1766" i="1"/>
  <c r="AM1766" i="1" s="1"/>
  <c r="AK1766" i="1"/>
  <c r="AK1765" i="1"/>
  <c r="AL1765" i="1" s="1"/>
  <c r="AM1765" i="1" s="1"/>
  <c r="AL1764" i="1"/>
  <c r="AM1764" i="1" s="1"/>
  <c r="B81" i="5" s="1"/>
  <c r="AK1764" i="1"/>
  <c r="AK1763" i="1"/>
  <c r="AL1763" i="1" s="1"/>
  <c r="AM1763" i="1" s="1"/>
  <c r="AK1762" i="1"/>
  <c r="AL1762" i="1" s="1"/>
  <c r="AM1762" i="1" s="1"/>
  <c r="AK1761" i="1"/>
  <c r="AL1761" i="1" s="1"/>
  <c r="AM1761" i="1" s="1"/>
  <c r="AK1760" i="1"/>
  <c r="AL1760" i="1" s="1"/>
  <c r="AM1760" i="1" s="1"/>
  <c r="AK1759" i="1"/>
  <c r="AL1759" i="1" s="1"/>
  <c r="AM1759" i="1" s="1"/>
  <c r="AK1758" i="1"/>
  <c r="AL1758" i="1" s="1"/>
  <c r="AM1758" i="1" s="1"/>
  <c r="AK1757" i="1"/>
  <c r="AL1757" i="1" s="1"/>
  <c r="AM1757" i="1" s="1"/>
  <c r="AK1756" i="1"/>
  <c r="AL1756" i="1" s="1"/>
  <c r="AM1756" i="1" s="1"/>
  <c r="AK1755" i="1"/>
  <c r="AL1755" i="1" s="1"/>
  <c r="AM1755" i="1" s="1"/>
  <c r="AK1754" i="1"/>
  <c r="AL1754" i="1" s="1"/>
  <c r="AM1754" i="1" s="1"/>
  <c r="AK1753" i="1"/>
  <c r="AL1753" i="1" s="1"/>
  <c r="AM1753" i="1" s="1"/>
  <c r="AK1752" i="1"/>
  <c r="AL1752" i="1" s="1"/>
  <c r="AM1752" i="1" s="1"/>
  <c r="AK1751" i="1"/>
  <c r="AL1751" i="1" s="1"/>
  <c r="AM1751" i="1" s="1"/>
  <c r="AK1750" i="1"/>
  <c r="AL1750" i="1" s="1"/>
  <c r="AM1750" i="1" s="1"/>
  <c r="AK1749" i="1"/>
  <c r="AL1749" i="1" s="1"/>
  <c r="AM1749" i="1" s="1"/>
  <c r="AK1748" i="1"/>
  <c r="AL1748" i="1" s="1"/>
  <c r="AM1748" i="1" s="1"/>
  <c r="AK1747" i="1"/>
  <c r="AL1747" i="1" s="1"/>
  <c r="AM1747" i="1" s="1"/>
  <c r="AK1746" i="1"/>
  <c r="AL1746" i="1" s="1"/>
  <c r="AM1746" i="1" s="1"/>
  <c r="AK1745" i="1"/>
  <c r="AL1745" i="1" s="1"/>
  <c r="AM1745" i="1" s="1"/>
  <c r="AK1744" i="1"/>
  <c r="AL1744" i="1" s="1"/>
  <c r="AM1744" i="1" s="1"/>
  <c r="AK1743" i="1"/>
  <c r="AL1743" i="1" s="1"/>
  <c r="AM1743" i="1" s="1"/>
  <c r="AK1742" i="1"/>
  <c r="AL1742" i="1" s="1"/>
  <c r="AM1742" i="1" s="1"/>
  <c r="AK1741" i="1"/>
  <c r="AL1741" i="1" s="1"/>
  <c r="AM1741" i="1" s="1"/>
  <c r="AL1740" i="1"/>
  <c r="AM1740" i="1" s="1"/>
  <c r="AK1740" i="1"/>
  <c r="AK1739" i="1"/>
  <c r="AL1739" i="1" s="1"/>
  <c r="AM1739" i="1" s="1"/>
  <c r="AK1738" i="1"/>
  <c r="AL1738" i="1" s="1"/>
  <c r="AM1738" i="1" s="1"/>
  <c r="AK1737" i="1"/>
  <c r="AL1737" i="1" s="1"/>
  <c r="AM1737" i="1" s="1"/>
  <c r="AK1736" i="1"/>
  <c r="AL1736" i="1" s="1"/>
  <c r="AM1736" i="1" s="1"/>
  <c r="AK1735" i="1"/>
  <c r="AL1735" i="1" s="1"/>
  <c r="AM1735" i="1" s="1"/>
  <c r="AK1734" i="1"/>
  <c r="AL1734" i="1" s="1"/>
  <c r="AM1734" i="1" s="1"/>
  <c r="AK1733" i="1"/>
  <c r="AL1733" i="1" s="1"/>
  <c r="AM1733" i="1" s="1"/>
  <c r="AK1732" i="1"/>
  <c r="AL1732" i="1" s="1"/>
  <c r="AM1732" i="1" s="1"/>
  <c r="AK1731" i="1"/>
  <c r="AL1731" i="1" s="1"/>
  <c r="AM1731" i="1" s="1"/>
  <c r="AK1730" i="1"/>
  <c r="AL1730" i="1" s="1"/>
  <c r="AM1730" i="1" s="1"/>
  <c r="AL1729" i="1"/>
  <c r="AM1729" i="1" s="1"/>
  <c r="AK1729" i="1"/>
  <c r="AK1728" i="1"/>
  <c r="AL1728" i="1" s="1"/>
  <c r="AM1728" i="1" s="1"/>
  <c r="AK1727" i="1"/>
  <c r="AL1727" i="1" s="1"/>
  <c r="AM1727" i="1" s="1"/>
  <c r="AL1726" i="1"/>
  <c r="AM1726" i="1" s="1"/>
  <c r="AK1726" i="1"/>
  <c r="AK1725" i="1"/>
  <c r="AL1725" i="1" s="1"/>
  <c r="AM1725" i="1" s="1"/>
  <c r="AK1724" i="1"/>
  <c r="AL1724" i="1" s="1"/>
  <c r="AM1724" i="1" s="1"/>
  <c r="AK1723" i="1"/>
  <c r="AL1723" i="1" s="1"/>
  <c r="AM1723" i="1" s="1"/>
  <c r="AK1722" i="1"/>
  <c r="AL1722" i="1" s="1"/>
  <c r="AM1722" i="1" s="1"/>
  <c r="AK1721" i="1"/>
  <c r="AL1721" i="1" s="1"/>
  <c r="AM1721" i="1" s="1"/>
  <c r="AK1720" i="1"/>
  <c r="AL1720" i="1" s="1"/>
  <c r="AM1720" i="1" s="1"/>
  <c r="AK1719" i="1"/>
  <c r="AL1719" i="1" s="1"/>
  <c r="AM1719" i="1" s="1"/>
  <c r="AK1718" i="1"/>
  <c r="AL1718" i="1" s="1"/>
  <c r="AM1718" i="1" s="1"/>
  <c r="AK1717" i="1"/>
  <c r="AL1717" i="1" s="1"/>
  <c r="AM1717" i="1" s="1"/>
  <c r="AK1716" i="1"/>
  <c r="AL1716" i="1" s="1"/>
  <c r="AM1716" i="1" s="1"/>
  <c r="AK1715" i="1"/>
  <c r="AL1715" i="1" s="1"/>
  <c r="AM1715" i="1" s="1"/>
  <c r="AK1714" i="1"/>
  <c r="AL1714" i="1" s="1"/>
  <c r="AM1714" i="1" s="1"/>
  <c r="AK1713" i="1"/>
  <c r="AL1713" i="1" s="1"/>
  <c r="AM1713" i="1" s="1"/>
  <c r="AK1712" i="1"/>
  <c r="AL1712" i="1" s="1"/>
  <c r="AM1712" i="1" s="1"/>
  <c r="AK1711" i="1"/>
  <c r="AL1711" i="1" s="1"/>
  <c r="AM1711" i="1" s="1"/>
  <c r="AK1710" i="1"/>
  <c r="AL1710" i="1" s="1"/>
  <c r="AM1710" i="1" s="1"/>
  <c r="AK1709" i="1"/>
  <c r="AL1709" i="1" s="1"/>
  <c r="AM1709" i="1" s="1"/>
  <c r="AL1708" i="1"/>
  <c r="AM1708" i="1" s="1"/>
  <c r="AK1708" i="1"/>
  <c r="AK1707" i="1"/>
  <c r="AL1707" i="1" s="1"/>
  <c r="AM1707" i="1" s="1"/>
  <c r="AK1706" i="1"/>
  <c r="AL1706" i="1" s="1"/>
  <c r="AM1706" i="1" s="1"/>
  <c r="AK1705" i="1"/>
  <c r="AL1705" i="1" s="1"/>
  <c r="AM1705" i="1" s="1"/>
  <c r="AK1704" i="1"/>
  <c r="AL1704" i="1" s="1"/>
  <c r="AM1704" i="1" s="1"/>
  <c r="AK1703" i="1"/>
  <c r="AL1703" i="1" s="1"/>
  <c r="AM1703" i="1" s="1"/>
  <c r="AK1702" i="1"/>
  <c r="AL1702" i="1" s="1"/>
  <c r="AM1702" i="1" s="1"/>
  <c r="AK1701" i="1"/>
  <c r="AL1701" i="1" s="1"/>
  <c r="AM1701" i="1" s="1"/>
  <c r="AK1700" i="1"/>
  <c r="AL1700" i="1" s="1"/>
  <c r="AM1700" i="1" s="1"/>
  <c r="AK1699" i="1"/>
  <c r="AL1699" i="1" s="1"/>
  <c r="AM1699" i="1" s="1"/>
  <c r="AK1698" i="1"/>
  <c r="AL1698" i="1" s="1"/>
  <c r="AM1698" i="1" s="1"/>
  <c r="AK1697" i="1"/>
  <c r="AL1697" i="1" s="1"/>
  <c r="AM1697" i="1" s="1"/>
  <c r="AK1696" i="1"/>
  <c r="AL1696" i="1" s="1"/>
  <c r="AM1696" i="1" s="1"/>
  <c r="AK1695" i="1"/>
  <c r="AL1695" i="1" s="1"/>
  <c r="AM1695" i="1" s="1"/>
  <c r="AK1694" i="1"/>
  <c r="AL1694" i="1" s="1"/>
  <c r="AM1694" i="1" s="1"/>
  <c r="AK1693" i="1"/>
  <c r="AL1693" i="1" s="1"/>
  <c r="AM1693" i="1" s="1"/>
  <c r="AK1692" i="1"/>
  <c r="AL1692" i="1" s="1"/>
  <c r="AM1692" i="1" s="1"/>
  <c r="AK1691" i="1"/>
  <c r="AL1691" i="1" s="1"/>
  <c r="AM1691" i="1" s="1"/>
  <c r="AK1690" i="1"/>
  <c r="AL1690" i="1" s="1"/>
  <c r="AM1690" i="1" s="1"/>
  <c r="AK1689" i="1"/>
  <c r="AL1689" i="1" s="1"/>
  <c r="AM1689" i="1" s="1"/>
  <c r="AK1688" i="1"/>
  <c r="AL1688" i="1" s="1"/>
  <c r="AM1688" i="1" s="1"/>
  <c r="AK1687" i="1"/>
  <c r="AL1687" i="1" s="1"/>
  <c r="AM1687" i="1" s="1"/>
  <c r="AK1686" i="1"/>
  <c r="AL1686" i="1" s="1"/>
  <c r="AM1686" i="1" s="1"/>
  <c r="AK1685" i="1"/>
  <c r="AL1685" i="1" s="1"/>
  <c r="AM1685" i="1" s="1"/>
  <c r="AK1684" i="1"/>
  <c r="AL1684" i="1" s="1"/>
  <c r="AM1684" i="1" s="1"/>
  <c r="AK1683" i="1"/>
  <c r="AL1683" i="1" s="1"/>
  <c r="AM1683" i="1" s="1"/>
  <c r="AK1682" i="1"/>
  <c r="AL1682" i="1" s="1"/>
  <c r="AM1682" i="1" s="1"/>
  <c r="AK1681" i="1"/>
  <c r="AL1681" i="1" s="1"/>
  <c r="AM1681" i="1" s="1"/>
  <c r="AK1680" i="1"/>
  <c r="AL1680" i="1" s="1"/>
  <c r="AM1680" i="1" s="1"/>
  <c r="AK1679" i="1"/>
  <c r="AL1679" i="1" s="1"/>
  <c r="AM1679" i="1" s="1"/>
  <c r="AK1678" i="1"/>
  <c r="AL1678" i="1" s="1"/>
  <c r="AM1678" i="1" s="1"/>
  <c r="AK1677" i="1"/>
  <c r="AL1677" i="1" s="1"/>
  <c r="AM1677" i="1" s="1"/>
  <c r="AK1676" i="1"/>
  <c r="AL1676" i="1" s="1"/>
  <c r="AM1676" i="1" s="1"/>
  <c r="AK1675" i="1"/>
  <c r="AL1675" i="1" s="1"/>
  <c r="AM1675" i="1" s="1"/>
  <c r="AK1674" i="1"/>
  <c r="AL1674" i="1" s="1"/>
  <c r="AM1674" i="1" s="1"/>
  <c r="AK1673" i="1"/>
  <c r="AL1673" i="1" s="1"/>
  <c r="AM1673" i="1" s="1"/>
  <c r="AK1672" i="1"/>
  <c r="AL1672" i="1" s="1"/>
  <c r="AM1672" i="1" s="1"/>
  <c r="AK1671" i="1"/>
  <c r="AL1671" i="1" s="1"/>
  <c r="AM1671" i="1" s="1"/>
  <c r="AK1670" i="1"/>
  <c r="AL1670" i="1" s="1"/>
  <c r="AM1670" i="1" s="1"/>
  <c r="AK1669" i="1"/>
  <c r="AL1669" i="1" s="1"/>
  <c r="AM1669" i="1" s="1"/>
  <c r="AK1668" i="1"/>
  <c r="AL1668" i="1" s="1"/>
  <c r="AM1668" i="1" s="1"/>
  <c r="AK1667" i="1"/>
  <c r="AL1667" i="1" s="1"/>
  <c r="AM1667" i="1" s="1"/>
  <c r="AK1666" i="1"/>
  <c r="AL1666" i="1" s="1"/>
  <c r="AM1666" i="1" s="1"/>
  <c r="AK1665" i="1"/>
  <c r="AL1665" i="1" s="1"/>
  <c r="AM1665" i="1" s="1"/>
  <c r="AK1664" i="1"/>
  <c r="AL1664" i="1" s="1"/>
  <c r="AM1664" i="1" s="1"/>
  <c r="AK1663" i="1"/>
  <c r="AL1663" i="1" s="1"/>
  <c r="AM1663" i="1" s="1"/>
  <c r="AK1662" i="1"/>
  <c r="AL1662" i="1" s="1"/>
  <c r="AM1662" i="1" s="1"/>
  <c r="AK1661" i="1"/>
  <c r="AL1661" i="1" s="1"/>
  <c r="AM1661" i="1" s="1"/>
  <c r="AK1660" i="1"/>
  <c r="AL1660" i="1" s="1"/>
  <c r="AM1660" i="1" s="1"/>
  <c r="AK1659" i="1"/>
  <c r="AL1659" i="1" s="1"/>
  <c r="AM1659" i="1" s="1"/>
  <c r="AK1658" i="1"/>
  <c r="AL1658" i="1" s="1"/>
  <c r="AM1658" i="1" s="1"/>
  <c r="AK1657" i="1"/>
  <c r="AL1657" i="1" s="1"/>
  <c r="AM1657" i="1" s="1"/>
  <c r="AK1656" i="1"/>
  <c r="AL1656" i="1" s="1"/>
  <c r="AM1656" i="1" s="1"/>
  <c r="AK1655" i="1"/>
  <c r="AL1655" i="1" s="1"/>
  <c r="AM1655" i="1" s="1"/>
  <c r="AK1654" i="1"/>
  <c r="AL1654" i="1" s="1"/>
  <c r="AM1654" i="1" s="1"/>
  <c r="AK1653" i="1"/>
  <c r="AL1653" i="1" s="1"/>
  <c r="AM1653" i="1" s="1"/>
  <c r="AK1652" i="1"/>
  <c r="AL1652" i="1" s="1"/>
  <c r="AM1652" i="1" s="1"/>
  <c r="AK1651" i="1"/>
  <c r="AL1651" i="1" s="1"/>
  <c r="AM1651" i="1" s="1"/>
  <c r="AK1650" i="1"/>
  <c r="AL1650" i="1" s="1"/>
  <c r="AM1650" i="1" s="1"/>
  <c r="AK1649" i="1"/>
  <c r="AL1649" i="1" s="1"/>
  <c r="AM1649" i="1" s="1"/>
  <c r="AK1648" i="1"/>
  <c r="AL1648" i="1" s="1"/>
  <c r="AM1648" i="1" s="1"/>
  <c r="AK1647" i="1"/>
  <c r="AL1647" i="1" s="1"/>
  <c r="AM1647" i="1" s="1"/>
  <c r="AK1646" i="1"/>
  <c r="AL1646" i="1" s="1"/>
  <c r="AM1646" i="1" s="1"/>
  <c r="AK1645" i="1"/>
  <c r="AL1645" i="1" s="1"/>
  <c r="AM1645" i="1" s="1"/>
  <c r="AK1644" i="1"/>
  <c r="AL1644" i="1" s="1"/>
  <c r="AM1644" i="1" s="1"/>
  <c r="AK1643" i="1"/>
  <c r="AL1643" i="1" s="1"/>
  <c r="AM1643" i="1" s="1"/>
  <c r="AK1642" i="1"/>
  <c r="AL1642" i="1" s="1"/>
  <c r="AM1642" i="1" s="1"/>
  <c r="AK1641" i="1"/>
  <c r="AL1641" i="1" s="1"/>
  <c r="AM1641" i="1" s="1"/>
  <c r="AK1640" i="1"/>
  <c r="AL1640" i="1" s="1"/>
  <c r="AM1640" i="1" s="1"/>
  <c r="AK1639" i="1"/>
  <c r="AL1639" i="1" s="1"/>
  <c r="AM1639" i="1" s="1"/>
  <c r="AK1638" i="1"/>
  <c r="AL1638" i="1" s="1"/>
  <c r="AM1638" i="1" s="1"/>
  <c r="AK1637" i="1"/>
  <c r="AL1637" i="1" s="1"/>
  <c r="AM1637" i="1" s="1"/>
  <c r="AK1636" i="1"/>
  <c r="AL1636" i="1" s="1"/>
  <c r="AM1636" i="1" s="1"/>
  <c r="AK1635" i="1"/>
  <c r="AL1635" i="1" s="1"/>
  <c r="AM1635" i="1" s="1"/>
  <c r="AK1634" i="1"/>
  <c r="AL1634" i="1" s="1"/>
  <c r="AM1634" i="1" s="1"/>
  <c r="AK1633" i="1"/>
  <c r="AL1633" i="1" s="1"/>
  <c r="AM1633" i="1" s="1"/>
  <c r="AK1632" i="1"/>
  <c r="AL1632" i="1" s="1"/>
  <c r="AM1632" i="1" s="1"/>
  <c r="AK1631" i="1"/>
  <c r="AL1631" i="1" s="1"/>
  <c r="AM1631" i="1" s="1"/>
  <c r="AK1630" i="1"/>
  <c r="AL1630" i="1" s="1"/>
  <c r="AM1630" i="1" s="1"/>
  <c r="AK1629" i="1"/>
  <c r="AL1629" i="1" s="1"/>
  <c r="AM1629" i="1" s="1"/>
  <c r="AK1628" i="1"/>
  <c r="AL1628" i="1" s="1"/>
  <c r="AM1628" i="1" s="1"/>
  <c r="AL1627" i="1"/>
  <c r="AM1627" i="1" s="1"/>
  <c r="AK1627" i="1"/>
  <c r="AK1626" i="1"/>
  <c r="AL1626" i="1" s="1"/>
  <c r="AM1626" i="1" s="1"/>
  <c r="AK1625" i="1"/>
  <c r="AL1625" i="1" s="1"/>
  <c r="AM1625" i="1" s="1"/>
  <c r="AK1624" i="1"/>
  <c r="AL1624" i="1" s="1"/>
  <c r="AM1624" i="1" s="1"/>
  <c r="AK1623" i="1"/>
  <c r="AL1623" i="1" s="1"/>
  <c r="AM1623" i="1" s="1"/>
  <c r="AK1622" i="1"/>
  <c r="AL1622" i="1" s="1"/>
  <c r="AM1622" i="1" s="1"/>
  <c r="AK1621" i="1"/>
  <c r="AL1621" i="1" s="1"/>
  <c r="AM1621" i="1" s="1"/>
  <c r="AK1620" i="1"/>
  <c r="AL1620" i="1" s="1"/>
  <c r="AM1620" i="1" s="1"/>
  <c r="AK1619" i="1"/>
  <c r="AL1619" i="1" s="1"/>
  <c r="AM1619" i="1" s="1"/>
  <c r="AK1618" i="1"/>
  <c r="AL1618" i="1" s="1"/>
  <c r="AM1618" i="1" s="1"/>
  <c r="AK1617" i="1"/>
  <c r="AL1617" i="1" s="1"/>
  <c r="AM1617" i="1" s="1"/>
  <c r="AK1616" i="1"/>
  <c r="AL1616" i="1" s="1"/>
  <c r="AM1616" i="1" s="1"/>
  <c r="AK1615" i="1"/>
  <c r="AL1615" i="1" s="1"/>
  <c r="AM1615" i="1" s="1"/>
  <c r="AK1614" i="1"/>
  <c r="AL1614" i="1" s="1"/>
  <c r="AM1614" i="1" s="1"/>
  <c r="AK1613" i="1"/>
  <c r="AL1613" i="1" s="1"/>
  <c r="AM1613" i="1" s="1"/>
  <c r="AL1612" i="1"/>
  <c r="AM1612" i="1" s="1"/>
  <c r="AK1612" i="1"/>
  <c r="AK1611" i="1"/>
  <c r="AL1611" i="1" s="1"/>
  <c r="AM1611" i="1" s="1"/>
  <c r="AK1610" i="1"/>
  <c r="AL1610" i="1" s="1"/>
  <c r="AM1610" i="1" s="1"/>
  <c r="AK1609" i="1"/>
  <c r="AL1609" i="1" s="1"/>
  <c r="AM1609" i="1" s="1"/>
  <c r="AK1608" i="1"/>
  <c r="AL1608" i="1" s="1"/>
  <c r="AM1608" i="1" s="1"/>
  <c r="AK1607" i="1"/>
  <c r="AL1607" i="1" s="1"/>
  <c r="AM1607" i="1" s="1"/>
  <c r="AK1606" i="1"/>
  <c r="AL1606" i="1" s="1"/>
  <c r="AM1606" i="1" s="1"/>
  <c r="AK1605" i="1"/>
  <c r="AL1605" i="1" s="1"/>
  <c r="AM1605" i="1" s="1"/>
  <c r="AK1604" i="1"/>
  <c r="AL1604" i="1" s="1"/>
  <c r="AM1604" i="1" s="1"/>
  <c r="AK1603" i="1"/>
  <c r="AL1603" i="1" s="1"/>
  <c r="AM1603" i="1" s="1"/>
  <c r="AK1602" i="1"/>
  <c r="AL1602" i="1" s="1"/>
  <c r="AM1602" i="1" s="1"/>
  <c r="AK1601" i="1"/>
  <c r="AL1601" i="1" s="1"/>
  <c r="AM1601" i="1" s="1"/>
  <c r="AK1600" i="1"/>
  <c r="AL1600" i="1" s="1"/>
  <c r="AM1600" i="1" s="1"/>
  <c r="AK1599" i="1"/>
  <c r="AL1599" i="1" s="1"/>
  <c r="AM1599" i="1" s="1"/>
  <c r="AK1598" i="1"/>
  <c r="AL1598" i="1" s="1"/>
  <c r="AM1598" i="1" s="1"/>
  <c r="AK1597" i="1"/>
  <c r="AL1597" i="1" s="1"/>
  <c r="AM1597" i="1" s="1"/>
  <c r="AK1596" i="1"/>
  <c r="AL1596" i="1" s="1"/>
  <c r="AM1596" i="1" s="1"/>
  <c r="AL1595" i="1"/>
  <c r="AM1595" i="1" s="1"/>
  <c r="AK1595" i="1"/>
  <c r="AK1594" i="1"/>
  <c r="AL1594" i="1" s="1"/>
  <c r="AM1594" i="1" s="1"/>
  <c r="AK1593" i="1"/>
  <c r="AL1593" i="1" s="1"/>
  <c r="AM1593" i="1" s="1"/>
  <c r="AK1592" i="1"/>
  <c r="AL1592" i="1" s="1"/>
  <c r="AM1592" i="1" s="1"/>
  <c r="AK1591" i="1"/>
  <c r="AL1591" i="1" s="1"/>
  <c r="AM1591" i="1" s="1"/>
  <c r="AK1590" i="1"/>
  <c r="AL1590" i="1" s="1"/>
  <c r="AM1590" i="1" s="1"/>
  <c r="AK1589" i="1"/>
  <c r="AL1589" i="1" s="1"/>
  <c r="AM1589" i="1" s="1"/>
  <c r="AK1588" i="1"/>
  <c r="AL1588" i="1" s="1"/>
  <c r="AM1588" i="1" s="1"/>
  <c r="AK1587" i="1"/>
  <c r="AL1587" i="1" s="1"/>
  <c r="AM1587" i="1" s="1"/>
  <c r="AK1586" i="1"/>
  <c r="AL1586" i="1" s="1"/>
  <c r="AM1586" i="1" s="1"/>
  <c r="AK1585" i="1"/>
  <c r="AL1585" i="1" s="1"/>
  <c r="AM1585" i="1" s="1"/>
  <c r="AK1584" i="1"/>
  <c r="AL1584" i="1" s="1"/>
  <c r="AM1584" i="1" s="1"/>
  <c r="AK1583" i="1"/>
  <c r="AL1583" i="1" s="1"/>
  <c r="AM1583" i="1" s="1"/>
  <c r="AK1582" i="1"/>
  <c r="AL1582" i="1" s="1"/>
  <c r="AM1582" i="1" s="1"/>
  <c r="AK1581" i="1"/>
  <c r="AL1581" i="1" s="1"/>
  <c r="AM1581" i="1" s="1"/>
  <c r="AK1580" i="1"/>
  <c r="AL1580" i="1" s="1"/>
  <c r="AM1580" i="1" s="1"/>
  <c r="AL1579" i="1"/>
  <c r="AM1579" i="1" s="1"/>
  <c r="AK1579" i="1"/>
  <c r="AK1578" i="1"/>
  <c r="AL1578" i="1" s="1"/>
  <c r="AM1578" i="1" s="1"/>
  <c r="AK1577" i="1"/>
  <c r="AL1577" i="1" s="1"/>
  <c r="AM1577" i="1" s="1"/>
  <c r="AK1576" i="1"/>
  <c r="AL1576" i="1" s="1"/>
  <c r="AM1576" i="1" s="1"/>
  <c r="AK1575" i="1"/>
  <c r="AL1575" i="1" s="1"/>
  <c r="AM1575" i="1" s="1"/>
  <c r="AK1574" i="1"/>
  <c r="AL1574" i="1" s="1"/>
  <c r="AM1574" i="1" s="1"/>
  <c r="AK1573" i="1"/>
  <c r="AL1573" i="1" s="1"/>
  <c r="AM1573" i="1" s="1"/>
  <c r="AK1572" i="1"/>
  <c r="AL1572" i="1" s="1"/>
  <c r="AM1572" i="1" s="1"/>
  <c r="AK1571" i="1"/>
  <c r="AL1571" i="1" s="1"/>
  <c r="AM1571" i="1" s="1"/>
  <c r="AA1571" i="1"/>
  <c r="Z1571" i="1"/>
  <c r="Y1571" i="1"/>
  <c r="X1571" i="1"/>
  <c r="W1571" i="1"/>
  <c r="AK1570" i="1"/>
  <c r="AL1570" i="1" s="1"/>
  <c r="AM1570" i="1" s="1"/>
  <c r="AA1570" i="1"/>
  <c r="Z1570" i="1"/>
  <c r="Y1570" i="1"/>
  <c r="X1570" i="1"/>
  <c r="W1570" i="1"/>
  <c r="AK1569" i="1"/>
  <c r="AL1569" i="1" s="1"/>
  <c r="AM1569" i="1" s="1"/>
  <c r="AA1569" i="1"/>
  <c r="Z1569" i="1"/>
  <c r="Y1569" i="1"/>
  <c r="X1569" i="1"/>
  <c r="W1569" i="1"/>
  <c r="AK1568" i="1"/>
  <c r="AL1568" i="1" s="1"/>
  <c r="AM1568" i="1" s="1"/>
  <c r="AA1568" i="1"/>
  <c r="Z1568" i="1"/>
  <c r="Y1568" i="1"/>
  <c r="X1568" i="1"/>
  <c r="W1568" i="1"/>
  <c r="AK1567" i="1"/>
  <c r="AL1567" i="1" s="1"/>
  <c r="AM1567" i="1" s="1"/>
  <c r="AA1567" i="1"/>
  <c r="Z1567" i="1"/>
  <c r="Y1567" i="1"/>
  <c r="X1567" i="1"/>
  <c r="W1567" i="1"/>
  <c r="AK1566" i="1"/>
  <c r="AL1566" i="1" s="1"/>
  <c r="AM1566" i="1" s="1"/>
  <c r="AA1566" i="1"/>
  <c r="Z1566" i="1"/>
  <c r="Y1566" i="1"/>
  <c r="X1566" i="1"/>
  <c r="W1566" i="1"/>
  <c r="AK1565" i="1"/>
  <c r="AL1565" i="1" s="1"/>
  <c r="AM1565" i="1" s="1"/>
  <c r="AA1565" i="1"/>
  <c r="Z1565" i="1"/>
  <c r="Y1565" i="1"/>
  <c r="X1565" i="1"/>
  <c r="W1565" i="1"/>
  <c r="AK1564" i="1"/>
  <c r="AL1564" i="1" s="1"/>
  <c r="AM1564" i="1" s="1"/>
  <c r="AA1564" i="1"/>
  <c r="Z1564" i="1"/>
  <c r="Y1564" i="1"/>
  <c r="X1564" i="1"/>
  <c r="W1564" i="1"/>
  <c r="AK1563" i="1"/>
  <c r="AL1563" i="1" s="1"/>
  <c r="AM1563" i="1" s="1"/>
  <c r="AA1563" i="1"/>
  <c r="Z1563" i="1"/>
  <c r="Y1563" i="1"/>
  <c r="X1563" i="1"/>
  <c r="W1563" i="1"/>
  <c r="AK1562" i="1"/>
  <c r="AL1562" i="1" s="1"/>
  <c r="AM1562" i="1" s="1"/>
  <c r="AA1562" i="1"/>
  <c r="Z1562" i="1"/>
  <c r="Y1562" i="1"/>
  <c r="X1562" i="1"/>
  <c r="W1562" i="1"/>
  <c r="AK1561" i="1"/>
  <c r="AL1561" i="1" s="1"/>
  <c r="AM1561" i="1" s="1"/>
  <c r="AA1561" i="1"/>
  <c r="Z1561" i="1"/>
  <c r="Y1561" i="1"/>
  <c r="X1561" i="1"/>
  <c r="W1561" i="1"/>
  <c r="AK1560" i="1"/>
  <c r="AL1560" i="1" s="1"/>
  <c r="AM1560" i="1" s="1"/>
  <c r="AA1560" i="1"/>
  <c r="Z1560" i="1"/>
  <c r="Y1560" i="1"/>
  <c r="X1560" i="1"/>
  <c r="W1560" i="1"/>
  <c r="AK1559" i="1"/>
  <c r="AL1559" i="1" s="1"/>
  <c r="AM1559" i="1" s="1"/>
  <c r="AA1559" i="1"/>
  <c r="Z1559" i="1"/>
  <c r="Y1559" i="1"/>
  <c r="X1559" i="1"/>
  <c r="W1559" i="1"/>
  <c r="AK1558" i="1"/>
  <c r="AL1558" i="1" s="1"/>
  <c r="AM1558" i="1" s="1"/>
  <c r="AA1558" i="1"/>
  <c r="Z1558" i="1"/>
  <c r="Y1558" i="1"/>
  <c r="X1558" i="1"/>
  <c r="W1558" i="1"/>
  <c r="AK1557" i="1"/>
  <c r="AL1557" i="1" s="1"/>
  <c r="AM1557" i="1" s="1"/>
  <c r="AA1557" i="1"/>
  <c r="Z1557" i="1"/>
  <c r="Y1557" i="1"/>
  <c r="X1557" i="1"/>
  <c r="W1557" i="1"/>
  <c r="AK1556" i="1"/>
  <c r="AL1556" i="1" s="1"/>
  <c r="AM1556" i="1" s="1"/>
  <c r="AA1556" i="1"/>
  <c r="Z1556" i="1"/>
  <c r="Y1556" i="1"/>
  <c r="X1556" i="1"/>
  <c r="W1556" i="1"/>
  <c r="AK1555" i="1"/>
  <c r="AL1555" i="1" s="1"/>
  <c r="AM1555" i="1" s="1"/>
  <c r="AA1555" i="1"/>
  <c r="Z1555" i="1"/>
  <c r="Y1555" i="1"/>
  <c r="X1555" i="1"/>
  <c r="W1555" i="1"/>
  <c r="AK1554" i="1"/>
  <c r="AL1554" i="1" s="1"/>
  <c r="AM1554" i="1" s="1"/>
  <c r="B57" i="5" s="1"/>
  <c r="AA1554" i="1"/>
  <c r="Z1554" i="1"/>
  <c r="Y1554" i="1"/>
  <c r="X1554" i="1"/>
  <c r="W1554" i="1"/>
  <c r="AK1553" i="1"/>
  <c r="AL1553" i="1" s="1"/>
  <c r="AM1553" i="1" s="1"/>
  <c r="AA1553" i="1"/>
  <c r="Z1553" i="1"/>
  <c r="Y1553" i="1"/>
  <c r="X1553" i="1"/>
  <c r="W1553" i="1"/>
  <c r="AK1552" i="1"/>
  <c r="AL1552" i="1" s="1"/>
  <c r="AM1552" i="1" s="1"/>
  <c r="AA1552" i="1"/>
  <c r="Z1552" i="1"/>
  <c r="Y1552" i="1"/>
  <c r="X1552" i="1"/>
  <c r="W1552" i="1"/>
  <c r="AL1551" i="1"/>
  <c r="AM1551" i="1" s="1"/>
  <c r="AK1551" i="1"/>
  <c r="AA1551" i="1"/>
  <c r="Z1551" i="1"/>
  <c r="Y1551" i="1"/>
  <c r="X1551" i="1"/>
  <c r="W1551" i="1"/>
  <c r="AK1550" i="1"/>
  <c r="AL1550" i="1" s="1"/>
  <c r="AM1550" i="1" s="1"/>
  <c r="AA1550" i="1"/>
  <c r="Z1550" i="1"/>
  <c r="Y1550" i="1"/>
  <c r="X1550" i="1"/>
  <c r="W1550" i="1"/>
  <c r="AK1549" i="1"/>
  <c r="AL1549" i="1" s="1"/>
  <c r="AM1549" i="1" s="1"/>
  <c r="AA1549" i="1"/>
  <c r="Z1549" i="1"/>
  <c r="Y1549" i="1"/>
  <c r="X1549" i="1"/>
  <c r="W1549" i="1"/>
  <c r="AK1548" i="1"/>
  <c r="AL1548" i="1" s="1"/>
  <c r="AM1548" i="1" s="1"/>
  <c r="AA1548" i="1"/>
  <c r="Z1548" i="1"/>
  <c r="Y1548" i="1"/>
  <c r="X1548" i="1"/>
  <c r="W1548" i="1"/>
  <c r="AK1547" i="1"/>
  <c r="AL1547" i="1" s="1"/>
  <c r="AM1547" i="1" s="1"/>
  <c r="AA1547" i="1"/>
  <c r="Z1547" i="1"/>
  <c r="Y1547" i="1"/>
  <c r="X1547" i="1"/>
  <c r="W1547" i="1"/>
  <c r="AK1546" i="1"/>
  <c r="AL1546" i="1" s="1"/>
  <c r="AM1546" i="1" s="1"/>
  <c r="AA1546" i="1"/>
  <c r="Z1546" i="1"/>
  <c r="Y1546" i="1"/>
  <c r="X1546" i="1"/>
  <c r="W1546" i="1"/>
  <c r="AK1545" i="1"/>
  <c r="AL1545" i="1" s="1"/>
  <c r="AM1545" i="1" s="1"/>
  <c r="AA1545" i="1"/>
  <c r="Z1545" i="1"/>
  <c r="Y1545" i="1"/>
  <c r="X1545" i="1"/>
  <c r="W1545" i="1"/>
  <c r="AK1544" i="1"/>
  <c r="AL1544" i="1" s="1"/>
  <c r="AM1544" i="1" s="1"/>
  <c r="AA1544" i="1"/>
  <c r="Z1544" i="1"/>
  <c r="Y1544" i="1"/>
  <c r="X1544" i="1"/>
  <c r="W1544" i="1"/>
  <c r="AK1543" i="1"/>
  <c r="AL1543" i="1" s="1"/>
  <c r="AM1543" i="1" s="1"/>
  <c r="AA1543" i="1"/>
  <c r="Z1543" i="1"/>
  <c r="Y1543" i="1"/>
  <c r="X1543" i="1"/>
  <c r="W1543" i="1"/>
  <c r="AK1542" i="1"/>
  <c r="AL1542" i="1" s="1"/>
  <c r="AM1542" i="1" s="1"/>
  <c r="AA1542" i="1"/>
  <c r="Z1542" i="1"/>
  <c r="Y1542" i="1"/>
  <c r="X1542" i="1"/>
  <c r="W1542" i="1"/>
  <c r="AK1541" i="1"/>
  <c r="AL1541" i="1" s="1"/>
  <c r="AM1541" i="1" s="1"/>
  <c r="AA1541" i="1"/>
  <c r="Z1541" i="1"/>
  <c r="Y1541" i="1"/>
  <c r="X1541" i="1"/>
  <c r="W1541" i="1"/>
  <c r="AK1540" i="1"/>
  <c r="AL1540" i="1" s="1"/>
  <c r="AM1540" i="1" s="1"/>
  <c r="AA1540" i="1"/>
  <c r="Z1540" i="1"/>
  <c r="Y1540" i="1"/>
  <c r="X1540" i="1"/>
  <c r="W1540" i="1"/>
  <c r="AK1539" i="1"/>
  <c r="AL1539" i="1" s="1"/>
  <c r="AM1539" i="1" s="1"/>
  <c r="AA1539" i="1"/>
  <c r="Z1539" i="1"/>
  <c r="Y1539" i="1"/>
  <c r="X1539" i="1"/>
  <c r="W1539" i="1"/>
  <c r="AK1538" i="1"/>
  <c r="AL1538" i="1" s="1"/>
  <c r="AM1538" i="1" s="1"/>
  <c r="AA1538" i="1"/>
  <c r="Z1538" i="1"/>
  <c r="Y1538" i="1"/>
  <c r="X1538" i="1"/>
  <c r="W1538" i="1"/>
  <c r="AK1537" i="1"/>
  <c r="AL1537" i="1" s="1"/>
  <c r="AM1537" i="1" s="1"/>
  <c r="AA1537" i="1"/>
  <c r="Z1537" i="1"/>
  <c r="Y1537" i="1"/>
  <c r="X1537" i="1"/>
  <c r="W1537" i="1"/>
  <c r="AK1536" i="1"/>
  <c r="AL1536" i="1" s="1"/>
  <c r="AM1536" i="1" s="1"/>
  <c r="AA1536" i="1"/>
  <c r="Z1536" i="1"/>
  <c r="Y1536" i="1"/>
  <c r="X1536" i="1"/>
  <c r="W1536" i="1"/>
  <c r="AK1535" i="1"/>
  <c r="AL1535" i="1" s="1"/>
  <c r="AM1535" i="1" s="1"/>
  <c r="AA1535" i="1"/>
  <c r="Z1535" i="1"/>
  <c r="Y1535" i="1"/>
  <c r="X1535" i="1"/>
  <c r="W1535" i="1"/>
  <c r="AK1534" i="1"/>
  <c r="AL1534" i="1" s="1"/>
  <c r="AM1534" i="1" s="1"/>
  <c r="AA1534" i="1"/>
  <c r="Z1534" i="1"/>
  <c r="Y1534" i="1"/>
  <c r="X1534" i="1"/>
  <c r="W1534" i="1"/>
  <c r="AK1533" i="1"/>
  <c r="AL1533" i="1" s="1"/>
  <c r="AM1533" i="1" s="1"/>
  <c r="AA1533" i="1"/>
  <c r="Z1533" i="1"/>
  <c r="Y1533" i="1"/>
  <c r="X1533" i="1"/>
  <c r="W1533" i="1"/>
  <c r="AK1532" i="1"/>
  <c r="AL1532" i="1" s="1"/>
  <c r="AM1532" i="1" s="1"/>
  <c r="AA1532" i="1"/>
  <c r="Z1532" i="1"/>
  <c r="Y1532" i="1"/>
  <c r="X1532" i="1"/>
  <c r="W1532" i="1"/>
  <c r="AK1531" i="1"/>
  <c r="AL1531" i="1" s="1"/>
  <c r="AM1531" i="1" s="1"/>
  <c r="AA1531" i="1"/>
  <c r="Z1531" i="1"/>
  <c r="Y1531" i="1"/>
  <c r="X1531" i="1"/>
  <c r="W1531" i="1"/>
  <c r="AK1530" i="1"/>
  <c r="AL1530" i="1" s="1"/>
  <c r="AM1530" i="1" s="1"/>
  <c r="AA1530" i="1"/>
  <c r="Z1530" i="1"/>
  <c r="Y1530" i="1"/>
  <c r="X1530" i="1"/>
  <c r="W1530" i="1"/>
  <c r="AK1529" i="1"/>
  <c r="AL1529" i="1" s="1"/>
  <c r="AM1529" i="1" s="1"/>
  <c r="AA1529" i="1"/>
  <c r="Z1529" i="1"/>
  <c r="Y1529" i="1"/>
  <c r="X1529" i="1"/>
  <c r="W1529" i="1"/>
  <c r="AK1528" i="1"/>
  <c r="AL1528" i="1" s="1"/>
  <c r="AM1528" i="1" s="1"/>
  <c r="AA1528" i="1"/>
  <c r="Z1528" i="1"/>
  <c r="Y1528" i="1"/>
  <c r="X1528" i="1"/>
  <c r="W1528" i="1"/>
  <c r="AK1527" i="1"/>
  <c r="AL1527" i="1" s="1"/>
  <c r="AM1527" i="1" s="1"/>
  <c r="AA1527" i="1"/>
  <c r="Z1527" i="1"/>
  <c r="Y1527" i="1"/>
  <c r="X1527" i="1"/>
  <c r="W1527" i="1"/>
  <c r="AK1526" i="1"/>
  <c r="AL1526" i="1" s="1"/>
  <c r="AM1526" i="1" s="1"/>
  <c r="AA1526" i="1"/>
  <c r="Z1526" i="1"/>
  <c r="Y1526" i="1"/>
  <c r="X1526" i="1"/>
  <c r="W1526" i="1"/>
  <c r="AK1525" i="1"/>
  <c r="AL1525" i="1" s="1"/>
  <c r="AM1525" i="1" s="1"/>
  <c r="AA1525" i="1"/>
  <c r="Z1525" i="1"/>
  <c r="Y1525" i="1"/>
  <c r="X1525" i="1"/>
  <c r="W1525" i="1"/>
  <c r="AK1524" i="1"/>
  <c r="AL1524" i="1" s="1"/>
  <c r="AM1524" i="1" s="1"/>
  <c r="AA1524" i="1"/>
  <c r="Z1524" i="1"/>
  <c r="Y1524" i="1"/>
  <c r="X1524" i="1"/>
  <c r="W1524" i="1"/>
  <c r="AK1523" i="1"/>
  <c r="AL1523" i="1" s="1"/>
  <c r="AM1523" i="1" s="1"/>
  <c r="AA1523" i="1"/>
  <c r="Z1523" i="1"/>
  <c r="Y1523" i="1"/>
  <c r="X1523" i="1"/>
  <c r="W1523" i="1"/>
  <c r="AK1522" i="1"/>
  <c r="AL1522" i="1" s="1"/>
  <c r="AM1522" i="1" s="1"/>
  <c r="AA1522" i="1"/>
  <c r="Z1522" i="1"/>
  <c r="Y1522" i="1"/>
  <c r="X1522" i="1"/>
  <c r="W1522" i="1"/>
  <c r="AK1521" i="1"/>
  <c r="AL1521" i="1" s="1"/>
  <c r="AM1521" i="1" s="1"/>
  <c r="AA1521" i="1"/>
  <c r="Z1521" i="1"/>
  <c r="Y1521" i="1"/>
  <c r="X1521" i="1"/>
  <c r="W1521" i="1"/>
  <c r="AK1520" i="1"/>
  <c r="AL1520" i="1" s="1"/>
  <c r="AM1520" i="1" s="1"/>
  <c r="AA1520" i="1"/>
  <c r="Z1520" i="1"/>
  <c r="Y1520" i="1"/>
  <c r="X1520" i="1"/>
  <c r="W1520" i="1"/>
  <c r="AK1519" i="1"/>
  <c r="AL1519" i="1" s="1"/>
  <c r="AM1519" i="1" s="1"/>
  <c r="AA1519" i="1"/>
  <c r="Z1519" i="1"/>
  <c r="Y1519" i="1"/>
  <c r="X1519" i="1"/>
  <c r="W1519" i="1"/>
  <c r="AK1518" i="1"/>
  <c r="AL1518" i="1" s="1"/>
  <c r="AM1518" i="1" s="1"/>
  <c r="AA1518" i="1"/>
  <c r="Z1518" i="1"/>
  <c r="Y1518" i="1"/>
  <c r="X1518" i="1"/>
  <c r="W1518" i="1"/>
  <c r="AK1517" i="1"/>
  <c r="AL1517" i="1" s="1"/>
  <c r="AM1517" i="1" s="1"/>
  <c r="AA1517" i="1"/>
  <c r="Z1517" i="1"/>
  <c r="Y1517" i="1"/>
  <c r="X1517" i="1"/>
  <c r="W1517" i="1"/>
  <c r="AK1516" i="1"/>
  <c r="AL1516" i="1" s="1"/>
  <c r="AM1516" i="1" s="1"/>
  <c r="AA1516" i="1"/>
  <c r="Z1516" i="1"/>
  <c r="Y1516" i="1"/>
  <c r="X1516" i="1"/>
  <c r="W1516" i="1"/>
  <c r="AK1515" i="1"/>
  <c r="AL1515" i="1" s="1"/>
  <c r="AM1515" i="1" s="1"/>
  <c r="AA1515" i="1"/>
  <c r="Z1515" i="1"/>
  <c r="Y1515" i="1"/>
  <c r="X1515" i="1"/>
  <c r="W1515" i="1"/>
  <c r="AK1514" i="1"/>
  <c r="AL1514" i="1" s="1"/>
  <c r="AM1514" i="1" s="1"/>
  <c r="AA1514" i="1"/>
  <c r="Z1514" i="1"/>
  <c r="Y1514" i="1"/>
  <c r="X1514" i="1"/>
  <c r="W1514" i="1"/>
  <c r="AK1513" i="1"/>
  <c r="AL1513" i="1" s="1"/>
  <c r="AM1513" i="1" s="1"/>
  <c r="AA1513" i="1"/>
  <c r="Z1513" i="1"/>
  <c r="Y1513" i="1"/>
  <c r="X1513" i="1"/>
  <c r="W1513" i="1"/>
  <c r="AK1512" i="1"/>
  <c r="AL1512" i="1" s="1"/>
  <c r="AM1512" i="1" s="1"/>
  <c r="AA1512" i="1"/>
  <c r="Z1512" i="1"/>
  <c r="Y1512" i="1"/>
  <c r="X1512" i="1"/>
  <c r="W1512" i="1"/>
  <c r="AK1511" i="1"/>
  <c r="AL1511" i="1" s="1"/>
  <c r="AM1511" i="1" s="1"/>
  <c r="AA1511" i="1"/>
  <c r="Z1511" i="1"/>
  <c r="Y1511" i="1"/>
  <c r="X1511" i="1"/>
  <c r="W1511" i="1"/>
  <c r="AK1510" i="1"/>
  <c r="AL1510" i="1" s="1"/>
  <c r="AM1510" i="1" s="1"/>
  <c r="AA1510" i="1"/>
  <c r="Z1510" i="1"/>
  <c r="Y1510" i="1"/>
  <c r="X1510" i="1"/>
  <c r="W1510" i="1"/>
  <c r="AK1509" i="1"/>
  <c r="AL1509" i="1" s="1"/>
  <c r="AM1509" i="1" s="1"/>
  <c r="AA1509" i="1"/>
  <c r="Z1509" i="1"/>
  <c r="Y1509" i="1"/>
  <c r="X1509" i="1"/>
  <c r="W1509" i="1"/>
  <c r="AK1508" i="1"/>
  <c r="AL1508" i="1" s="1"/>
  <c r="AM1508" i="1" s="1"/>
  <c r="AA1508" i="1"/>
  <c r="Z1508" i="1"/>
  <c r="Y1508" i="1"/>
  <c r="X1508" i="1"/>
  <c r="W1508" i="1"/>
  <c r="AK1507" i="1"/>
  <c r="AL1507" i="1" s="1"/>
  <c r="AM1507" i="1" s="1"/>
  <c r="AA1507" i="1"/>
  <c r="Z1507" i="1"/>
  <c r="Y1507" i="1"/>
  <c r="X1507" i="1"/>
  <c r="W1507" i="1"/>
  <c r="AK1506" i="1"/>
  <c r="AL1506" i="1" s="1"/>
  <c r="AM1506" i="1" s="1"/>
  <c r="AA1506" i="1"/>
  <c r="Z1506" i="1"/>
  <c r="Y1506" i="1"/>
  <c r="X1506" i="1"/>
  <c r="W1506" i="1"/>
  <c r="AK1505" i="1"/>
  <c r="AL1505" i="1" s="1"/>
  <c r="AM1505" i="1" s="1"/>
  <c r="AA1505" i="1"/>
  <c r="Z1505" i="1"/>
  <c r="Y1505" i="1"/>
  <c r="X1505" i="1"/>
  <c r="W1505" i="1"/>
  <c r="AK1504" i="1"/>
  <c r="AL1504" i="1" s="1"/>
  <c r="AM1504" i="1" s="1"/>
  <c r="AA1504" i="1"/>
  <c r="Z1504" i="1"/>
  <c r="Y1504" i="1"/>
  <c r="X1504" i="1"/>
  <c r="W1504" i="1"/>
  <c r="AK1503" i="1"/>
  <c r="AL1503" i="1" s="1"/>
  <c r="AM1503" i="1" s="1"/>
  <c r="AA1503" i="1"/>
  <c r="Z1503" i="1"/>
  <c r="Y1503" i="1"/>
  <c r="X1503" i="1"/>
  <c r="W1503" i="1"/>
  <c r="AK1502" i="1"/>
  <c r="AL1502" i="1" s="1"/>
  <c r="AM1502" i="1" s="1"/>
  <c r="AA1502" i="1"/>
  <c r="Z1502" i="1"/>
  <c r="Y1502" i="1"/>
  <c r="X1502" i="1"/>
  <c r="W1502" i="1"/>
  <c r="AK1501" i="1"/>
  <c r="AL1501" i="1" s="1"/>
  <c r="AM1501" i="1" s="1"/>
  <c r="AA1501" i="1"/>
  <c r="Z1501" i="1"/>
  <c r="Y1501" i="1"/>
  <c r="X1501" i="1"/>
  <c r="W1501" i="1"/>
  <c r="AK1500" i="1"/>
  <c r="AL1500" i="1" s="1"/>
  <c r="AM1500" i="1" s="1"/>
  <c r="AA1500" i="1"/>
  <c r="Z1500" i="1"/>
  <c r="Y1500" i="1"/>
  <c r="X1500" i="1"/>
  <c r="W1500" i="1"/>
  <c r="AK1499" i="1"/>
  <c r="AL1499" i="1" s="1"/>
  <c r="AM1499" i="1" s="1"/>
  <c r="AA1499" i="1"/>
  <c r="Z1499" i="1"/>
  <c r="Y1499" i="1"/>
  <c r="X1499" i="1"/>
  <c r="C32" i="10" s="1"/>
  <c r="W1499" i="1"/>
  <c r="AK1498" i="1"/>
  <c r="AL1498" i="1" s="1"/>
  <c r="AM1498" i="1" s="1"/>
  <c r="AA1498" i="1"/>
  <c r="Z1498" i="1"/>
  <c r="Y1498" i="1"/>
  <c r="X1498" i="1"/>
  <c r="W1498" i="1"/>
  <c r="AK1497" i="1"/>
  <c r="AL1497" i="1" s="1"/>
  <c r="AM1497" i="1" s="1"/>
  <c r="AA1497" i="1"/>
  <c r="Z1497" i="1"/>
  <c r="Y1497" i="1"/>
  <c r="X1497" i="1"/>
  <c r="W1497" i="1"/>
  <c r="AK1496" i="1"/>
  <c r="AL1496" i="1" s="1"/>
  <c r="AM1496" i="1" s="1"/>
  <c r="AA1496" i="1"/>
  <c r="Z1496" i="1"/>
  <c r="Y1496" i="1"/>
  <c r="X1496" i="1"/>
  <c r="W1496" i="1"/>
  <c r="AK1495" i="1"/>
  <c r="AL1495" i="1" s="1"/>
  <c r="AM1495" i="1" s="1"/>
  <c r="AA1495" i="1"/>
  <c r="Z1495" i="1"/>
  <c r="Y1495" i="1"/>
  <c r="X1495" i="1"/>
  <c r="W1495" i="1"/>
  <c r="AK1494" i="1"/>
  <c r="AL1494" i="1" s="1"/>
  <c r="AM1494" i="1" s="1"/>
  <c r="AA1494" i="1"/>
  <c r="Z1494" i="1"/>
  <c r="Y1494" i="1"/>
  <c r="X1494" i="1"/>
  <c r="W1494" i="1"/>
  <c r="AK1493" i="1"/>
  <c r="AL1493" i="1" s="1"/>
  <c r="AM1493" i="1" s="1"/>
  <c r="AA1493" i="1"/>
  <c r="Z1493" i="1"/>
  <c r="Y1493" i="1"/>
  <c r="X1493" i="1"/>
  <c r="W1493" i="1"/>
  <c r="AK1492" i="1"/>
  <c r="AL1492" i="1" s="1"/>
  <c r="AM1492" i="1" s="1"/>
  <c r="AA1492" i="1"/>
  <c r="Z1492" i="1"/>
  <c r="Y1492" i="1"/>
  <c r="X1492" i="1"/>
  <c r="W1492" i="1"/>
  <c r="AK1491" i="1"/>
  <c r="AL1491" i="1" s="1"/>
  <c r="AM1491" i="1" s="1"/>
  <c r="AA1491" i="1"/>
  <c r="Z1491" i="1"/>
  <c r="Y1491" i="1"/>
  <c r="X1491" i="1"/>
  <c r="W1491" i="1"/>
  <c r="AK1490" i="1"/>
  <c r="AL1490" i="1" s="1"/>
  <c r="AM1490" i="1" s="1"/>
  <c r="AA1490" i="1"/>
  <c r="Z1490" i="1"/>
  <c r="Y1490" i="1"/>
  <c r="X1490" i="1"/>
  <c r="W1490" i="1"/>
  <c r="AK1489" i="1"/>
  <c r="AL1489" i="1" s="1"/>
  <c r="AM1489" i="1" s="1"/>
  <c r="AA1489" i="1"/>
  <c r="Z1489" i="1"/>
  <c r="Y1489" i="1"/>
  <c r="X1489" i="1"/>
  <c r="W1489" i="1"/>
  <c r="AK1488" i="1"/>
  <c r="AL1488" i="1" s="1"/>
  <c r="AM1488" i="1" s="1"/>
  <c r="AA1488" i="1"/>
  <c r="Z1488" i="1"/>
  <c r="Y1488" i="1"/>
  <c r="X1488" i="1"/>
  <c r="W1488" i="1"/>
  <c r="AK1487" i="1"/>
  <c r="AL1487" i="1" s="1"/>
  <c r="AM1487" i="1" s="1"/>
  <c r="AA1487" i="1"/>
  <c r="Z1487" i="1"/>
  <c r="Y1487" i="1"/>
  <c r="X1487" i="1"/>
  <c r="W1487" i="1"/>
  <c r="AK1486" i="1"/>
  <c r="AL1486" i="1" s="1"/>
  <c r="AM1486" i="1" s="1"/>
  <c r="AA1486" i="1"/>
  <c r="Z1486" i="1"/>
  <c r="Y1486" i="1"/>
  <c r="X1486" i="1"/>
  <c r="W1486" i="1"/>
  <c r="AK1485" i="1"/>
  <c r="AL1485" i="1" s="1"/>
  <c r="AM1485" i="1" s="1"/>
  <c r="AA1485" i="1"/>
  <c r="Z1485" i="1"/>
  <c r="Y1485" i="1"/>
  <c r="X1485" i="1"/>
  <c r="W1485" i="1"/>
  <c r="AK1484" i="1"/>
  <c r="AL1484" i="1" s="1"/>
  <c r="AM1484" i="1" s="1"/>
  <c r="AA1484" i="1"/>
  <c r="Z1484" i="1"/>
  <c r="Y1484" i="1"/>
  <c r="X1484" i="1"/>
  <c r="W1484" i="1"/>
  <c r="AK1483" i="1"/>
  <c r="AL1483" i="1" s="1"/>
  <c r="AM1483" i="1" s="1"/>
  <c r="AA1483" i="1"/>
  <c r="Z1483" i="1"/>
  <c r="Y1483" i="1"/>
  <c r="X1483" i="1"/>
  <c r="W1483" i="1"/>
  <c r="AK1482" i="1"/>
  <c r="AL1482" i="1" s="1"/>
  <c r="AM1482" i="1" s="1"/>
  <c r="AA1482" i="1"/>
  <c r="Z1482" i="1"/>
  <c r="Y1482" i="1"/>
  <c r="X1482" i="1"/>
  <c r="W1482" i="1"/>
  <c r="AK1481" i="1"/>
  <c r="AL1481" i="1" s="1"/>
  <c r="AM1481" i="1" s="1"/>
  <c r="AA1481" i="1"/>
  <c r="Z1481" i="1"/>
  <c r="Y1481" i="1"/>
  <c r="X1481" i="1"/>
  <c r="W1481" i="1"/>
  <c r="AK1480" i="1"/>
  <c r="AL1480" i="1" s="1"/>
  <c r="AM1480" i="1" s="1"/>
  <c r="AA1480" i="1"/>
  <c r="Z1480" i="1"/>
  <c r="Y1480" i="1"/>
  <c r="X1480" i="1"/>
  <c r="W1480" i="1"/>
  <c r="AK1479" i="1"/>
  <c r="AL1479" i="1" s="1"/>
  <c r="AM1479" i="1" s="1"/>
  <c r="AA1479" i="1"/>
  <c r="Z1479" i="1"/>
  <c r="Y1479" i="1"/>
  <c r="X1479" i="1"/>
  <c r="W1479" i="1"/>
  <c r="AK1478" i="1"/>
  <c r="AL1478" i="1" s="1"/>
  <c r="AM1478" i="1" s="1"/>
  <c r="AA1478" i="1"/>
  <c r="Z1478" i="1"/>
  <c r="Y1478" i="1"/>
  <c r="X1478" i="1"/>
  <c r="W1478" i="1"/>
  <c r="AK1477" i="1"/>
  <c r="AL1477" i="1" s="1"/>
  <c r="AM1477" i="1" s="1"/>
  <c r="AA1477" i="1"/>
  <c r="Z1477" i="1"/>
  <c r="Y1477" i="1"/>
  <c r="X1477" i="1"/>
  <c r="W1477" i="1"/>
  <c r="AK1476" i="1"/>
  <c r="AL1476" i="1" s="1"/>
  <c r="AM1476" i="1" s="1"/>
  <c r="AA1476" i="1"/>
  <c r="Z1476" i="1"/>
  <c r="Y1476" i="1"/>
  <c r="X1476" i="1"/>
  <c r="W1476" i="1"/>
  <c r="AK1475" i="1"/>
  <c r="AL1475" i="1" s="1"/>
  <c r="AM1475" i="1" s="1"/>
  <c r="AA1475" i="1"/>
  <c r="Z1475" i="1"/>
  <c r="Y1475" i="1"/>
  <c r="X1475" i="1"/>
  <c r="W1475" i="1"/>
  <c r="AK1474" i="1"/>
  <c r="AL1474" i="1" s="1"/>
  <c r="AM1474" i="1" s="1"/>
  <c r="AA1474" i="1"/>
  <c r="Z1474" i="1"/>
  <c r="Y1474" i="1"/>
  <c r="X1474" i="1"/>
  <c r="W1474" i="1"/>
  <c r="AK1473" i="1"/>
  <c r="AL1473" i="1" s="1"/>
  <c r="AM1473" i="1" s="1"/>
  <c r="AA1473" i="1"/>
  <c r="Z1473" i="1"/>
  <c r="Y1473" i="1"/>
  <c r="X1473" i="1"/>
  <c r="W1473" i="1"/>
  <c r="AK1472" i="1"/>
  <c r="AL1472" i="1" s="1"/>
  <c r="AM1472" i="1" s="1"/>
  <c r="AA1472" i="1"/>
  <c r="Z1472" i="1"/>
  <c r="Y1472" i="1"/>
  <c r="X1472" i="1"/>
  <c r="W1472" i="1"/>
  <c r="AK1471" i="1"/>
  <c r="AL1471" i="1" s="1"/>
  <c r="AM1471" i="1" s="1"/>
  <c r="AA1471" i="1"/>
  <c r="Z1471" i="1"/>
  <c r="Y1471" i="1"/>
  <c r="X1471" i="1"/>
  <c r="W1471" i="1"/>
  <c r="AK1470" i="1"/>
  <c r="AL1470" i="1" s="1"/>
  <c r="AM1470" i="1" s="1"/>
  <c r="AA1470" i="1"/>
  <c r="Z1470" i="1"/>
  <c r="Y1470" i="1"/>
  <c r="X1470" i="1"/>
  <c r="W1470" i="1"/>
  <c r="AK1469" i="1"/>
  <c r="AL1469" i="1" s="1"/>
  <c r="AM1469" i="1" s="1"/>
  <c r="AA1469" i="1"/>
  <c r="Z1469" i="1"/>
  <c r="Y1469" i="1"/>
  <c r="X1469" i="1"/>
  <c r="W1469" i="1"/>
  <c r="AK1468" i="1"/>
  <c r="AL1468" i="1" s="1"/>
  <c r="AM1468" i="1" s="1"/>
  <c r="AA1468" i="1"/>
  <c r="Z1468" i="1"/>
  <c r="Y1468" i="1"/>
  <c r="X1468" i="1"/>
  <c r="W1468" i="1"/>
  <c r="AK1467" i="1"/>
  <c r="AL1467" i="1" s="1"/>
  <c r="AM1467" i="1" s="1"/>
  <c r="AA1467" i="1"/>
  <c r="Z1467" i="1"/>
  <c r="Y1467" i="1"/>
  <c r="X1467" i="1"/>
  <c r="W1467" i="1"/>
  <c r="AK1466" i="1"/>
  <c r="AL1466" i="1" s="1"/>
  <c r="AM1466" i="1" s="1"/>
  <c r="AA1466" i="1"/>
  <c r="Z1466" i="1"/>
  <c r="Y1466" i="1"/>
  <c r="X1466" i="1"/>
  <c r="W1466" i="1"/>
  <c r="AK1465" i="1"/>
  <c r="AL1465" i="1" s="1"/>
  <c r="AM1465" i="1" s="1"/>
  <c r="AA1465" i="1"/>
  <c r="Z1465" i="1"/>
  <c r="Y1465" i="1"/>
  <c r="X1465" i="1"/>
  <c r="W1465" i="1"/>
  <c r="AK1464" i="1"/>
  <c r="AL1464" i="1" s="1"/>
  <c r="AM1464" i="1" s="1"/>
  <c r="AA1464" i="1"/>
  <c r="Z1464" i="1"/>
  <c r="Y1464" i="1"/>
  <c r="X1464" i="1"/>
  <c r="W1464" i="1"/>
  <c r="AK1463" i="1"/>
  <c r="AL1463" i="1" s="1"/>
  <c r="AM1463" i="1" s="1"/>
  <c r="AA1463" i="1"/>
  <c r="Z1463" i="1"/>
  <c r="Y1463" i="1"/>
  <c r="X1463" i="1"/>
  <c r="W1463" i="1"/>
  <c r="AK1462" i="1"/>
  <c r="AL1462" i="1" s="1"/>
  <c r="AM1462" i="1" s="1"/>
  <c r="AA1462" i="1"/>
  <c r="Z1462" i="1"/>
  <c r="Y1462" i="1"/>
  <c r="X1462" i="1"/>
  <c r="W1462" i="1"/>
  <c r="AL1461" i="1"/>
  <c r="AM1461" i="1" s="1"/>
  <c r="AK1461" i="1"/>
  <c r="AA1461" i="1"/>
  <c r="Z1461" i="1"/>
  <c r="Y1461" i="1"/>
  <c r="X1461" i="1"/>
  <c r="W1461" i="1"/>
  <c r="AK1460" i="1"/>
  <c r="AL1460" i="1" s="1"/>
  <c r="AM1460" i="1" s="1"/>
  <c r="AA1460" i="1"/>
  <c r="Z1460" i="1"/>
  <c r="Y1460" i="1"/>
  <c r="X1460" i="1"/>
  <c r="W1460" i="1"/>
  <c r="AK1459" i="1"/>
  <c r="AL1459" i="1" s="1"/>
  <c r="AM1459" i="1" s="1"/>
  <c r="AA1459" i="1"/>
  <c r="Z1459" i="1"/>
  <c r="Y1459" i="1"/>
  <c r="X1459" i="1"/>
  <c r="W1459" i="1"/>
  <c r="AK1458" i="1"/>
  <c r="AL1458" i="1" s="1"/>
  <c r="AM1458" i="1" s="1"/>
  <c r="AA1458" i="1"/>
  <c r="Z1458" i="1"/>
  <c r="Y1458" i="1"/>
  <c r="X1458" i="1"/>
  <c r="W1458" i="1"/>
  <c r="AK1457" i="1"/>
  <c r="AL1457" i="1" s="1"/>
  <c r="AM1457" i="1" s="1"/>
  <c r="AA1457" i="1"/>
  <c r="Z1457" i="1"/>
  <c r="Y1457" i="1"/>
  <c r="X1457" i="1"/>
  <c r="W1457" i="1"/>
  <c r="AK1456" i="1"/>
  <c r="AL1456" i="1" s="1"/>
  <c r="AM1456" i="1" s="1"/>
  <c r="AA1456" i="1"/>
  <c r="Z1456" i="1"/>
  <c r="Y1456" i="1"/>
  <c r="X1456" i="1"/>
  <c r="W1456" i="1"/>
  <c r="AK1455" i="1"/>
  <c r="AL1455" i="1" s="1"/>
  <c r="AM1455" i="1" s="1"/>
  <c r="AA1455" i="1"/>
  <c r="Z1455" i="1"/>
  <c r="Y1455" i="1"/>
  <c r="X1455" i="1"/>
  <c r="W1455" i="1"/>
  <c r="AK1454" i="1"/>
  <c r="AL1454" i="1" s="1"/>
  <c r="AM1454" i="1" s="1"/>
  <c r="AA1454" i="1"/>
  <c r="Z1454" i="1"/>
  <c r="Y1454" i="1"/>
  <c r="X1454" i="1"/>
  <c r="W1454" i="1"/>
  <c r="AK1453" i="1"/>
  <c r="AL1453" i="1" s="1"/>
  <c r="AM1453" i="1" s="1"/>
  <c r="AA1453" i="1"/>
  <c r="Z1453" i="1"/>
  <c r="Y1453" i="1"/>
  <c r="X1453" i="1"/>
  <c r="W1453" i="1"/>
  <c r="AK1452" i="1"/>
  <c r="AL1452" i="1" s="1"/>
  <c r="AM1452" i="1" s="1"/>
  <c r="AA1452" i="1"/>
  <c r="Z1452" i="1"/>
  <c r="Y1452" i="1"/>
  <c r="X1452" i="1"/>
  <c r="W1452" i="1"/>
  <c r="AK1451" i="1"/>
  <c r="AL1451" i="1" s="1"/>
  <c r="AM1451" i="1" s="1"/>
  <c r="AA1451" i="1"/>
  <c r="Z1451" i="1"/>
  <c r="Y1451" i="1"/>
  <c r="X1451" i="1"/>
  <c r="W1451" i="1"/>
  <c r="AK1450" i="1"/>
  <c r="AL1450" i="1" s="1"/>
  <c r="AM1450" i="1" s="1"/>
  <c r="AA1450" i="1"/>
  <c r="Z1450" i="1"/>
  <c r="Y1450" i="1"/>
  <c r="X1450" i="1"/>
  <c r="W1450" i="1"/>
  <c r="AK1449" i="1"/>
  <c r="AL1449" i="1" s="1"/>
  <c r="AM1449" i="1" s="1"/>
  <c r="AA1449" i="1"/>
  <c r="Z1449" i="1"/>
  <c r="Y1449" i="1"/>
  <c r="X1449" i="1"/>
  <c r="W1449" i="1"/>
  <c r="AL1448" i="1"/>
  <c r="AM1448" i="1" s="1"/>
  <c r="AK1448" i="1"/>
  <c r="AA1448" i="1"/>
  <c r="Z1448" i="1"/>
  <c r="Y1448" i="1"/>
  <c r="X1448" i="1"/>
  <c r="W1448" i="1"/>
  <c r="AK1447" i="1"/>
  <c r="AL1447" i="1" s="1"/>
  <c r="AM1447" i="1" s="1"/>
  <c r="AA1447" i="1"/>
  <c r="Z1447" i="1"/>
  <c r="Y1447" i="1"/>
  <c r="X1447" i="1"/>
  <c r="W1447" i="1"/>
  <c r="AK1446" i="1"/>
  <c r="AL1446" i="1" s="1"/>
  <c r="AM1446" i="1" s="1"/>
  <c r="AA1446" i="1"/>
  <c r="Z1446" i="1"/>
  <c r="Y1446" i="1"/>
  <c r="X1446" i="1"/>
  <c r="W1446" i="1"/>
  <c r="AK1445" i="1"/>
  <c r="AL1445" i="1" s="1"/>
  <c r="AM1445" i="1" s="1"/>
  <c r="AA1445" i="1"/>
  <c r="Z1445" i="1"/>
  <c r="Y1445" i="1"/>
  <c r="X1445" i="1"/>
  <c r="W1445" i="1"/>
  <c r="AK1444" i="1"/>
  <c r="AL1444" i="1" s="1"/>
  <c r="AM1444" i="1" s="1"/>
  <c r="AA1444" i="1"/>
  <c r="Z1444" i="1"/>
  <c r="Y1444" i="1"/>
  <c r="X1444" i="1"/>
  <c r="W1444" i="1"/>
  <c r="AK1443" i="1"/>
  <c r="AL1443" i="1" s="1"/>
  <c r="AM1443" i="1" s="1"/>
  <c r="AA1443" i="1"/>
  <c r="Z1443" i="1"/>
  <c r="Y1443" i="1"/>
  <c r="X1443" i="1"/>
  <c r="W1443" i="1"/>
  <c r="AK1442" i="1"/>
  <c r="AL1442" i="1" s="1"/>
  <c r="AM1442" i="1" s="1"/>
  <c r="AA1442" i="1"/>
  <c r="Z1442" i="1"/>
  <c r="Y1442" i="1"/>
  <c r="X1442" i="1"/>
  <c r="W1442" i="1"/>
  <c r="AK1441" i="1"/>
  <c r="AL1441" i="1" s="1"/>
  <c r="AM1441" i="1" s="1"/>
  <c r="AA1441" i="1"/>
  <c r="Z1441" i="1"/>
  <c r="Y1441" i="1"/>
  <c r="X1441" i="1"/>
  <c r="W1441" i="1"/>
  <c r="AK1440" i="1"/>
  <c r="AL1440" i="1" s="1"/>
  <c r="AM1440" i="1" s="1"/>
  <c r="AA1440" i="1"/>
  <c r="Z1440" i="1"/>
  <c r="Y1440" i="1"/>
  <c r="X1440" i="1"/>
  <c r="W1440" i="1"/>
  <c r="AK1439" i="1"/>
  <c r="AL1439" i="1" s="1"/>
  <c r="AM1439" i="1" s="1"/>
  <c r="AA1439" i="1"/>
  <c r="Z1439" i="1"/>
  <c r="Y1439" i="1"/>
  <c r="X1439" i="1"/>
  <c r="W1439" i="1"/>
  <c r="AK1438" i="1"/>
  <c r="AL1438" i="1" s="1"/>
  <c r="AM1438" i="1" s="1"/>
  <c r="AA1438" i="1"/>
  <c r="Z1438" i="1"/>
  <c r="Y1438" i="1"/>
  <c r="X1438" i="1"/>
  <c r="W1438" i="1"/>
  <c r="AK1437" i="1"/>
  <c r="AL1437" i="1" s="1"/>
  <c r="AM1437" i="1" s="1"/>
  <c r="AA1437" i="1"/>
  <c r="Z1437" i="1"/>
  <c r="Y1437" i="1"/>
  <c r="X1437" i="1"/>
  <c r="W1437" i="1"/>
  <c r="AK1436" i="1"/>
  <c r="AL1436" i="1" s="1"/>
  <c r="AM1436" i="1" s="1"/>
  <c r="AA1436" i="1"/>
  <c r="Z1436" i="1"/>
  <c r="Y1436" i="1"/>
  <c r="X1436" i="1"/>
  <c r="W1436" i="1"/>
  <c r="AK1435" i="1"/>
  <c r="AL1435" i="1" s="1"/>
  <c r="AM1435" i="1" s="1"/>
  <c r="AA1435" i="1"/>
  <c r="Z1435" i="1"/>
  <c r="Y1435" i="1"/>
  <c r="X1435" i="1"/>
  <c r="W1435" i="1"/>
  <c r="AK1434" i="1"/>
  <c r="AL1434" i="1" s="1"/>
  <c r="AM1434" i="1" s="1"/>
  <c r="AA1434" i="1"/>
  <c r="Z1434" i="1"/>
  <c r="Y1434" i="1"/>
  <c r="X1434" i="1"/>
  <c r="W1434" i="1"/>
  <c r="AK1433" i="1"/>
  <c r="AL1433" i="1" s="1"/>
  <c r="AM1433" i="1" s="1"/>
  <c r="AA1433" i="1"/>
  <c r="Z1433" i="1"/>
  <c r="Y1433" i="1"/>
  <c r="X1433" i="1"/>
  <c r="W1433" i="1"/>
  <c r="AK1432" i="1"/>
  <c r="AL1432" i="1" s="1"/>
  <c r="AM1432" i="1" s="1"/>
  <c r="AA1432" i="1"/>
  <c r="Z1432" i="1"/>
  <c r="Y1432" i="1"/>
  <c r="X1432" i="1"/>
  <c r="W1432" i="1"/>
  <c r="AK1431" i="1"/>
  <c r="AL1431" i="1" s="1"/>
  <c r="AM1431" i="1" s="1"/>
  <c r="AA1431" i="1"/>
  <c r="Z1431" i="1"/>
  <c r="Y1431" i="1"/>
  <c r="X1431" i="1"/>
  <c r="W1431" i="1"/>
  <c r="AK1430" i="1"/>
  <c r="AL1430" i="1" s="1"/>
  <c r="AM1430" i="1" s="1"/>
  <c r="AA1430" i="1"/>
  <c r="Z1430" i="1"/>
  <c r="Y1430" i="1"/>
  <c r="X1430" i="1"/>
  <c r="W1430" i="1"/>
  <c r="AK1429" i="1"/>
  <c r="AL1429" i="1" s="1"/>
  <c r="AM1429" i="1" s="1"/>
  <c r="AA1429" i="1"/>
  <c r="Z1429" i="1"/>
  <c r="Y1429" i="1"/>
  <c r="X1429" i="1"/>
  <c r="W1429" i="1"/>
  <c r="AK1428" i="1"/>
  <c r="AL1428" i="1" s="1"/>
  <c r="AM1428" i="1" s="1"/>
  <c r="AA1428" i="1"/>
  <c r="Z1428" i="1"/>
  <c r="Y1428" i="1"/>
  <c r="X1428" i="1"/>
  <c r="W1428" i="1"/>
  <c r="AK1427" i="1"/>
  <c r="AL1427" i="1" s="1"/>
  <c r="AM1427" i="1" s="1"/>
  <c r="AA1427" i="1"/>
  <c r="Z1427" i="1"/>
  <c r="Y1427" i="1"/>
  <c r="X1427" i="1"/>
  <c r="W1427" i="1"/>
  <c r="AK1426" i="1"/>
  <c r="AL1426" i="1" s="1"/>
  <c r="AM1426" i="1" s="1"/>
  <c r="AA1426" i="1"/>
  <c r="Z1426" i="1"/>
  <c r="Y1426" i="1"/>
  <c r="X1426" i="1"/>
  <c r="W1426" i="1"/>
  <c r="AK1425" i="1"/>
  <c r="AL1425" i="1" s="1"/>
  <c r="AM1425" i="1" s="1"/>
  <c r="AA1425" i="1"/>
  <c r="Z1425" i="1"/>
  <c r="Y1425" i="1"/>
  <c r="X1425" i="1"/>
  <c r="W1425" i="1"/>
  <c r="AK1424" i="1"/>
  <c r="AL1424" i="1" s="1"/>
  <c r="AM1424" i="1" s="1"/>
  <c r="AA1424" i="1"/>
  <c r="Z1424" i="1"/>
  <c r="Y1424" i="1"/>
  <c r="X1424" i="1"/>
  <c r="W1424" i="1"/>
  <c r="AK1423" i="1"/>
  <c r="AL1423" i="1" s="1"/>
  <c r="AM1423" i="1" s="1"/>
  <c r="AA1423" i="1"/>
  <c r="Z1423" i="1"/>
  <c r="Y1423" i="1"/>
  <c r="X1423" i="1"/>
  <c r="W1423" i="1"/>
  <c r="AK1422" i="1"/>
  <c r="AL1422" i="1" s="1"/>
  <c r="AM1422" i="1" s="1"/>
  <c r="AA1422" i="1"/>
  <c r="Z1422" i="1"/>
  <c r="Y1422" i="1"/>
  <c r="X1422" i="1"/>
  <c r="W1422" i="1"/>
  <c r="AK1421" i="1"/>
  <c r="AL1421" i="1" s="1"/>
  <c r="AM1421" i="1" s="1"/>
  <c r="AA1421" i="1"/>
  <c r="Z1421" i="1"/>
  <c r="Y1421" i="1"/>
  <c r="X1421" i="1"/>
  <c r="W1421" i="1"/>
  <c r="AK1420" i="1"/>
  <c r="AL1420" i="1" s="1"/>
  <c r="AM1420" i="1" s="1"/>
  <c r="AA1420" i="1"/>
  <c r="Z1420" i="1"/>
  <c r="Y1420" i="1"/>
  <c r="X1420" i="1"/>
  <c r="W1420" i="1"/>
  <c r="AK1419" i="1"/>
  <c r="AL1419" i="1" s="1"/>
  <c r="AM1419" i="1" s="1"/>
  <c r="AA1419" i="1"/>
  <c r="Z1419" i="1"/>
  <c r="Y1419" i="1"/>
  <c r="X1419" i="1"/>
  <c r="W1419" i="1"/>
  <c r="AK1418" i="1"/>
  <c r="AL1418" i="1" s="1"/>
  <c r="AM1418" i="1" s="1"/>
  <c r="AA1418" i="1"/>
  <c r="Z1418" i="1"/>
  <c r="Y1418" i="1"/>
  <c r="X1418" i="1"/>
  <c r="W1418" i="1"/>
  <c r="AL1417" i="1"/>
  <c r="AM1417" i="1" s="1"/>
  <c r="AK1417" i="1"/>
  <c r="AA1417" i="1"/>
  <c r="Z1417" i="1"/>
  <c r="Y1417" i="1"/>
  <c r="X1417" i="1"/>
  <c r="W1417" i="1"/>
  <c r="AK1416" i="1"/>
  <c r="AL1416" i="1" s="1"/>
  <c r="AM1416" i="1" s="1"/>
  <c r="AA1416" i="1"/>
  <c r="Z1416" i="1"/>
  <c r="Y1416" i="1"/>
  <c r="X1416" i="1"/>
  <c r="W1416" i="1"/>
  <c r="AK1415" i="1"/>
  <c r="AL1415" i="1" s="1"/>
  <c r="AM1415" i="1" s="1"/>
  <c r="AA1415" i="1"/>
  <c r="Z1415" i="1"/>
  <c r="Y1415" i="1"/>
  <c r="X1415" i="1"/>
  <c r="W1415" i="1"/>
  <c r="AK1414" i="1"/>
  <c r="AL1414" i="1" s="1"/>
  <c r="AM1414" i="1" s="1"/>
  <c r="AA1414" i="1"/>
  <c r="Z1414" i="1"/>
  <c r="Y1414" i="1"/>
  <c r="X1414" i="1"/>
  <c r="W1414" i="1"/>
  <c r="AK1413" i="1"/>
  <c r="AL1413" i="1" s="1"/>
  <c r="AM1413" i="1" s="1"/>
  <c r="AA1413" i="1"/>
  <c r="Z1413" i="1"/>
  <c r="Y1413" i="1"/>
  <c r="X1413" i="1"/>
  <c r="W1413" i="1"/>
  <c r="AK1412" i="1"/>
  <c r="AL1412" i="1" s="1"/>
  <c r="AM1412" i="1" s="1"/>
  <c r="AA1412" i="1"/>
  <c r="Z1412" i="1"/>
  <c r="Y1412" i="1"/>
  <c r="X1412" i="1"/>
  <c r="W1412" i="1"/>
  <c r="AK1411" i="1"/>
  <c r="AL1411" i="1" s="1"/>
  <c r="AM1411" i="1" s="1"/>
  <c r="AA1411" i="1"/>
  <c r="Z1411" i="1"/>
  <c r="Y1411" i="1"/>
  <c r="X1411" i="1"/>
  <c r="W1411" i="1"/>
  <c r="AK1410" i="1"/>
  <c r="AL1410" i="1" s="1"/>
  <c r="AM1410" i="1" s="1"/>
  <c r="AA1410" i="1"/>
  <c r="Z1410" i="1"/>
  <c r="Y1410" i="1"/>
  <c r="X1410" i="1"/>
  <c r="W1410" i="1"/>
  <c r="AK1409" i="1"/>
  <c r="AL1409" i="1" s="1"/>
  <c r="AM1409" i="1" s="1"/>
  <c r="AA1409" i="1"/>
  <c r="Z1409" i="1"/>
  <c r="Y1409" i="1"/>
  <c r="X1409" i="1"/>
  <c r="W1409" i="1"/>
  <c r="AK1408" i="1"/>
  <c r="AL1408" i="1" s="1"/>
  <c r="AM1408" i="1" s="1"/>
  <c r="AA1408" i="1"/>
  <c r="Z1408" i="1"/>
  <c r="Y1408" i="1"/>
  <c r="X1408" i="1"/>
  <c r="W1408" i="1"/>
  <c r="AK1407" i="1"/>
  <c r="AL1407" i="1" s="1"/>
  <c r="AM1407" i="1" s="1"/>
  <c r="AA1407" i="1"/>
  <c r="Z1407" i="1"/>
  <c r="Y1407" i="1"/>
  <c r="X1407" i="1"/>
  <c r="W1407" i="1"/>
  <c r="AK1406" i="1"/>
  <c r="AL1406" i="1" s="1"/>
  <c r="AM1406" i="1" s="1"/>
  <c r="AA1406" i="1"/>
  <c r="Z1406" i="1"/>
  <c r="Y1406" i="1"/>
  <c r="X1406" i="1"/>
  <c r="W1406" i="1"/>
  <c r="AK1405" i="1"/>
  <c r="AL1405" i="1" s="1"/>
  <c r="AM1405" i="1" s="1"/>
  <c r="AA1405" i="1"/>
  <c r="Z1405" i="1"/>
  <c r="Y1405" i="1"/>
  <c r="X1405" i="1"/>
  <c r="W1405" i="1"/>
  <c r="AK1404" i="1"/>
  <c r="AL1404" i="1" s="1"/>
  <c r="AM1404" i="1" s="1"/>
  <c r="AA1404" i="1"/>
  <c r="Z1404" i="1"/>
  <c r="Y1404" i="1"/>
  <c r="X1404" i="1"/>
  <c r="W1404" i="1"/>
  <c r="AK1403" i="1"/>
  <c r="AL1403" i="1" s="1"/>
  <c r="AM1403" i="1" s="1"/>
  <c r="AA1403" i="1"/>
  <c r="Z1403" i="1"/>
  <c r="Y1403" i="1"/>
  <c r="X1403" i="1"/>
  <c r="W1403" i="1"/>
  <c r="AK1402" i="1"/>
  <c r="AL1402" i="1" s="1"/>
  <c r="AM1402" i="1" s="1"/>
  <c r="AA1402" i="1"/>
  <c r="Z1402" i="1"/>
  <c r="Y1402" i="1"/>
  <c r="X1402" i="1"/>
  <c r="W1402" i="1"/>
  <c r="AK1401" i="1"/>
  <c r="AL1401" i="1" s="1"/>
  <c r="AM1401" i="1" s="1"/>
  <c r="AA1401" i="1"/>
  <c r="Z1401" i="1"/>
  <c r="Y1401" i="1"/>
  <c r="X1401" i="1"/>
  <c r="W1401" i="1"/>
  <c r="AK1400" i="1"/>
  <c r="AL1400" i="1" s="1"/>
  <c r="AM1400" i="1" s="1"/>
  <c r="AA1400" i="1"/>
  <c r="Z1400" i="1"/>
  <c r="Y1400" i="1"/>
  <c r="X1400" i="1"/>
  <c r="W1400" i="1"/>
  <c r="AK1399" i="1"/>
  <c r="AL1399" i="1" s="1"/>
  <c r="AM1399" i="1" s="1"/>
  <c r="AA1399" i="1"/>
  <c r="Z1399" i="1"/>
  <c r="Y1399" i="1"/>
  <c r="X1399" i="1"/>
  <c r="W1399" i="1"/>
  <c r="AK1398" i="1"/>
  <c r="AL1398" i="1" s="1"/>
  <c r="AM1398" i="1" s="1"/>
  <c r="AA1398" i="1"/>
  <c r="Z1398" i="1"/>
  <c r="Y1398" i="1"/>
  <c r="X1398" i="1"/>
  <c r="W1398" i="1"/>
  <c r="AK1397" i="1"/>
  <c r="AL1397" i="1" s="1"/>
  <c r="AM1397" i="1" s="1"/>
  <c r="AA1397" i="1"/>
  <c r="Z1397" i="1"/>
  <c r="Y1397" i="1"/>
  <c r="X1397" i="1"/>
  <c r="W1397" i="1"/>
  <c r="AK1396" i="1"/>
  <c r="AL1396" i="1" s="1"/>
  <c r="AM1396" i="1" s="1"/>
  <c r="AA1396" i="1"/>
  <c r="Z1396" i="1"/>
  <c r="Y1396" i="1"/>
  <c r="X1396" i="1"/>
  <c r="W1396" i="1"/>
  <c r="AK1395" i="1"/>
  <c r="AL1395" i="1" s="1"/>
  <c r="AM1395" i="1" s="1"/>
  <c r="AA1395" i="1"/>
  <c r="Z1395" i="1"/>
  <c r="Y1395" i="1"/>
  <c r="X1395" i="1"/>
  <c r="W1395" i="1"/>
  <c r="AK1394" i="1"/>
  <c r="AL1394" i="1" s="1"/>
  <c r="AM1394" i="1" s="1"/>
  <c r="AA1394" i="1"/>
  <c r="Z1394" i="1"/>
  <c r="Y1394" i="1"/>
  <c r="X1394" i="1"/>
  <c r="W1394" i="1"/>
  <c r="AK1393" i="1"/>
  <c r="AL1393" i="1" s="1"/>
  <c r="AM1393" i="1" s="1"/>
  <c r="AA1393" i="1"/>
  <c r="Z1393" i="1"/>
  <c r="Y1393" i="1"/>
  <c r="X1393" i="1"/>
  <c r="W1393" i="1"/>
  <c r="AK1392" i="1"/>
  <c r="AL1392" i="1" s="1"/>
  <c r="AM1392" i="1" s="1"/>
  <c r="AA1392" i="1"/>
  <c r="Z1392" i="1"/>
  <c r="Y1392" i="1"/>
  <c r="X1392" i="1"/>
  <c r="W1392" i="1"/>
  <c r="AK1391" i="1"/>
  <c r="AL1391" i="1" s="1"/>
  <c r="AM1391" i="1" s="1"/>
  <c r="AA1391" i="1"/>
  <c r="Z1391" i="1"/>
  <c r="Y1391" i="1"/>
  <c r="X1391" i="1"/>
  <c r="W1391" i="1"/>
  <c r="AK1390" i="1"/>
  <c r="AL1390" i="1" s="1"/>
  <c r="AM1390" i="1" s="1"/>
  <c r="AA1390" i="1"/>
  <c r="Z1390" i="1"/>
  <c r="Y1390" i="1"/>
  <c r="X1390" i="1"/>
  <c r="W1390" i="1"/>
  <c r="AK1389" i="1"/>
  <c r="AL1389" i="1" s="1"/>
  <c r="AM1389" i="1" s="1"/>
  <c r="AA1389" i="1"/>
  <c r="Z1389" i="1"/>
  <c r="Y1389" i="1"/>
  <c r="X1389" i="1"/>
  <c r="W1389" i="1"/>
  <c r="AK1388" i="1"/>
  <c r="AL1388" i="1" s="1"/>
  <c r="AM1388" i="1" s="1"/>
  <c r="AA1388" i="1"/>
  <c r="Z1388" i="1"/>
  <c r="Y1388" i="1"/>
  <c r="X1388" i="1"/>
  <c r="W1388" i="1"/>
  <c r="AK1387" i="1"/>
  <c r="AL1387" i="1" s="1"/>
  <c r="AM1387" i="1" s="1"/>
  <c r="AA1387" i="1"/>
  <c r="Z1387" i="1"/>
  <c r="Y1387" i="1"/>
  <c r="X1387" i="1"/>
  <c r="W1387" i="1"/>
  <c r="AK1386" i="1"/>
  <c r="AL1386" i="1" s="1"/>
  <c r="AM1386" i="1" s="1"/>
  <c r="AA1386" i="1"/>
  <c r="Z1386" i="1"/>
  <c r="Y1386" i="1"/>
  <c r="X1386" i="1"/>
  <c r="W1386" i="1"/>
  <c r="AK1385" i="1"/>
  <c r="AL1385" i="1" s="1"/>
  <c r="AM1385" i="1" s="1"/>
  <c r="AA1385" i="1"/>
  <c r="Z1385" i="1"/>
  <c r="Y1385" i="1"/>
  <c r="X1385" i="1"/>
  <c r="W1385" i="1"/>
  <c r="AK1384" i="1"/>
  <c r="AL1384" i="1" s="1"/>
  <c r="AM1384" i="1" s="1"/>
  <c r="AA1384" i="1"/>
  <c r="Z1384" i="1"/>
  <c r="Y1384" i="1"/>
  <c r="X1384" i="1"/>
  <c r="W1384" i="1"/>
  <c r="AK1383" i="1"/>
  <c r="AL1383" i="1" s="1"/>
  <c r="AM1383" i="1" s="1"/>
  <c r="AA1383" i="1"/>
  <c r="Z1383" i="1"/>
  <c r="Y1383" i="1"/>
  <c r="X1383" i="1"/>
  <c r="W1383" i="1"/>
  <c r="AK1382" i="1"/>
  <c r="AL1382" i="1" s="1"/>
  <c r="AM1382" i="1" s="1"/>
  <c r="AA1382" i="1"/>
  <c r="Z1382" i="1"/>
  <c r="Y1382" i="1"/>
  <c r="X1382" i="1"/>
  <c r="W1382" i="1"/>
  <c r="AK1381" i="1"/>
  <c r="AL1381" i="1" s="1"/>
  <c r="AM1381" i="1" s="1"/>
  <c r="AA1381" i="1"/>
  <c r="Z1381" i="1"/>
  <c r="Y1381" i="1"/>
  <c r="X1381" i="1"/>
  <c r="W1381" i="1"/>
  <c r="AK1380" i="1"/>
  <c r="AL1380" i="1" s="1"/>
  <c r="AM1380" i="1" s="1"/>
  <c r="AA1380" i="1"/>
  <c r="Z1380" i="1"/>
  <c r="Y1380" i="1"/>
  <c r="X1380" i="1"/>
  <c r="W1380" i="1"/>
  <c r="AK1379" i="1"/>
  <c r="AL1379" i="1" s="1"/>
  <c r="AM1379" i="1" s="1"/>
  <c r="AA1379" i="1"/>
  <c r="Z1379" i="1"/>
  <c r="Y1379" i="1"/>
  <c r="X1379" i="1"/>
  <c r="W1379" i="1"/>
  <c r="AK1378" i="1"/>
  <c r="AL1378" i="1" s="1"/>
  <c r="AM1378" i="1" s="1"/>
  <c r="AA1378" i="1"/>
  <c r="Z1378" i="1"/>
  <c r="Y1378" i="1"/>
  <c r="X1378" i="1"/>
  <c r="W1378" i="1"/>
  <c r="AK1377" i="1"/>
  <c r="AL1377" i="1" s="1"/>
  <c r="AM1377" i="1" s="1"/>
  <c r="AA1377" i="1"/>
  <c r="Z1377" i="1"/>
  <c r="Y1377" i="1"/>
  <c r="X1377" i="1"/>
  <c r="W1377" i="1"/>
  <c r="AK1376" i="1"/>
  <c r="AL1376" i="1" s="1"/>
  <c r="AM1376" i="1" s="1"/>
  <c r="AA1376" i="1"/>
  <c r="Z1376" i="1"/>
  <c r="Y1376" i="1"/>
  <c r="X1376" i="1"/>
  <c r="W1376" i="1"/>
  <c r="AK1375" i="1"/>
  <c r="AL1375" i="1" s="1"/>
  <c r="AM1375" i="1" s="1"/>
  <c r="AA1375" i="1"/>
  <c r="Z1375" i="1"/>
  <c r="Y1375" i="1"/>
  <c r="X1375" i="1"/>
  <c r="W1375" i="1"/>
  <c r="AK1374" i="1"/>
  <c r="AL1374" i="1" s="1"/>
  <c r="AM1374" i="1" s="1"/>
  <c r="AA1374" i="1"/>
  <c r="Z1374" i="1"/>
  <c r="Y1374" i="1"/>
  <c r="X1374" i="1"/>
  <c r="W1374" i="1"/>
  <c r="AL1373" i="1"/>
  <c r="AM1373" i="1" s="1"/>
  <c r="AK1373" i="1"/>
  <c r="AA1373" i="1"/>
  <c r="Z1373" i="1"/>
  <c r="Y1373" i="1"/>
  <c r="X1373" i="1"/>
  <c r="W1373" i="1"/>
  <c r="AK1372" i="1"/>
  <c r="AL1372" i="1" s="1"/>
  <c r="AM1372" i="1" s="1"/>
  <c r="AA1372" i="1"/>
  <c r="Z1372" i="1"/>
  <c r="Y1372" i="1"/>
  <c r="X1372" i="1"/>
  <c r="W1372" i="1"/>
  <c r="AK1371" i="1"/>
  <c r="AL1371" i="1" s="1"/>
  <c r="AM1371" i="1" s="1"/>
  <c r="AA1371" i="1"/>
  <c r="Z1371" i="1"/>
  <c r="Y1371" i="1"/>
  <c r="X1371" i="1"/>
  <c r="W1371" i="1"/>
  <c r="AK1370" i="1"/>
  <c r="AL1370" i="1" s="1"/>
  <c r="AM1370" i="1" s="1"/>
  <c r="AA1370" i="1"/>
  <c r="Z1370" i="1"/>
  <c r="Y1370" i="1"/>
  <c r="X1370" i="1"/>
  <c r="W1370" i="1"/>
  <c r="AK1369" i="1"/>
  <c r="AL1369" i="1" s="1"/>
  <c r="AM1369" i="1" s="1"/>
  <c r="AA1369" i="1"/>
  <c r="Z1369" i="1"/>
  <c r="Y1369" i="1"/>
  <c r="X1369" i="1"/>
  <c r="W1369" i="1"/>
  <c r="AK1368" i="1"/>
  <c r="AL1368" i="1" s="1"/>
  <c r="AM1368" i="1" s="1"/>
  <c r="AA1368" i="1"/>
  <c r="Z1368" i="1"/>
  <c r="Y1368" i="1"/>
  <c r="X1368" i="1"/>
  <c r="W1368" i="1"/>
  <c r="AK1367" i="1"/>
  <c r="AL1367" i="1" s="1"/>
  <c r="AM1367" i="1" s="1"/>
  <c r="AA1367" i="1"/>
  <c r="Z1367" i="1"/>
  <c r="Y1367" i="1"/>
  <c r="X1367" i="1"/>
  <c r="W1367" i="1"/>
  <c r="AK1366" i="1"/>
  <c r="AL1366" i="1" s="1"/>
  <c r="AM1366" i="1" s="1"/>
  <c r="AA1366" i="1"/>
  <c r="Z1366" i="1"/>
  <c r="Y1366" i="1"/>
  <c r="X1366" i="1"/>
  <c r="W1366" i="1"/>
  <c r="AK1365" i="1"/>
  <c r="AL1365" i="1" s="1"/>
  <c r="AM1365" i="1" s="1"/>
  <c r="AA1365" i="1"/>
  <c r="Z1365" i="1"/>
  <c r="Y1365" i="1"/>
  <c r="X1365" i="1"/>
  <c r="W1365" i="1"/>
  <c r="AK1364" i="1"/>
  <c r="AL1364" i="1" s="1"/>
  <c r="AM1364" i="1" s="1"/>
  <c r="AA1364" i="1"/>
  <c r="Z1364" i="1"/>
  <c r="Y1364" i="1"/>
  <c r="X1364" i="1"/>
  <c r="W1364" i="1"/>
  <c r="AK1363" i="1"/>
  <c r="AL1363" i="1" s="1"/>
  <c r="AM1363" i="1" s="1"/>
  <c r="AA1363" i="1"/>
  <c r="Z1363" i="1"/>
  <c r="Y1363" i="1"/>
  <c r="X1363" i="1"/>
  <c r="W1363" i="1"/>
  <c r="AK1362" i="1"/>
  <c r="AL1362" i="1" s="1"/>
  <c r="AM1362" i="1" s="1"/>
  <c r="AA1362" i="1"/>
  <c r="Z1362" i="1"/>
  <c r="Y1362" i="1"/>
  <c r="X1362" i="1"/>
  <c r="W1362" i="1"/>
  <c r="AK1361" i="1"/>
  <c r="AL1361" i="1" s="1"/>
  <c r="AM1361" i="1" s="1"/>
  <c r="AA1361" i="1"/>
  <c r="Z1361" i="1"/>
  <c r="Y1361" i="1"/>
  <c r="X1361" i="1"/>
  <c r="W1361" i="1"/>
  <c r="AK1360" i="1"/>
  <c r="AL1360" i="1" s="1"/>
  <c r="AM1360" i="1" s="1"/>
  <c r="AA1360" i="1"/>
  <c r="Z1360" i="1"/>
  <c r="Y1360" i="1"/>
  <c r="X1360" i="1"/>
  <c r="W1360" i="1"/>
  <c r="AK1359" i="1"/>
  <c r="AL1359" i="1" s="1"/>
  <c r="AM1359" i="1" s="1"/>
  <c r="AA1359" i="1"/>
  <c r="Z1359" i="1"/>
  <c r="Y1359" i="1"/>
  <c r="X1359" i="1"/>
  <c r="W1359" i="1"/>
  <c r="AK1358" i="1"/>
  <c r="AL1358" i="1" s="1"/>
  <c r="AM1358" i="1" s="1"/>
  <c r="AA1358" i="1"/>
  <c r="Z1358" i="1"/>
  <c r="Y1358" i="1"/>
  <c r="X1358" i="1"/>
  <c r="W1358" i="1"/>
  <c r="AK1357" i="1"/>
  <c r="AL1357" i="1" s="1"/>
  <c r="AM1357" i="1" s="1"/>
  <c r="AA1357" i="1"/>
  <c r="Z1357" i="1"/>
  <c r="Y1357" i="1"/>
  <c r="X1357" i="1"/>
  <c r="W1357" i="1"/>
  <c r="AK1356" i="1"/>
  <c r="AL1356" i="1" s="1"/>
  <c r="AM1356" i="1" s="1"/>
  <c r="AA1356" i="1"/>
  <c r="Z1356" i="1"/>
  <c r="Y1356" i="1"/>
  <c r="X1356" i="1"/>
  <c r="W1356" i="1"/>
  <c r="AK1355" i="1"/>
  <c r="AL1355" i="1" s="1"/>
  <c r="AM1355" i="1" s="1"/>
  <c r="AA1355" i="1"/>
  <c r="Z1355" i="1"/>
  <c r="Y1355" i="1"/>
  <c r="X1355" i="1"/>
  <c r="W1355" i="1"/>
  <c r="AK1354" i="1"/>
  <c r="AL1354" i="1" s="1"/>
  <c r="AM1354" i="1" s="1"/>
  <c r="AA1354" i="1"/>
  <c r="Z1354" i="1"/>
  <c r="Y1354" i="1"/>
  <c r="X1354" i="1"/>
  <c r="W1354" i="1"/>
  <c r="AK1353" i="1"/>
  <c r="AL1353" i="1" s="1"/>
  <c r="AM1353" i="1" s="1"/>
  <c r="AA1353" i="1"/>
  <c r="Z1353" i="1"/>
  <c r="Y1353" i="1"/>
  <c r="X1353" i="1"/>
  <c r="W1353" i="1"/>
  <c r="AK1352" i="1"/>
  <c r="AL1352" i="1" s="1"/>
  <c r="AM1352" i="1" s="1"/>
  <c r="AA1352" i="1"/>
  <c r="Z1352" i="1"/>
  <c r="Y1352" i="1"/>
  <c r="X1352" i="1"/>
  <c r="W1352" i="1"/>
  <c r="AK1351" i="1"/>
  <c r="AL1351" i="1" s="1"/>
  <c r="AM1351" i="1" s="1"/>
  <c r="AA1351" i="1"/>
  <c r="Z1351" i="1"/>
  <c r="Y1351" i="1"/>
  <c r="X1351" i="1"/>
  <c r="W1351" i="1"/>
  <c r="AK1350" i="1"/>
  <c r="AL1350" i="1" s="1"/>
  <c r="AM1350" i="1" s="1"/>
  <c r="AA1350" i="1"/>
  <c r="Z1350" i="1"/>
  <c r="Y1350" i="1"/>
  <c r="X1350" i="1"/>
  <c r="W1350" i="1"/>
  <c r="AK1349" i="1"/>
  <c r="AL1349" i="1" s="1"/>
  <c r="AM1349" i="1" s="1"/>
  <c r="AA1349" i="1"/>
  <c r="Z1349" i="1"/>
  <c r="Y1349" i="1"/>
  <c r="X1349" i="1"/>
  <c r="W1349" i="1"/>
  <c r="AK1348" i="1"/>
  <c r="AL1348" i="1" s="1"/>
  <c r="AM1348" i="1" s="1"/>
  <c r="AA1348" i="1"/>
  <c r="Z1348" i="1"/>
  <c r="Y1348" i="1"/>
  <c r="X1348" i="1"/>
  <c r="W1348" i="1"/>
  <c r="AK1347" i="1"/>
  <c r="AL1347" i="1" s="1"/>
  <c r="AM1347" i="1" s="1"/>
  <c r="AA1347" i="1"/>
  <c r="Z1347" i="1"/>
  <c r="Y1347" i="1"/>
  <c r="X1347" i="1"/>
  <c r="W1347" i="1"/>
  <c r="AK1346" i="1"/>
  <c r="AL1346" i="1" s="1"/>
  <c r="AM1346" i="1" s="1"/>
  <c r="AA1346" i="1"/>
  <c r="Z1346" i="1"/>
  <c r="Y1346" i="1"/>
  <c r="X1346" i="1"/>
  <c r="W1346" i="1"/>
  <c r="AK1345" i="1"/>
  <c r="AL1345" i="1" s="1"/>
  <c r="AM1345" i="1" s="1"/>
  <c r="AA1345" i="1"/>
  <c r="Z1345" i="1"/>
  <c r="Y1345" i="1"/>
  <c r="X1345" i="1"/>
  <c r="W1345" i="1"/>
  <c r="AK1344" i="1"/>
  <c r="AL1344" i="1" s="1"/>
  <c r="AM1344" i="1" s="1"/>
  <c r="AA1344" i="1"/>
  <c r="Z1344" i="1"/>
  <c r="Y1344" i="1"/>
  <c r="X1344" i="1"/>
  <c r="W1344" i="1"/>
  <c r="AK1343" i="1"/>
  <c r="AL1343" i="1" s="1"/>
  <c r="AM1343" i="1" s="1"/>
  <c r="AA1343" i="1"/>
  <c r="Z1343" i="1"/>
  <c r="Y1343" i="1"/>
  <c r="X1343" i="1"/>
  <c r="W1343" i="1"/>
  <c r="AK1342" i="1"/>
  <c r="AL1342" i="1" s="1"/>
  <c r="AM1342" i="1" s="1"/>
  <c r="AA1342" i="1"/>
  <c r="Z1342" i="1"/>
  <c r="Y1342" i="1"/>
  <c r="X1342" i="1"/>
  <c r="W1342" i="1"/>
  <c r="AK1341" i="1"/>
  <c r="AL1341" i="1" s="1"/>
  <c r="AM1341" i="1" s="1"/>
  <c r="AA1341" i="1"/>
  <c r="Z1341" i="1"/>
  <c r="Y1341" i="1"/>
  <c r="X1341" i="1"/>
  <c r="W1341" i="1"/>
  <c r="AK1340" i="1"/>
  <c r="AL1340" i="1" s="1"/>
  <c r="AM1340" i="1" s="1"/>
  <c r="AA1340" i="1"/>
  <c r="Z1340" i="1"/>
  <c r="Y1340" i="1"/>
  <c r="X1340" i="1"/>
  <c r="W1340" i="1"/>
  <c r="AK1339" i="1"/>
  <c r="AL1339" i="1" s="1"/>
  <c r="AM1339" i="1" s="1"/>
  <c r="AA1339" i="1"/>
  <c r="Z1339" i="1"/>
  <c r="Y1339" i="1"/>
  <c r="X1339" i="1"/>
  <c r="W1339" i="1"/>
  <c r="AK1338" i="1"/>
  <c r="AL1338" i="1" s="1"/>
  <c r="AM1338" i="1" s="1"/>
  <c r="AA1338" i="1"/>
  <c r="Z1338" i="1"/>
  <c r="Y1338" i="1"/>
  <c r="X1338" i="1"/>
  <c r="W1338" i="1"/>
  <c r="AK1337" i="1"/>
  <c r="AL1337" i="1" s="1"/>
  <c r="AM1337" i="1" s="1"/>
  <c r="AA1337" i="1"/>
  <c r="Z1337" i="1"/>
  <c r="Y1337" i="1"/>
  <c r="X1337" i="1"/>
  <c r="W1337" i="1"/>
  <c r="AK1336" i="1"/>
  <c r="AL1336" i="1" s="1"/>
  <c r="AM1336" i="1" s="1"/>
  <c r="AA1336" i="1"/>
  <c r="Z1336" i="1"/>
  <c r="Y1336" i="1"/>
  <c r="X1336" i="1"/>
  <c r="W1336" i="1"/>
  <c r="AK1335" i="1"/>
  <c r="AL1335" i="1" s="1"/>
  <c r="AM1335" i="1" s="1"/>
  <c r="AA1335" i="1"/>
  <c r="Z1335" i="1"/>
  <c r="Y1335" i="1"/>
  <c r="X1335" i="1"/>
  <c r="W1335" i="1"/>
  <c r="AK1334" i="1"/>
  <c r="AL1334" i="1" s="1"/>
  <c r="AM1334" i="1" s="1"/>
  <c r="AA1334" i="1"/>
  <c r="Z1334" i="1"/>
  <c r="Y1334" i="1"/>
  <c r="X1334" i="1"/>
  <c r="W1334" i="1"/>
  <c r="AK1333" i="1"/>
  <c r="AL1333" i="1" s="1"/>
  <c r="AM1333" i="1" s="1"/>
  <c r="AA1333" i="1"/>
  <c r="Z1333" i="1"/>
  <c r="Y1333" i="1"/>
  <c r="X1333" i="1"/>
  <c r="W1333" i="1"/>
  <c r="AK1332" i="1"/>
  <c r="AL1332" i="1" s="1"/>
  <c r="AM1332" i="1" s="1"/>
  <c r="AA1332" i="1"/>
  <c r="Z1332" i="1"/>
  <c r="Y1332" i="1"/>
  <c r="X1332" i="1"/>
  <c r="W1332" i="1"/>
  <c r="AK1331" i="1"/>
  <c r="AL1331" i="1" s="1"/>
  <c r="AM1331" i="1" s="1"/>
  <c r="AA1331" i="1"/>
  <c r="Z1331" i="1"/>
  <c r="Y1331" i="1"/>
  <c r="X1331" i="1"/>
  <c r="W1331" i="1"/>
  <c r="AK1330" i="1"/>
  <c r="AL1330" i="1" s="1"/>
  <c r="AM1330" i="1" s="1"/>
  <c r="AA1330" i="1"/>
  <c r="Z1330" i="1"/>
  <c r="Y1330" i="1"/>
  <c r="X1330" i="1"/>
  <c r="W1330" i="1"/>
  <c r="AK1329" i="1"/>
  <c r="AL1329" i="1" s="1"/>
  <c r="AM1329" i="1" s="1"/>
  <c r="AA1329" i="1"/>
  <c r="Z1329" i="1"/>
  <c r="Y1329" i="1"/>
  <c r="X1329" i="1"/>
  <c r="W1329" i="1"/>
  <c r="AK1328" i="1"/>
  <c r="AL1328" i="1" s="1"/>
  <c r="AM1328" i="1" s="1"/>
  <c r="AA1328" i="1"/>
  <c r="Z1328" i="1"/>
  <c r="Y1328" i="1"/>
  <c r="X1328" i="1"/>
  <c r="W1328" i="1"/>
  <c r="AK1327" i="1"/>
  <c r="AL1327" i="1" s="1"/>
  <c r="AM1327" i="1" s="1"/>
  <c r="AA1327" i="1"/>
  <c r="Z1327" i="1"/>
  <c r="Y1327" i="1"/>
  <c r="X1327" i="1"/>
  <c r="W1327" i="1"/>
  <c r="AK1326" i="1"/>
  <c r="AL1326" i="1" s="1"/>
  <c r="AM1326" i="1" s="1"/>
  <c r="AA1326" i="1"/>
  <c r="Z1326" i="1"/>
  <c r="Y1326" i="1"/>
  <c r="X1326" i="1"/>
  <c r="W1326" i="1"/>
  <c r="AK1325" i="1"/>
  <c r="AL1325" i="1" s="1"/>
  <c r="AM1325" i="1" s="1"/>
  <c r="AA1325" i="1"/>
  <c r="Z1325" i="1"/>
  <c r="Y1325" i="1"/>
  <c r="X1325" i="1"/>
  <c r="W1325" i="1"/>
  <c r="AK1324" i="1"/>
  <c r="AL1324" i="1" s="1"/>
  <c r="AM1324" i="1" s="1"/>
  <c r="AA1324" i="1"/>
  <c r="Z1324" i="1"/>
  <c r="Y1324" i="1"/>
  <c r="X1324" i="1"/>
  <c r="W1324" i="1"/>
  <c r="AK1323" i="1"/>
  <c r="AL1323" i="1" s="1"/>
  <c r="AM1323" i="1" s="1"/>
  <c r="AA1323" i="1"/>
  <c r="Z1323" i="1"/>
  <c r="Y1323" i="1"/>
  <c r="X1323" i="1"/>
  <c r="W1323" i="1"/>
  <c r="AK1322" i="1"/>
  <c r="AL1322" i="1" s="1"/>
  <c r="AM1322" i="1" s="1"/>
  <c r="AA1322" i="1"/>
  <c r="Z1322" i="1"/>
  <c r="Y1322" i="1"/>
  <c r="X1322" i="1"/>
  <c r="W1322" i="1"/>
  <c r="AK1321" i="1"/>
  <c r="AL1321" i="1" s="1"/>
  <c r="AM1321" i="1" s="1"/>
  <c r="AA1321" i="1"/>
  <c r="Z1321" i="1"/>
  <c r="Y1321" i="1"/>
  <c r="X1321" i="1"/>
  <c r="W1321" i="1"/>
  <c r="AK1320" i="1"/>
  <c r="AL1320" i="1" s="1"/>
  <c r="AM1320" i="1" s="1"/>
  <c r="AA1320" i="1"/>
  <c r="Z1320" i="1"/>
  <c r="Y1320" i="1"/>
  <c r="X1320" i="1"/>
  <c r="W1320" i="1"/>
  <c r="AK1319" i="1"/>
  <c r="AL1319" i="1" s="1"/>
  <c r="AM1319" i="1" s="1"/>
  <c r="AA1319" i="1"/>
  <c r="Z1319" i="1"/>
  <c r="Y1319" i="1"/>
  <c r="X1319" i="1"/>
  <c r="W1319" i="1"/>
  <c r="AK1318" i="1"/>
  <c r="AL1318" i="1" s="1"/>
  <c r="AM1318" i="1" s="1"/>
  <c r="AA1318" i="1"/>
  <c r="Z1318" i="1"/>
  <c r="Y1318" i="1"/>
  <c r="X1318" i="1"/>
  <c r="W1318" i="1"/>
  <c r="AK1317" i="1"/>
  <c r="AL1317" i="1" s="1"/>
  <c r="AM1317" i="1" s="1"/>
  <c r="AA1317" i="1"/>
  <c r="Z1317" i="1"/>
  <c r="Y1317" i="1"/>
  <c r="X1317" i="1"/>
  <c r="W1317" i="1"/>
  <c r="AK1316" i="1"/>
  <c r="AL1316" i="1" s="1"/>
  <c r="AM1316" i="1" s="1"/>
  <c r="AA1316" i="1"/>
  <c r="Z1316" i="1"/>
  <c r="Y1316" i="1"/>
  <c r="X1316" i="1"/>
  <c r="W1316" i="1"/>
  <c r="AK1315" i="1"/>
  <c r="AL1315" i="1" s="1"/>
  <c r="AM1315" i="1" s="1"/>
  <c r="AA1315" i="1"/>
  <c r="Z1315" i="1"/>
  <c r="Y1315" i="1"/>
  <c r="X1315" i="1"/>
  <c r="W1315" i="1"/>
  <c r="AK1314" i="1"/>
  <c r="AL1314" i="1" s="1"/>
  <c r="AM1314" i="1" s="1"/>
  <c r="AA1314" i="1"/>
  <c r="Z1314" i="1"/>
  <c r="Y1314" i="1"/>
  <c r="X1314" i="1"/>
  <c r="W1314" i="1"/>
  <c r="AK1313" i="1"/>
  <c r="AL1313" i="1" s="1"/>
  <c r="AM1313" i="1" s="1"/>
  <c r="AA1313" i="1"/>
  <c r="Z1313" i="1"/>
  <c r="Y1313" i="1"/>
  <c r="X1313" i="1"/>
  <c r="W1313" i="1"/>
  <c r="AK1312" i="1"/>
  <c r="AL1312" i="1" s="1"/>
  <c r="AM1312" i="1" s="1"/>
  <c r="AA1312" i="1"/>
  <c r="Z1312" i="1"/>
  <c r="Y1312" i="1"/>
  <c r="X1312" i="1"/>
  <c r="W1312" i="1"/>
  <c r="AK1311" i="1"/>
  <c r="AL1311" i="1" s="1"/>
  <c r="AM1311" i="1" s="1"/>
  <c r="AA1311" i="1"/>
  <c r="Z1311" i="1"/>
  <c r="Y1311" i="1"/>
  <c r="X1311" i="1"/>
  <c r="W1311" i="1"/>
  <c r="AK1310" i="1"/>
  <c r="AL1310" i="1" s="1"/>
  <c r="AM1310" i="1" s="1"/>
  <c r="AA1310" i="1"/>
  <c r="Z1310" i="1"/>
  <c r="Y1310" i="1"/>
  <c r="X1310" i="1"/>
  <c r="W1310" i="1"/>
  <c r="AK1309" i="1"/>
  <c r="AL1309" i="1" s="1"/>
  <c r="AM1309" i="1" s="1"/>
  <c r="AA1309" i="1"/>
  <c r="Z1309" i="1"/>
  <c r="Y1309" i="1"/>
  <c r="X1309" i="1"/>
  <c r="W1309" i="1"/>
  <c r="AK1308" i="1"/>
  <c r="AL1308" i="1" s="1"/>
  <c r="AM1308" i="1" s="1"/>
  <c r="AA1308" i="1"/>
  <c r="Z1308" i="1"/>
  <c r="Y1308" i="1"/>
  <c r="X1308" i="1"/>
  <c r="W1308" i="1"/>
  <c r="AK1307" i="1"/>
  <c r="AL1307" i="1" s="1"/>
  <c r="AM1307" i="1" s="1"/>
  <c r="AA1307" i="1"/>
  <c r="Z1307" i="1"/>
  <c r="Y1307" i="1"/>
  <c r="X1307" i="1"/>
  <c r="W1307" i="1"/>
  <c r="AK1306" i="1"/>
  <c r="AL1306" i="1" s="1"/>
  <c r="AM1306" i="1" s="1"/>
  <c r="AA1306" i="1"/>
  <c r="Z1306" i="1"/>
  <c r="Y1306" i="1"/>
  <c r="X1306" i="1"/>
  <c r="W1306" i="1"/>
  <c r="AK1305" i="1"/>
  <c r="AL1305" i="1" s="1"/>
  <c r="AM1305" i="1" s="1"/>
  <c r="AA1305" i="1"/>
  <c r="Z1305" i="1"/>
  <c r="Y1305" i="1"/>
  <c r="X1305" i="1"/>
  <c r="W1305" i="1"/>
  <c r="AK1304" i="1"/>
  <c r="AL1304" i="1" s="1"/>
  <c r="AM1304" i="1" s="1"/>
  <c r="AA1304" i="1"/>
  <c r="Z1304" i="1"/>
  <c r="Y1304" i="1"/>
  <c r="X1304" i="1"/>
  <c r="W1304" i="1"/>
  <c r="AK1303" i="1"/>
  <c r="AL1303" i="1" s="1"/>
  <c r="AM1303" i="1" s="1"/>
  <c r="AA1303" i="1"/>
  <c r="Z1303" i="1"/>
  <c r="Y1303" i="1"/>
  <c r="X1303" i="1"/>
  <c r="W1303" i="1"/>
  <c r="AK1302" i="1"/>
  <c r="AL1302" i="1" s="1"/>
  <c r="AM1302" i="1" s="1"/>
  <c r="AA1302" i="1"/>
  <c r="Z1302" i="1"/>
  <c r="Y1302" i="1"/>
  <c r="X1302" i="1"/>
  <c r="W1302" i="1"/>
  <c r="AK1301" i="1"/>
  <c r="AL1301" i="1" s="1"/>
  <c r="AM1301" i="1" s="1"/>
  <c r="AA1301" i="1"/>
  <c r="Z1301" i="1"/>
  <c r="Y1301" i="1"/>
  <c r="X1301" i="1"/>
  <c r="W1301" i="1"/>
  <c r="AK1300" i="1"/>
  <c r="AL1300" i="1" s="1"/>
  <c r="AM1300" i="1" s="1"/>
  <c r="AA1300" i="1"/>
  <c r="Z1300" i="1"/>
  <c r="Y1300" i="1"/>
  <c r="X1300" i="1"/>
  <c r="W1300" i="1"/>
  <c r="AK1299" i="1"/>
  <c r="AL1299" i="1" s="1"/>
  <c r="AM1299" i="1" s="1"/>
  <c r="AA1299" i="1"/>
  <c r="Z1299" i="1"/>
  <c r="Y1299" i="1"/>
  <c r="X1299" i="1"/>
  <c r="W1299" i="1"/>
  <c r="AK1298" i="1"/>
  <c r="AL1298" i="1" s="1"/>
  <c r="AM1298" i="1" s="1"/>
  <c r="AA1298" i="1"/>
  <c r="Z1298" i="1"/>
  <c r="Y1298" i="1"/>
  <c r="X1298" i="1"/>
  <c r="W1298" i="1"/>
  <c r="AK1297" i="1"/>
  <c r="AL1297" i="1" s="1"/>
  <c r="AM1297" i="1" s="1"/>
  <c r="AA1297" i="1"/>
  <c r="Z1297" i="1"/>
  <c r="Y1297" i="1"/>
  <c r="X1297" i="1"/>
  <c r="W1297" i="1"/>
  <c r="AK1296" i="1"/>
  <c r="AL1296" i="1" s="1"/>
  <c r="AM1296" i="1" s="1"/>
  <c r="AA1296" i="1"/>
  <c r="Z1296" i="1"/>
  <c r="Y1296" i="1"/>
  <c r="X1296" i="1"/>
  <c r="W1296" i="1"/>
  <c r="AK1295" i="1"/>
  <c r="AL1295" i="1" s="1"/>
  <c r="AM1295" i="1" s="1"/>
  <c r="AA1295" i="1"/>
  <c r="Z1295" i="1"/>
  <c r="Y1295" i="1"/>
  <c r="X1295" i="1"/>
  <c r="W1295" i="1"/>
  <c r="AK1294" i="1"/>
  <c r="AL1294" i="1" s="1"/>
  <c r="AM1294" i="1" s="1"/>
  <c r="AA1294" i="1"/>
  <c r="Z1294" i="1"/>
  <c r="Y1294" i="1"/>
  <c r="X1294" i="1"/>
  <c r="W1294" i="1"/>
  <c r="AK1293" i="1"/>
  <c r="AL1293" i="1" s="1"/>
  <c r="AM1293" i="1" s="1"/>
  <c r="AA1293" i="1"/>
  <c r="Z1293" i="1"/>
  <c r="Y1293" i="1"/>
  <c r="X1293" i="1"/>
  <c r="W1293" i="1"/>
  <c r="AK1292" i="1"/>
  <c r="AL1292" i="1" s="1"/>
  <c r="AM1292" i="1" s="1"/>
  <c r="AA1292" i="1"/>
  <c r="Z1292" i="1"/>
  <c r="Y1292" i="1"/>
  <c r="X1292" i="1"/>
  <c r="W1292" i="1"/>
  <c r="AK1291" i="1"/>
  <c r="AL1291" i="1" s="1"/>
  <c r="AM1291" i="1" s="1"/>
  <c r="AA1291" i="1"/>
  <c r="Z1291" i="1"/>
  <c r="Y1291" i="1"/>
  <c r="X1291" i="1"/>
  <c r="W1291" i="1"/>
  <c r="AK1290" i="1"/>
  <c r="AL1290" i="1" s="1"/>
  <c r="AM1290" i="1" s="1"/>
  <c r="AA1290" i="1"/>
  <c r="Z1290" i="1"/>
  <c r="Y1290" i="1"/>
  <c r="X1290" i="1"/>
  <c r="W1290" i="1"/>
  <c r="AK1289" i="1"/>
  <c r="AL1289" i="1" s="1"/>
  <c r="AM1289" i="1" s="1"/>
  <c r="AA1289" i="1"/>
  <c r="Z1289" i="1"/>
  <c r="Y1289" i="1"/>
  <c r="X1289" i="1"/>
  <c r="W1289" i="1"/>
  <c r="AK1288" i="1"/>
  <c r="AL1288" i="1" s="1"/>
  <c r="AM1288" i="1" s="1"/>
  <c r="AA1288" i="1"/>
  <c r="Z1288" i="1"/>
  <c r="Y1288" i="1"/>
  <c r="X1288" i="1"/>
  <c r="W1288" i="1"/>
  <c r="AK1287" i="1"/>
  <c r="AL1287" i="1" s="1"/>
  <c r="AM1287" i="1" s="1"/>
  <c r="AA1287" i="1"/>
  <c r="Z1287" i="1"/>
  <c r="Y1287" i="1"/>
  <c r="X1287" i="1"/>
  <c r="W1287" i="1"/>
  <c r="AK1286" i="1"/>
  <c r="AL1286" i="1" s="1"/>
  <c r="AM1286" i="1" s="1"/>
  <c r="AA1286" i="1"/>
  <c r="Z1286" i="1"/>
  <c r="Y1286" i="1"/>
  <c r="X1286" i="1"/>
  <c r="W1286" i="1"/>
  <c r="AK1285" i="1"/>
  <c r="AL1285" i="1" s="1"/>
  <c r="AM1285" i="1" s="1"/>
  <c r="AA1285" i="1"/>
  <c r="Z1285" i="1"/>
  <c r="Y1285" i="1"/>
  <c r="X1285" i="1"/>
  <c r="W1285" i="1"/>
  <c r="AK1284" i="1"/>
  <c r="AL1284" i="1" s="1"/>
  <c r="AM1284" i="1" s="1"/>
  <c r="AA1284" i="1"/>
  <c r="Z1284" i="1"/>
  <c r="Y1284" i="1"/>
  <c r="X1284" i="1"/>
  <c r="W1284" i="1"/>
  <c r="AK1283" i="1"/>
  <c r="AL1283" i="1" s="1"/>
  <c r="AM1283" i="1" s="1"/>
  <c r="AA1283" i="1"/>
  <c r="Z1283" i="1"/>
  <c r="Y1283" i="1"/>
  <c r="X1283" i="1"/>
  <c r="W1283" i="1"/>
  <c r="AK1282" i="1"/>
  <c r="AL1282" i="1" s="1"/>
  <c r="AM1282" i="1" s="1"/>
  <c r="AA1282" i="1"/>
  <c r="Z1282" i="1"/>
  <c r="Y1282" i="1"/>
  <c r="X1282" i="1"/>
  <c r="W1282" i="1"/>
  <c r="AK1281" i="1"/>
  <c r="AL1281" i="1" s="1"/>
  <c r="AM1281" i="1" s="1"/>
  <c r="AA1281" i="1"/>
  <c r="Z1281" i="1"/>
  <c r="Y1281" i="1"/>
  <c r="X1281" i="1"/>
  <c r="W1281" i="1"/>
  <c r="AK1280" i="1"/>
  <c r="AL1280" i="1" s="1"/>
  <c r="AM1280" i="1" s="1"/>
  <c r="AA1280" i="1"/>
  <c r="Z1280" i="1"/>
  <c r="Y1280" i="1"/>
  <c r="X1280" i="1"/>
  <c r="W1280" i="1"/>
  <c r="AK1279" i="1"/>
  <c r="AL1279" i="1" s="1"/>
  <c r="AM1279" i="1" s="1"/>
  <c r="AA1279" i="1"/>
  <c r="Z1279" i="1"/>
  <c r="Y1279" i="1"/>
  <c r="X1279" i="1"/>
  <c r="W1279" i="1"/>
  <c r="AK1278" i="1"/>
  <c r="AL1278" i="1" s="1"/>
  <c r="AM1278" i="1" s="1"/>
  <c r="AA1278" i="1"/>
  <c r="Z1278" i="1"/>
  <c r="Y1278" i="1"/>
  <c r="X1278" i="1"/>
  <c r="W1278" i="1"/>
  <c r="AK1277" i="1"/>
  <c r="AL1277" i="1" s="1"/>
  <c r="AM1277" i="1" s="1"/>
  <c r="AA1277" i="1"/>
  <c r="Z1277" i="1"/>
  <c r="Y1277" i="1"/>
  <c r="X1277" i="1"/>
  <c r="W1277" i="1"/>
  <c r="AK1276" i="1"/>
  <c r="AL1276" i="1" s="1"/>
  <c r="AM1276" i="1" s="1"/>
  <c r="AA1276" i="1"/>
  <c r="Z1276" i="1"/>
  <c r="Y1276" i="1"/>
  <c r="X1276" i="1"/>
  <c r="W1276" i="1"/>
  <c r="AK1275" i="1"/>
  <c r="AL1275" i="1" s="1"/>
  <c r="AM1275" i="1" s="1"/>
  <c r="AA1275" i="1"/>
  <c r="Z1275" i="1"/>
  <c r="Y1275" i="1"/>
  <c r="X1275" i="1"/>
  <c r="W1275" i="1"/>
  <c r="AK1274" i="1"/>
  <c r="AL1274" i="1" s="1"/>
  <c r="AM1274" i="1" s="1"/>
  <c r="AA1274" i="1"/>
  <c r="Z1274" i="1"/>
  <c r="Y1274" i="1"/>
  <c r="X1274" i="1"/>
  <c r="W1274" i="1"/>
  <c r="AK1273" i="1"/>
  <c r="AL1273" i="1" s="1"/>
  <c r="AM1273" i="1" s="1"/>
  <c r="AA1273" i="1"/>
  <c r="Z1273" i="1"/>
  <c r="Y1273" i="1"/>
  <c r="X1273" i="1"/>
  <c r="W1273" i="1"/>
  <c r="AK1272" i="1"/>
  <c r="AL1272" i="1" s="1"/>
  <c r="AM1272" i="1" s="1"/>
  <c r="AA1272" i="1"/>
  <c r="Z1272" i="1"/>
  <c r="Y1272" i="1"/>
  <c r="X1272" i="1"/>
  <c r="W1272" i="1"/>
  <c r="AK1271" i="1"/>
  <c r="AL1271" i="1" s="1"/>
  <c r="AM1271" i="1" s="1"/>
  <c r="AA1271" i="1"/>
  <c r="Z1271" i="1"/>
  <c r="Y1271" i="1"/>
  <c r="X1271" i="1"/>
  <c r="W1271" i="1"/>
  <c r="AK1270" i="1"/>
  <c r="AL1270" i="1" s="1"/>
  <c r="AM1270" i="1" s="1"/>
  <c r="AA1270" i="1"/>
  <c r="Z1270" i="1"/>
  <c r="Y1270" i="1"/>
  <c r="X1270" i="1"/>
  <c r="W1270" i="1"/>
  <c r="AK1269" i="1"/>
  <c r="AL1269" i="1" s="1"/>
  <c r="AM1269" i="1" s="1"/>
  <c r="AA1269" i="1"/>
  <c r="Z1269" i="1"/>
  <c r="Y1269" i="1"/>
  <c r="X1269" i="1"/>
  <c r="W1269" i="1"/>
  <c r="AK1268" i="1"/>
  <c r="AL1268" i="1" s="1"/>
  <c r="AM1268" i="1" s="1"/>
  <c r="AA1268" i="1"/>
  <c r="Z1268" i="1"/>
  <c r="Y1268" i="1"/>
  <c r="X1268" i="1"/>
  <c r="W1268" i="1"/>
  <c r="AK1267" i="1"/>
  <c r="AL1267" i="1" s="1"/>
  <c r="AM1267" i="1" s="1"/>
  <c r="AA1267" i="1"/>
  <c r="Z1267" i="1"/>
  <c r="Y1267" i="1"/>
  <c r="X1267" i="1"/>
  <c r="W1267" i="1"/>
  <c r="AK1266" i="1"/>
  <c r="AL1266" i="1" s="1"/>
  <c r="AM1266" i="1" s="1"/>
  <c r="AA1266" i="1"/>
  <c r="Z1266" i="1"/>
  <c r="Y1266" i="1"/>
  <c r="X1266" i="1"/>
  <c r="W1266" i="1"/>
  <c r="AK1265" i="1"/>
  <c r="AL1265" i="1" s="1"/>
  <c r="AM1265" i="1" s="1"/>
  <c r="AA1265" i="1"/>
  <c r="Z1265" i="1"/>
  <c r="Y1265" i="1"/>
  <c r="X1265" i="1"/>
  <c r="W1265" i="1"/>
  <c r="AK1264" i="1"/>
  <c r="AL1264" i="1" s="1"/>
  <c r="AM1264" i="1" s="1"/>
  <c r="AA1264" i="1"/>
  <c r="Z1264" i="1"/>
  <c r="Y1264" i="1"/>
  <c r="X1264" i="1"/>
  <c r="W1264" i="1"/>
  <c r="AK1263" i="1"/>
  <c r="AL1263" i="1" s="1"/>
  <c r="AM1263" i="1" s="1"/>
  <c r="AA1263" i="1"/>
  <c r="Z1263" i="1"/>
  <c r="Y1263" i="1"/>
  <c r="X1263" i="1"/>
  <c r="W1263" i="1"/>
  <c r="AK1262" i="1"/>
  <c r="AL1262" i="1" s="1"/>
  <c r="AM1262" i="1" s="1"/>
  <c r="AA1262" i="1"/>
  <c r="Z1262" i="1"/>
  <c r="Y1262" i="1"/>
  <c r="X1262" i="1"/>
  <c r="W1262" i="1"/>
  <c r="AK1261" i="1"/>
  <c r="AL1261" i="1" s="1"/>
  <c r="AM1261" i="1" s="1"/>
  <c r="AA1261" i="1"/>
  <c r="Z1261" i="1"/>
  <c r="Y1261" i="1"/>
  <c r="X1261" i="1"/>
  <c r="W1261" i="1"/>
  <c r="AK1260" i="1"/>
  <c r="AL1260" i="1" s="1"/>
  <c r="AM1260" i="1" s="1"/>
  <c r="AA1260" i="1"/>
  <c r="Z1260" i="1"/>
  <c r="Y1260" i="1"/>
  <c r="X1260" i="1"/>
  <c r="W1260" i="1"/>
  <c r="AK1259" i="1"/>
  <c r="AL1259" i="1" s="1"/>
  <c r="AM1259" i="1" s="1"/>
  <c r="AA1259" i="1"/>
  <c r="Z1259" i="1"/>
  <c r="Y1259" i="1"/>
  <c r="X1259" i="1"/>
  <c r="W1259" i="1"/>
  <c r="AK1258" i="1"/>
  <c r="AL1258" i="1" s="1"/>
  <c r="AM1258" i="1" s="1"/>
  <c r="AA1258" i="1"/>
  <c r="Z1258" i="1"/>
  <c r="Y1258" i="1"/>
  <c r="X1258" i="1"/>
  <c r="W1258" i="1"/>
  <c r="AK1257" i="1"/>
  <c r="AL1257" i="1" s="1"/>
  <c r="AM1257" i="1" s="1"/>
  <c r="AA1257" i="1"/>
  <c r="Z1257" i="1"/>
  <c r="Y1257" i="1"/>
  <c r="X1257" i="1"/>
  <c r="W1257" i="1"/>
  <c r="AK1256" i="1"/>
  <c r="AL1256" i="1" s="1"/>
  <c r="AM1256" i="1" s="1"/>
  <c r="AA1256" i="1"/>
  <c r="Z1256" i="1"/>
  <c r="Y1256" i="1"/>
  <c r="X1256" i="1"/>
  <c r="W1256" i="1"/>
  <c r="AK1255" i="1"/>
  <c r="AL1255" i="1" s="1"/>
  <c r="AM1255" i="1" s="1"/>
  <c r="AA1255" i="1"/>
  <c r="Z1255" i="1"/>
  <c r="Y1255" i="1"/>
  <c r="X1255" i="1"/>
  <c r="W1255" i="1"/>
  <c r="AK1254" i="1"/>
  <c r="AL1254" i="1" s="1"/>
  <c r="AM1254" i="1" s="1"/>
  <c r="AA1254" i="1"/>
  <c r="Z1254" i="1"/>
  <c r="Y1254" i="1"/>
  <c r="X1254" i="1"/>
  <c r="W1254" i="1"/>
  <c r="AK1253" i="1"/>
  <c r="AL1253" i="1" s="1"/>
  <c r="AM1253" i="1" s="1"/>
  <c r="AA1253" i="1"/>
  <c r="Z1253" i="1"/>
  <c r="Y1253" i="1"/>
  <c r="X1253" i="1"/>
  <c r="W1253" i="1"/>
  <c r="AK1252" i="1"/>
  <c r="AL1252" i="1" s="1"/>
  <c r="AM1252" i="1" s="1"/>
  <c r="AA1252" i="1"/>
  <c r="Z1252" i="1"/>
  <c r="Y1252" i="1"/>
  <c r="X1252" i="1"/>
  <c r="W1252" i="1"/>
  <c r="AK1251" i="1"/>
  <c r="AL1251" i="1" s="1"/>
  <c r="AM1251" i="1" s="1"/>
  <c r="AA1251" i="1"/>
  <c r="Z1251" i="1"/>
  <c r="Y1251" i="1"/>
  <c r="X1251" i="1"/>
  <c r="W1251" i="1"/>
  <c r="AK1250" i="1"/>
  <c r="AL1250" i="1" s="1"/>
  <c r="AM1250" i="1" s="1"/>
  <c r="AA1250" i="1"/>
  <c r="Z1250" i="1"/>
  <c r="Y1250" i="1"/>
  <c r="X1250" i="1"/>
  <c r="W1250" i="1"/>
  <c r="AK1249" i="1"/>
  <c r="AL1249" i="1" s="1"/>
  <c r="AM1249" i="1" s="1"/>
  <c r="AA1249" i="1"/>
  <c r="Z1249" i="1"/>
  <c r="Y1249" i="1"/>
  <c r="X1249" i="1"/>
  <c r="W1249" i="1"/>
  <c r="AK1248" i="1"/>
  <c r="AL1248" i="1" s="1"/>
  <c r="AM1248" i="1" s="1"/>
  <c r="AA1248" i="1"/>
  <c r="Z1248" i="1"/>
  <c r="Y1248" i="1"/>
  <c r="X1248" i="1"/>
  <c r="W1248" i="1"/>
  <c r="AK1247" i="1"/>
  <c r="AL1247" i="1" s="1"/>
  <c r="AM1247" i="1" s="1"/>
  <c r="AA1247" i="1"/>
  <c r="Z1247" i="1"/>
  <c r="Y1247" i="1"/>
  <c r="X1247" i="1"/>
  <c r="W1247" i="1"/>
  <c r="AK1246" i="1"/>
  <c r="AL1246" i="1" s="1"/>
  <c r="AM1246" i="1" s="1"/>
  <c r="AA1246" i="1"/>
  <c r="Z1246" i="1"/>
  <c r="Y1246" i="1"/>
  <c r="X1246" i="1"/>
  <c r="W1246" i="1"/>
  <c r="AK1245" i="1"/>
  <c r="AL1245" i="1" s="1"/>
  <c r="AM1245" i="1" s="1"/>
  <c r="AA1245" i="1"/>
  <c r="Z1245" i="1"/>
  <c r="Y1245" i="1"/>
  <c r="X1245" i="1"/>
  <c r="W1245" i="1"/>
  <c r="AK1244" i="1"/>
  <c r="AL1244" i="1" s="1"/>
  <c r="AM1244" i="1" s="1"/>
  <c r="AA1244" i="1"/>
  <c r="Z1244" i="1"/>
  <c r="Y1244" i="1"/>
  <c r="X1244" i="1"/>
  <c r="W1244" i="1"/>
  <c r="AK1243" i="1"/>
  <c r="AL1243" i="1" s="1"/>
  <c r="AM1243" i="1" s="1"/>
  <c r="AA1243" i="1"/>
  <c r="Z1243" i="1"/>
  <c r="Y1243" i="1"/>
  <c r="X1243" i="1"/>
  <c r="W1243" i="1"/>
  <c r="AK1242" i="1"/>
  <c r="AL1242" i="1" s="1"/>
  <c r="AM1242" i="1" s="1"/>
  <c r="AA1242" i="1"/>
  <c r="Z1242" i="1"/>
  <c r="Y1242" i="1"/>
  <c r="X1242" i="1"/>
  <c r="W1242" i="1"/>
  <c r="AK1241" i="1"/>
  <c r="AL1241" i="1" s="1"/>
  <c r="AM1241" i="1" s="1"/>
  <c r="AA1241" i="1"/>
  <c r="Z1241" i="1"/>
  <c r="Y1241" i="1"/>
  <c r="X1241" i="1"/>
  <c r="W1241" i="1"/>
  <c r="AK1240" i="1"/>
  <c r="AL1240" i="1" s="1"/>
  <c r="AM1240" i="1" s="1"/>
  <c r="AA1240" i="1"/>
  <c r="Z1240" i="1"/>
  <c r="Y1240" i="1"/>
  <c r="X1240" i="1"/>
  <c r="W1240" i="1"/>
  <c r="AK1239" i="1"/>
  <c r="AL1239" i="1" s="1"/>
  <c r="AM1239" i="1" s="1"/>
  <c r="AA1239" i="1"/>
  <c r="Z1239" i="1"/>
  <c r="Y1239" i="1"/>
  <c r="X1239" i="1"/>
  <c r="W1239" i="1"/>
  <c r="AK1238" i="1"/>
  <c r="AL1238" i="1" s="1"/>
  <c r="AM1238" i="1" s="1"/>
  <c r="AA1238" i="1"/>
  <c r="Z1238" i="1"/>
  <c r="Y1238" i="1"/>
  <c r="X1238" i="1"/>
  <c r="W1238" i="1"/>
  <c r="AK1237" i="1"/>
  <c r="AL1237" i="1" s="1"/>
  <c r="AM1237" i="1" s="1"/>
  <c r="AA1237" i="1"/>
  <c r="Z1237" i="1"/>
  <c r="Y1237" i="1"/>
  <c r="X1237" i="1"/>
  <c r="W1237" i="1"/>
  <c r="AK1236" i="1"/>
  <c r="AL1236" i="1" s="1"/>
  <c r="AM1236" i="1" s="1"/>
  <c r="AA1236" i="1"/>
  <c r="Z1236" i="1"/>
  <c r="Y1236" i="1"/>
  <c r="X1236" i="1"/>
  <c r="W1236" i="1"/>
  <c r="AK1235" i="1"/>
  <c r="AL1235" i="1" s="1"/>
  <c r="AM1235" i="1" s="1"/>
  <c r="AA1235" i="1"/>
  <c r="Z1235" i="1"/>
  <c r="Y1235" i="1"/>
  <c r="X1235" i="1"/>
  <c r="W1235" i="1"/>
  <c r="AK1234" i="1"/>
  <c r="AL1234" i="1" s="1"/>
  <c r="AM1234" i="1" s="1"/>
  <c r="AA1234" i="1"/>
  <c r="Z1234" i="1"/>
  <c r="Y1234" i="1"/>
  <c r="X1234" i="1"/>
  <c r="W1234" i="1"/>
  <c r="AK1233" i="1"/>
  <c r="AL1233" i="1" s="1"/>
  <c r="AM1233" i="1" s="1"/>
  <c r="AA1233" i="1"/>
  <c r="Z1233" i="1"/>
  <c r="Y1233" i="1"/>
  <c r="X1233" i="1"/>
  <c r="W1233" i="1"/>
  <c r="AK1232" i="1"/>
  <c r="AL1232" i="1" s="1"/>
  <c r="AM1232" i="1" s="1"/>
  <c r="AA1232" i="1"/>
  <c r="Z1232" i="1"/>
  <c r="Y1232" i="1"/>
  <c r="X1232" i="1"/>
  <c r="W1232" i="1"/>
  <c r="AK1231" i="1"/>
  <c r="AL1231" i="1" s="1"/>
  <c r="AM1231" i="1" s="1"/>
  <c r="AA1231" i="1"/>
  <c r="Z1231" i="1"/>
  <c r="Y1231" i="1"/>
  <c r="X1231" i="1"/>
  <c r="W1231" i="1"/>
  <c r="AK1230" i="1"/>
  <c r="AL1230" i="1" s="1"/>
  <c r="AM1230" i="1" s="1"/>
  <c r="AA1230" i="1"/>
  <c r="Z1230" i="1"/>
  <c r="Y1230" i="1"/>
  <c r="X1230" i="1"/>
  <c r="W1230" i="1"/>
  <c r="AK1229" i="1"/>
  <c r="AL1229" i="1" s="1"/>
  <c r="AM1229" i="1" s="1"/>
  <c r="AA1229" i="1"/>
  <c r="Z1229" i="1"/>
  <c r="Y1229" i="1"/>
  <c r="X1229" i="1"/>
  <c r="W1229" i="1"/>
  <c r="AK1228" i="1"/>
  <c r="AL1228" i="1" s="1"/>
  <c r="AM1228" i="1" s="1"/>
  <c r="AA1228" i="1"/>
  <c r="Z1228" i="1"/>
  <c r="Y1228" i="1"/>
  <c r="X1228" i="1"/>
  <c r="W1228" i="1"/>
  <c r="AK1227" i="1"/>
  <c r="AL1227" i="1" s="1"/>
  <c r="AM1227" i="1" s="1"/>
  <c r="AA1227" i="1"/>
  <c r="Z1227" i="1"/>
  <c r="Y1227" i="1"/>
  <c r="X1227" i="1"/>
  <c r="W1227" i="1"/>
  <c r="AK1226" i="1"/>
  <c r="AL1226" i="1" s="1"/>
  <c r="AM1226" i="1" s="1"/>
  <c r="AA1226" i="1"/>
  <c r="Z1226" i="1"/>
  <c r="Y1226" i="1"/>
  <c r="X1226" i="1"/>
  <c r="W1226" i="1"/>
  <c r="AK1225" i="1"/>
  <c r="AL1225" i="1" s="1"/>
  <c r="AM1225" i="1" s="1"/>
  <c r="AA1225" i="1"/>
  <c r="Z1225" i="1"/>
  <c r="Y1225" i="1"/>
  <c r="X1225" i="1"/>
  <c r="W1225" i="1"/>
  <c r="AK1224" i="1"/>
  <c r="AL1224" i="1" s="1"/>
  <c r="AM1224" i="1" s="1"/>
  <c r="AA1224" i="1"/>
  <c r="Z1224" i="1"/>
  <c r="Y1224" i="1"/>
  <c r="X1224" i="1"/>
  <c r="W1224" i="1"/>
  <c r="AK1223" i="1"/>
  <c r="AL1223" i="1" s="1"/>
  <c r="AM1223" i="1" s="1"/>
  <c r="AA1223" i="1"/>
  <c r="Z1223" i="1"/>
  <c r="Y1223" i="1"/>
  <c r="X1223" i="1"/>
  <c r="W1223" i="1"/>
  <c r="AK1222" i="1"/>
  <c r="AL1222" i="1" s="1"/>
  <c r="AM1222" i="1" s="1"/>
  <c r="AA1222" i="1"/>
  <c r="Z1222" i="1"/>
  <c r="Y1222" i="1"/>
  <c r="X1222" i="1"/>
  <c r="W1222" i="1"/>
  <c r="AK1221" i="1"/>
  <c r="AL1221" i="1" s="1"/>
  <c r="AM1221" i="1" s="1"/>
  <c r="AA1221" i="1"/>
  <c r="Z1221" i="1"/>
  <c r="Y1221" i="1"/>
  <c r="X1221" i="1"/>
  <c r="W1221" i="1"/>
  <c r="AK1220" i="1"/>
  <c r="AL1220" i="1" s="1"/>
  <c r="AM1220" i="1" s="1"/>
  <c r="AA1220" i="1"/>
  <c r="Z1220" i="1"/>
  <c r="Y1220" i="1"/>
  <c r="X1220" i="1"/>
  <c r="W1220" i="1"/>
  <c r="AK1219" i="1"/>
  <c r="AL1219" i="1" s="1"/>
  <c r="AM1219" i="1" s="1"/>
  <c r="AA1219" i="1"/>
  <c r="Z1219" i="1"/>
  <c r="Y1219" i="1"/>
  <c r="X1219" i="1"/>
  <c r="W1219" i="1"/>
  <c r="AK1218" i="1"/>
  <c r="AL1218" i="1" s="1"/>
  <c r="AM1218" i="1" s="1"/>
  <c r="AA1218" i="1"/>
  <c r="Z1218" i="1"/>
  <c r="Y1218" i="1"/>
  <c r="X1218" i="1"/>
  <c r="W1218" i="1"/>
  <c r="AK1217" i="1"/>
  <c r="AL1217" i="1" s="1"/>
  <c r="AM1217" i="1" s="1"/>
  <c r="AA1217" i="1"/>
  <c r="Z1217" i="1"/>
  <c r="Y1217" i="1"/>
  <c r="X1217" i="1"/>
  <c r="W1217" i="1"/>
  <c r="AK1216" i="1"/>
  <c r="AL1216" i="1" s="1"/>
  <c r="AM1216" i="1" s="1"/>
  <c r="AA1216" i="1"/>
  <c r="Z1216" i="1"/>
  <c r="Y1216" i="1"/>
  <c r="X1216" i="1"/>
  <c r="W1216" i="1"/>
  <c r="AK1215" i="1"/>
  <c r="AL1215" i="1" s="1"/>
  <c r="AM1215" i="1" s="1"/>
  <c r="AA1215" i="1"/>
  <c r="Z1215" i="1"/>
  <c r="Y1215" i="1"/>
  <c r="X1215" i="1"/>
  <c r="W1215" i="1"/>
  <c r="AK1214" i="1"/>
  <c r="AL1214" i="1" s="1"/>
  <c r="AM1214" i="1" s="1"/>
  <c r="AA1214" i="1"/>
  <c r="Z1214" i="1"/>
  <c r="Y1214" i="1"/>
  <c r="X1214" i="1"/>
  <c r="W1214" i="1"/>
  <c r="AK1213" i="1"/>
  <c r="AL1213" i="1" s="1"/>
  <c r="AM1213" i="1" s="1"/>
  <c r="AA1213" i="1"/>
  <c r="Z1213" i="1"/>
  <c r="Y1213" i="1"/>
  <c r="X1213" i="1"/>
  <c r="W1213" i="1"/>
  <c r="AK1212" i="1"/>
  <c r="AL1212" i="1" s="1"/>
  <c r="AM1212" i="1" s="1"/>
  <c r="AA1212" i="1"/>
  <c r="Z1212" i="1"/>
  <c r="Y1212" i="1"/>
  <c r="X1212" i="1"/>
  <c r="W1212" i="1"/>
  <c r="AK1211" i="1"/>
  <c r="AL1211" i="1" s="1"/>
  <c r="AM1211" i="1" s="1"/>
  <c r="AA1211" i="1"/>
  <c r="Z1211" i="1"/>
  <c r="Y1211" i="1"/>
  <c r="X1211" i="1"/>
  <c r="W1211" i="1"/>
  <c r="AL1210" i="1"/>
  <c r="AM1210" i="1" s="1"/>
  <c r="AK1210" i="1"/>
  <c r="AA1210" i="1"/>
  <c r="Z1210" i="1"/>
  <c r="Y1210" i="1"/>
  <c r="X1210" i="1"/>
  <c r="W1210" i="1"/>
  <c r="AK1209" i="1"/>
  <c r="AL1209" i="1" s="1"/>
  <c r="AM1209" i="1" s="1"/>
  <c r="AA1209" i="1"/>
  <c r="Z1209" i="1"/>
  <c r="Y1209" i="1"/>
  <c r="X1209" i="1"/>
  <c r="W1209" i="1"/>
  <c r="AK1208" i="1"/>
  <c r="AL1208" i="1" s="1"/>
  <c r="AM1208" i="1" s="1"/>
  <c r="AA1208" i="1"/>
  <c r="Z1208" i="1"/>
  <c r="Y1208" i="1"/>
  <c r="X1208" i="1"/>
  <c r="W1208" i="1"/>
  <c r="AK1207" i="1"/>
  <c r="AL1207" i="1" s="1"/>
  <c r="AM1207" i="1" s="1"/>
  <c r="AA1207" i="1"/>
  <c r="Z1207" i="1"/>
  <c r="Y1207" i="1"/>
  <c r="X1207" i="1"/>
  <c r="W1207" i="1"/>
  <c r="AK1206" i="1"/>
  <c r="AL1206" i="1" s="1"/>
  <c r="AM1206" i="1" s="1"/>
  <c r="AA1206" i="1"/>
  <c r="Z1206" i="1"/>
  <c r="Y1206" i="1"/>
  <c r="X1206" i="1"/>
  <c r="W1206" i="1"/>
  <c r="AK1205" i="1"/>
  <c r="AL1205" i="1" s="1"/>
  <c r="AM1205" i="1" s="1"/>
  <c r="AA1205" i="1"/>
  <c r="Z1205" i="1"/>
  <c r="Y1205" i="1"/>
  <c r="X1205" i="1"/>
  <c r="W1205" i="1"/>
  <c r="AK1204" i="1"/>
  <c r="AL1204" i="1" s="1"/>
  <c r="AM1204" i="1" s="1"/>
  <c r="AA1204" i="1"/>
  <c r="Z1204" i="1"/>
  <c r="Y1204" i="1"/>
  <c r="X1204" i="1"/>
  <c r="W1204" i="1"/>
  <c r="AK1203" i="1"/>
  <c r="AL1203" i="1" s="1"/>
  <c r="AM1203" i="1" s="1"/>
  <c r="AA1203" i="1"/>
  <c r="Z1203" i="1"/>
  <c r="Y1203" i="1"/>
  <c r="X1203" i="1"/>
  <c r="W1203" i="1"/>
  <c r="AK1202" i="1"/>
  <c r="AL1202" i="1" s="1"/>
  <c r="AM1202" i="1" s="1"/>
  <c r="AA1202" i="1"/>
  <c r="Z1202" i="1"/>
  <c r="Y1202" i="1"/>
  <c r="X1202" i="1"/>
  <c r="W1202" i="1"/>
  <c r="AK1201" i="1"/>
  <c r="AL1201" i="1" s="1"/>
  <c r="AM1201" i="1" s="1"/>
  <c r="AA1201" i="1"/>
  <c r="Z1201" i="1"/>
  <c r="Y1201" i="1"/>
  <c r="X1201" i="1"/>
  <c r="W1201" i="1"/>
  <c r="AK1200" i="1"/>
  <c r="AL1200" i="1" s="1"/>
  <c r="AM1200" i="1" s="1"/>
  <c r="AA1200" i="1"/>
  <c r="Z1200" i="1"/>
  <c r="Y1200" i="1"/>
  <c r="X1200" i="1"/>
  <c r="W1200" i="1"/>
  <c r="AK1199" i="1"/>
  <c r="AL1199" i="1" s="1"/>
  <c r="AM1199" i="1" s="1"/>
  <c r="AA1199" i="1"/>
  <c r="Z1199" i="1"/>
  <c r="Y1199" i="1"/>
  <c r="X1199" i="1"/>
  <c r="W1199" i="1"/>
  <c r="AK1198" i="1"/>
  <c r="AL1198" i="1" s="1"/>
  <c r="AM1198" i="1" s="1"/>
  <c r="AA1198" i="1"/>
  <c r="Z1198" i="1"/>
  <c r="Y1198" i="1"/>
  <c r="X1198" i="1"/>
  <c r="W1198" i="1"/>
  <c r="AK1197" i="1"/>
  <c r="AL1197" i="1" s="1"/>
  <c r="AM1197" i="1" s="1"/>
  <c r="AA1197" i="1"/>
  <c r="Z1197" i="1"/>
  <c r="Y1197" i="1"/>
  <c r="X1197" i="1"/>
  <c r="W1197" i="1"/>
  <c r="AK1196" i="1"/>
  <c r="AL1196" i="1" s="1"/>
  <c r="AM1196" i="1" s="1"/>
  <c r="AA1196" i="1"/>
  <c r="Z1196" i="1"/>
  <c r="Y1196" i="1"/>
  <c r="X1196" i="1"/>
  <c r="W1196" i="1"/>
  <c r="AK1195" i="1"/>
  <c r="AL1195" i="1" s="1"/>
  <c r="AM1195" i="1" s="1"/>
  <c r="AA1195" i="1"/>
  <c r="Z1195" i="1"/>
  <c r="Y1195" i="1"/>
  <c r="X1195" i="1"/>
  <c r="W1195" i="1"/>
  <c r="AK1194" i="1"/>
  <c r="AL1194" i="1" s="1"/>
  <c r="AM1194" i="1" s="1"/>
  <c r="AA1194" i="1"/>
  <c r="Z1194" i="1"/>
  <c r="Y1194" i="1"/>
  <c r="X1194" i="1"/>
  <c r="W1194" i="1"/>
  <c r="AK1193" i="1"/>
  <c r="AL1193" i="1" s="1"/>
  <c r="AM1193" i="1" s="1"/>
  <c r="AA1193" i="1"/>
  <c r="Z1193" i="1"/>
  <c r="Y1193" i="1"/>
  <c r="X1193" i="1"/>
  <c r="W1193" i="1"/>
  <c r="AK1192" i="1"/>
  <c r="AL1192" i="1" s="1"/>
  <c r="AM1192" i="1" s="1"/>
  <c r="AA1192" i="1"/>
  <c r="Z1192" i="1"/>
  <c r="Y1192" i="1"/>
  <c r="X1192" i="1"/>
  <c r="W1192" i="1"/>
  <c r="AK1191" i="1"/>
  <c r="AL1191" i="1" s="1"/>
  <c r="AM1191" i="1" s="1"/>
  <c r="AA1191" i="1"/>
  <c r="Z1191" i="1"/>
  <c r="Y1191" i="1"/>
  <c r="X1191" i="1"/>
  <c r="W1191" i="1"/>
  <c r="AK1190" i="1"/>
  <c r="AL1190" i="1" s="1"/>
  <c r="AM1190" i="1" s="1"/>
  <c r="AA1190" i="1"/>
  <c r="Z1190" i="1"/>
  <c r="Y1190" i="1"/>
  <c r="X1190" i="1"/>
  <c r="W1190" i="1"/>
  <c r="AK1189" i="1"/>
  <c r="AL1189" i="1" s="1"/>
  <c r="AM1189" i="1" s="1"/>
  <c r="AA1189" i="1"/>
  <c r="Z1189" i="1"/>
  <c r="Y1189" i="1"/>
  <c r="X1189" i="1"/>
  <c r="W1189" i="1"/>
  <c r="AK1188" i="1"/>
  <c r="AL1188" i="1" s="1"/>
  <c r="AM1188" i="1" s="1"/>
  <c r="AA1188" i="1"/>
  <c r="Z1188" i="1"/>
  <c r="Y1188" i="1"/>
  <c r="X1188" i="1"/>
  <c r="W1188" i="1"/>
  <c r="AK1187" i="1"/>
  <c r="AL1187" i="1" s="1"/>
  <c r="AM1187" i="1" s="1"/>
  <c r="AA1187" i="1"/>
  <c r="Z1187" i="1"/>
  <c r="Y1187" i="1"/>
  <c r="X1187" i="1"/>
  <c r="W1187" i="1"/>
  <c r="AK1186" i="1"/>
  <c r="AL1186" i="1" s="1"/>
  <c r="AM1186" i="1" s="1"/>
  <c r="AA1186" i="1"/>
  <c r="Z1186" i="1"/>
  <c r="Y1186" i="1"/>
  <c r="X1186" i="1"/>
  <c r="W1186" i="1"/>
  <c r="AK1185" i="1"/>
  <c r="AL1185" i="1" s="1"/>
  <c r="AM1185" i="1" s="1"/>
  <c r="AA1185" i="1"/>
  <c r="Z1185" i="1"/>
  <c r="Y1185" i="1"/>
  <c r="X1185" i="1"/>
  <c r="W1185" i="1"/>
  <c r="AK1184" i="1"/>
  <c r="AL1184" i="1" s="1"/>
  <c r="AM1184" i="1" s="1"/>
  <c r="AA1184" i="1"/>
  <c r="Z1184" i="1"/>
  <c r="Y1184" i="1"/>
  <c r="X1184" i="1"/>
  <c r="W1184" i="1"/>
  <c r="AK1183" i="1"/>
  <c r="AL1183" i="1" s="1"/>
  <c r="AM1183" i="1" s="1"/>
  <c r="AA1183" i="1"/>
  <c r="Z1183" i="1"/>
  <c r="Y1183" i="1"/>
  <c r="X1183" i="1"/>
  <c r="W1183" i="1"/>
  <c r="AK1182" i="1"/>
  <c r="AL1182" i="1" s="1"/>
  <c r="AM1182" i="1" s="1"/>
  <c r="AA1182" i="1"/>
  <c r="Z1182" i="1"/>
  <c r="Y1182" i="1"/>
  <c r="X1182" i="1"/>
  <c r="W1182" i="1"/>
  <c r="AK1181" i="1"/>
  <c r="AL1181" i="1" s="1"/>
  <c r="AM1181" i="1" s="1"/>
  <c r="AA1181" i="1"/>
  <c r="Z1181" i="1"/>
  <c r="Y1181" i="1"/>
  <c r="X1181" i="1"/>
  <c r="W1181" i="1"/>
  <c r="AK1180" i="1"/>
  <c r="AL1180" i="1" s="1"/>
  <c r="AM1180" i="1" s="1"/>
  <c r="AA1180" i="1"/>
  <c r="Z1180" i="1"/>
  <c r="Y1180" i="1"/>
  <c r="X1180" i="1"/>
  <c r="W1180" i="1"/>
  <c r="AK1179" i="1"/>
  <c r="AL1179" i="1" s="1"/>
  <c r="AM1179" i="1" s="1"/>
  <c r="AA1179" i="1"/>
  <c r="Z1179" i="1"/>
  <c r="Y1179" i="1"/>
  <c r="X1179" i="1"/>
  <c r="W1179" i="1"/>
  <c r="AK1178" i="1"/>
  <c r="AL1178" i="1" s="1"/>
  <c r="AM1178" i="1" s="1"/>
  <c r="AA1178" i="1"/>
  <c r="Z1178" i="1"/>
  <c r="Y1178" i="1"/>
  <c r="X1178" i="1"/>
  <c r="W1178" i="1"/>
  <c r="AK1177" i="1"/>
  <c r="AL1177" i="1" s="1"/>
  <c r="AM1177" i="1" s="1"/>
  <c r="AA1177" i="1"/>
  <c r="Z1177" i="1"/>
  <c r="Y1177" i="1"/>
  <c r="X1177" i="1"/>
  <c r="W1177" i="1"/>
  <c r="AK1176" i="1"/>
  <c r="AL1176" i="1" s="1"/>
  <c r="AM1176" i="1" s="1"/>
  <c r="AA1176" i="1"/>
  <c r="Z1176" i="1"/>
  <c r="Y1176" i="1"/>
  <c r="X1176" i="1"/>
  <c r="W1176" i="1"/>
  <c r="AK1175" i="1"/>
  <c r="AL1175" i="1" s="1"/>
  <c r="AM1175" i="1" s="1"/>
  <c r="AA1175" i="1"/>
  <c r="Z1175" i="1"/>
  <c r="Y1175" i="1"/>
  <c r="X1175" i="1"/>
  <c r="W1175" i="1"/>
  <c r="AK1174" i="1"/>
  <c r="AL1174" i="1" s="1"/>
  <c r="AM1174" i="1" s="1"/>
  <c r="AA1174" i="1"/>
  <c r="Z1174" i="1"/>
  <c r="Y1174" i="1"/>
  <c r="X1174" i="1"/>
  <c r="W1174" i="1"/>
  <c r="AK1173" i="1"/>
  <c r="AL1173" i="1" s="1"/>
  <c r="AM1173" i="1" s="1"/>
  <c r="AA1173" i="1"/>
  <c r="Z1173" i="1"/>
  <c r="Y1173" i="1"/>
  <c r="X1173" i="1"/>
  <c r="W1173" i="1"/>
  <c r="AK1172" i="1"/>
  <c r="AL1172" i="1" s="1"/>
  <c r="AM1172" i="1" s="1"/>
  <c r="AA1172" i="1"/>
  <c r="Z1172" i="1"/>
  <c r="Y1172" i="1"/>
  <c r="X1172" i="1"/>
  <c r="W1172" i="1"/>
  <c r="AK1171" i="1"/>
  <c r="AL1171" i="1" s="1"/>
  <c r="AM1171" i="1" s="1"/>
  <c r="AA1171" i="1"/>
  <c r="Z1171" i="1"/>
  <c r="Y1171" i="1"/>
  <c r="X1171" i="1"/>
  <c r="W1171" i="1"/>
  <c r="AK1170" i="1"/>
  <c r="AL1170" i="1" s="1"/>
  <c r="AM1170" i="1" s="1"/>
  <c r="AA1170" i="1"/>
  <c r="Z1170" i="1"/>
  <c r="Y1170" i="1"/>
  <c r="X1170" i="1"/>
  <c r="W1170" i="1"/>
  <c r="AK1169" i="1"/>
  <c r="AL1169" i="1" s="1"/>
  <c r="AM1169" i="1" s="1"/>
  <c r="AA1169" i="1"/>
  <c r="Z1169" i="1"/>
  <c r="Y1169" i="1"/>
  <c r="X1169" i="1"/>
  <c r="W1169" i="1"/>
  <c r="AK1168" i="1"/>
  <c r="AL1168" i="1" s="1"/>
  <c r="AM1168" i="1" s="1"/>
  <c r="AA1168" i="1"/>
  <c r="Z1168" i="1"/>
  <c r="Y1168" i="1"/>
  <c r="X1168" i="1"/>
  <c r="W1168" i="1"/>
  <c r="AK1167" i="1"/>
  <c r="AL1167" i="1" s="1"/>
  <c r="AM1167" i="1" s="1"/>
  <c r="AA1167" i="1"/>
  <c r="Z1167" i="1"/>
  <c r="Y1167" i="1"/>
  <c r="X1167" i="1"/>
  <c r="W1167" i="1"/>
  <c r="AK1166" i="1"/>
  <c r="AL1166" i="1" s="1"/>
  <c r="AM1166" i="1" s="1"/>
  <c r="AA1166" i="1"/>
  <c r="Z1166" i="1"/>
  <c r="Y1166" i="1"/>
  <c r="X1166" i="1"/>
  <c r="W1166" i="1"/>
  <c r="AK1165" i="1"/>
  <c r="AL1165" i="1" s="1"/>
  <c r="AM1165" i="1" s="1"/>
  <c r="AA1165" i="1"/>
  <c r="Z1165" i="1"/>
  <c r="Y1165" i="1"/>
  <c r="X1165" i="1"/>
  <c r="W1165" i="1"/>
  <c r="AK1164" i="1"/>
  <c r="AL1164" i="1" s="1"/>
  <c r="AM1164" i="1" s="1"/>
  <c r="AA1164" i="1"/>
  <c r="Z1164" i="1"/>
  <c r="Y1164" i="1"/>
  <c r="X1164" i="1"/>
  <c r="W1164" i="1"/>
  <c r="AK1163" i="1"/>
  <c r="AL1163" i="1" s="1"/>
  <c r="AM1163" i="1" s="1"/>
  <c r="AA1163" i="1"/>
  <c r="Z1163" i="1"/>
  <c r="Y1163" i="1"/>
  <c r="X1163" i="1"/>
  <c r="W1163" i="1"/>
  <c r="AK1162" i="1"/>
  <c r="AL1162" i="1" s="1"/>
  <c r="AM1162" i="1" s="1"/>
  <c r="AA1162" i="1"/>
  <c r="Z1162" i="1"/>
  <c r="Y1162" i="1"/>
  <c r="X1162" i="1"/>
  <c r="W1162" i="1"/>
  <c r="AK1161" i="1"/>
  <c r="AL1161" i="1" s="1"/>
  <c r="AM1161" i="1" s="1"/>
  <c r="AA1161" i="1"/>
  <c r="Z1161" i="1"/>
  <c r="Y1161" i="1"/>
  <c r="X1161" i="1"/>
  <c r="W1161" i="1"/>
  <c r="AK1160" i="1"/>
  <c r="AL1160" i="1" s="1"/>
  <c r="AM1160" i="1" s="1"/>
  <c r="AA1160" i="1"/>
  <c r="Z1160" i="1"/>
  <c r="Y1160" i="1"/>
  <c r="X1160" i="1"/>
  <c r="W1160" i="1"/>
  <c r="AK1159" i="1"/>
  <c r="AL1159" i="1" s="1"/>
  <c r="AM1159" i="1" s="1"/>
  <c r="AA1159" i="1"/>
  <c r="Z1159" i="1"/>
  <c r="Y1159" i="1"/>
  <c r="X1159" i="1"/>
  <c r="W1159" i="1"/>
  <c r="AK1158" i="1"/>
  <c r="AL1158" i="1" s="1"/>
  <c r="AM1158" i="1" s="1"/>
  <c r="AA1158" i="1"/>
  <c r="Z1158" i="1"/>
  <c r="Y1158" i="1"/>
  <c r="X1158" i="1"/>
  <c r="W1158" i="1"/>
  <c r="AK1157" i="1"/>
  <c r="AL1157" i="1" s="1"/>
  <c r="AM1157" i="1" s="1"/>
  <c r="AA1157" i="1"/>
  <c r="Z1157" i="1"/>
  <c r="Y1157" i="1"/>
  <c r="X1157" i="1"/>
  <c r="W1157" i="1"/>
  <c r="AK1156" i="1"/>
  <c r="AL1156" i="1" s="1"/>
  <c r="AM1156" i="1" s="1"/>
  <c r="AA1156" i="1"/>
  <c r="Z1156" i="1"/>
  <c r="Y1156" i="1"/>
  <c r="X1156" i="1"/>
  <c r="W1156" i="1"/>
  <c r="AK1155" i="1"/>
  <c r="AL1155" i="1" s="1"/>
  <c r="AM1155" i="1" s="1"/>
  <c r="AA1155" i="1"/>
  <c r="Z1155" i="1"/>
  <c r="Y1155" i="1"/>
  <c r="X1155" i="1"/>
  <c r="W1155" i="1"/>
  <c r="AK1154" i="1"/>
  <c r="AL1154" i="1" s="1"/>
  <c r="AM1154" i="1" s="1"/>
  <c r="AA1154" i="1"/>
  <c r="Z1154" i="1"/>
  <c r="Y1154" i="1"/>
  <c r="X1154" i="1"/>
  <c r="W1154" i="1"/>
  <c r="AK1153" i="1"/>
  <c r="AL1153" i="1" s="1"/>
  <c r="AM1153" i="1" s="1"/>
  <c r="AA1153" i="1"/>
  <c r="Z1153" i="1"/>
  <c r="Y1153" i="1"/>
  <c r="X1153" i="1"/>
  <c r="W1153" i="1"/>
  <c r="AK1152" i="1"/>
  <c r="AL1152" i="1" s="1"/>
  <c r="AM1152" i="1" s="1"/>
  <c r="AA1152" i="1"/>
  <c r="Z1152" i="1"/>
  <c r="Y1152" i="1"/>
  <c r="X1152" i="1"/>
  <c r="W1152" i="1"/>
  <c r="AK1151" i="1"/>
  <c r="AL1151" i="1" s="1"/>
  <c r="AM1151" i="1" s="1"/>
  <c r="AA1151" i="1"/>
  <c r="Z1151" i="1"/>
  <c r="Y1151" i="1"/>
  <c r="X1151" i="1"/>
  <c r="W1151" i="1"/>
  <c r="AK1150" i="1"/>
  <c r="AL1150" i="1" s="1"/>
  <c r="AM1150" i="1" s="1"/>
  <c r="AA1150" i="1"/>
  <c r="Z1150" i="1"/>
  <c r="Y1150" i="1"/>
  <c r="X1150" i="1"/>
  <c r="W1150" i="1"/>
  <c r="AK1149" i="1"/>
  <c r="AL1149" i="1" s="1"/>
  <c r="AM1149" i="1" s="1"/>
  <c r="AA1149" i="1"/>
  <c r="Z1149" i="1"/>
  <c r="Y1149" i="1"/>
  <c r="X1149" i="1"/>
  <c r="W1149" i="1"/>
  <c r="AK1148" i="1"/>
  <c r="AL1148" i="1" s="1"/>
  <c r="AM1148" i="1" s="1"/>
  <c r="AA1148" i="1"/>
  <c r="Z1148" i="1"/>
  <c r="Y1148" i="1"/>
  <c r="X1148" i="1"/>
  <c r="W1148" i="1"/>
  <c r="AK1147" i="1"/>
  <c r="AL1147" i="1" s="1"/>
  <c r="AM1147" i="1" s="1"/>
  <c r="AA1147" i="1"/>
  <c r="Z1147" i="1"/>
  <c r="Y1147" i="1"/>
  <c r="X1147" i="1"/>
  <c r="W1147" i="1"/>
  <c r="AK1146" i="1"/>
  <c r="AL1146" i="1" s="1"/>
  <c r="AM1146" i="1" s="1"/>
  <c r="AA1146" i="1"/>
  <c r="Z1146" i="1"/>
  <c r="Y1146" i="1"/>
  <c r="X1146" i="1"/>
  <c r="W1146" i="1"/>
  <c r="AK1145" i="1"/>
  <c r="AL1145" i="1" s="1"/>
  <c r="AM1145" i="1" s="1"/>
  <c r="AA1145" i="1"/>
  <c r="Z1145" i="1"/>
  <c r="Y1145" i="1"/>
  <c r="X1145" i="1"/>
  <c r="W1145" i="1"/>
  <c r="AK1144" i="1"/>
  <c r="AL1144" i="1" s="1"/>
  <c r="AM1144" i="1" s="1"/>
  <c r="AA1144" i="1"/>
  <c r="Z1144" i="1"/>
  <c r="Y1144" i="1"/>
  <c r="X1144" i="1"/>
  <c r="W1144" i="1"/>
  <c r="AK1143" i="1"/>
  <c r="AL1143" i="1" s="1"/>
  <c r="AM1143" i="1" s="1"/>
  <c r="AA1143" i="1"/>
  <c r="Z1143" i="1"/>
  <c r="Y1143" i="1"/>
  <c r="X1143" i="1"/>
  <c r="W1143" i="1"/>
  <c r="AK1142" i="1"/>
  <c r="AL1142" i="1" s="1"/>
  <c r="AM1142" i="1" s="1"/>
  <c r="AA1142" i="1"/>
  <c r="Z1142" i="1"/>
  <c r="Y1142" i="1"/>
  <c r="X1142" i="1"/>
  <c r="W1142" i="1"/>
  <c r="AK1141" i="1"/>
  <c r="AL1141" i="1" s="1"/>
  <c r="AM1141" i="1" s="1"/>
  <c r="AA1141" i="1"/>
  <c r="Z1141" i="1"/>
  <c r="Y1141" i="1"/>
  <c r="X1141" i="1"/>
  <c r="W1141" i="1"/>
  <c r="AK1140" i="1"/>
  <c r="AL1140" i="1" s="1"/>
  <c r="AM1140" i="1" s="1"/>
  <c r="AA1140" i="1"/>
  <c r="Z1140" i="1"/>
  <c r="Y1140" i="1"/>
  <c r="X1140" i="1"/>
  <c r="W1140" i="1"/>
  <c r="AK1139" i="1"/>
  <c r="AL1139" i="1" s="1"/>
  <c r="AM1139" i="1" s="1"/>
  <c r="AA1139" i="1"/>
  <c r="Z1139" i="1"/>
  <c r="Y1139" i="1"/>
  <c r="X1139" i="1"/>
  <c r="W1139" i="1"/>
  <c r="AK1138" i="1"/>
  <c r="AL1138" i="1" s="1"/>
  <c r="AM1138" i="1" s="1"/>
  <c r="AA1138" i="1"/>
  <c r="Z1138" i="1"/>
  <c r="Y1138" i="1"/>
  <c r="X1138" i="1"/>
  <c r="W1138" i="1"/>
  <c r="AK1137" i="1"/>
  <c r="AL1137" i="1" s="1"/>
  <c r="AM1137" i="1" s="1"/>
  <c r="AA1137" i="1"/>
  <c r="Z1137" i="1"/>
  <c r="Y1137" i="1"/>
  <c r="X1137" i="1"/>
  <c r="W1137" i="1"/>
  <c r="AK1136" i="1"/>
  <c r="AL1136" i="1" s="1"/>
  <c r="AM1136" i="1" s="1"/>
  <c r="AA1136" i="1"/>
  <c r="Z1136" i="1"/>
  <c r="Y1136" i="1"/>
  <c r="X1136" i="1"/>
  <c r="W1136" i="1"/>
  <c r="AK1135" i="1"/>
  <c r="AL1135" i="1" s="1"/>
  <c r="AM1135" i="1" s="1"/>
  <c r="AA1135" i="1"/>
  <c r="Z1135" i="1"/>
  <c r="Y1135" i="1"/>
  <c r="X1135" i="1"/>
  <c r="W1135" i="1"/>
  <c r="AK1134" i="1"/>
  <c r="AL1134" i="1" s="1"/>
  <c r="AM1134" i="1" s="1"/>
  <c r="AA1134" i="1"/>
  <c r="Z1134" i="1"/>
  <c r="Y1134" i="1"/>
  <c r="X1134" i="1"/>
  <c r="W1134" i="1"/>
  <c r="AK1133" i="1"/>
  <c r="AL1133" i="1" s="1"/>
  <c r="AM1133" i="1" s="1"/>
  <c r="AA1133" i="1"/>
  <c r="Z1133" i="1"/>
  <c r="Y1133" i="1"/>
  <c r="X1133" i="1"/>
  <c r="W1133" i="1"/>
  <c r="AK1132" i="1"/>
  <c r="AL1132" i="1" s="1"/>
  <c r="AM1132" i="1" s="1"/>
  <c r="AA1132" i="1"/>
  <c r="Z1132" i="1"/>
  <c r="Y1132" i="1"/>
  <c r="X1132" i="1"/>
  <c r="W1132" i="1"/>
  <c r="AK1131" i="1"/>
  <c r="AL1131" i="1" s="1"/>
  <c r="AM1131" i="1" s="1"/>
  <c r="AA1131" i="1"/>
  <c r="Z1131" i="1"/>
  <c r="Y1131" i="1"/>
  <c r="X1131" i="1"/>
  <c r="W1131" i="1"/>
  <c r="AK1130" i="1"/>
  <c r="AL1130" i="1" s="1"/>
  <c r="AM1130" i="1" s="1"/>
  <c r="AA1130" i="1"/>
  <c r="Z1130" i="1"/>
  <c r="Y1130" i="1"/>
  <c r="X1130" i="1"/>
  <c r="W1130" i="1"/>
  <c r="AK1129" i="1"/>
  <c r="AL1129" i="1" s="1"/>
  <c r="AM1129" i="1" s="1"/>
  <c r="AA1129" i="1"/>
  <c r="Z1129" i="1"/>
  <c r="Y1129" i="1"/>
  <c r="X1129" i="1"/>
  <c r="W1129" i="1"/>
  <c r="AK1128" i="1"/>
  <c r="AL1128" i="1" s="1"/>
  <c r="AM1128" i="1" s="1"/>
  <c r="AA1128" i="1"/>
  <c r="Z1128" i="1"/>
  <c r="Y1128" i="1"/>
  <c r="X1128" i="1"/>
  <c r="W1128" i="1"/>
  <c r="AK1127" i="1"/>
  <c r="AL1127" i="1" s="1"/>
  <c r="AM1127" i="1" s="1"/>
  <c r="AA1127" i="1"/>
  <c r="Z1127" i="1"/>
  <c r="Y1127" i="1"/>
  <c r="X1127" i="1"/>
  <c r="W1127" i="1"/>
  <c r="AK1126" i="1"/>
  <c r="AL1126" i="1" s="1"/>
  <c r="AM1126" i="1" s="1"/>
  <c r="AA1126" i="1"/>
  <c r="Z1126" i="1"/>
  <c r="Y1126" i="1"/>
  <c r="X1126" i="1"/>
  <c r="W1126" i="1"/>
  <c r="AK1125" i="1"/>
  <c r="AL1125" i="1" s="1"/>
  <c r="AM1125" i="1" s="1"/>
  <c r="AA1125" i="1"/>
  <c r="Z1125" i="1"/>
  <c r="Y1125" i="1"/>
  <c r="X1125" i="1"/>
  <c r="W1125" i="1"/>
  <c r="AK1124" i="1"/>
  <c r="AL1124" i="1" s="1"/>
  <c r="AM1124" i="1" s="1"/>
  <c r="AA1124" i="1"/>
  <c r="Z1124" i="1"/>
  <c r="Y1124" i="1"/>
  <c r="X1124" i="1"/>
  <c r="W1124" i="1"/>
  <c r="AK1123" i="1"/>
  <c r="AL1123" i="1" s="1"/>
  <c r="AM1123" i="1" s="1"/>
  <c r="AA1123" i="1"/>
  <c r="Z1123" i="1"/>
  <c r="Y1123" i="1"/>
  <c r="X1123" i="1"/>
  <c r="W1123" i="1"/>
  <c r="AK1122" i="1"/>
  <c r="AL1122" i="1" s="1"/>
  <c r="AM1122" i="1" s="1"/>
  <c r="AA1122" i="1"/>
  <c r="Z1122" i="1"/>
  <c r="Y1122" i="1"/>
  <c r="X1122" i="1"/>
  <c r="W1122" i="1"/>
  <c r="AK1121" i="1"/>
  <c r="AL1121" i="1" s="1"/>
  <c r="AM1121" i="1" s="1"/>
  <c r="AA1121" i="1"/>
  <c r="Z1121" i="1"/>
  <c r="Y1121" i="1"/>
  <c r="X1121" i="1"/>
  <c r="W1121" i="1"/>
  <c r="AK1120" i="1"/>
  <c r="AL1120" i="1" s="1"/>
  <c r="AM1120" i="1" s="1"/>
  <c r="AA1120" i="1"/>
  <c r="Z1120" i="1"/>
  <c r="Y1120" i="1"/>
  <c r="X1120" i="1"/>
  <c r="W1120" i="1"/>
  <c r="AK1119" i="1"/>
  <c r="AL1119" i="1" s="1"/>
  <c r="AM1119" i="1" s="1"/>
  <c r="AA1119" i="1"/>
  <c r="Z1119" i="1"/>
  <c r="Y1119" i="1"/>
  <c r="X1119" i="1"/>
  <c r="W1119" i="1"/>
  <c r="AK1118" i="1"/>
  <c r="AL1118" i="1" s="1"/>
  <c r="AM1118" i="1" s="1"/>
  <c r="AA1118" i="1"/>
  <c r="Z1118" i="1"/>
  <c r="Y1118" i="1"/>
  <c r="X1118" i="1"/>
  <c r="W1118" i="1"/>
  <c r="AK1117" i="1"/>
  <c r="AL1117" i="1" s="1"/>
  <c r="AM1117" i="1" s="1"/>
  <c r="AA1117" i="1"/>
  <c r="Z1117" i="1"/>
  <c r="Y1117" i="1"/>
  <c r="X1117" i="1"/>
  <c r="W1117" i="1"/>
  <c r="AK1116" i="1"/>
  <c r="AL1116" i="1" s="1"/>
  <c r="AM1116" i="1" s="1"/>
  <c r="AA1116" i="1"/>
  <c r="Z1116" i="1"/>
  <c r="Y1116" i="1"/>
  <c r="X1116" i="1"/>
  <c r="W1116" i="1"/>
  <c r="AK1115" i="1"/>
  <c r="AL1115" i="1" s="1"/>
  <c r="AM1115" i="1" s="1"/>
  <c r="AA1115" i="1"/>
  <c r="Z1115" i="1"/>
  <c r="Y1115" i="1"/>
  <c r="X1115" i="1"/>
  <c r="W1115" i="1"/>
  <c r="AK1114" i="1"/>
  <c r="AL1114" i="1" s="1"/>
  <c r="AM1114" i="1" s="1"/>
  <c r="AA1114" i="1"/>
  <c r="Z1114" i="1"/>
  <c r="Y1114" i="1"/>
  <c r="X1114" i="1"/>
  <c r="W1114" i="1"/>
  <c r="AK1113" i="1"/>
  <c r="AL1113" i="1" s="1"/>
  <c r="AM1113" i="1" s="1"/>
  <c r="AA1113" i="1"/>
  <c r="Z1113" i="1"/>
  <c r="Y1113" i="1"/>
  <c r="X1113" i="1"/>
  <c r="W1113" i="1"/>
  <c r="AK1112" i="1"/>
  <c r="AL1112" i="1" s="1"/>
  <c r="AM1112" i="1" s="1"/>
  <c r="AA1112" i="1"/>
  <c r="Z1112" i="1"/>
  <c r="Y1112" i="1"/>
  <c r="X1112" i="1"/>
  <c r="W1112" i="1"/>
  <c r="AK1111" i="1"/>
  <c r="AL1111" i="1" s="1"/>
  <c r="AM1111" i="1" s="1"/>
  <c r="AA1111" i="1"/>
  <c r="Z1111" i="1"/>
  <c r="Y1111" i="1"/>
  <c r="X1111" i="1"/>
  <c r="W1111" i="1"/>
  <c r="AK1110" i="1"/>
  <c r="AL1110" i="1" s="1"/>
  <c r="AM1110" i="1" s="1"/>
  <c r="AA1110" i="1"/>
  <c r="Z1110" i="1"/>
  <c r="Y1110" i="1"/>
  <c r="X1110" i="1"/>
  <c r="W1110" i="1"/>
  <c r="AK1109" i="1"/>
  <c r="AL1109" i="1" s="1"/>
  <c r="AM1109" i="1" s="1"/>
  <c r="AA1109" i="1"/>
  <c r="Z1109" i="1"/>
  <c r="Y1109" i="1"/>
  <c r="X1109" i="1"/>
  <c r="W1109" i="1"/>
  <c r="AK1108" i="1"/>
  <c r="AL1108" i="1" s="1"/>
  <c r="AM1108" i="1" s="1"/>
  <c r="AA1108" i="1"/>
  <c r="Z1108" i="1"/>
  <c r="Y1108" i="1"/>
  <c r="X1108" i="1"/>
  <c r="W1108" i="1"/>
  <c r="AK1107" i="1"/>
  <c r="AL1107" i="1" s="1"/>
  <c r="AM1107" i="1" s="1"/>
  <c r="AA1107" i="1"/>
  <c r="Z1107" i="1"/>
  <c r="Y1107" i="1"/>
  <c r="X1107" i="1"/>
  <c r="W1107" i="1"/>
  <c r="AK1106" i="1"/>
  <c r="AL1106" i="1" s="1"/>
  <c r="AM1106" i="1" s="1"/>
  <c r="AA1106" i="1"/>
  <c r="Z1106" i="1"/>
  <c r="Y1106" i="1"/>
  <c r="X1106" i="1"/>
  <c r="W1106" i="1"/>
  <c r="AK1105" i="1"/>
  <c r="AL1105" i="1" s="1"/>
  <c r="AM1105" i="1" s="1"/>
  <c r="AA1105" i="1"/>
  <c r="Z1105" i="1"/>
  <c r="Y1105" i="1"/>
  <c r="X1105" i="1"/>
  <c r="W1105" i="1"/>
  <c r="AK1104" i="1"/>
  <c r="AL1104" i="1" s="1"/>
  <c r="AM1104" i="1" s="1"/>
  <c r="AA1104" i="1"/>
  <c r="Z1104" i="1"/>
  <c r="Y1104" i="1"/>
  <c r="X1104" i="1"/>
  <c r="W1104" i="1"/>
  <c r="AK1103" i="1"/>
  <c r="AL1103" i="1" s="1"/>
  <c r="AM1103" i="1" s="1"/>
  <c r="AA1103" i="1"/>
  <c r="Z1103" i="1"/>
  <c r="Y1103" i="1"/>
  <c r="X1103" i="1"/>
  <c r="W1103" i="1"/>
  <c r="AK1102" i="1"/>
  <c r="AL1102" i="1" s="1"/>
  <c r="AM1102" i="1" s="1"/>
  <c r="AA1102" i="1"/>
  <c r="Z1102" i="1"/>
  <c r="Y1102" i="1"/>
  <c r="X1102" i="1"/>
  <c r="W1102" i="1"/>
  <c r="AK1101" i="1"/>
  <c r="AL1101" i="1" s="1"/>
  <c r="AM1101" i="1" s="1"/>
  <c r="AA1101" i="1"/>
  <c r="Z1101" i="1"/>
  <c r="Y1101" i="1"/>
  <c r="X1101" i="1"/>
  <c r="W1101" i="1"/>
  <c r="AK1100" i="1"/>
  <c r="AL1100" i="1" s="1"/>
  <c r="AM1100" i="1" s="1"/>
  <c r="AA1100" i="1"/>
  <c r="Z1100" i="1"/>
  <c r="Y1100" i="1"/>
  <c r="X1100" i="1"/>
  <c r="W1100" i="1"/>
  <c r="AK1099" i="1"/>
  <c r="AL1099" i="1" s="1"/>
  <c r="AM1099" i="1" s="1"/>
  <c r="AA1099" i="1"/>
  <c r="Z1099" i="1"/>
  <c r="Y1099" i="1"/>
  <c r="X1099" i="1"/>
  <c r="W1099" i="1"/>
  <c r="AK1098" i="1"/>
  <c r="AL1098" i="1" s="1"/>
  <c r="AM1098" i="1" s="1"/>
  <c r="AA1098" i="1"/>
  <c r="Z1098" i="1"/>
  <c r="Y1098" i="1"/>
  <c r="X1098" i="1"/>
  <c r="W1098" i="1"/>
  <c r="AK1097" i="1"/>
  <c r="AL1097" i="1" s="1"/>
  <c r="AM1097" i="1" s="1"/>
  <c r="AA1097" i="1"/>
  <c r="Z1097" i="1"/>
  <c r="Y1097" i="1"/>
  <c r="X1097" i="1"/>
  <c r="W1097" i="1"/>
  <c r="AK1096" i="1"/>
  <c r="AL1096" i="1" s="1"/>
  <c r="AM1096" i="1" s="1"/>
  <c r="AA1096" i="1"/>
  <c r="Z1096" i="1"/>
  <c r="Y1096" i="1"/>
  <c r="X1096" i="1"/>
  <c r="W1096" i="1"/>
  <c r="AK1095" i="1"/>
  <c r="AL1095" i="1" s="1"/>
  <c r="AM1095" i="1" s="1"/>
  <c r="AA1095" i="1"/>
  <c r="Z1095" i="1"/>
  <c r="Y1095" i="1"/>
  <c r="X1095" i="1"/>
  <c r="W1095" i="1"/>
  <c r="AK1094" i="1"/>
  <c r="AL1094" i="1" s="1"/>
  <c r="AM1094" i="1" s="1"/>
  <c r="AA1094" i="1"/>
  <c r="Z1094" i="1"/>
  <c r="Y1094" i="1"/>
  <c r="X1094" i="1"/>
  <c r="W1094" i="1"/>
  <c r="AK1093" i="1"/>
  <c r="AL1093" i="1" s="1"/>
  <c r="AM1093" i="1" s="1"/>
  <c r="AA1093" i="1"/>
  <c r="Z1093" i="1"/>
  <c r="Y1093" i="1"/>
  <c r="X1093" i="1"/>
  <c r="W1093" i="1"/>
  <c r="AK1092" i="1"/>
  <c r="AL1092" i="1" s="1"/>
  <c r="AM1092" i="1" s="1"/>
  <c r="AA1092" i="1"/>
  <c r="Z1092" i="1"/>
  <c r="Y1092" i="1"/>
  <c r="X1092" i="1"/>
  <c r="W1092" i="1"/>
  <c r="AK1091" i="1"/>
  <c r="AL1091" i="1" s="1"/>
  <c r="AM1091" i="1" s="1"/>
  <c r="AA1091" i="1"/>
  <c r="Z1091" i="1"/>
  <c r="Y1091" i="1"/>
  <c r="X1091" i="1"/>
  <c r="W1091" i="1"/>
  <c r="AK1090" i="1"/>
  <c r="AL1090" i="1" s="1"/>
  <c r="AM1090" i="1" s="1"/>
  <c r="AA1090" i="1"/>
  <c r="Z1090" i="1"/>
  <c r="Y1090" i="1"/>
  <c r="X1090" i="1"/>
  <c r="W1090" i="1"/>
  <c r="AK1089" i="1"/>
  <c r="AL1089" i="1" s="1"/>
  <c r="AM1089" i="1" s="1"/>
  <c r="AA1089" i="1"/>
  <c r="Z1089" i="1"/>
  <c r="Y1089" i="1"/>
  <c r="X1089" i="1"/>
  <c r="W1089" i="1"/>
  <c r="AK1088" i="1"/>
  <c r="AL1088" i="1" s="1"/>
  <c r="AM1088" i="1" s="1"/>
  <c r="AA1088" i="1"/>
  <c r="Z1088" i="1"/>
  <c r="Y1088" i="1"/>
  <c r="X1088" i="1"/>
  <c r="W1088" i="1"/>
  <c r="AK1087" i="1"/>
  <c r="AL1087" i="1" s="1"/>
  <c r="AM1087" i="1" s="1"/>
  <c r="AA1087" i="1"/>
  <c r="Z1087" i="1"/>
  <c r="Y1087" i="1"/>
  <c r="X1087" i="1"/>
  <c r="W1087" i="1"/>
  <c r="AK1086" i="1"/>
  <c r="AL1086" i="1" s="1"/>
  <c r="AM1086" i="1" s="1"/>
  <c r="AA1086" i="1"/>
  <c r="Z1086" i="1"/>
  <c r="Y1086" i="1"/>
  <c r="X1086" i="1"/>
  <c r="W1086" i="1"/>
  <c r="AK1085" i="1"/>
  <c r="AL1085" i="1" s="1"/>
  <c r="AM1085" i="1" s="1"/>
  <c r="AA1085" i="1"/>
  <c r="Z1085" i="1"/>
  <c r="Y1085" i="1"/>
  <c r="X1085" i="1"/>
  <c r="W1085" i="1"/>
  <c r="AK1084" i="1"/>
  <c r="AL1084" i="1" s="1"/>
  <c r="AM1084" i="1" s="1"/>
  <c r="AA1084" i="1"/>
  <c r="Z1084" i="1"/>
  <c r="Y1084" i="1"/>
  <c r="X1084" i="1"/>
  <c r="W1084" i="1"/>
  <c r="AK1083" i="1"/>
  <c r="AL1083" i="1" s="1"/>
  <c r="AM1083" i="1" s="1"/>
  <c r="AA1083" i="1"/>
  <c r="Z1083" i="1"/>
  <c r="Y1083" i="1"/>
  <c r="X1083" i="1"/>
  <c r="W1083" i="1"/>
  <c r="AK1082" i="1"/>
  <c r="AL1082" i="1" s="1"/>
  <c r="AM1082" i="1" s="1"/>
  <c r="AA1082" i="1"/>
  <c r="Z1082" i="1"/>
  <c r="Y1082" i="1"/>
  <c r="X1082" i="1"/>
  <c r="W1082" i="1"/>
  <c r="AK1081" i="1"/>
  <c r="AL1081" i="1" s="1"/>
  <c r="AM1081" i="1" s="1"/>
  <c r="AA1081" i="1"/>
  <c r="Z1081" i="1"/>
  <c r="Y1081" i="1"/>
  <c r="X1081" i="1"/>
  <c r="W1081" i="1"/>
  <c r="AK1080" i="1"/>
  <c r="AL1080" i="1" s="1"/>
  <c r="AM1080" i="1" s="1"/>
  <c r="AA1080" i="1"/>
  <c r="Z1080" i="1"/>
  <c r="Y1080" i="1"/>
  <c r="X1080" i="1"/>
  <c r="W1080" i="1"/>
  <c r="AK1079" i="1"/>
  <c r="AL1079" i="1" s="1"/>
  <c r="AM1079" i="1" s="1"/>
  <c r="AA1079" i="1"/>
  <c r="Z1079" i="1"/>
  <c r="Y1079" i="1"/>
  <c r="X1079" i="1"/>
  <c r="W1079" i="1"/>
  <c r="AK1078" i="1"/>
  <c r="AL1078" i="1" s="1"/>
  <c r="AM1078" i="1" s="1"/>
  <c r="AA1078" i="1"/>
  <c r="Z1078" i="1"/>
  <c r="Y1078" i="1"/>
  <c r="X1078" i="1"/>
  <c r="W1078" i="1"/>
  <c r="AK1077" i="1"/>
  <c r="AL1077" i="1" s="1"/>
  <c r="AM1077" i="1" s="1"/>
  <c r="AA1077" i="1"/>
  <c r="Z1077" i="1"/>
  <c r="Y1077" i="1"/>
  <c r="X1077" i="1"/>
  <c r="W1077" i="1"/>
  <c r="AK1076" i="1"/>
  <c r="AL1076" i="1" s="1"/>
  <c r="AM1076" i="1" s="1"/>
  <c r="AA1076" i="1"/>
  <c r="Z1076" i="1"/>
  <c r="Y1076" i="1"/>
  <c r="X1076" i="1"/>
  <c r="W1076" i="1"/>
  <c r="AK1075" i="1"/>
  <c r="AL1075" i="1" s="1"/>
  <c r="AM1075" i="1" s="1"/>
  <c r="AA1075" i="1"/>
  <c r="Z1075" i="1"/>
  <c r="Y1075" i="1"/>
  <c r="X1075" i="1"/>
  <c r="W1075" i="1"/>
  <c r="AK1074" i="1"/>
  <c r="AL1074" i="1" s="1"/>
  <c r="AM1074" i="1" s="1"/>
  <c r="AA1074" i="1"/>
  <c r="Z1074" i="1"/>
  <c r="Y1074" i="1"/>
  <c r="X1074" i="1"/>
  <c r="W1074" i="1"/>
  <c r="AK1073" i="1"/>
  <c r="AL1073" i="1" s="1"/>
  <c r="AM1073" i="1" s="1"/>
  <c r="AA1073" i="1"/>
  <c r="Z1073" i="1"/>
  <c r="Y1073" i="1"/>
  <c r="X1073" i="1"/>
  <c r="W1073" i="1"/>
  <c r="AK1072" i="1"/>
  <c r="AL1072" i="1" s="1"/>
  <c r="AM1072" i="1" s="1"/>
  <c r="AA1072" i="1"/>
  <c r="Z1072" i="1"/>
  <c r="Y1072" i="1"/>
  <c r="X1072" i="1"/>
  <c r="W1072" i="1"/>
  <c r="AK1071" i="1"/>
  <c r="AL1071" i="1" s="1"/>
  <c r="AM1071" i="1" s="1"/>
  <c r="AA1071" i="1"/>
  <c r="Z1071" i="1"/>
  <c r="Y1071" i="1"/>
  <c r="X1071" i="1"/>
  <c r="W1071" i="1"/>
  <c r="AK1070" i="1"/>
  <c r="AL1070" i="1" s="1"/>
  <c r="AM1070" i="1" s="1"/>
  <c r="AA1070" i="1"/>
  <c r="Z1070" i="1"/>
  <c r="Y1070" i="1"/>
  <c r="X1070" i="1"/>
  <c r="W1070" i="1"/>
  <c r="AK1069" i="1"/>
  <c r="AL1069" i="1" s="1"/>
  <c r="AM1069" i="1" s="1"/>
  <c r="AA1069" i="1"/>
  <c r="Z1069" i="1"/>
  <c r="Y1069" i="1"/>
  <c r="X1069" i="1"/>
  <c r="W1069" i="1"/>
  <c r="AK1068" i="1"/>
  <c r="AL1068" i="1" s="1"/>
  <c r="AM1068" i="1" s="1"/>
  <c r="AA1068" i="1"/>
  <c r="Z1068" i="1"/>
  <c r="Y1068" i="1"/>
  <c r="X1068" i="1"/>
  <c r="W1068" i="1"/>
  <c r="AK1067" i="1"/>
  <c r="AL1067" i="1" s="1"/>
  <c r="AM1067" i="1" s="1"/>
  <c r="AA1067" i="1"/>
  <c r="Z1067" i="1"/>
  <c r="Y1067" i="1"/>
  <c r="X1067" i="1"/>
  <c r="W1067" i="1"/>
  <c r="AK1066" i="1"/>
  <c r="AL1066" i="1" s="1"/>
  <c r="AM1066" i="1" s="1"/>
  <c r="AA1066" i="1"/>
  <c r="Z1066" i="1"/>
  <c r="Y1066" i="1"/>
  <c r="X1066" i="1"/>
  <c r="W1066" i="1"/>
  <c r="AK1065" i="1"/>
  <c r="AL1065" i="1" s="1"/>
  <c r="AM1065" i="1" s="1"/>
  <c r="AA1065" i="1"/>
  <c r="Z1065" i="1"/>
  <c r="Y1065" i="1"/>
  <c r="X1065" i="1"/>
  <c r="W1065" i="1"/>
  <c r="AK1064" i="1"/>
  <c r="AL1064" i="1" s="1"/>
  <c r="AM1064" i="1" s="1"/>
  <c r="AA1064" i="1"/>
  <c r="Z1064" i="1"/>
  <c r="Y1064" i="1"/>
  <c r="X1064" i="1"/>
  <c r="W1064" i="1"/>
  <c r="AK1063" i="1"/>
  <c r="AL1063" i="1" s="1"/>
  <c r="AM1063" i="1" s="1"/>
  <c r="AA1063" i="1"/>
  <c r="Z1063" i="1"/>
  <c r="Y1063" i="1"/>
  <c r="X1063" i="1"/>
  <c r="W1063" i="1"/>
  <c r="AK1062" i="1"/>
  <c r="AL1062" i="1" s="1"/>
  <c r="AM1062" i="1" s="1"/>
  <c r="AA1062" i="1"/>
  <c r="Z1062" i="1"/>
  <c r="Y1062" i="1"/>
  <c r="X1062" i="1"/>
  <c r="W1062" i="1"/>
  <c r="AK1061" i="1"/>
  <c r="AL1061" i="1" s="1"/>
  <c r="AM1061" i="1" s="1"/>
  <c r="AA1061" i="1"/>
  <c r="Z1061" i="1"/>
  <c r="Y1061" i="1"/>
  <c r="X1061" i="1"/>
  <c r="W1061" i="1"/>
  <c r="AK1060" i="1"/>
  <c r="AL1060" i="1" s="1"/>
  <c r="AM1060" i="1" s="1"/>
  <c r="AA1060" i="1"/>
  <c r="Z1060" i="1"/>
  <c r="Y1060" i="1"/>
  <c r="X1060" i="1"/>
  <c r="W1060" i="1"/>
  <c r="AK1059" i="1"/>
  <c r="AL1059" i="1" s="1"/>
  <c r="AM1059" i="1" s="1"/>
  <c r="AA1059" i="1"/>
  <c r="Z1059" i="1"/>
  <c r="Y1059" i="1"/>
  <c r="X1059" i="1"/>
  <c r="W1059" i="1"/>
  <c r="AK1058" i="1"/>
  <c r="AL1058" i="1" s="1"/>
  <c r="AM1058" i="1" s="1"/>
  <c r="AA1058" i="1"/>
  <c r="Z1058" i="1"/>
  <c r="Y1058" i="1"/>
  <c r="X1058" i="1"/>
  <c r="W1058" i="1"/>
  <c r="AK1057" i="1"/>
  <c r="AL1057" i="1" s="1"/>
  <c r="AM1057" i="1" s="1"/>
  <c r="AA1057" i="1"/>
  <c r="Z1057" i="1"/>
  <c r="Y1057" i="1"/>
  <c r="X1057" i="1"/>
  <c r="W1057" i="1"/>
  <c r="AK1056" i="1"/>
  <c r="AL1056" i="1" s="1"/>
  <c r="AM1056" i="1" s="1"/>
  <c r="AA1056" i="1"/>
  <c r="Z1056" i="1"/>
  <c r="Y1056" i="1"/>
  <c r="X1056" i="1"/>
  <c r="W1056" i="1"/>
  <c r="AK1055" i="1"/>
  <c r="AL1055" i="1" s="1"/>
  <c r="AM1055" i="1" s="1"/>
  <c r="AA1055" i="1"/>
  <c r="Z1055" i="1"/>
  <c r="Y1055" i="1"/>
  <c r="X1055" i="1"/>
  <c r="W1055" i="1"/>
  <c r="AK1054" i="1"/>
  <c r="AL1054" i="1" s="1"/>
  <c r="AM1054" i="1" s="1"/>
  <c r="AA1054" i="1"/>
  <c r="Z1054" i="1"/>
  <c r="Y1054" i="1"/>
  <c r="X1054" i="1"/>
  <c r="W1054" i="1"/>
  <c r="AK1053" i="1"/>
  <c r="AL1053" i="1" s="1"/>
  <c r="AM1053" i="1" s="1"/>
  <c r="AA1053" i="1"/>
  <c r="Z1053" i="1"/>
  <c r="Y1053" i="1"/>
  <c r="X1053" i="1"/>
  <c r="W1053" i="1"/>
  <c r="AK1052" i="1"/>
  <c r="AL1052" i="1" s="1"/>
  <c r="AM1052" i="1" s="1"/>
  <c r="AA1052" i="1"/>
  <c r="Z1052" i="1"/>
  <c r="Y1052" i="1"/>
  <c r="X1052" i="1"/>
  <c r="W1052" i="1"/>
  <c r="AK1051" i="1"/>
  <c r="AL1051" i="1" s="1"/>
  <c r="AM1051" i="1" s="1"/>
  <c r="AA1051" i="1"/>
  <c r="Z1051" i="1"/>
  <c r="Y1051" i="1"/>
  <c r="X1051" i="1"/>
  <c r="W1051" i="1"/>
  <c r="AK1050" i="1"/>
  <c r="AL1050" i="1" s="1"/>
  <c r="AM1050" i="1" s="1"/>
  <c r="AA1050" i="1"/>
  <c r="Z1050" i="1"/>
  <c r="Y1050" i="1"/>
  <c r="X1050" i="1"/>
  <c r="W1050" i="1"/>
  <c r="AK1049" i="1"/>
  <c r="AL1049" i="1" s="1"/>
  <c r="AM1049" i="1" s="1"/>
  <c r="AA1049" i="1"/>
  <c r="Z1049" i="1"/>
  <c r="Y1049" i="1"/>
  <c r="X1049" i="1"/>
  <c r="W1049" i="1"/>
  <c r="AK1048" i="1"/>
  <c r="AL1048" i="1" s="1"/>
  <c r="AM1048" i="1" s="1"/>
  <c r="AA1048" i="1"/>
  <c r="Z1048" i="1"/>
  <c r="Y1048" i="1"/>
  <c r="X1048" i="1"/>
  <c r="W1048" i="1"/>
  <c r="AK1047" i="1"/>
  <c r="AL1047" i="1" s="1"/>
  <c r="AM1047" i="1" s="1"/>
  <c r="AA1047" i="1"/>
  <c r="Z1047" i="1"/>
  <c r="Y1047" i="1"/>
  <c r="X1047" i="1"/>
  <c r="W1047" i="1"/>
  <c r="AK1046" i="1"/>
  <c r="AL1046" i="1" s="1"/>
  <c r="AM1046" i="1" s="1"/>
  <c r="AA1046" i="1"/>
  <c r="Z1046" i="1"/>
  <c r="Y1046" i="1"/>
  <c r="X1046" i="1"/>
  <c r="W1046" i="1"/>
  <c r="AK1045" i="1"/>
  <c r="AL1045" i="1" s="1"/>
  <c r="AM1045" i="1" s="1"/>
  <c r="AA1045" i="1"/>
  <c r="Z1045" i="1"/>
  <c r="Y1045" i="1"/>
  <c r="X1045" i="1"/>
  <c r="W1045" i="1"/>
  <c r="AK1044" i="1"/>
  <c r="AL1044" i="1" s="1"/>
  <c r="AM1044" i="1" s="1"/>
  <c r="AA1044" i="1"/>
  <c r="Z1044" i="1"/>
  <c r="Y1044" i="1"/>
  <c r="X1044" i="1"/>
  <c r="W1044" i="1"/>
  <c r="AK1043" i="1"/>
  <c r="AL1043" i="1" s="1"/>
  <c r="AM1043" i="1" s="1"/>
  <c r="AA1043" i="1"/>
  <c r="Z1043" i="1"/>
  <c r="Y1043" i="1"/>
  <c r="X1043" i="1"/>
  <c r="W1043" i="1"/>
  <c r="AK1042" i="1"/>
  <c r="AL1042" i="1" s="1"/>
  <c r="AM1042" i="1" s="1"/>
  <c r="AA1042" i="1"/>
  <c r="Z1042" i="1"/>
  <c r="Y1042" i="1"/>
  <c r="X1042" i="1"/>
  <c r="W1042" i="1"/>
  <c r="AK1041" i="1"/>
  <c r="AL1041" i="1" s="1"/>
  <c r="AM1041" i="1" s="1"/>
  <c r="AA1041" i="1"/>
  <c r="Z1041" i="1"/>
  <c r="Y1041" i="1"/>
  <c r="X1041" i="1"/>
  <c r="W1041" i="1"/>
  <c r="AK1040" i="1"/>
  <c r="AL1040" i="1" s="1"/>
  <c r="AM1040" i="1" s="1"/>
  <c r="AA1040" i="1"/>
  <c r="Z1040" i="1"/>
  <c r="Y1040" i="1"/>
  <c r="X1040" i="1"/>
  <c r="W1040" i="1"/>
  <c r="AK1039" i="1"/>
  <c r="AL1039" i="1" s="1"/>
  <c r="AM1039" i="1" s="1"/>
  <c r="AA1039" i="1"/>
  <c r="Z1039" i="1"/>
  <c r="Y1039" i="1"/>
  <c r="X1039" i="1"/>
  <c r="W1039" i="1"/>
  <c r="AK1038" i="1"/>
  <c r="AL1038" i="1" s="1"/>
  <c r="AM1038" i="1" s="1"/>
  <c r="AA1038" i="1"/>
  <c r="Z1038" i="1"/>
  <c r="Y1038" i="1"/>
  <c r="X1038" i="1"/>
  <c r="W1038" i="1"/>
  <c r="AK1037" i="1"/>
  <c r="AL1037" i="1" s="1"/>
  <c r="AM1037" i="1" s="1"/>
  <c r="AA1037" i="1"/>
  <c r="Z1037" i="1"/>
  <c r="Y1037" i="1"/>
  <c r="X1037" i="1"/>
  <c r="W1037" i="1"/>
  <c r="AK1036" i="1"/>
  <c r="AL1036" i="1" s="1"/>
  <c r="AM1036" i="1" s="1"/>
  <c r="AA1036" i="1"/>
  <c r="Z1036" i="1"/>
  <c r="Y1036" i="1"/>
  <c r="X1036" i="1"/>
  <c r="W1036" i="1"/>
  <c r="AK1035" i="1"/>
  <c r="AL1035" i="1" s="1"/>
  <c r="AM1035" i="1" s="1"/>
  <c r="AA1035" i="1"/>
  <c r="Z1035" i="1"/>
  <c r="Y1035" i="1"/>
  <c r="X1035" i="1"/>
  <c r="W1035" i="1"/>
  <c r="AK1034" i="1"/>
  <c r="AL1034" i="1" s="1"/>
  <c r="AM1034" i="1" s="1"/>
  <c r="AA1034" i="1"/>
  <c r="Z1034" i="1"/>
  <c r="Y1034" i="1"/>
  <c r="X1034" i="1"/>
  <c r="W1034" i="1"/>
  <c r="AK1033" i="1"/>
  <c r="AL1033" i="1" s="1"/>
  <c r="AM1033" i="1" s="1"/>
  <c r="AA1033" i="1"/>
  <c r="Z1033" i="1"/>
  <c r="Y1033" i="1"/>
  <c r="X1033" i="1"/>
  <c r="W1033" i="1"/>
  <c r="AK1032" i="1"/>
  <c r="AL1032" i="1" s="1"/>
  <c r="AM1032" i="1" s="1"/>
  <c r="AA1032" i="1"/>
  <c r="Z1032" i="1"/>
  <c r="Y1032" i="1"/>
  <c r="X1032" i="1"/>
  <c r="W1032" i="1"/>
  <c r="AK1031" i="1"/>
  <c r="AL1031" i="1" s="1"/>
  <c r="AM1031" i="1" s="1"/>
  <c r="AA1031" i="1"/>
  <c r="Z1031" i="1"/>
  <c r="Y1031" i="1"/>
  <c r="X1031" i="1"/>
  <c r="W1031" i="1"/>
  <c r="AK1030" i="1"/>
  <c r="AL1030" i="1" s="1"/>
  <c r="AM1030" i="1" s="1"/>
  <c r="AA1030" i="1"/>
  <c r="Z1030" i="1"/>
  <c r="Y1030" i="1"/>
  <c r="X1030" i="1"/>
  <c r="W1030" i="1"/>
  <c r="AK1029" i="1"/>
  <c r="AL1029" i="1" s="1"/>
  <c r="AM1029" i="1" s="1"/>
  <c r="AA1029" i="1"/>
  <c r="Z1029" i="1"/>
  <c r="Y1029" i="1"/>
  <c r="X1029" i="1"/>
  <c r="W1029" i="1"/>
  <c r="AK1028" i="1"/>
  <c r="AL1028" i="1" s="1"/>
  <c r="AM1028" i="1" s="1"/>
  <c r="AA1028" i="1"/>
  <c r="Z1028" i="1"/>
  <c r="Y1028" i="1"/>
  <c r="X1028" i="1"/>
  <c r="W1028" i="1"/>
  <c r="AK1027" i="1"/>
  <c r="AL1027" i="1" s="1"/>
  <c r="AM1027" i="1" s="1"/>
  <c r="AA1027" i="1"/>
  <c r="Z1027" i="1"/>
  <c r="Y1027" i="1"/>
  <c r="X1027" i="1"/>
  <c r="W1027" i="1"/>
  <c r="AK1026" i="1"/>
  <c r="AL1026" i="1" s="1"/>
  <c r="AM1026" i="1" s="1"/>
  <c r="AA1026" i="1"/>
  <c r="Z1026" i="1"/>
  <c r="Y1026" i="1"/>
  <c r="X1026" i="1"/>
  <c r="W1026" i="1"/>
  <c r="AK1025" i="1"/>
  <c r="AL1025" i="1" s="1"/>
  <c r="AM1025" i="1" s="1"/>
  <c r="AA1025" i="1"/>
  <c r="Z1025" i="1"/>
  <c r="Y1025" i="1"/>
  <c r="X1025" i="1"/>
  <c r="W1025" i="1"/>
  <c r="AK1024" i="1"/>
  <c r="AL1024" i="1" s="1"/>
  <c r="AM1024" i="1" s="1"/>
  <c r="AA1024" i="1"/>
  <c r="Z1024" i="1"/>
  <c r="Y1024" i="1"/>
  <c r="X1024" i="1"/>
  <c r="W1024" i="1"/>
  <c r="AK1023" i="1"/>
  <c r="AL1023" i="1" s="1"/>
  <c r="AM1023" i="1" s="1"/>
  <c r="AA1023" i="1"/>
  <c r="Z1023" i="1"/>
  <c r="Y1023" i="1"/>
  <c r="X1023" i="1"/>
  <c r="W1023" i="1"/>
  <c r="AK1022" i="1"/>
  <c r="AL1022" i="1" s="1"/>
  <c r="AM1022" i="1" s="1"/>
  <c r="AA1022" i="1"/>
  <c r="Z1022" i="1"/>
  <c r="Y1022" i="1"/>
  <c r="X1022" i="1"/>
  <c r="W1022" i="1"/>
  <c r="AK1021" i="1"/>
  <c r="AL1021" i="1" s="1"/>
  <c r="AM1021" i="1" s="1"/>
  <c r="AA1021" i="1"/>
  <c r="Z1021" i="1"/>
  <c r="Y1021" i="1"/>
  <c r="X1021" i="1"/>
  <c r="W1021" i="1"/>
  <c r="AK1020" i="1"/>
  <c r="AL1020" i="1" s="1"/>
  <c r="AM1020" i="1" s="1"/>
  <c r="AA1020" i="1"/>
  <c r="Z1020" i="1"/>
  <c r="Y1020" i="1"/>
  <c r="X1020" i="1"/>
  <c r="W1020" i="1"/>
  <c r="AK1019" i="1"/>
  <c r="AL1019" i="1" s="1"/>
  <c r="AM1019" i="1" s="1"/>
  <c r="AA1019" i="1"/>
  <c r="Z1019" i="1"/>
  <c r="Y1019" i="1"/>
  <c r="X1019" i="1"/>
  <c r="W1019" i="1"/>
  <c r="AK1018" i="1"/>
  <c r="AL1018" i="1" s="1"/>
  <c r="AM1018" i="1" s="1"/>
  <c r="AA1018" i="1"/>
  <c r="Z1018" i="1"/>
  <c r="Y1018" i="1"/>
  <c r="X1018" i="1"/>
  <c r="W1018" i="1"/>
  <c r="AK1017" i="1"/>
  <c r="AL1017" i="1" s="1"/>
  <c r="AM1017" i="1" s="1"/>
  <c r="AA1017" i="1"/>
  <c r="Z1017" i="1"/>
  <c r="Y1017" i="1"/>
  <c r="X1017" i="1"/>
  <c r="W1017" i="1"/>
  <c r="AK1016" i="1"/>
  <c r="AL1016" i="1" s="1"/>
  <c r="AM1016" i="1" s="1"/>
  <c r="AA1016" i="1"/>
  <c r="Z1016" i="1"/>
  <c r="Y1016" i="1"/>
  <c r="X1016" i="1"/>
  <c r="W1016" i="1"/>
  <c r="AK1015" i="1"/>
  <c r="AL1015" i="1" s="1"/>
  <c r="AM1015" i="1" s="1"/>
  <c r="AA1015" i="1"/>
  <c r="Z1015" i="1"/>
  <c r="Y1015" i="1"/>
  <c r="X1015" i="1"/>
  <c r="W1015" i="1"/>
  <c r="AK1014" i="1"/>
  <c r="AL1014" i="1" s="1"/>
  <c r="AM1014" i="1" s="1"/>
  <c r="AA1014" i="1"/>
  <c r="Z1014" i="1"/>
  <c r="Y1014" i="1"/>
  <c r="X1014" i="1"/>
  <c r="W1014" i="1"/>
  <c r="AK1013" i="1"/>
  <c r="AL1013" i="1" s="1"/>
  <c r="AM1013" i="1" s="1"/>
  <c r="AA1013" i="1"/>
  <c r="Z1013" i="1"/>
  <c r="Y1013" i="1"/>
  <c r="X1013" i="1"/>
  <c r="W1013" i="1"/>
  <c r="AK1012" i="1"/>
  <c r="AL1012" i="1" s="1"/>
  <c r="AM1012" i="1" s="1"/>
  <c r="AA1012" i="1"/>
  <c r="Z1012" i="1"/>
  <c r="Y1012" i="1"/>
  <c r="X1012" i="1"/>
  <c r="W1012" i="1"/>
  <c r="AK1011" i="1"/>
  <c r="AL1011" i="1" s="1"/>
  <c r="AM1011" i="1" s="1"/>
  <c r="AA1011" i="1"/>
  <c r="Z1011" i="1"/>
  <c r="Y1011" i="1"/>
  <c r="X1011" i="1"/>
  <c r="W1011" i="1"/>
  <c r="AK1010" i="1"/>
  <c r="AL1010" i="1" s="1"/>
  <c r="AM1010" i="1" s="1"/>
  <c r="AA1010" i="1"/>
  <c r="Z1010" i="1"/>
  <c r="Y1010" i="1"/>
  <c r="X1010" i="1"/>
  <c r="W1010" i="1"/>
  <c r="AK1009" i="1"/>
  <c r="AL1009" i="1" s="1"/>
  <c r="AM1009" i="1" s="1"/>
  <c r="AA1009" i="1"/>
  <c r="Z1009" i="1"/>
  <c r="Y1009" i="1"/>
  <c r="X1009" i="1"/>
  <c r="W1009" i="1"/>
  <c r="AK1008" i="1"/>
  <c r="AL1008" i="1" s="1"/>
  <c r="AM1008" i="1" s="1"/>
  <c r="AA1008" i="1"/>
  <c r="Z1008" i="1"/>
  <c r="Y1008" i="1"/>
  <c r="X1008" i="1"/>
  <c r="W1008" i="1"/>
  <c r="AK1007" i="1"/>
  <c r="AL1007" i="1" s="1"/>
  <c r="AM1007" i="1" s="1"/>
  <c r="AA1007" i="1"/>
  <c r="Z1007" i="1"/>
  <c r="Y1007" i="1"/>
  <c r="X1007" i="1"/>
  <c r="W1007" i="1"/>
  <c r="AK1006" i="1"/>
  <c r="AL1006" i="1" s="1"/>
  <c r="AM1006" i="1" s="1"/>
  <c r="AA1006" i="1"/>
  <c r="Z1006" i="1"/>
  <c r="Y1006" i="1"/>
  <c r="X1006" i="1"/>
  <c r="W1006" i="1"/>
  <c r="AK1005" i="1"/>
  <c r="AL1005" i="1" s="1"/>
  <c r="AM1005" i="1" s="1"/>
  <c r="AA1005" i="1"/>
  <c r="Z1005" i="1"/>
  <c r="Y1005" i="1"/>
  <c r="X1005" i="1"/>
  <c r="W1005" i="1"/>
  <c r="AK1004" i="1"/>
  <c r="AL1004" i="1" s="1"/>
  <c r="AM1004" i="1" s="1"/>
  <c r="AA1004" i="1"/>
  <c r="Z1004" i="1"/>
  <c r="Y1004" i="1"/>
  <c r="X1004" i="1"/>
  <c r="W1004" i="1"/>
  <c r="AK1003" i="1"/>
  <c r="AL1003" i="1" s="1"/>
  <c r="AM1003" i="1" s="1"/>
  <c r="AA1003" i="1"/>
  <c r="Z1003" i="1"/>
  <c r="Y1003" i="1"/>
  <c r="X1003" i="1"/>
  <c r="W1003" i="1"/>
  <c r="AK1002" i="1"/>
  <c r="AL1002" i="1" s="1"/>
  <c r="AM1002" i="1" s="1"/>
  <c r="AA1002" i="1"/>
  <c r="Z1002" i="1"/>
  <c r="Y1002" i="1"/>
  <c r="X1002" i="1"/>
  <c r="W1002" i="1"/>
  <c r="AK1001" i="1"/>
  <c r="AL1001" i="1" s="1"/>
  <c r="AM1001" i="1" s="1"/>
  <c r="AA1001" i="1"/>
  <c r="Z1001" i="1"/>
  <c r="Y1001" i="1"/>
  <c r="X1001" i="1"/>
  <c r="W1001" i="1"/>
  <c r="AK1000" i="1"/>
  <c r="AL1000" i="1" s="1"/>
  <c r="AM1000" i="1" s="1"/>
  <c r="AA1000" i="1"/>
  <c r="Z1000" i="1"/>
  <c r="Y1000" i="1"/>
  <c r="X1000" i="1"/>
  <c r="W1000" i="1"/>
  <c r="AK999" i="1"/>
  <c r="AL999" i="1" s="1"/>
  <c r="AM999" i="1" s="1"/>
  <c r="AA999" i="1"/>
  <c r="Z999" i="1"/>
  <c r="Y999" i="1"/>
  <c r="X999" i="1"/>
  <c r="W999" i="1"/>
  <c r="AK998" i="1"/>
  <c r="AL998" i="1" s="1"/>
  <c r="AM998" i="1" s="1"/>
  <c r="AA998" i="1"/>
  <c r="Z998" i="1"/>
  <c r="Y998" i="1"/>
  <c r="X998" i="1"/>
  <c r="W998" i="1"/>
  <c r="AK997" i="1"/>
  <c r="AL997" i="1" s="1"/>
  <c r="AM997" i="1" s="1"/>
  <c r="AA997" i="1"/>
  <c r="Z997" i="1"/>
  <c r="Y997" i="1"/>
  <c r="X997" i="1"/>
  <c r="W997" i="1"/>
  <c r="AK996" i="1"/>
  <c r="AL996" i="1" s="1"/>
  <c r="AM996" i="1" s="1"/>
  <c r="AA996" i="1"/>
  <c r="Z996" i="1"/>
  <c r="Y996" i="1"/>
  <c r="X996" i="1"/>
  <c r="W996" i="1"/>
  <c r="AK995" i="1"/>
  <c r="AL995" i="1" s="1"/>
  <c r="AM995" i="1" s="1"/>
  <c r="AA995" i="1"/>
  <c r="Z995" i="1"/>
  <c r="Y995" i="1"/>
  <c r="X995" i="1"/>
  <c r="W995" i="1"/>
  <c r="AK994" i="1"/>
  <c r="AL994" i="1" s="1"/>
  <c r="AM994" i="1" s="1"/>
  <c r="AA994" i="1"/>
  <c r="Z994" i="1"/>
  <c r="Y994" i="1"/>
  <c r="X994" i="1"/>
  <c r="W994" i="1"/>
  <c r="AK993" i="1"/>
  <c r="AL993" i="1" s="1"/>
  <c r="AM993" i="1" s="1"/>
  <c r="AA993" i="1"/>
  <c r="Z993" i="1"/>
  <c r="Y993" i="1"/>
  <c r="X993" i="1"/>
  <c r="W993" i="1"/>
  <c r="AK992" i="1"/>
  <c r="AL992" i="1" s="1"/>
  <c r="AM992" i="1" s="1"/>
  <c r="AA992" i="1"/>
  <c r="Z992" i="1"/>
  <c r="Y992" i="1"/>
  <c r="X992" i="1"/>
  <c r="W992" i="1"/>
  <c r="AK991" i="1"/>
  <c r="AL991" i="1" s="1"/>
  <c r="AM991" i="1" s="1"/>
  <c r="AA991" i="1"/>
  <c r="Z991" i="1"/>
  <c r="Y991" i="1"/>
  <c r="X991" i="1"/>
  <c r="W991" i="1"/>
  <c r="AK990" i="1"/>
  <c r="AL990" i="1" s="1"/>
  <c r="AM990" i="1" s="1"/>
  <c r="AA990" i="1"/>
  <c r="Z990" i="1"/>
  <c r="Y990" i="1"/>
  <c r="X990" i="1"/>
  <c r="W990" i="1"/>
  <c r="AK989" i="1"/>
  <c r="AL989" i="1" s="1"/>
  <c r="AM989" i="1" s="1"/>
  <c r="AA989" i="1"/>
  <c r="Z989" i="1"/>
  <c r="Y989" i="1"/>
  <c r="X989" i="1"/>
  <c r="W989" i="1"/>
  <c r="AK988" i="1"/>
  <c r="AL988" i="1" s="1"/>
  <c r="AM988" i="1" s="1"/>
  <c r="AA988" i="1"/>
  <c r="Z988" i="1"/>
  <c r="Y988" i="1"/>
  <c r="X988" i="1"/>
  <c r="W988" i="1"/>
  <c r="AK987" i="1"/>
  <c r="AL987" i="1" s="1"/>
  <c r="AM987" i="1" s="1"/>
  <c r="AA987" i="1"/>
  <c r="Z987" i="1"/>
  <c r="Y987" i="1"/>
  <c r="X987" i="1"/>
  <c r="W987" i="1"/>
  <c r="AK986" i="1"/>
  <c r="AL986" i="1" s="1"/>
  <c r="AM986" i="1" s="1"/>
  <c r="AA986" i="1"/>
  <c r="Z986" i="1"/>
  <c r="Y986" i="1"/>
  <c r="X986" i="1"/>
  <c r="W986" i="1"/>
  <c r="AL985" i="1"/>
  <c r="AM985" i="1" s="1"/>
  <c r="AK985" i="1"/>
  <c r="AA985" i="1"/>
  <c r="Z985" i="1"/>
  <c r="Y985" i="1"/>
  <c r="X985" i="1"/>
  <c r="W985" i="1"/>
  <c r="AK984" i="1"/>
  <c r="AL984" i="1" s="1"/>
  <c r="AM984" i="1" s="1"/>
  <c r="AA984" i="1"/>
  <c r="Z984" i="1"/>
  <c r="Y984" i="1"/>
  <c r="X984" i="1"/>
  <c r="W984" i="1"/>
  <c r="AK983" i="1"/>
  <c r="AL983" i="1" s="1"/>
  <c r="AM983" i="1" s="1"/>
  <c r="AA983" i="1"/>
  <c r="Z983" i="1"/>
  <c r="Y983" i="1"/>
  <c r="X983" i="1"/>
  <c r="W983" i="1"/>
  <c r="AK982" i="1"/>
  <c r="AL982" i="1" s="1"/>
  <c r="AM982" i="1" s="1"/>
  <c r="AA982" i="1"/>
  <c r="Z982" i="1"/>
  <c r="Y982" i="1"/>
  <c r="X982" i="1"/>
  <c r="W982" i="1"/>
  <c r="AK981" i="1"/>
  <c r="AL981" i="1" s="1"/>
  <c r="AM981" i="1" s="1"/>
  <c r="AA981" i="1"/>
  <c r="Z981" i="1"/>
  <c r="Y981" i="1"/>
  <c r="X981" i="1"/>
  <c r="W981" i="1"/>
  <c r="AK980" i="1"/>
  <c r="AL980" i="1" s="1"/>
  <c r="AM980" i="1" s="1"/>
  <c r="AA980" i="1"/>
  <c r="Z980" i="1"/>
  <c r="Y980" i="1"/>
  <c r="X980" i="1"/>
  <c r="W980" i="1"/>
  <c r="AK979" i="1"/>
  <c r="AL979" i="1" s="1"/>
  <c r="AM979" i="1" s="1"/>
  <c r="AA979" i="1"/>
  <c r="Z979" i="1"/>
  <c r="Y979" i="1"/>
  <c r="X979" i="1"/>
  <c r="W979" i="1"/>
  <c r="AK978" i="1"/>
  <c r="AL978" i="1" s="1"/>
  <c r="AM978" i="1" s="1"/>
  <c r="AA978" i="1"/>
  <c r="Z978" i="1"/>
  <c r="Y978" i="1"/>
  <c r="X978" i="1"/>
  <c r="W978" i="1"/>
  <c r="AK977" i="1"/>
  <c r="AL977" i="1" s="1"/>
  <c r="AM977" i="1" s="1"/>
  <c r="AA977" i="1"/>
  <c r="Z977" i="1"/>
  <c r="Y977" i="1"/>
  <c r="X977" i="1"/>
  <c r="W977" i="1"/>
  <c r="AK976" i="1"/>
  <c r="AL976" i="1" s="1"/>
  <c r="AM976" i="1" s="1"/>
  <c r="AA976" i="1"/>
  <c r="Z976" i="1"/>
  <c r="Y976" i="1"/>
  <c r="X976" i="1"/>
  <c r="W976" i="1"/>
  <c r="AK975" i="1"/>
  <c r="AL975" i="1" s="1"/>
  <c r="AM975" i="1" s="1"/>
  <c r="AA975" i="1"/>
  <c r="Z975" i="1"/>
  <c r="Y975" i="1"/>
  <c r="X975" i="1"/>
  <c r="W975" i="1"/>
  <c r="AK974" i="1"/>
  <c r="AL974" i="1" s="1"/>
  <c r="AM974" i="1" s="1"/>
  <c r="AA974" i="1"/>
  <c r="Z974" i="1"/>
  <c r="Y974" i="1"/>
  <c r="X974" i="1"/>
  <c r="W974" i="1"/>
  <c r="AK973" i="1"/>
  <c r="AL973" i="1" s="1"/>
  <c r="AM973" i="1" s="1"/>
  <c r="AA973" i="1"/>
  <c r="Z973" i="1"/>
  <c r="Y973" i="1"/>
  <c r="X973" i="1"/>
  <c r="W973" i="1"/>
  <c r="AK972" i="1"/>
  <c r="AL972" i="1" s="1"/>
  <c r="AM972" i="1" s="1"/>
  <c r="AA972" i="1"/>
  <c r="Z972" i="1"/>
  <c r="Y972" i="1"/>
  <c r="X972" i="1"/>
  <c r="W972" i="1"/>
  <c r="AK971" i="1"/>
  <c r="AL971" i="1" s="1"/>
  <c r="AM971" i="1" s="1"/>
  <c r="AA971" i="1"/>
  <c r="Z971" i="1"/>
  <c r="Y971" i="1"/>
  <c r="X971" i="1"/>
  <c r="W971" i="1"/>
  <c r="AK970" i="1"/>
  <c r="AL970" i="1" s="1"/>
  <c r="AM970" i="1" s="1"/>
  <c r="AA970" i="1"/>
  <c r="Z970" i="1"/>
  <c r="Y970" i="1"/>
  <c r="X970" i="1"/>
  <c r="W970" i="1"/>
  <c r="AK969" i="1"/>
  <c r="AL969" i="1" s="1"/>
  <c r="AM969" i="1" s="1"/>
  <c r="AA969" i="1"/>
  <c r="Z969" i="1"/>
  <c r="Y969" i="1"/>
  <c r="X969" i="1"/>
  <c r="W969" i="1"/>
  <c r="AK968" i="1"/>
  <c r="AL968" i="1" s="1"/>
  <c r="AM968" i="1" s="1"/>
  <c r="AA968" i="1"/>
  <c r="Z968" i="1"/>
  <c r="Y968" i="1"/>
  <c r="X968" i="1"/>
  <c r="W968" i="1"/>
  <c r="AK967" i="1"/>
  <c r="AL967" i="1" s="1"/>
  <c r="AM967" i="1" s="1"/>
  <c r="AA967" i="1"/>
  <c r="Z967" i="1"/>
  <c r="Y967" i="1"/>
  <c r="X967" i="1"/>
  <c r="W967" i="1"/>
  <c r="AK966" i="1"/>
  <c r="AL966" i="1" s="1"/>
  <c r="AM966" i="1" s="1"/>
  <c r="AA966" i="1"/>
  <c r="Z966" i="1"/>
  <c r="Y966" i="1"/>
  <c r="X966" i="1"/>
  <c r="W966" i="1"/>
  <c r="AK965" i="1"/>
  <c r="AL965" i="1" s="1"/>
  <c r="AM965" i="1" s="1"/>
  <c r="AA965" i="1"/>
  <c r="Z965" i="1"/>
  <c r="Y965" i="1"/>
  <c r="X965" i="1"/>
  <c r="W965" i="1"/>
  <c r="AK964" i="1"/>
  <c r="AL964" i="1" s="1"/>
  <c r="AM964" i="1" s="1"/>
  <c r="AA964" i="1"/>
  <c r="Z964" i="1"/>
  <c r="Y964" i="1"/>
  <c r="X964" i="1"/>
  <c r="W964" i="1"/>
  <c r="AK963" i="1"/>
  <c r="AL963" i="1" s="1"/>
  <c r="AM963" i="1" s="1"/>
  <c r="AA963" i="1"/>
  <c r="Z963" i="1"/>
  <c r="Y963" i="1"/>
  <c r="X963" i="1"/>
  <c r="W963" i="1"/>
  <c r="AK962" i="1"/>
  <c r="AL962" i="1" s="1"/>
  <c r="AM962" i="1" s="1"/>
  <c r="AA962" i="1"/>
  <c r="Z962" i="1"/>
  <c r="Y962" i="1"/>
  <c r="X962" i="1"/>
  <c r="W962" i="1"/>
  <c r="AK961" i="1"/>
  <c r="AL961" i="1" s="1"/>
  <c r="AM961" i="1" s="1"/>
  <c r="AA961" i="1"/>
  <c r="Z961" i="1"/>
  <c r="Y961" i="1"/>
  <c r="X961" i="1"/>
  <c r="W961" i="1"/>
  <c r="AK960" i="1"/>
  <c r="AL960" i="1" s="1"/>
  <c r="AM960" i="1" s="1"/>
  <c r="AA960" i="1"/>
  <c r="Z960" i="1"/>
  <c r="Y960" i="1"/>
  <c r="X960" i="1"/>
  <c r="W960" i="1"/>
  <c r="AK959" i="1"/>
  <c r="AL959" i="1" s="1"/>
  <c r="AM959" i="1" s="1"/>
  <c r="AA959" i="1"/>
  <c r="Z959" i="1"/>
  <c r="Y959" i="1"/>
  <c r="X959" i="1"/>
  <c r="W959" i="1"/>
  <c r="AK958" i="1"/>
  <c r="AL958" i="1" s="1"/>
  <c r="AM958" i="1" s="1"/>
  <c r="AA958" i="1"/>
  <c r="Z958" i="1"/>
  <c r="Y958" i="1"/>
  <c r="X958" i="1"/>
  <c r="W958" i="1"/>
  <c r="AK957" i="1"/>
  <c r="AL957" i="1" s="1"/>
  <c r="AM957" i="1" s="1"/>
  <c r="AA957" i="1"/>
  <c r="Z957" i="1"/>
  <c r="Y957" i="1"/>
  <c r="X957" i="1"/>
  <c r="W957" i="1"/>
  <c r="AK956" i="1"/>
  <c r="AL956" i="1" s="1"/>
  <c r="AM956" i="1" s="1"/>
  <c r="AA956" i="1"/>
  <c r="Z956" i="1"/>
  <c r="Y956" i="1"/>
  <c r="X956" i="1"/>
  <c r="W956" i="1"/>
  <c r="AK955" i="1"/>
  <c r="AL955" i="1" s="1"/>
  <c r="AM955" i="1" s="1"/>
  <c r="AA955" i="1"/>
  <c r="Z955" i="1"/>
  <c r="Y955" i="1"/>
  <c r="X955" i="1"/>
  <c r="W955" i="1"/>
  <c r="AK954" i="1"/>
  <c r="AL954" i="1" s="1"/>
  <c r="AM954" i="1" s="1"/>
  <c r="AA954" i="1"/>
  <c r="Z954" i="1"/>
  <c r="Y954" i="1"/>
  <c r="X954" i="1"/>
  <c r="W954" i="1"/>
  <c r="AK953" i="1"/>
  <c r="AL953" i="1" s="1"/>
  <c r="AM953" i="1" s="1"/>
  <c r="AA953" i="1"/>
  <c r="Z953" i="1"/>
  <c r="Y953" i="1"/>
  <c r="X953" i="1"/>
  <c r="W953" i="1"/>
  <c r="AK952" i="1"/>
  <c r="AL952" i="1" s="1"/>
  <c r="AM952" i="1" s="1"/>
  <c r="AA952" i="1"/>
  <c r="Z952" i="1"/>
  <c r="Y952" i="1"/>
  <c r="X952" i="1"/>
  <c r="W952" i="1"/>
  <c r="AK951" i="1"/>
  <c r="AL951" i="1" s="1"/>
  <c r="AM951" i="1" s="1"/>
  <c r="AA951" i="1"/>
  <c r="Z951" i="1"/>
  <c r="Y951" i="1"/>
  <c r="X951" i="1"/>
  <c r="W951" i="1"/>
  <c r="AK950" i="1"/>
  <c r="AL950" i="1" s="1"/>
  <c r="AM950" i="1" s="1"/>
  <c r="AA950" i="1"/>
  <c r="Z950" i="1"/>
  <c r="Y950" i="1"/>
  <c r="X950" i="1"/>
  <c r="W950" i="1"/>
  <c r="AK949" i="1"/>
  <c r="AL949" i="1" s="1"/>
  <c r="AM949" i="1" s="1"/>
  <c r="AA949" i="1"/>
  <c r="Z949" i="1"/>
  <c r="Y949" i="1"/>
  <c r="X949" i="1"/>
  <c r="W949" i="1"/>
  <c r="AK948" i="1"/>
  <c r="AL948" i="1" s="1"/>
  <c r="AM948" i="1" s="1"/>
  <c r="AA948" i="1"/>
  <c r="Z948" i="1"/>
  <c r="Y948" i="1"/>
  <c r="X948" i="1"/>
  <c r="W948" i="1"/>
  <c r="AK947" i="1"/>
  <c r="AL947" i="1" s="1"/>
  <c r="AM947" i="1" s="1"/>
  <c r="AA947" i="1"/>
  <c r="Z947" i="1"/>
  <c r="Y947" i="1"/>
  <c r="X947" i="1"/>
  <c r="W947" i="1"/>
  <c r="AK946" i="1"/>
  <c r="AL946" i="1" s="1"/>
  <c r="AM946" i="1" s="1"/>
  <c r="AA946" i="1"/>
  <c r="Z946" i="1"/>
  <c r="Y946" i="1"/>
  <c r="X946" i="1"/>
  <c r="W946" i="1"/>
  <c r="AK945" i="1"/>
  <c r="AL945" i="1" s="1"/>
  <c r="AM945" i="1" s="1"/>
  <c r="AA945" i="1"/>
  <c r="Z945" i="1"/>
  <c r="Y945" i="1"/>
  <c r="X945" i="1"/>
  <c r="W945" i="1"/>
  <c r="AK944" i="1"/>
  <c r="AL944" i="1" s="1"/>
  <c r="AM944" i="1" s="1"/>
  <c r="AA944" i="1"/>
  <c r="Z944" i="1"/>
  <c r="Y944" i="1"/>
  <c r="X944" i="1"/>
  <c r="W944" i="1"/>
  <c r="AK943" i="1"/>
  <c r="AL943" i="1" s="1"/>
  <c r="AM943" i="1" s="1"/>
  <c r="AA943" i="1"/>
  <c r="Z943" i="1"/>
  <c r="Y943" i="1"/>
  <c r="X943" i="1"/>
  <c r="W943" i="1"/>
  <c r="AK942" i="1"/>
  <c r="AL942" i="1" s="1"/>
  <c r="AM942" i="1" s="1"/>
  <c r="AA942" i="1"/>
  <c r="Z942" i="1"/>
  <c r="Y942" i="1"/>
  <c r="X942" i="1"/>
  <c r="W942" i="1"/>
  <c r="AK941" i="1"/>
  <c r="AL941" i="1" s="1"/>
  <c r="AM941" i="1" s="1"/>
  <c r="AA941" i="1"/>
  <c r="Z941" i="1"/>
  <c r="Y941" i="1"/>
  <c r="X941" i="1"/>
  <c r="W941" i="1"/>
  <c r="AK940" i="1"/>
  <c r="AL940" i="1" s="1"/>
  <c r="AM940" i="1" s="1"/>
  <c r="AA940" i="1"/>
  <c r="Z940" i="1"/>
  <c r="Y940" i="1"/>
  <c r="X940" i="1"/>
  <c r="W940" i="1"/>
  <c r="AL939" i="1"/>
  <c r="AM939" i="1" s="1"/>
  <c r="AK939" i="1"/>
  <c r="AA939" i="1"/>
  <c r="Z939" i="1"/>
  <c r="Y939" i="1"/>
  <c r="X939" i="1"/>
  <c r="W939" i="1"/>
  <c r="AK938" i="1"/>
  <c r="AL938" i="1" s="1"/>
  <c r="AM938" i="1" s="1"/>
  <c r="AA938" i="1"/>
  <c r="Z938" i="1"/>
  <c r="Y938" i="1"/>
  <c r="X938" i="1"/>
  <c r="W938" i="1"/>
  <c r="AK937" i="1"/>
  <c r="AL937" i="1" s="1"/>
  <c r="AM937" i="1" s="1"/>
  <c r="AA937" i="1"/>
  <c r="Z937" i="1"/>
  <c r="Y937" i="1"/>
  <c r="X937" i="1"/>
  <c r="W937" i="1"/>
  <c r="AK936" i="1"/>
  <c r="AL936" i="1" s="1"/>
  <c r="AM936" i="1" s="1"/>
  <c r="AA936" i="1"/>
  <c r="Z936" i="1"/>
  <c r="Y936" i="1"/>
  <c r="X936" i="1"/>
  <c r="W936" i="1"/>
  <c r="AK935" i="1"/>
  <c r="AL935" i="1" s="1"/>
  <c r="AM935" i="1" s="1"/>
  <c r="AA935" i="1"/>
  <c r="Z935" i="1"/>
  <c r="Y935" i="1"/>
  <c r="X935" i="1"/>
  <c r="W935" i="1"/>
  <c r="AK934" i="1"/>
  <c r="AL934" i="1" s="1"/>
  <c r="AM934" i="1" s="1"/>
  <c r="AA934" i="1"/>
  <c r="Z934" i="1"/>
  <c r="Y934" i="1"/>
  <c r="X934" i="1"/>
  <c r="W934" i="1"/>
  <c r="AK933" i="1"/>
  <c r="AL933" i="1" s="1"/>
  <c r="AM933" i="1" s="1"/>
  <c r="AA933" i="1"/>
  <c r="Z933" i="1"/>
  <c r="Y933" i="1"/>
  <c r="X933" i="1"/>
  <c r="W933" i="1"/>
  <c r="AK932" i="1"/>
  <c r="AL932" i="1" s="1"/>
  <c r="AM932" i="1" s="1"/>
  <c r="AA932" i="1"/>
  <c r="Z932" i="1"/>
  <c r="Y932" i="1"/>
  <c r="X932" i="1"/>
  <c r="W932" i="1"/>
  <c r="AK931" i="1"/>
  <c r="AL931" i="1" s="1"/>
  <c r="AM931" i="1" s="1"/>
  <c r="AA931" i="1"/>
  <c r="Z931" i="1"/>
  <c r="Y931" i="1"/>
  <c r="X931" i="1"/>
  <c r="W931" i="1"/>
  <c r="AK930" i="1"/>
  <c r="AL930" i="1" s="1"/>
  <c r="AM930" i="1" s="1"/>
  <c r="AA930" i="1"/>
  <c r="Z930" i="1"/>
  <c r="Y930" i="1"/>
  <c r="X930" i="1"/>
  <c r="W930" i="1"/>
  <c r="AK929" i="1"/>
  <c r="AL929" i="1" s="1"/>
  <c r="AM929" i="1" s="1"/>
  <c r="AA929" i="1"/>
  <c r="Z929" i="1"/>
  <c r="Y929" i="1"/>
  <c r="X929" i="1"/>
  <c r="W929" i="1"/>
  <c r="AK928" i="1"/>
  <c r="AL928" i="1" s="1"/>
  <c r="AM928" i="1" s="1"/>
  <c r="AA928" i="1"/>
  <c r="Z928" i="1"/>
  <c r="Y928" i="1"/>
  <c r="X928" i="1"/>
  <c r="W928" i="1"/>
  <c r="AK927" i="1"/>
  <c r="AL927" i="1" s="1"/>
  <c r="AM927" i="1" s="1"/>
  <c r="AA927" i="1"/>
  <c r="Z927" i="1"/>
  <c r="Y927" i="1"/>
  <c r="X927" i="1"/>
  <c r="W927" i="1"/>
  <c r="AK926" i="1"/>
  <c r="AL926" i="1" s="1"/>
  <c r="AM926" i="1" s="1"/>
  <c r="AA926" i="1"/>
  <c r="Z926" i="1"/>
  <c r="Y926" i="1"/>
  <c r="X926" i="1"/>
  <c r="W926" i="1"/>
  <c r="AK925" i="1"/>
  <c r="AL925" i="1" s="1"/>
  <c r="AM925" i="1" s="1"/>
  <c r="AA925" i="1"/>
  <c r="Z925" i="1"/>
  <c r="Y925" i="1"/>
  <c r="X925" i="1"/>
  <c r="W925" i="1"/>
  <c r="AK924" i="1"/>
  <c r="AL924" i="1" s="1"/>
  <c r="AM924" i="1" s="1"/>
  <c r="AA924" i="1"/>
  <c r="Z924" i="1"/>
  <c r="Y924" i="1"/>
  <c r="X924" i="1"/>
  <c r="W924" i="1"/>
  <c r="AK923" i="1"/>
  <c r="AL923" i="1" s="1"/>
  <c r="AM923" i="1" s="1"/>
  <c r="AA923" i="1"/>
  <c r="Z923" i="1"/>
  <c r="Y923" i="1"/>
  <c r="X923" i="1"/>
  <c r="W923" i="1"/>
  <c r="AK922" i="1"/>
  <c r="AL922" i="1" s="1"/>
  <c r="AM922" i="1" s="1"/>
  <c r="AA922" i="1"/>
  <c r="Z922" i="1"/>
  <c r="Y922" i="1"/>
  <c r="X922" i="1"/>
  <c r="W922" i="1"/>
  <c r="AK921" i="1"/>
  <c r="AL921" i="1" s="1"/>
  <c r="AM921" i="1" s="1"/>
  <c r="AA921" i="1"/>
  <c r="Z921" i="1"/>
  <c r="Y921" i="1"/>
  <c r="X921" i="1"/>
  <c r="W921" i="1"/>
  <c r="AK920" i="1"/>
  <c r="AL920" i="1" s="1"/>
  <c r="AM920" i="1" s="1"/>
  <c r="AA920" i="1"/>
  <c r="Z920" i="1"/>
  <c r="Y920" i="1"/>
  <c r="X920" i="1"/>
  <c r="W920" i="1"/>
  <c r="AK919" i="1"/>
  <c r="AL919" i="1" s="1"/>
  <c r="AM919" i="1" s="1"/>
  <c r="AA919" i="1"/>
  <c r="Z919" i="1"/>
  <c r="Y919" i="1"/>
  <c r="X919" i="1"/>
  <c r="W919" i="1"/>
  <c r="AK918" i="1"/>
  <c r="AL918" i="1" s="1"/>
  <c r="AM918" i="1" s="1"/>
  <c r="AA918" i="1"/>
  <c r="Z918" i="1"/>
  <c r="Y918" i="1"/>
  <c r="X918" i="1"/>
  <c r="W918" i="1"/>
  <c r="AK917" i="1"/>
  <c r="AL917" i="1" s="1"/>
  <c r="AM917" i="1" s="1"/>
  <c r="AA917" i="1"/>
  <c r="Z917" i="1"/>
  <c r="Y917" i="1"/>
  <c r="X917" i="1"/>
  <c r="W917" i="1"/>
  <c r="AK916" i="1"/>
  <c r="AL916" i="1" s="1"/>
  <c r="AM916" i="1" s="1"/>
  <c r="AA916" i="1"/>
  <c r="Z916" i="1"/>
  <c r="Y916" i="1"/>
  <c r="X916" i="1"/>
  <c r="W916" i="1"/>
  <c r="AK915" i="1"/>
  <c r="AL915" i="1" s="1"/>
  <c r="AM915" i="1" s="1"/>
  <c r="AA915" i="1"/>
  <c r="Z915" i="1"/>
  <c r="Y915" i="1"/>
  <c r="X915" i="1"/>
  <c r="W915" i="1"/>
  <c r="AK914" i="1"/>
  <c r="AL914" i="1" s="1"/>
  <c r="AM914" i="1" s="1"/>
  <c r="AA914" i="1"/>
  <c r="Z914" i="1"/>
  <c r="Y914" i="1"/>
  <c r="X914" i="1"/>
  <c r="W914" i="1"/>
  <c r="AK913" i="1"/>
  <c r="AL913" i="1" s="1"/>
  <c r="AM913" i="1" s="1"/>
  <c r="AA913" i="1"/>
  <c r="Z913" i="1"/>
  <c r="Y913" i="1"/>
  <c r="X913" i="1"/>
  <c r="W913" i="1"/>
  <c r="AK912" i="1"/>
  <c r="AL912" i="1" s="1"/>
  <c r="AM912" i="1" s="1"/>
  <c r="AA912" i="1"/>
  <c r="Z912" i="1"/>
  <c r="Y912" i="1"/>
  <c r="X912" i="1"/>
  <c r="W912" i="1"/>
  <c r="AK911" i="1"/>
  <c r="AL911" i="1" s="1"/>
  <c r="AM911" i="1" s="1"/>
  <c r="AA911" i="1"/>
  <c r="Z911" i="1"/>
  <c r="Y911" i="1"/>
  <c r="X911" i="1"/>
  <c r="W911" i="1"/>
  <c r="AK910" i="1"/>
  <c r="AL910" i="1" s="1"/>
  <c r="AM910" i="1" s="1"/>
  <c r="AA910" i="1"/>
  <c r="Z910" i="1"/>
  <c r="Y910" i="1"/>
  <c r="X910" i="1"/>
  <c r="W910" i="1"/>
  <c r="AK909" i="1"/>
  <c r="AL909" i="1" s="1"/>
  <c r="AM909" i="1" s="1"/>
  <c r="AA909" i="1"/>
  <c r="Z909" i="1"/>
  <c r="Y909" i="1"/>
  <c r="X909" i="1"/>
  <c r="W909" i="1"/>
  <c r="AK908" i="1"/>
  <c r="AL908" i="1" s="1"/>
  <c r="AM908" i="1" s="1"/>
  <c r="AA908" i="1"/>
  <c r="Z908" i="1"/>
  <c r="Y908" i="1"/>
  <c r="X908" i="1"/>
  <c r="W908" i="1"/>
  <c r="AK907" i="1"/>
  <c r="AL907" i="1" s="1"/>
  <c r="AM907" i="1" s="1"/>
  <c r="AA907" i="1"/>
  <c r="Z907" i="1"/>
  <c r="Y907" i="1"/>
  <c r="X907" i="1"/>
  <c r="W907" i="1"/>
  <c r="AK906" i="1"/>
  <c r="AL906" i="1" s="1"/>
  <c r="AM906" i="1" s="1"/>
  <c r="AA906" i="1"/>
  <c r="Z906" i="1"/>
  <c r="Y906" i="1"/>
  <c r="X906" i="1"/>
  <c r="W906" i="1"/>
  <c r="AK905" i="1"/>
  <c r="AL905" i="1" s="1"/>
  <c r="AM905" i="1" s="1"/>
  <c r="AA905" i="1"/>
  <c r="Z905" i="1"/>
  <c r="Y905" i="1"/>
  <c r="X905" i="1"/>
  <c r="W905" i="1"/>
  <c r="AK904" i="1"/>
  <c r="AL904" i="1" s="1"/>
  <c r="AM904" i="1" s="1"/>
  <c r="AA904" i="1"/>
  <c r="Z904" i="1"/>
  <c r="Y904" i="1"/>
  <c r="X904" i="1"/>
  <c r="W904" i="1"/>
  <c r="AK903" i="1"/>
  <c r="AL903" i="1" s="1"/>
  <c r="AM903" i="1" s="1"/>
  <c r="AA903" i="1"/>
  <c r="Z903" i="1"/>
  <c r="Y903" i="1"/>
  <c r="X903" i="1"/>
  <c r="W903" i="1"/>
  <c r="AK902" i="1"/>
  <c r="AL902" i="1" s="1"/>
  <c r="AM902" i="1" s="1"/>
  <c r="AA902" i="1"/>
  <c r="Z902" i="1"/>
  <c r="Y902" i="1"/>
  <c r="X902" i="1"/>
  <c r="W902" i="1"/>
  <c r="AK901" i="1"/>
  <c r="AL901" i="1" s="1"/>
  <c r="AM901" i="1" s="1"/>
  <c r="AA901" i="1"/>
  <c r="Z901" i="1"/>
  <c r="Y901" i="1"/>
  <c r="X901" i="1"/>
  <c r="W901" i="1"/>
  <c r="AK900" i="1"/>
  <c r="AL900" i="1" s="1"/>
  <c r="AM900" i="1" s="1"/>
  <c r="AA900" i="1"/>
  <c r="Z900" i="1"/>
  <c r="Y900" i="1"/>
  <c r="X900" i="1"/>
  <c r="W900" i="1"/>
  <c r="AK899" i="1"/>
  <c r="AL899" i="1" s="1"/>
  <c r="AM899" i="1" s="1"/>
  <c r="AA899" i="1"/>
  <c r="Z899" i="1"/>
  <c r="Y899" i="1"/>
  <c r="X899" i="1"/>
  <c r="W899" i="1"/>
  <c r="AL898" i="1"/>
  <c r="AM898" i="1" s="1"/>
  <c r="AK898" i="1"/>
  <c r="AA898" i="1"/>
  <c r="Z898" i="1"/>
  <c r="Y898" i="1"/>
  <c r="X898" i="1"/>
  <c r="W898" i="1"/>
  <c r="AK897" i="1"/>
  <c r="AL897" i="1" s="1"/>
  <c r="AM897" i="1" s="1"/>
  <c r="AA897" i="1"/>
  <c r="Z897" i="1"/>
  <c r="Y897" i="1"/>
  <c r="X897" i="1"/>
  <c r="W897" i="1"/>
  <c r="AK896" i="1"/>
  <c r="AL896" i="1" s="1"/>
  <c r="AM896" i="1" s="1"/>
  <c r="AA896" i="1"/>
  <c r="Z896" i="1"/>
  <c r="Y896" i="1"/>
  <c r="X896" i="1"/>
  <c r="W896" i="1"/>
  <c r="AK895" i="1"/>
  <c r="AL895" i="1" s="1"/>
  <c r="AM895" i="1" s="1"/>
  <c r="AA895" i="1"/>
  <c r="Z895" i="1"/>
  <c r="Y895" i="1"/>
  <c r="X895" i="1"/>
  <c r="W895" i="1"/>
  <c r="AK894" i="1"/>
  <c r="AL894" i="1" s="1"/>
  <c r="AM894" i="1" s="1"/>
  <c r="AA894" i="1"/>
  <c r="Z894" i="1"/>
  <c r="Y894" i="1"/>
  <c r="X894" i="1"/>
  <c r="W894" i="1"/>
  <c r="AK893" i="1"/>
  <c r="AL893" i="1" s="1"/>
  <c r="AM893" i="1" s="1"/>
  <c r="AA893" i="1"/>
  <c r="Z893" i="1"/>
  <c r="Y893" i="1"/>
  <c r="X893" i="1"/>
  <c r="W893" i="1"/>
  <c r="AK892" i="1"/>
  <c r="AL892" i="1" s="1"/>
  <c r="AM892" i="1" s="1"/>
  <c r="AA892" i="1"/>
  <c r="Z892" i="1"/>
  <c r="Y892" i="1"/>
  <c r="X892" i="1"/>
  <c r="W892" i="1"/>
  <c r="AK891" i="1"/>
  <c r="AL891" i="1" s="1"/>
  <c r="AM891" i="1" s="1"/>
  <c r="AA891" i="1"/>
  <c r="Z891" i="1"/>
  <c r="Y891" i="1"/>
  <c r="X891" i="1"/>
  <c r="W891" i="1"/>
  <c r="AK890" i="1"/>
  <c r="AL890" i="1" s="1"/>
  <c r="AM890" i="1" s="1"/>
  <c r="AA890" i="1"/>
  <c r="Z890" i="1"/>
  <c r="Y890" i="1"/>
  <c r="X890" i="1"/>
  <c r="W890" i="1"/>
  <c r="AK889" i="1"/>
  <c r="AL889" i="1" s="1"/>
  <c r="AM889" i="1" s="1"/>
  <c r="AA889" i="1"/>
  <c r="Z889" i="1"/>
  <c r="Y889" i="1"/>
  <c r="X889" i="1"/>
  <c r="W889" i="1"/>
  <c r="AK888" i="1"/>
  <c r="AL888" i="1" s="1"/>
  <c r="AM888" i="1" s="1"/>
  <c r="AA888" i="1"/>
  <c r="Z888" i="1"/>
  <c r="Y888" i="1"/>
  <c r="X888" i="1"/>
  <c r="W888" i="1"/>
  <c r="AK887" i="1"/>
  <c r="AL887" i="1" s="1"/>
  <c r="AM887" i="1" s="1"/>
  <c r="AA887" i="1"/>
  <c r="Z887" i="1"/>
  <c r="Y887" i="1"/>
  <c r="X887" i="1"/>
  <c r="W887" i="1"/>
  <c r="AK886" i="1"/>
  <c r="AL886" i="1" s="1"/>
  <c r="AM886" i="1" s="1"/>
  <c r="AA886" i="1"/>
  <c r="Z886" i="1"/>
  <c r="Y886" i="1"/>
  <c r="X886" i="1"/>
  <c r="W886" i="1"/>
  <c r="AK885" i="1"/>
  <c r="AL885" i="1" s="1"/>
  <c r="AM885" i="1" s="1"/>
  <c r="AA885" i="1"/>
  <c r="Z885" i="1"/>
  <c r="Y885" i="1"/>
  <c r="X885" i="1"/>
  <c r="W885" i="1"/>
  <c r="AK884" i="1"/>
  <c r="AL884" i="1" s="1"/>
  <c r="AM884" i="1" s="1"/>
  <c r="AA884" i="1"/>
  <c r="Z884" i="1"/>
  <c r="Y884" i="1"/>
  <c r="X884" i="1"/>
  <c r="W884" i="1"/>
  <c r="AK883" i="1"/>
  <c r="AL883" i="1" s="1"/>
  <c r="AM883" i="1" s="1"/>
  <c r="AA883" i="1"/>
  <c r="Z883" i="1"/>
  <c r="Y883" i="1"/>
  <c r="X883" i="1"/>
  <c r="W883" i="1"/>
  <c r="AK882" i="1"/>
  <c r="AL882" i="1" s="1"/>
  <c r="AM882" i="1" s="1"/>
  <c r="AA882" i="1"/>
  <c r="Z882" i="1"/>
  <c r="Y882" i="1"/>
  <c r="X882" i="1"/>
  <c r="W882" i="1"/>
  <c r="AK881" i="1"/>
  <c r="AL881" i="1" s="1"/>
  <c r="AM881" i="1" s="1"/>
  <c r="AA881" i="1"/>
  <c r="Z881" i="1"/>
  <c r="Y881" i="1"/>
  <c r="X881" i="1"/>
  <c r="W881" i="1"/>
  <c r="AK880" i="1"/>
  <c r="AL880" i="1" s="1"/>
  <c r="AM880" i="1" s="1"/>
  <c r="AA880" i="1"/>
  <c r="Z880" i="1"/>
  <c r="Y880" i="1"/>
  <c r="X880" i="1"/>
  <c r="W880" i="1"/>
  <c r="AK879" i="1"/>
  <c r="AL879" i="1" s="1"/>
  <c r="AM879" i="1" s="1"/>
  <c r="AA879" i="1"/>
  <c r="Z879" i="1"/>
  <c r="Y879" i="1"/>
  <c r="X879" i="1"/>
  <c r="W879" i="1"/>
  <c r="AK878" i="1"/>
  <c r="AL878" i="1" s="1"/>
  <c r="AM878" i="1" s="1"/>
  <c r="AA878" i="1"/>
  <c r="Z878" i="1"/>
  <c r="Y878" i="1"/>
  <c r="X878" i="1"/>
  <c r="W878" i="1"/>
  <c r="AK877" i="1"/>
  <c r="AL877" i="1" s="1"/>
  <c r="AM877" i="1" s="1"/>
  <c r="AA877" i="1"/>
  <c r="Z877" i="1"/>
  <c r="Y877" i="1"/>
  <c r="X877" i="1"/>
  <c r="W877" i="1"/>
  <c r="AK876" i="1"/>
  <c r="AL876" i="1" s="1"/>
  <c r="AM876" i="1" s="1"/>
  <c r="AA876" i="1"/>
  <c r="Z876" i="1"/>
  <c r="Y876" i="1"/>
  <c r="X876" i="1"/>
  <c r="W876" i="1"/>
  <c r="AK875" i="1"/>
  <c r="AL875" i="1" s="1"/>
  <c r="AM875" i="1" s="1"/>
  <c r="AA875" i="1"/>
  <c r="Z875" i="1"/>
  <c r="Y875" i="1"/>
  <c r="X875" i="1"/>
  <c r="W875" i="1"/>
  <c r="AK874" i="1"/>
  <c r="AL874" i="1" s="1"/>
  <c r="AM874" i="1" s="1"/>
  <c r="AA874" i="1"/>
  <c r="Z874" i="1"/>
  <c r="Y874" i="1"/>
  <c r="X874" i="1"/>
  <c r="W874" i="1"/>
  <c r="AK873" i="1"/>
  <c r="AL873" i="1" s="1"/>
  <c r="AM873" i="1" s="1"/>
  <c r="AA873" i="1"/>
  <c r="Z873" i="1"/>
  <c r="Y873" i="1"/>
  <c r="X873" i="1"/>
  <c r="W873" i="1"/>
  <c r="AK872" i="1"/>
  <c r="AL872" i="1" s="1"/>
  <c r="AM872" i="1" s="1"/>
  <c r="AA872" i="1"/>
  <c r="Z872" i="1"/>
  <c r="Y872" i="1"/>
  <c r="X872" i="1"/>
  <c r="W872" i="1"/>
  <c r="AK871" i="1"/>
  <c r="AL871" i="1" s="1"/>
  <c r="AM871" i="1" s="1"/>
  <c r="AA871" i="1"/>
  <c r="Z871" i="1"/>
  <c r="Y871" i="1"/>
  <c r="X871" i="1"/>
  <c r="W871" i="1"/>
  <c r="AK870" i="1"/>
  <c r="AL870" i="1" s="1"/>
  <c r="AM870" i="1" s="1"/>
  <c r="AA870" i="1"/>
  <c r="Z870" i="1"/>
  <c r="Y870" i="1"/>
  <c r="X870" i="1"/>
  <c r="W870" i="1"/>
  <c r="AK869" i="1"/>
  <c r="AL869" i="1" s="1"/>
  <c r="AM869" i="1" s="1"/>
  <c r="AA869" i="1"/>
  <c r="Z869" i="1"/>
  <c r="Y869" i="1"/>
  <c r="X869" i="1"/>
  <c r="W869" i="1"/>
  <c r="AK868" i="1"/>
  <c r="AL868" i="1" s="1"/>
  <c r="AM868" i="1" s="1"/>
  <c r="AA868" i="1"/>
  <c r="Z868" i="1"/>
  <c r="Y868" i="1"/>
  <c r="X868" i="1"/>
  <c r="W868" i="1"/>
  <c r="AK867" i="1"/>
  <c r="AL867" i="1" s="1"/>
  <c r="AM867" i="1" s="1"/>
  <c r="AA867" i="1"/>
  <c r="Z867" i="1"/>
  <c r="Y867" i="1"/>
  <c r="X867" i="1"/>
  <c r="W867" i="1"/>
  <c r="AK866" i="1"/>
  <c r="AL866" i="1" s="1"/>
  <c r="AM866" i="1" s="1"/>
  <c r="AA866" i="1"/>
  <c r="Z866" i="1"/>
  <c r="Y866" i="1"/>
  <c r="X866" i="1"/>
  <c r="W866" i="1"/>
  <c r="AK865" i="1"/>
  <c r="AL865" i="1" s="1"/>
  <c r="AM865" i="1" s="1"/>
  <c r="AA865" i="1"/>
  <c r="Z865" i="1"/>
  <c r="Y865" i="1"/>
  <c r="X865" i="1"/>
  <c r="W865" i="1"/>
  <c r="AK864" i="1"/>
  <c r="AL864" i="1" s="1"/>
  <c r="AM864" i="1" s="1"/>
  <c r="AA864" i="1"/>
  <c r="Z864" i="1"/>
  <c r="Y864" i="1"/>
  <c r="X864" i="1"/>
  <c r="W864" i="1"/>
  <c r="AK863" i="1"/>
  <c r="AL863" i="1" s="1"/>
  <c r="AM863" i="1" s="1"/>
  <c r="AA863" i="1"/>
  <c r="Z863" i="1"/>
  <c r="Y863" i="1"/>
  <c r="X863" i="1"/>
  <c r="W863" i="1"/>
  <c r="AK862" i="1"/>
  <c r="AL862" i="1" s="1"/>
  <c r="AM862" i="1" s="1"/>
  <c r="AA862" i="1"/>
  <c r="Z862" i="1"/>
  <c r="Y862" i="1"/>
  <c r="X862" i="1"/>
  <c r="W862" i="1"/>
  <c r="AK861" i="1"/>
  <c r="AL861" i="1" s="1"/>
  <c r="AM861" i="1" s="1"/>
  <c r="AA861" i="1"/>
  <c r="Z861" i="1"/>
  <c r="Y861" i="1"/>
  <c r="X861" i="1"/>
  <c r="W861" i="1"/>
  <c r="AK860" i="1"/>
  <c r="AL860" i="1" s="1"/>
  <c r="AM860" i="1" s="1"/>
  <c r="AA860" i="1"/>
  <c r="Z860" i="1"/>
  <c r="Y860" i="1"/>
  <c r="X860" i="1"/>
  <c r="W860" i="1"/>
  <c r="AK859" i="1"/>
  <c r="AL859" i="1" s="1"/>
  <c r="AM859" i="1" s="1"/>
  <c r="AA859" i="1"/>
  <c r="Z859" i="1"/>
  <c r="Y859" i="1"/>
  <c r="X859" i="1"/>
  <c r="W859" i="1"/>
  <c r="AK858" i="1"/>
  <c r="AL858" i="1" s="1"/>
  <c r="AM858" i="1" s="1"/>
  <c r="AA858" i="1"/>
  <c r="Z858" i="1"/>
  <c r="Y858" i="1"/>
  <c r="X858" i="1"/>
  <c r="W858" i="1"/>
  <c r="AL857" i="1"/>
  <c r="AM857" i="1" s="1"/>
  <c r="AK857" i="1"/>
  <c r="AA857" i="1"/>
  <c r="Z857" i="1"/>
  <c r="Y857" i="1"/>
  <c r="X857" i="1"/>
  <c r="W857" i="1"/>
  <c r="AK856" i="1"/>
  <c r="AL856" i="1" s="1"/>
  <c r="AM856" i="1" s="1"/>
  <c r="AA856" i="1"/>
  <c r="Z856" i="1"/>
  <c r="Y856" i="1"/>
  <c r="X856" i="1"/>
  <c r="W856" i="1"/>
  <c r="AK855" i="1"/>
  <c r="AL855" i="1" s="1"/>
  <c r="AM855" i="1" s="1"/>
  <c r="AA855" i="1"/>
  <c r="Z855" i="1"/>
  <c r="Y855" i="1"/>
  <c r="X855" i="1"/>
  <c r="W855" i="1"/>
  <c r="AK854" i="1"/>
  <c r="AL854" i="1" s="1"/>
  <c r="AM854" i="1" s="1"/>
  <c r="AA854" i="1"/>
  <c r="Z854" i="1"/>
  <c r="Y854" i="1"/>
  <c r="X854" i="1"/>
  <c r="W854" i="1"/>
  <c r="AK853" i="1"/>
  <c r="AL853" i="1" s="1"/>
  <c r="AM853" i="1" s="1"/>
  <c r="AA853" i="1"/>
  <c r="Z853" i="1"/>
  <c r="Y853" i="1"/>
  <c r="X853" i="1"/>
  <c r="W853" i="1"/>
  <c r="AK852" i="1"/>
  <c r="AL852" i="1" s="1"/>
  <c r="AM852" i="1" s="1"/>
  <c r="AA852" i="1"/>
  <c r="Z852" i="1"/>
  <c r="Y852" i="1"/>
  <c r="X852" i="1"/>
  <c r="W852" i="1"/>
  <c r="AK851" i="1"/>
  <c r="AL851" i="1" s="1"/>
  <c r="AM851" i="1" s="1"/>
  <c r="AA851" i="1"/>
  <c r="Z851" i="1"/>
  <c r="Y851" i="1"/>
  <c r="X851" i="1"/>
  <c r="W851" i="1"/>
  <c r="AK850" i="1"/>
  <c r="AL850" i="1" s="1"/>
  <c r="AM850" i="1" s="1"/>
  <c r="AA850" i="1"/>
  <c r="Z850" i="1"/>
  <c r="Y850" i="1"/>
  <c r="X850" i="1"/>
  <c r="W850" i="1"/>
  <c r="AK849" i="1"/>
  <c r="AL849" i="1" s="1"/>
  <c r="AM849" i="1" s="1"/>
  <c r="AA849" i="1"/>
  <c r="Z849" i="1"/>
  <c r="Y849" i="1"/>
  <c r="X849" i="1"/>
  <c r="W849" i="1"/>
  <c r="AK848" i="1"/>
  <c r="AL848" i="1" s="1"/>
  <c r="AM848" i="1" s="1"/>
  <c r="AA848" i="1"/>
  <c r="Z848" i="1"/>
  <c r="Y848" i="1"/>
  <c r="X848" i="1"/>
  <c r="W848" i="1"/>
  <c r="AK847" i="1"/>
  <c r="AL847" i="1" s="1"/>
  <c r="AM847" i="1" s="1"/>
  <c r="AA847" i="1"/>
  <c r="Z847" i="1"/>
  <c r="Y847" i="1"/>
  <c r="X847" i="1"/>
  <c r="W847" i="1"/>
  <c r="AK846" i="1"/>
  <c r="AL846" i="1" s="1"/>
  <c r="AM846" i="1" s="1"/>
  <c r="AA846" i="1"/>
  <c r="Z846" i="1"/>
  <c r="Y846" i="1"/>
  <c r="X846" i="1"/>
  <c r="W846" i="1"/>
  <c r="AK845" i="1"/>
  <c r="AL845" i="1" s="1"/>
  <c r="AM845" i="1" s="1"/>
  <c r="AA845" i="1"/>
  <c r="Z845" i="1"/>
  <c r="Y845" i="1"/>
  <c r="X845" i="1"/>
  <c r="W845" i="1"/>
  <c r="AK844" i="1"/>
  <c r="AL844" i="1" s="1"/>
  <c r="AM844" i="1" s="1"/>
  <c r="AA844" i="1"/>
  <c r="Z844" i="1"/>
  <c r="Y844" i="1"/>
  <c r="X844" i="1"/>
  <c r="W844" i="1"/>
  <c r="AK843" i="1"/>
  <c r="AL843" i="1" s="1"/>
  <c r="AM843" i="1" s="1"/>
  <c r="AA843" i="1"/>
  <c r="Z843" i="1"/>
  <c r="Y843" i="1"/>
  <c r="X843" i="1"/>
  <c r="W843" i="1"/>
  <c r="AK842" i="1"/>
  <c r="AL842" i="1" s="1"/>
  <c r="AM842" i="1" s="1"/>
  <c r="AA842" i="1"/>
  <c r="Z842" i="1"/>
  <c r="Y842" i="1"/>
  <c r="X842" i="1"/>
  <c r="W842" i="1"/>
  <c r="AK841" i="1"/>
  <c r="AL841" i="1" s="1"/>
  <c r="AM841" i="1" s="1"/>
  <c r="AA841" i="1"/>
  <c r="Z841" i="1"/>
  <c r="Y841" i="1"/>
  <c r="X841" i="1"/>
  <c r="W841" i="1"/>
  <c r="AK840" i="1"/>
  <c r="AL840" i="1" s="1"/>
  <c r="AM840" i="1" s="1"/>
  <c r="AA840" i="1"/>
  <c r="Z840" i="1"/>
  <c r="Y840" i="1"/>
  <c r="X840" i="1"/>
  <c r="W840" i="1"/>
  <c r="AK839" i="1"/>
  <c r="AL839" i="1" s="1"/>
  <c r="AM839" i="1" s="1"/>
  <c r="AA839" i="1"/>
  <c r="Z839" i="1"/>
  <c r="Y839" i="1"/>
  <c r="X839" i="1"/>
  <c r="W839" i="1"/>
  <c r="AK838" i="1"/>
  <c r="AL838" i="1" s="1"/>
  <c r="AM838" i="1" s="1"/>
  <c r="AA838" i="1"/>
  <c r="Z838" i="1"/>
  <c r="Y838" i="1"/>
  <c r="X838" i="1"/>
  <c r="W838" i="1"/>
  <c r="AK837" i="1"/>
  <c r="AL837" i="1" s="1"/>
  <c r="AM837" i="1" s="1"/>
  <c r="AA837" i="1"/>
  <c r="Z837" i="1"/>
  <c r="Y837" i="1"/>
  <c r="X837" i="1"/>
  <c r="W837" i="1"/>
  <c r="AK836" i="1"/>
  <c r="AL836" i="1" s="1"/>
  <c r="AM836" i="1" s="1"/>
  <c r="AA836" i="1"/>
  <c r="Z836" i="1"/>
  <c r="Y836" i="1"/>
  <c r="X836" i="1"/>
  <c r="W836" i="1"/>
  <c r="AK835" i="1"/>
  <c r="AL835" i="1" s="1"/>
  <c r="AM835" i="1" s="1"/>
  <c r="AA835" i="1"/>
  <c r="Z835" i="1"/>
  <c r="Y835" i="1"/>
  <c r="X835" i="1"/>
  <c r="W835" i="1"/>
  <c r="AK834" i="1"/>
  <c r="AL834" i="1" s="1"/>
  <c r="AM834" i="1" s="1"/>
  <c r="AA834" i="1"/>
  <c r="Z834" i="1"/>
  <c r="Y834" i="1"/>
  <c r="X834" i="1"/>
  <c r="W834" i="1"/>
  <c r="AK833" i="1"/>
  <c r="AL833" i="1" s="1"/>
  <c r="AM833" i="1" s="1"/>
  <c r="AA833" i="1"/>
  <c r="Z833" i="1"/>
  <c r="Y833" i="1"/>
  <c r="X833" i="1"/>
  <c r="W833" i="1"/>
  <c r="AK832" i="1"/>
  <c r="AL832" i="1" s="1"/>
  <c r="AM832" i="1" s="1"/>
  <c r="AA832" i="1"/>
  <c r="Z832" i="1"/>
  <c r="Y832" i="1"/>
  <c r="X832" i="1"/>
  <c r="W832" i="1"/>
  <c r="AK831" i="1"/>
  <c r="AL831" i="1" s="1"/>
  <c r="AM831" i="1" s="1"/>
  <c r="AA831" i="1"/>
  <c r="Z831" i="1"/>
  <c r="Y831" i="1"/>
  <c r="X831" i="1"/>
  <c r="W831" i="1"/>
  <c r="AK830" i="1"/>
  <c r="AL830" i="1" s="1"/>
  <c r="AM830" i="1" s="1"/>
  <c r="AA830" i="1"/>
  <c r="Z830" i="1"/>
  <c r="Y830" i="1"/>
  <c r="X830" i="1"/>
  <c r="W830" i="1"/>
  <c r="AK829" i="1"/>
  <c r="AL829" i="1" s="1"/>
  <c r="AM829" i="1" s="1"/>
  <c r="AA829" i="1"/>
  <c r="Z829" i="1"/>
  <c r="Y829" i="1"/>
  <c r="X829" i="1"/>
  <c r="W829" i="1"/>
  <c r="AK828" i="1"/>
  <c r="AL828" i="1" s="1"/>
  <c r="AM828" i="1" s="1"/>
  <c r="AA828" i="1"/>
  <c r="Z828" i="1"/>
  <c r="Y828" i="1"/>
  <c r="X828" i="1"/>
  <c r="W828" i="1"/>
  <c r="AK827" i="1"/>
  <c r="AL827" i="1" s="1"/>
  <c r="AM827" i="1" s="1"/>
  <c r="AA827" i="1"/>
  <c r="Z827" i="1"/>
  <c r="Y827" i="1"/>
  <c r="X827" i="1"/>
  <c r="W827" i="1"/>
  <c r="AK826" i="1"/>
  <c r="AL826" i="1" s="1"/>
  <c r="AM826" i="1" s="1"/>
  <c r="AA826" i="1"/>
  <c r="Z826" i="1"/>
  <c r="Y826" i="1"/>
  <c r="X826" i="1"/>
  <c r="W826" i="1"/>
  <c r="AK825" i="1"/>
  <c r="AL825" i="1" s="1"/>
  <c r="AM825" i="1" s="1"/>
  <c r="AA825" i="1"/>
  <c r="Z825" i="1"/>
  <c r="Y825" i="1"/>
  <c r="X825" i="1"/>
  <c r="W825" i="1"/>
  <c r="AK824" i="1"/>
  <c r="AL824" i="1" s="1"/>
  <c r="AM824" i="1" s="1"/>
  <c r="AA824" i="1"/>
  <c r="Z824" i="1"/>
  <c r="Y824" i="1"/>
  <c r="X824" i="1"/>
  <c r="W824" i="1"/>
  <c r="AK823" i="1"/>
  <c r="AL823" i="1" s="1"/>
  <c r="AM823" i="1" s="1"/>
  <c r="AA823" i="1"/>
  <c r="Z823" i="1"/>
  <c r="Y823" i="1"/>
  <c r="X823" i="1"/>
  <c r="W823" i="1"/>
  <c r="AK822" i="1"/>
  <c r="AL822" i="1" s="1"/>
  <c r="AM822" i="1" s="1"/>
  <c r="AA822" i="1"/>
  <c r="Z822" i="1"/>
  <c r="Y822" i="1"/>
  <c r="X822" i="1"/>
  <c r="W822" i="1"/>
  <c r="AK821" i="1"/>
  <c r="AL821" i="1" s="1"/>
  <c r="AM821" i="1" s="1"/>
  <c r="AA821" i="1"/>
  <c r="Z821" i="1"/>
  <c r="Y821" i="1"/>
  <c r="X821" i="1"/>
  <c r="W821" i="1"/>
  <c r="AK820" i="1"/>
  <c r="AL820" i="1" s="1"/>
  <c r="AM820" i="1" s="1"/>
  <c r="AA820" i="1"/>
  <c r="Z820" i="1"/>
  <c r="Y820" i="1"/>
  <c r="X820" i="1"/>
  <c r="W820" i="1"/>
  <c r="AK819" i="1"/>
  <c r="AL819" i="1" s="1"/>
  <c r="AM819" i="1" s="1"/>
  <c r="AA819" i="1"/>
  <c r="Z819" i="1"/>
  <c r="Y819" i="1"/>
  <c r="X819" i="1"/>
  <c r="W819" i="1"/>
  <c r="AK818" i="1"/>
  <c r="AL818" i="1" s="1"/>
  <c r="AM818" i="1" s="1"/>
  <c r="AA818" i="1"/>
  <c r="Z818" i="1"/>
  <c r="Y818" i="1"/>
  <c r="X818" i="1"/>
  <c r="W818" i="1"/>
  <c r="AK817" i="1"/>
  <c r="AL817" i="1" s="1"/>
  <c r="AM817" i="1" s="1"/>
  <c r="AA817" i="1"/>
  <c r="Z817" i="1"/>
  <c r="Y817" i="1"/>
  <c r="X817" i="1"/>
  <c r="W817" i="1"/>
  <c r="AK816" i="1"/>
  <c r="AL816" i="1" s="1"/>
  <c r="AM816" i="1" s="1"/>
  <c r="AA816" i="1"/>
  <c r="Z816" i="1"/>
  <c r="Y816" i="1"/>
  <c r="X816" i="1"/>
  <c r="W816" i="1"/>
  <c r="AK815" i="1"/>
  <c r="AL815" i="1" s="1"/>
  <c r="AM815" i="1" s="1"/>
  <c r="AA815" i="1"/>
  <c r="Z815" i="1"/>
  <c r="Y815" i="1"/>
  <c r="X815" i="1"/>
  <c r="W815" i="1"/>
  <c r="AK814" i="1"/>
  <c r="AL814" i="1" s="1"/>
  <c r="AM814" i="1" s="1"/>
  <c r="AA814" i="1"/>
  <c r="Z814" i="1"/>
  <c r="Y814" i="1"/>
  <c r="X814" i="1"/>
  <c r="W814" i="1"/>
  <c r="AK813" i="1"/>
  <c r="AL813" i="1" s="1"/>
  <c r="AM813" i="1" s="1"/>
  <c r="AA813" i="1"/>
  <c r="Z813" i="1"/>
  <c r="Y813" i="1"/>
  <c r="X813" i="1"/>
  <c r="W813" i="1"/>
  <c r="AK812" i="1"/>
  <c r="AL812" i="1" s="1"/>
  <c r="AM812" i="1" s="1"/>
  <c r="AA812" i="1"/>
  <c r="Z812" i="1"/>
  <c r="Y812" i="1"/>
  <c r="X812" i="1"/>
  <c r="W812" i="1"/>
  <c r="AK811" i="1"/>
  <c r="AL811" i="1" s="1"/>
  <c r="AM811" i="1" s="1"/>
  <c r="AA811" i="1"/>
  <c r="Z811" i="1"/>
  <c r="Y811" i="1"/>
  <c r="X811" i="1"/>
  <c r="W811" i="1"/>
  <c r="AK810" i="1"/>
  <c r="AL810" i="1" s="1"/>
  <c r="AM810" i="1" s="1"/>
  <c r="AA810" i="1"/>
  <c r="Z810" i="1"/>
  <c r="Y810" i="1"/>
  <c r="X810" i="1"/>
  <c r="W810" i="1"/>
  <c r="AK809" i="1"/>
  <c r="AL809" i="1" s="1"/>
  <c r="AM809" i="1" s="1"/>
  <c r="AA809" i="1"/>
  <c r="Z809" i="1"/>
  <c r="Y809" i="1"/>
  <c r="X809" i="1"/>
  <c r="W809" i="1"/>
  <c r="AK808" i="1"/>
  <c r="AL808" i="1" s="1"/>
  <c r="AM808" i="1" s="1"/>
  <c r="AA808" i="1"/>
  <c r="Z808" i="1"/>
  <c r="Y808" i="1"/>
  <c r="X808" i="1"/>
  <c r="W808" i="1"/>
  <c r="AK807" i="1"/>
  <c r="AL807" i="1" s="1"/>
  <c r="AM807" i="1" s="1"/>
  <c r="AA807" i="1"/>
  <c r="Z807" i="1"/>
  <c r="Y807" i="1"/>
  <c r="X807" i="1"/>
  <c r="W807" i="1"/>
  <c r="AK806" i="1"/>
  <c r="AL806" i="1" s="1"/>
  <c r="AM806" i="1" s="1"/>
  <c r="AA806" i="1"/>
  <c r="Z806" i="1"/>
  <c r="Y806" i="1"/>
  <c r="X806" i="1"/>
  <c r="W806" i="1"/>
  <c r="AK805" i="1"/>
  <c r="AL805" i="1" s="1"/>
  <c r="AM805" i="1" s="1"/>
  <c r="AA805" i="1"/>
  <c r="Z805" i="1"/>
  <c r="Y805" i="1"/>
  <c r="X805" i="1"/>
  <c r="W805" i="1"/>
  <c r="AK804" i="1"/>
  <c r="AL804" i="1" s="1"/>
  <c r="AM804" i="1" s="1"/>
  <c r="AA804" i="1"/>
  <c r="Z804" i="1"/>
  <c r="Y804" i="1"/>
  <c r="X804" i="1"/>
  <c r="W804" i="1"/>
  <c r="AK803" i="1"/>
  <c r="AL803" i="1" s="1"/>
  <c r="AM803" i="1" s="1"/>
  <c r="AA803" i="1"/>
  <c r="Z803" i="1"/>
  <c r="Y803" i="1"/>
  <c r="X803" i="1"/>
  <c r="W803" i="1"/>
  <c r="AK802" i="1"/>
  <c r="AL802" i="1" s="1"/>
  <c r="AM802" i="1" s="1"/>
  <c r="AA802" i="1"/>
  <c r="Z802" i="1"/>
  <c r="Y802" i="1"/>
  <c r="X802" i="1"/>
  <c r="W802" i="1"/>
  <c r="AK801" i="1"/>
  <c r="AL801" i="1" s="1"/>
  <c r="AM801" i="1" s="1"/>
  <c r="AA801" i="1"/>
  <c r="Z801" i="1"/>
  <c r="Y801" i="1"/>
  <c r="X801" i="1"/>
  <c r="W801" i="1"/>
  <c r="AK800" i="1"/>
  <c r="AL800" i="1" s="1"/>
  <c r="AM800" i="1" s="1"/>
  <c r="AA800" i="1"/>
  <c r="Z800" i="1"/>
  <c r="Y800" i="1"/>
  <c r="X800" i="1"/>
  <c r="W800" i="1"/>
  <c r="AK799" i="1"/>
  <c r="AL799" i="1" s="1"/>
  <c r="AM799" i="1" s="1"/>
  <c r="AA799" i="1"/>
  <c r="Z799" i="1"/>
  <c r="Y799" i="1"/>
  <c r="X799" i="1"/>
  <c r="W799" i="1"/>
  <c r="AK798" i="1"/>
  <c r="AL798" i="1" s="1"/>
  <c r="AM798" i="1" s="1"/>
  <c r="AA798" i="1"/>
  <c r="Z798" i="1"/>
  <c r="Y798" i="1"/>
  <c r="X798" i="1"/>
  <c r="W798" i="1"/>
  <c r="AK797" i="1"/>
  <c r="AL797" i="1" s="1"/>
  <c r="AM797" i="1" s="1"/>
  <c r="AA797" i="1"/>
  <c r="Z797" i="1"/>
  <c r="Y797" i="1"/>
  <c r="X797" i="1"/>
  <c r="W797" i="1"/>
  <c r="AK796" i="1"/>
  <c r="AL796" i="1" s="1"/>
  <c r="AM796" i="1" s="1"/>
  <c r="AA796" i="1"/>
  <c r="Z796" i="1"/>
  <c r="Y796" i="1"/>
  <c r="X796" i="1"/>
  <c r="W796" i="1"/>
  <c r="AK795" i="1"/>
  <c r="AL795" i="1" s="1"/>
  <c r="AM795" i="1" s="1"/>
  <c r="AA795" i="1"/>
  <c r="Z795" i="1"/>
  <c r="Y795" i="1"/>
  <c r="X795" i="1"/>
  <c r="W795" i="1"/>
  <c r="AK794" i="1"/>
  <c r="AL794" i="1" s="1"/>
  <c r="AM794" i="1" s="1"/>
  <c r="AA794" i="1"/>
  <c r="Z794" i="1"/>
  <c r="Y794" i="1"/>
  <c r="X794" i="1"/>
  <c r="W794" i="1"/>
  <c r="AK793" i="1"/>
  <c r="AL793" i="1" s="1"/>
  <c r="AM793" i="1" s="1"/>
  <c r="AA793" i="1"/>
  <c r="Z793" i="1"/>
  <c r="Y793" i="1"/>
  <c r="X793" i="1"/>
  <c r="W793" i="1"/>
  <c r="AK792" i="1"/>
  <c r="AL792" i="1" s="1"/>
  <c r="AM792" i="1" s="1"/>
  <c r="AA792" i="1"/>
  <c r="Z792" i="1"/>
  <c r="Y792" i="1"/>
  <c r="X792" i="1"/>
  <c r="W792" i="1"/>
  <c r="AK791" i="1"/>
  <c r="AL791" i="1" s="1"/>
  <c r="AM791" i="1" s="1"/>
  <c r="AA791" i="1"/>
  <c r="Z791" i="1"/>
  <c r="Y791" i="1"/>
  <c r="X791" i="1"/>
  <c r="W791" i="1"/>
  <c r="AK790" i="1"/>
  <c r="AL790" i="1" s="1"/>
  <c r="AM790" i="1" s="1"/>
  <c r="AA790" i="1"/>
  <c r="Z790" i="1"/>
  <c r="Y790" i="1"/>
  <c r="X790" i="1"/>
  <c r="W790" i="1"/>
  <c r="AK789" i="1"/>
  <c r="AL789" i="1" s="1"/>
  <c r="AM789" i="1" s="1"/>
  <c r="AA789" i="1"/>
  <c r="Z789" i="1"/>
  <c r="Y789" i="1"/>
  <c r="X789" i="1"/>
  <c r="W789" i="1"/>
  <c r="AK788" i="1"/>
  <c r="AL788" i="1" s="1"/>
  <c r="AM788" i="1" s="1"/>
  <c r="AA788" i="1"/>
  <c r="Z788" i="1"/>
  <c r="Y788" i="1"/>
  <c r="X788" i="1"/>
  <c r="W788" i="1"/>
  <c r="AK787" i="1"/>
  <c r="AL787" i="1" s="1"/>
  <c r="AM787" i="1" s="1"/>
  <c r="AA787" i="1"/>
  <c r="Z787" i="1"/>
  <c r="Y787" i="1"/>
  <c r="X787" i="1"/>
  <c r="W787" i="1"/>
  <c r="AK786" i="1"/>
  <c r="AL786" i="1" s="1"/>
  <c r="AM786" i="1" s="1"/>
  <c r="AA786" i="1"/>
  <c r="Z786" i="1"/>
  <c r="Y786" i="1"/>
  <c r="X786" i="1"/>
  <c r="W786" i="1"/>
  <c r="AK785" i="1"/>
  <c r="AL785" i="1" s="1"/>
  <c r="AM785" i="1" s="1"/>
  <c r="AA785" i="1"/>
  <c r="Z785" i="1"/>
  <c r="Y785" i="1"/>
  <c r="X785" i="1"/>
  <c r="W785" i="1"/>
  <c r="AK784" i="1"/>
  <c r="AL784" i="1" s="1"/>
  <c r="AM784" i="1" s="1"/>
  <c r="AA784" i="1"/>
  <c r="Z784" i="1"/>
  <c r="Y784" i="1"/>
  <c r="X784" i="1"/>
  <c r="W784" i="1"/>
  <c r="AK783" i="1"/>
  <c r="AL783" i="1" s="1"/>
  <c r="AM783" i="1" s="1"/>
  <c r="AA783" i="1"/>
  <c r="Z783" i="1"/>
  <c r="Y783" i="1"/>
  <c r="X783" i="1"/>
  <c r="W783" i="1"/>
  <c r="AK782" i="1"/>
  <c r="AL782" i="1" s="1"/>
  <c r="AM782" i="1" s="1"/>
  <c r="AA782" i="1"/>
  <c r="Z782" i="1"/>
  <c r="Y782" i="1"/>
  <c r="X782" i="1"/>
  <c r="W782" i="1"/>
  <c r="AK781" i="1"/>
  <c r="AL781" i="1" s="1"/>
  <c r="AM781" i="1" s="1"/>
  <c r="AA781" i="1"/>
  <c r="Z781" i="1"/>
  <c r="Y781" i="1"/>
  <c r="X781" i="1"/>
  <c r="W781" i="1"/>
  <c r="AK780" i="1"/>
  <c r="AL780" i="1" s="1"/>
  <c r="AM780" i="1" s="1"/>
  <c r="AA780" i="1"/>
  <c r="Z780" i="1"/>
  <c r="Y780" i="1"/>
  <c r="X780" i="1"/>
  <c r="W780" i="1"/>
  <c r="AK779" i="1"/>
  <c r="AL779" i="1" s="1"/>
  <c r="AM779" i="1" s="1"/>
  <c r="AA779" i="1"/>
  <c r="Z779" i="1"/>
  <c r="Y779" i="1"/>
  <c r="X779" i="1"/>
  <c r="W779" i="1"/>
  <c r="AK778" i="1"/>
  <c r="AL778" i="1" s="1"/>
  <c r="AM778" i="1" s="1"/>
  <c r="AA778" i="1"/>
  <c r="Z778" i="1"/>
  <c r="Y778" i="1"/>
  <c r="X778" i="1"/>
  <c r="W778" i="1"/>
  <c r="AK777" i="1"/>
  <c r="AL777" i="1" s="1"/>
  <c r="AM777" i="1" s="1"/>
  <c r="AA777" i="1"/>
  <c r="Z777" i="1"/>
  <c r="Y777" i="1"/>
  <c r="X777" i="1"/>
  <c r="W777" i="1"/>
  <c r="AK776" i="1"/>
  <c r="AL776" i="1" s="1"/>
  <c r="AM776" i="1" s="1"/>
  <c r="AA776" i="1"/>
  <c r="Z776" i="1"/>
  <c r="Y776" i="1"/>
  <c r="X776" i="1"/>
  <c r="W776" i="1"/>
  <c r="AK775" i="1"/>
  <c r="AL775" i="1" s="1"/>
  <c r="AM775" i="1" s="1"/>
  <c r="AA775" i="1"/>
  <c r="Z775" i="1"/>
  <c r="Y775" i="1"/>
  <c r="X775" i="1"/>
  <c r="W775" i="1"/>
  <c r="AL774" i="1"/>
  <c r="AM774" i="1" s="1"/>
  <c r="AK774" i="1"/>
  <c r="AA774" i="1"/>
  <c r="Z774" i="1"/>
  <c r="Y774" i="1"/>
  <c r="X774" i="1"/>
  <c r="W774" i="1"/>
  <c r="AK773" i="1"/>
  <c r="AL773" i="1" s="1"/>
  <c r="AM773" i="1" s="1"/>
  <c r="AA773" i="1"/>
  <c r="Z773" i="1"/>
  <c r="Y773" i="1"/>
  <c r="X773" i="1"/>
  <c r="W773" i="1"/>
  <c r="AK772" i="1"/>
  <c r="AL772" i="1" s="1"/>
  <c r="AM772" i="1" s="1"/>
  <c r="AA772" i="1"/>
  <c r="Z772" i="1"/>
  <c r="Y772" i="1"/>
  <c r="X772" i="1"/>
  <c r="W772" i="1"/>
  <c r="AK771" i="1"/>
  <c r="AL771" i="1" s="1"/>
  <c r="AM771" i="1" s="1"/>
  <c r="AA771" i="1"/>
  <c r="Z771" i="1"/>
  <c r="Y771" i="1"/>
  <c r="X771" i="1"/>
  <c r="W771" i="1"/>
  <c r="AK770" i="1"/>
  <c r="AL770" i="1" s="1"/>
  <c r="AM770" i="1" s="1"/>
  <c r="AA770" i="1"/>
  <c r="Z770" i="1"/>
  <c r="Y770" i="1"/>
  <c r="X770" i="1"/>
  <c r="W770" i="1"/>
  <c r="AK769" i="1"/>
  <c r="AL769" i="1" s="1"/>
  <c r="AM769" i="1" s="1"/>
  <c r="AA769" i="1"/>
  <c r="Z769" i="1"/>
  <c r="Y769" i="1"/>
  <c r="X769" i="1"/>
  <c r="W769" i="1"/>
  <c r="AK768" i="1"/>
  <c r="AL768" i="1" s="1"/>
  <c r="AM768" i="1" s="1"/>
  <c r="AA768" i="1"/>
  <c r="Z768" i="1"/>
  <c r="Y768" i="1"/>
  <c r="X768" i="1"/>
  <c r="W768" i="1"/>
  <c r="AK767" i="1"/>
  <c r="AL767" i="1" s="1"/>
  <c r="AM767" i="1" s="1"/>
  <c r="AA767" i="1"/>
  <c r="Z767" i="1"/>
  <c r="Y767" i="1"/>
  <c r="X767" i="1"/>
  <c r="W767" i="1"/>
  <c r="AK766" i="1"/>
  <c r="AL766" i="1" s="1"/>
  <c r="AM766" i="1" s="1"/>
  <c r="AA766" i="1"/>
  <c r="Z766" i="1"/>
  <c r="Y766" i="1"/>
  <c r="X766" i="1"/>
  <c r="W766" i="1"/>
  <c r="AK765" i="1"/>
  <c r="AL765" i="1" s="1"/>
  <c r="AM765" i="1" s="1"/>
  <c r="AA765" i="1"/>
  <c r="Z765" i="1"/>
  <c r="Y765" i="1"/>
  <c r="X765" i="1"/>
  <c r="W765" i="1"/>
  <c r="AK764" i="1"/>
  <c r="AL764" i="1" s="1"/>
  <c r="AM764" i="1" s="1"/>
  <c r="AA764" i="1"/>
  <c r="Z764" i="1"/>
  <c r="Y764" i="1"/>
  <c r="X764" i="1"/>
  <c r="W764" i="1"/>
  <c r="AK763" i="1"/>
  <c r="AL763" i="1" s="1"/>
  <c r="AM763" i="1" s="1"/>
  <c r="AA763" i="1"/>
  <c r="Z763" i="1"/>
  <c r="Y763" i="1"/>
  <c r="X763" i="1"/>
  <c r="W763" i="1"/>
  <c r="AK762" i="1"/>
  <c r="AL762" i="1" s="1"/>
  <c r="AM762" i="1" s="1"/>
  <c r="AA762" i="1"/>
  <c r="Z762" i="1"/>
  <c r="Y762" i="1"/>
  <c r="X762" i="1"/>
  <c r="W762" i="1"/>
  <c r="AK761" i="1"/>
  <c r="AL761" i="1" s="1"/>
  <c r="AM761" i="1" s="1"/>
  <c r="AA761" i="1"/>
  <c r="Z761" i="1"/>
  <c r="Y761" i="1"/>
  <c r="X761" i="1"/>
  <c r="W761" i="1"/>
  <c r="AK760" i="1"/>
  <c r="AL760" i="1" s="1"/>
  <c r="AM760" i="1" s="1"/>
  <c r="AA760" i="1"/>
  <c r="Z760" i="1"/>
  <c r="Y760" i="1"/>
  <c r="X760" i="1"/>
  <c r="W760" i="1"/>
  <c r="AK759" i="1"/>
  <c r="AL759" i="1" s="1"/>
  <c r="AM759" i="1" s="1"/>
  <c r="AA759" i="1"/>
  <c r="Z759" i="1"/>
  <c r="Y759" i="1"/>
  <c r="X759" i="1"/>
  <c r="W759" i="1"/>
  <c r="AK758" i="1"/>
  <c r="AL758" i="1" s="1"/>
  <c r="AM758" i="1" s="1"/>
  <c r="AA758" i="1"/>
  <c r="Z758" i="1"/>
  <c r="Y758" i="1"/>
  <c r="X758" i="1"/>
  <c r="W758" i="1"/>
  <c r="AK757" i="1"/>
  <c r="AL757" i="1" s="1"/>
  <c r="AM757" i="1" s="1"/>
  <c r="AA757" i="1"/>
  <c r="Z757" i="1"/>
  <c r="Y757" i="1"/>
  <c r="X757" i="1"/>
  <c r="W757" i="1"/>
  <c r="AK756" i="1"/>
  <c r="AL756" i="1" s="1"/>
  <c r="AM756" i="1" s="1"/>
  <c r="AA756" i="1"/>
  <c r="Z756" i="1"/>
  <c r="Y756" i="1"/>
  <c r="X756" i="1"/>
  <c r="W756" i="1"/>
  <c r="AK755" i="1"/>
  <c r="AL755" i="1" s="1"/>
  <c r="AM755" i="1" s="1"/>
  <c r="AA755" i="1"/>
  <c r="Z755" i="1"/>
  <c r="Y755" i="1"/>
  <c r="X755" i="1"/>
  <c r="W755" i="1"/>
  <c r="AK754" i="1"/>
  <c r="AL754" i="1" s="1"/>
  <c r="AM754" i="1" s="1"/>
  <c r="AA754" i="1"/>
  <c r="Z754" i="1"/>
  <c r="Y754" i="1"/>
  <c r="X754" i="1"/>
  <c r="W754" i="1"/>
  <c r="AK753" i="1"/>
  <c r="AL753" i="1" s="1"/>
  <c r="AM753" i="1" s="1"/>
  <c r="AA753" i="1"/>
  <c r="Z753" i="1"/>
  <c r="Y753" i="1"/>
  <c r="X753" i="1"/>
  <c r="W753" i="1"/>
  <c r="AK752" i="1"/>
  <c r="AL752" i="1" s="1"/>
  <c r="AM752" i="1" s="1"/>
  <c r="AA752" i="1"/>
  <c r="Z752" i="1"/>
  <c r="Y752" i="1"/>
  <c r="X752" i="1"/>
  <c r="W752" i="1"/>
  <c r="AL751" i="1"/>
  <c r="AM751" i="1" s="1"/>
  <c r="AK751" i="1"/>
  <c r="AA751" i="1"/>
  <c r="Z751" i="1"/>
  <c r="Y751" i="1"/>
  <c r="X751" i="1"/>
  <c r="W751" i="1"/>
  <c r="AK750" i="1"/>
  <c r="AL750" i="1" s="1"/>
  <c r="AM750" i="1" s="1"/>
  <c r="AA750" i="1"/>
  <c r="Z750" i="1"/>
  <c r="Y750" i="1"/>
  <c r="X750" i="1"/>
  <c r="W750" i="1"/>
  <c r="AL749" i="1"/>
  <c r="AM749" i="1" s="1"/>
  <c r="AK749" i="1"/>
  <c r="AA749" i="1"/>
  <c r="Z749" i="1"/>
  <c r="Y749" i="1"/>
  <c r="X749" i="1"/>
  <c r="W749" i="1"/>
  <c r="AK748" i="1"/>
  <c r="AL748" i="1" s="1"/>
  <c r="AM748" i="1" s="1"/>
  <c r="AA748" i="1"/>
  <c r="Z748" i="1"/>
  <c r="Y748" i="1"/>
  <c r="X748" i="1"/>
  <c r="W748" i="1"/>
  <c r="AK747" i="1"/>
  <c r="AL747" i="1" s="1"/>
  <c r="AM747" i="1" s="1"/>
  <c r="AA747" i="1"/>
  <c r="Z747" i="1"/>
  <c r="Y747" i="1"/>
  <c r="X747" i="1"/>
  <c r="W747" i="1"/>
  <c r="AK746" i="1"/>
  <c r="AL746" i="1" s="1"/>
  <c r="AM746" i="1" s="1"/>
  <c r="AA746" i="1"/>
  <c r="Z746" i="1"/>
  <c r="Y746" i="1"/>
  <c r="X746" i="1"/>
  <c r="W746" i="1"/>
  <c r="AK745" i="1"/>
  <c r="AL745" i="1" s="1"/>
  <c r="AM745" i="1" s="1"/>
  <c r="AA745" i="1"/>
  <c r="Z745" i="1"/>
  <c r="Y745" i="1"/>
  <c r="X745" i="1"/>
  <c r="W745" i="1"/>
  <c r="AK744" i="1"/>
  <c r="AL744" i="1" s="1"/>
  <c r="AM744" i="1" s="1"/>
  <c r="AA744" i="1"/>
  <c r="Z744" i="1"/>
  <c r="Y744" i="1"/>
  <c r="X744" i="1"/>
  <c r="W744" i="1"/>
  <c r="AK743" i="1"/>
  <c r="AL743" i="1" s="1"/>
  <c r="AM743" i="1" s="1"/>
  <c r="AA743" i="1"/>
  <c r="Z743" i="1"/>
  <c r="Y743" i="1"/>
  <c r="X743" i="1"/>
  <c r="W743" i="1"/>
  <c r="AK742" i="1"/>
  <c r="AL742" i="1" s="1"/>
  <c r="AM742" i="1" s="1"/>
  <c r="AA742" i="1"/>
  <c r="Z742" i="1"/>
  <c r="Y742" i="1"/>
  <c r="X742" i="1"/>
  <c r="W742" i="1"/>
  <c r="AK741" i="1"/>
  <c r="AL741" i="1" s="1"/>
  <c r="AM741" i="1" s="1"/>
  <c r="AA741" i="1"/>
  <c r="Z741" i="1"/>
  <c r="Y741" i="1"/>
  <c r="X741" i="1"/>
  <c r="W741" i="1"/>
  <c r="AK740" i="1"/>
  <c r="AL740" i="1" s="1"/>
  <c r="AM740" i="1" s="1"/>
  <c r="AA740" i="1"/>
  <c r="Z740" i="1"/>
  <c r="Y740" i="1"/>
  <c r="X740" i="1"/>
  <c r="W740" i="1"/>
  <c r="AK739" i="1"/>
  <c r="AL739" i="1" s="1"/>
  <c r="AM739" i="1" s="1"/>
  <c r="AA739" i="1"/>
  <c r="Z739" i="1"/>
  <c r="Y739" i="1"/>
  <c r="X739" i="1"/>
  <c r="W739" i="1"/>
  <c r="AK738" i="1"/>
  <c r="AL738" i="1" s="1"/>
  <c r="AM738" i="1" s="1"/>
  <c r="AA738" i="1"/>
  <c r="Z738" i="1"/>
  <c r="Y738" i="1"/>
  <c r="X738" i="1"/>
  <c r="W738" i="1"/>
  <c r="AK737" i="1"/>
  <c r="AL737" i="1" s="1"/>
  <c r="AM737" i="1" s="1"/>
  <c r="AA737" i="1"/>
  <c r="Z737" i="1"/>
  <c r="Y737" i="1"/>
  <c r="X737" i="1"/>
  <c r="W737" i="1"/>
  <c r="AK736" i="1"/>
  <c r="AL736" i="1" s="1"/>
  <c r="AM736" i="1" s="1"/>
  <c r="AA736" i="1"/>
  <c r="Z736" i="1"/>
  <c r="Y736" i="1"/>
  <c r="X736" i="1"/>
  <c r="W736" i="1"/>
  <c r="AK735" i="1"/>
  <c r="AL735" i="1" s="1"/>
  <c r="AM735" i="1" s="1"/>
  <c r="AA735" i="1"/>
  <c r="Z735" i="1"/>
  <c r="Y735" i="1"/>
  <c r="X735" i="1"/>
  <c r="W735" i="1"/>
  <c r="AK734" i="1"/>
  <c r="AL734" i="1" s="1"/>
  <c r="AM734" i="1" s="1"/>
  <c r="AA734" i="1"/>
  <c r="Z734" i="1"/>
  <c r="Y734" i="1"/>
  <c r="X734" i="1"/>
  <c r="W734" i="1"/>
  <c r="AK733" i="1"/>
  <c r="AL733" i="1" s="1"/>
  <c r="AM733" i="1" s="1"/>
  <c r="AA733" i="1"/>
  <c r="Z733" i="1"/>
  <c r="Y733" i="1"/>
  <c r="X733" i="1"/>
  <c r="W733" i="1"/>
  <c r="AK732" i="1"/>
  <c r="AL732" i="1" s="1"/>
  <c r="AM732" i="1" s="1"/>
  <c r="AA732" i="1"/>
  <c r="Z732" i="1"/>
  <c r="Y732" i="1"/>
  <c r="X732" i="1"/>
  <c r="W732" i="1"/>
  <c r="AK731" i="1"/>
  <c r="AL731" i="1" s="1"/>
  <c r="AM731" i="1" s="1"/>
  <c r="AA731" i="1"/>
  <c r="Z731" i="1"/>
  <c r="Y731" i="1"/>
  <c r="X731" i="1"/>
  <c r="W731" i="1"/>
  <c r="AK730" i="1"/>
  <c r="AL730" i="1" s="1"/>
  <c r="AM730" i="1" s="1"/>
  <c r="AA730" i="1"/>
  <c r="Z730" i="1"/>
  <c r="Y730" i="1"/>
  <c r="X730" i="1"/>
  <c r="W730" i="1"/>
  <c r="AL729" i="1"/>
  <c r="AM729" i="1" s="1"/>
  <c r="AK729" i="1"/>
  <c r="AA729" i="1"/>
  <c r="Z729" i="1"/>
  <c r="Y729" i="1"/>
  <c r="X729" i="1"/>
  <c r="W729" i="1"/>
  <c r="AK728" i="1"/>
  <c r="AL728" i="1" s="1"/>
  <c r="AM728" i="1" s="1"/>
  <c r="AA728" i="1"/>
  <c r="Z728" i="1"/>
  <c r="Y728" i="1"/>
  <c r="X728" i="1"/>
  <c r="W728" i="1"/>
  <c r="AK727" i="1"/>
  <c r="AL727" i="1" s="1"/>
  <c r="AM727" i="1" s="1"/>
  <c r="AA727" i="1"/>
  <c r="Z727" i="1"/>
  <c r="Y727" i="1"/>
  <c r="X727" i="1"/>
  <c r="W727" i="1"/>
  <c r="AK726" i="1"/>
  <c r="AL726" i="1" s="1"/>
  <c r="AM726" i="1" s="1"/>
  <c r="AA726" i="1"/>
  <c r="Z726" i="1"/>
  <c r="Y726" i="1"/>
  <c r="X726" i="1"/>
  <c r="W726" i="1"/>
  <c r="AK725" i="1"/>
  <c r="AL725" i="1" s="1"/>
  <c r="AM725" i="1" s="1"/>
  <c r="AA725" i="1"/>
  <c r="Z725" i="1"/>
  <c r="Y725" i="1"/>
  <c r="X725" i="1"/>
  <c r="W725" i="1"/>
  <c r="AK724" i="1"/>
  <c r="AL724" i="1" s="1"/>
  <c r="AM724" i="1" s="1"/>
  <c r="AA724" i="1"/>
  <c r="Z724" i="1"/>
  <c r="Y724" i="1"/>
  <c r="X724" i="1"/>
  <c r="W724" i="1"/>
  <c r="AK723" i="1"/>
  <c r="AL723" i="1" s="1"/>
  <c r="AM723" i="1" s="1"/>
  <c r="AA723" i="1"/>
  <c r="Z723" i="1"/>
  <c r="Y723" i="1"/>
  <c r="X723" i="1"/>
  <c r="W723" i="1"/>
  <c r="AK722" i="1"/>
  <c r="AL722" i="1" s="1"/>
  <c r="AM722" i="1" s="1"/>
  <c r="AA722" i="1"/>
  <c r="Z722" i="1"/>
  <c r="Y722" i="1"/>
  <c r="X722" i="1"/>
  <c r="W722" i="1"/>
  <c r="AK721" i="1"/>
  <c r="AL721" i="1" s="1"/>
  <c r="AM721" i="1" s="1"/>
  <c r="AA721" i="1"/>
  <c r="Z721" i="1"/>
  <c r="Y721" i="1"/>
  <c r="X721" i="1"/>
  <c r="W721" i="1"/>
  <c r="AK720" i="1"/>
  <c r="AL720" i="1" s="1"/>
  <c r="AM720" i="1" s="1"/>
  <c r="AA720" i="1"/>
  <c r="Z720" i="1"/>
  <c r="Y720" i="1"/>
  <c r="X720" i="1"/>
  <c r="W720" i="1"/>
  <c r="AK719" i="1"/>
  <c r="AL719" i="1" s="1"/>
  <c r="AM719" i="1" s="1"/>
  <c r="AA719" i="1"/>
  <c r="Z719" i="1"/>
  <c r="Y719" i="1"/>
  <c r="X719" i="1"/>
  <c r="W719" i="1"/>
  <c r="AK718" i="1"/>
  <c r="AL718" i="1" s="1"/>
  <c r="AM718" i="1" s="1"/>
  <c r="AA718" i="1"/>
  <c r="Z718" i="1"/>
  <c r="Y718" i="1"/>
  <c r="X718" i="1"/>
  <c r="W718" i="1"/>
  <c r="AK717" i="1"/>
  <c r="AL717" i="1" s="1"/>
  <c r="AM717" i="1" s="1"/>
  <c r="AA717" i="1"/>
  <c r="Z717" i="1"/>
  <c r="Y717" i="1"/>
  <c r="X717" i="1"/>
  <c r="W717" i="1"/>
  <c r="AK716" i="1"/>
  <c r="AL716" i="1" s="1"/>
  <c r="AM716" i="1" s="1"/>
  <c r="AA716" i="1"/>
  <c r="Z716" i="1"/>
  <c r="Y716" i="1"/>
  <c r="X716" i="1"/>
  <c r="W716" i="1"/>
  <c r="AK715" i="1"/>
  <c r="AL715" i="1" s="1"/>
  <c r="AM715" i="1" s="1"/>
  <c r="AA715" i="1"/>
  <c r="Z715" i="1"/>
  <c r="Y715" i="1"/>
  <c r="X715" i="1"/>
  <c r="W715" i="1"/>
  <c r="AK714" i="1"/>
  <c r="AL714" i="1" s="1"/>
  <c r="AM714" i="1" s="1"/>
  <c r="AA714" i="1"/>
  <c r="Z714" i="1"/>
  <c r="Y714" i="1"/>
  <c r="X714" i="1"/>
  <c r="W714" i="1"/>
  <c r="AK713" i="1"/>
  <c r="AL713" i="1" s="1"/>
  <c r="AM713" i="1" s="1"/>
  <c r="AA713" i="1"/>
  <c r="Z713" i="1"/>
  <c r="Y713" i="1"/>
  <c r="X713" i="1"/>
  <c r="W713" i="1"/>
  <c r="AK712" i="1"/>
  <c r="AL712" i="1" s="1"/>
  <c r="AM712" i="1" s="1"/>
  <c r="AA712" i="1"/>
  <c r="Z712" i="1"/>
  <c r="Y712" i="1"/>
  <c r="X712" i="1"/>
  <c r="W712" i="1"/>
  <c r="AK711" i="1"/>
  <c r="AL711" i="1" s="1"/>
  <c r="AM711" i="1" s="1"/>
  <c r="AA711" i="1"/>
  <c r="Z711" i="1"/>
  <c r="Y711" i="1"/>
  <c r="X711" i="1"/>
  <c r="W711" i="1"/>
  <c r="AK710" i="1"/>
  <c r="AL710" i="1" s="1"/>
  <c r="AM710" i="1" s="1"/>
  <c r="AA710" i="1"/>
  <c r="Z710" i="1"/>
  <c r="Y710" i="1"/>
  <c r="X710" i="1"/>
  <c r="W710" i="1"/>
  <c r="AK709" i="1"/>
  <c r="AL709" i="1" s="1"/>
  <c r="AM709" i="1" s="1"/>
  <c r="AA709" i="1"/>
  <c r="Z709" i="1"/>
  <c r="Y709" i="1"/>
  <c r="X709" i="1"/>
  <c r="W709" i="1"/>
  <c r="AK708" i="1"/>
  <c r="AL708" i="1" s="1"/>
  <c r="AM708" i="1" s="1"/>
  <c r="AA708" i="1"/>
  <c r="Z708" i="1"/>
  <c r="Y708" i="1"/>
  <c r="X708" i="1"/>
  <c r="W708" i="1"/>
  <c r="AK707" i="1"/>
  <c r="AL707" i="1" s="1"/>
  <c r="AM707" i="1" s="1"/>
  <c r="AA707" i="1"/>
  <c r="Z707" i="1"/>
  <c r="Y707" i="1"/>
  <c r="X707" i="1"/>
  <c r="W707" i="1"/>
  <c r="AK706" i="1"/>
  <c r="AL706" i="1" s="1"/>
  <c r="AM706" i="1" s="1"/>
  <c r="AA706" i="1"/>
  <c r="Z706" i="1"/>
  <c r="Y706" i="1"/>
  <c r="X706" i="1"/>
  <c r="W706" i="1"/>
  <c r="AK705" i="1"/>
  <c r="AL705" i="1" s="1"/>
  <c r="AM705" i="1" s="1"/>
  <c r="AA705" i="1"/>
  <c r="Z705" i="1"/>
  <c r="Y705" i="1"/>
  <c r="X705" i="1"/>
  <c r="W705" i="1"/>
  <c r="AK704" i="1"/>
  <c r="AL704" i="1" s="1"/>
  <c r="AM704" i="1" s="1"/>
  <c r="AA704" i="1"/>
  <c r="Z704" i="1"/>
  <c r="Y704" i="1"/>
  <c r="X704" i="1"/>
  <c r="W704" i="1"/>
  <c r="AK703" i="1"/>
  <c r="AL703" i="1" s="1"/>
  <c r="AM703" i="1" s="1"/>
  <c r="AA703" i="1"/>
  <c r="Z703" i="1"/>
  <c r="Y703" i="1"/>
  <c r="X703" i="1"/>
  <c r="W703" i="1"/>
  <c r="AK702" i="1"/>
  <c r="AL702" i="1" s="1"/>
  <c r="AM702" i="1" s="1"/>
  <c r="AA702" i="1"/>
  <c r="Z702" i="1"/>
  <c r="Y702" i="1"/>
  <c r="X702" i="1"/>
  <c r="W702" i="1"/>
  <c r="AL701" i="1"/>
  <c r="AM701" i="1" s="1"/>
  <c r="AK701" i="1"/>
  <c r="AA701" i="1"/>
  <c r="Z701" i="1"/>
  <c r="Y701" i="1"/>
  <c r="X701" i="1"/>
  <c r="W701" i="1"/>
  <c r="AK700" i="1"/>
  <c r="AL700" i="1" s="1"/>
  <c r="AM700" i="1" s="1"/>
  <c r="AA700" i="1"/>
  <c r="Z700" i="1"/>
  <c r="Y700" i="1"/>
  <c r="X700" i="1"/>
  <c r="W700" i="1"/>
  <c r="AK699" i="1"/>
  <c r="AL699" i="1" s="1"/>
  <c r="AM699" i="1" s="1"/>
  <c r="AA699" i="1"/>
  <c r="Z699" i="1"/>
  <c r="Y699" i="1"/>
  <c r="X699" i="1"/>
  <c r="W699" i="1"/>
  <c r="AK698" i="1"/>
  <c r="AL698" i="1" s="1"/>
  <c r="AM698" i="1" s="1"/>
  <c r="AA698" i="1"/>
  <c r="Z698" i="1"/>
  <c r="Y698" i="1"/>
  <c r="X698" i="1"/>
  <c r="W698" i="1"/>
  <c r="AK697" i="1"/>
  <c r="AL697" i="1" s="1"/>
  <c r="AM697" i="1" s="1"/>
  <c r="AA697" i="1"/>
  <c r="Z697" i="1"/>
  <c r="Y697" i="1"/>
  <c r="X697" i="1"/>
  <c r="W697" i="1"/>
  <c r="AK696" i="1"/>
  <c r="AL696" i="1" s="1"/>
  <c r="AM696" i="1" s="1"/>
  <c r="AA696" i="1"/>
  <c r="Z696" i="1"/>
  <c r="Y696" i="1"/>
  <c r="X696" i="1"/>
  <c r="W696" i="1"/>
  <c r="AK695" i="1"/>
  <c r="AL695" i="1" s="1"/>
  <c r="AM695" i="1" s="1"/>
  <c r="AA695" i="1"/>
  <c r="Z695" i="1"/>
  <c r="Y695" i="1"/>
  <c r="X695" i="1"/>
  <c r="W695" i="1"/>
  <c r="AK694" i="1"/>
  <c r="AL694" i="1" s="1"/>
  <c r="AM694" i="1" s="1"/>
  <c r="AA694" i="1"/>
  <c r="Z694" i="1"/>
  <c r="Y694" i="1"/>
  <c r="X694" i="1"/>
  <c r="W694" i="1"/>
  <c r="AK693" i="1"/>
  <c r="AL693" i="1" s="1"/>
  <c r="AM693" i="1" s="1"/>
  <c r="AA693" i="1"/>
  <c r="Z693" i="1"/>
  <c r="Y693" i="1"/>
  <c r="X693" i="1"/>
  <c r="W693" i="1"/>
  <c r="AK692" i="1"/>
  <c r="AL692" i="1" s="1"/>
  <c r="AM692" i="1" s="1"/>
  <c r="AA692" i="1"/>
  <c r="Z692" i="1"/>
  <c r="Y692" i="1"/>
  <c r="X692" i="1"/>
  <c r="W692" i="1"/>
  <c r="AK691" i="1"/>
  <c r="AL691" i="1" s="1"/>
  <c r="AM691" i="1" s="1"/>
  <c r="AA691" i="1"/>
  <c r="Z691" i="1"/>
  <c r="Y691" i="1"/>
  <c r="X691" i="1"/>
  <c r="W691" i="1"/>
  <c r="AK690" i="1"/>
  <c r="AL690" i="1" s="1"/>
  <c r="AM690" i="1" s="1"/>
  <c r="AA690" i="1"/>
  <c r="Z690" i="1"/>
  <c r="Y690" i="1"/>
  <c r="X690" i="1"/>
  <c r="W690" i="1"/>
  <c r="AK689" i="1"/>
  <c r="AL689" i="1" s="1"/>
  <c r="AM689" i="1" s="1"/>
  <c r="AA689" i="1"/>
  <c r="Z689" i="1"/>
  <c r="Y689" i="1"/>
  <c r="X689" i="1"/>
  <c r="W689" i="1"/>
  <c r="AK688" i="1"/>
  <c r="AL688" i="1" s="1"/>
  <c r="AM688" i="1" s="1"/>
  <c r="AA688" i="1"/>
  <c r="Z688" i="1"/>
  <c r="Y688" i="1"/>
  <c r="X688" i="1"/>
  <c r="W688" i="1"/>
  <c r="AK687" i="1"/>
  <c r="AL687" i="1" s="1"/>
  <c r="AM687" i="1" s="1"/>
  <c r="AA687" i="1"/>
  <c r="Z687" i="1"/>
  <c r="Y687" i="1"/>
  <c r="X687" i="1"/>
  <c r="W687" i="1"/>
  <c r="AK686" i="1"/>
  <c r="AL686" i="1" s="1"/>
  <c r="AM686" i="1" s="1"/>
  <c r="AA686" i="1"/>
  <c r="Z686" i="1"/>
  <c r="Y686" i="1"/>
  <c r="X686" i="1"/>
  <c r="W686" i="1"/>
  <c r="AK685" i="1"/>
  <c r="AL685" i="1" s="1"/>
  <c r="AM685" i="1" s="1"/>
  <c r="AA685" i="1"/>
  <c r="Z685" i="1"/>
  <c r="Y685" i="1"/>
  <c r="X685" i="1"/>
  <c r="W685" i="1"/>
  <c r="AK684" i="1"/>
  <c r="AL684" i="1" s="1"/>
  <c r="AM684" i="1" s="1"/>
  <c r="AA684" i="1"/>
  <c r="Z684" i="1"/>
  <c r="Y684" i="1"/>
  <c r="X684" i="1"/>
  <c r="W684" i="1"/>
  <c r="AK683" i="1"/>
  <c r="AL683" i="1" s="1"/>
  <c r="AM683" i="1" s="1"/>
  <c r="AA683" i="1"/>
  <c r="Z683" i="1"/>
  <c r="Y683" i="1"/>
  <c r="X683" i="1"/>
  <c r="W683" i="1"/>
  <c r="AK682" i="1"/>
  <c r="AL682" i="1" s="1"/>
  <c r="AM682" i="1" s="1"/>
  <c r="AA682" i="1"/>
  <c r="Z682" i="1"/>
  <c r="Y682" i="1"/>
  <c r="X682" i="1"/>
  <c r="W682" i="1"/>
  <c r="AK681" i="1"/>
  <c r="AL681" i="1" s="1"/>
  <c r="AM681" i="1" s="1"/>
  <c r="AA681" i="1"/>
  <c r="Z681" i="1"/>
  <c r="Y681" i="1"/>
  <c r="X681" i="1"/>
  <c r="W681" i="1"/>
  <c r="AK680" i="1"/>
  <c r="AL680" i="1" s="1"/>
  <c r="AM680" i="1" s="1"/>
  <c r="AA680" i="1"/>
  <c r="Z680" i="1"/>
  <c r="Y680" i="1"/>
  <c r="X680" i="1"/>
  <c r="W680" i="1"/>
  <c r="AK679" i="1"/>
  <c r="AL679" i="1" s="1"/>
  <c r="AM679" i="1" s="1"/>
  <c r="AA679" i="1"/>
  <c r="Z679" i="1"/>
  <c r="Y679" i="1"/>
  <c r="X679" i="1"/>
  <c r="W679" i="1"/>
  <c r="AK678" i="1"/>
  <c r="AL678" i="1" s="1"/>
  <c r="AM678" i="1" s="1"/>
  <c r="AA678" i="1"/>
  <c r="Z678" i="1"/>
  <c r="Y678" i="1"/>
  <c r="X678" i="1"/>
  <c r="W678" i="1"/>
  <c r="AK677" i="1"/>
  <c r="AL677" i="1" s="1"/>
  <c r="AM677" i="1" s="1"/>
  <c r="AA677" i="1"/>
  <c r="Z677" i="1"/>
  <c r="Y677" i="1"/>
  <c r="X677" i="1"/>
  <c r="W677" i="1"/>
  <c r="AK676" i="1"/>
  <c r="AL676" i="1" s="1"/>
  <c r="AM676" i="1" s="1"/>
  <c r="AA676" i="1"/>
  <c r="Z676" i="1"/>
  <c r="Y676" i="1"/>
  <c r="X676" i="1"/>
  <c r="W676" i="1"/>
  <c r="AK675" i="1"/>
  <c r="AL675" i="1" s="1"/>
  <c r="AM675" i="1" s="1"/>
  <c r="AA675" i="1"/>
  <c r="Z675" i="1"/>
  <c r="Y675" i="1"/>
  <c r="X675" i="1"/>
  <c r="W675" i="1"/>
  <c r="AK674" i="1"/>
  <c r="AL674" i="1" s="1"/>
  <c r="AM674" i="1" s="1"/>
  <c r="AA674" i="1"/>
  <c r="Z674" i="1"/>
  <c r="Y674" i="1"/>
  <c r="X674" i="1"/>
  <c r="W674" i="1"/>
  <c r="AK673" i="1"/>
  <c r="AL673" i="1" s="1"/>
  <c r="AM673" i="1" s="1"/>
  <c r="AA673" i="1"/>
  <c r="Z673" i="1"/>
  <c r="Y673" i="1"/>
  <c r="X673" i="1"/>
  <c r="W673" i="1"/>
  <c r="AK672" i="1"/>
  <c r="AL672" i="1" s="1"/>
  <c r="AM672" i="1" s="1"/>
  <c r="AA672" i="1"/>
  <c r="Z672" i="1"/>
  <c r="Y672" i="1"/>
  <c r="X672" i="1"/>
  <c r="W672" i="1"/>
  <c r="AK671" i="1"/>
  <c r="AL671" i="1" s="1"/>
  <c r="AM671" i="1" s="1"/>
  <c r="AA671" i="1"/>
  <c r="Z671" i="1"/>
  <c r="Y671" i="1"/>
  <c r="X671" i="1"/>
  <c r="W671" i="1"/>
  <c r="AK670" i="1"/>
  <c r="AL670" i="1" s="1"/>
  <c r="AM670" i="1" s="1"/>
  <c r="AA670" i="1"/>
  <c r="Z670" i="1"/>
  <c r="Y670" i="1"/>
  <c r="X670" i="1"/>
  <c r="W670" i="1"/>
  <c r="AK669" i="1"/>
  <c r="AL669" i="1" s="1"/>
  <c r="AM669" i="1" s="1"/>
  <c r="AA669" i="1"/>
  <c r="Z669" i="1"/>
  <c r="Y669" i="1"/>
  <c r="X669" i="1"/>
  <c r="W669" i="1"/>
  <c r="AK668" i="1"/>
  <c r="AL668" i="1" s="1"/>
  <c r="AM668" i="1" s="1"/>
  <c r="AA668" i="1"/>
  <c r="Z668" i="1"/>
  <c r="Y668" i="1"/>
  <c r="X668" i="1"/>
  <c r="W668" i="1"/>
  <c r="AK667" i="1"/>
  <c r="AL667" i="1" s="1"/>
  <c r="AM667" i="1" s="1"/>
  <c r="AA667" i="1"/>
  <c r="Z667" i="1"/>
  <c r="Y667" i="1"/>
  <c r="X667" i="1"/>
  <c r="W667" i="1"/>
  <c r="AK666" i="1"/>
  <c r="AL666" i="1" s="1"/>
  <c r="AM666" i="1" s="1"/>
  <c r="AA666" i="1"/>
  <c r="Z666" i="1"/>
  <c r="Y666" i="1"/>
  <c r="X666" i="1"/>
  <c r="W666" i="1"/>
  <c r="AK665" i="1"/>
  <c r="AL665" i="1" s="1"/>
  <c r="AM665" i="1" s="1"/>
  <c r="AA665" i="1"/>
  <c r="Z665" i="1"/>
  <c r="Y665" i="1"/>
  <c r="X665" i="1"/>
  <c r="W665" i="1"/>
  <c r="AK664" i="1"/>
  <c r="AL664" i="1" s="1"/>
  <c r="AM664" i="1" s="1"/>
  <c r="AA664" i="1"/>
  <c r="Z664" i="1"/>
  <c r="Y664" i="1"/>
  <c r="X664" i="1"/>
  <c r="W664" i="1"/>
  <c r="AK663" i="1"/>
  <c r="AL663" i="1" s="1"/>
  <c r="AM663" i="1" s="1"/>
  <c r="AA663" i="1"/>
  <c r="Z663" i="1"/>
  <c r="Y663" i="1"/>
  <c r="X663" i="1"/>
  <c r="W663" i="1"/>
  <c r="AK662" i="1"/>
  <c r="AL662" i="1" s="1"/>
  <c r="AM662" i="1" s="1"/>
  <c r="AA662" i="1"/>
  <c r="Z662" i="1"/>
  <c r="Y662" i="1"/>
  <c r="X662" i="1"/>
  <c r="W662" i="1"/>
  <c r="AK661" i="1"/>
  <c r="AL661" i="1" s="1"/>
  <c r="AM661" i="1" s="1"/>
  <c r="AA661" i="1"/>
  <c r="Z661" i="1"/>
  <c r="Y661" i="1"/>
  <c r="X661" i="1"/>
  <c r="W661" i="1"/>
  <c r="AK660" i="1"/>
  <c r="AL660" i="1" s="1"/>
  <c r="AM660" i="1" s="1"/>
  <c r="AA660" i="1"/>
  <c r="Z660" i="1"/>
  <c r="Y660" i="1"/>
  <c r="X660" i="1"/>
  <c r="W660" i="1"/>
  <c r="AK659" i="1"/>
  <c r="AL659" i="1" s="1"/>
  <c r="AM659" i="1" s="1"/>
  <c r="AA659" i="1"/>
  <c r="Z659" i="1"/>
  <c r="Y659" i="1"/>
  <c r="X659" i="1"/>
  <c r="W659" i="1"/>
  <c r="AK658" i="1"/>
  <c r="AL658" i="1" s="1"/>
  <c r="AM658" i="1" s="1"/>
  <c r="AA658" i="1"/>
  <c r="Z658" i="1"/>
  <c r="Y658" i="1"/>
  <c r="X658" i="1"/>
  <c r="W658" i="1"/>
  <c r="AK657" i="1"/>
  <c r="AL657" i="1" s="1"/>
  <c r="AM657" i="1" s="1"/>
  <c r="AA657" i="1"/>
  <c r="Z657" i="1"/>
  <c r="Y657" i="1"/>
  <c r="X657" i="1"/>
  <c r="W657" i="1"/>
  <c r="AK656" i="1"/>
  <c r="AL656" i="1" s="1"/>
  <c r="AM656" i="1" s="1"/>
  <c r="AA656" i="1"/>
  <c r="Z656" i="1"/>
  <c r="Y656" i="1"/>
  <c r="X656" i="1"/>
  <c r="W656" i="1"/>
  <c r="AK655" i="1"/>
  <c r="AL655" i="1" s="1"/>
  <c r="AM655" i="1" s="1"/>
  <c r="AA655" i="1"/>
  <c r="Z655" i="1"/>
  <c r="Y655" i="1"/>
  <c r="X655" i="1"/>
  <c r="W655" i="1"/>
  <c r="AK654" i="1"/>
  <c r="AL654" i="1" s="1"/>
  <c r="AM654" i="1" s="1"/>
  <c r="AA654" i="1"/>
  <c r="Z654" i="1"/>
  <c r="Y654" i="1"/>
  <c r="X654" i="1"/>
  <c r="W654" i="1"/>
  <c r="AK653" i="1"/>
  <c r="AL653" i="1" s="1"/>
  <c r="AM653" i="1" s="1"/>
  <c r="AA653" i="1"/>
  <c r="Z653" i="1"/>
  <c r="Y653" i="1"/>
  <c r="X653" i="1"/>
  <c r="W653" i="1"/>
  <c r="AK652" i="1"/>
  <c r="AL652" i="1" s="1"/>
  <c r="AM652" i="1" s="1"/>
  <c r="AA652" i="1"/>
  <c r="Z652" i="1"/>
  <c r="Y652" i="1"/>
  <c r="X652" i="1"/>
  <c r="W652" i="1"/>
  <c r="AK651" i="1"/>
  <c r="AL651" i="1" s="1"/>
  <c r="AM651" i="1" s="1"/>
  <c r="AA651" i="1"/>
  <c r="Z651" i="1"/>
  <c r="Y651" i="1"/>
  <c r="X651" i="1"/>
  <c r="W651" i="1"/>
  <c r="AK650" i="1"/>
  <c r="AL650" i="1" s="1"/>
  <c r="AM650" i="1" s="1"/>
  <c r="AA650" i="1"/>
  <c r="Z650" i="1"/>
  <c r="Y650" i="1"/>
  <c r="X650" i="1"/>
  <c r="W650" i="1"/>
  <c r="AK649" i="1"/>
  <c r="AL649" i="1" s="1"/>
  <c r="AM649" i="1" s="1"/>
  <c r="AA649" i="1"/>
  <c r="Z649" i="1"/>
  <c r="Y649" i="1"/>
  <c r="X649" i="1"/>
  <c r="W649" i="1"/>
  <c r="AK648" i="1"/>
  <c r="AL648" i="1" s="1"/>
  <c r="AM648" i="1" s="1"/>
  <c r="AA648" i="1"/>
  <c r="Z648" i="1"/>
  <c r="Y648" i="1"/>
  <c r="X648" i="1"/>
  <c r="W648" i="1"/>
  <c r="AK647" i="1"/>
  <c r="AL647" i="1" s="1"/>
  <c r="AM647" i="1" s="1"/>
  <c r="AA647" i="1"/>
  <c r="Z647" i="1"/>
  <c r="Y647" i="1"/>
  <c r="X647" i="1"/>
  <c r="W647" i="1"/>
  <c r="AK646" i="1"/>
  <c r="AL646" i="1" s="1"/>
  <c r="AM646" i="1" s="1"/>
  <c r="AA646" i="1"/>
  <c r="Z646" i="1"/>
  <c r="Y646" i="1"/>
  <c r="X646" i="1"/>
  <c r="W646" i="1"/>
  <c r="AK645" i="1"/>
  <c r="AL645" i="1" s="1"/>
  <c r="AM645" i="1" s="1"/>
  <c r="AA645" i="1"/>
  <c r="Z645" i="1"/>
  <c r="Y645" i="1"/>
  <c r="X645" i="1"/>
  <c r="W645" i="1"/>
  <c r="AK644" i="1"/>
  <c r="AL644" i="1" s="1"/>
  <c r="AM644" i="1" s="1"/>
  <c r="AA644" i="1"/>
  <c r="Z644" i="1"/>
  <c r="Y644" i="1"/>
  <c r="X644" i="1"/>
  <c r="W644" i="1"/>
  <c r="AK643" i="1"/>
  <c r="AL643" i="1" s="1"/>
  <c r="AM643" i="1" s="1"/>
  <c r="AA643" i="1"/>
  <c r="Z643" i="1"/>
  <c r="Y643" i="1"/>
  <c r="X643" i="1"/>
  <c r="W643" i="1"/>
  <c r="AK642" i="1"/>
  <c r="AL642" i="1" s="1"/>
  <c r="AM642" i="1" s="1"/>
  <c r="AA642" i="1"/>
  <c r="Z642" i="1"/>
  <c r="Y642" i="1"/>
  <c r="X642" i="1"/>
  <c r="W642" i="1"/>
  <c r="AL641" i="1"/>
  <c r="AM641" i="1" s="1"/>
  <c r="AK641" i="1"/>
  <c r="AA641" i="1"/>
  <c r="Z641" i="1"/>
  <c r="Y641" i="1"/>
  <c r="X641" i="1"/>
  <c r="W641" i="1"/>
  <c r="AK640" i="1"/>
  <c r="AL640" i="1" s="1"/>
  <c r="AM640" i="1" s="1"/>
  <c r="AA640" i="1"/>
  <c r="Z640" i="1"/>
  <c r="Y640" i="1"/>
  <c r="X640" i="1"/>
  <c r="W640" i="1"/>
  <c r="AK639" i="1"/>
  <c r="AL639" i="1" s="1"/>
  <c r="AM639" i="1" s="1"/>
  <c r="AA639" i="1"/>
  <c r="Z639" i="1"/>
  <c r="Y639" i="1"/>
  <c r="X639" i="1"/>
  <c r="W639" i="1"/>
  <c r="AK638" i="1"/>
  <c r="AL638" i="1" s="1"/>
  <c r="AM638" i="1" s="1"/>
  <c r="AA638" i="1"/>
  <c r="Z638" i="1"/>
  <c r="Y638" i="1"/>
  <c r="X638" i="1"/>
  <c r="W638" i="1"/>
  <c r="AK637" i="1"/>
  <c r="AL637" i="1" s="1"/>
  <c r="AM637" i="1" s="1"/>
  <c r="AA637" i="1"/>
  <c r="Z637" i="1"/>
  <c r="Y637" i="1"/>
  <c r="X637" i="1"/>
  <c r="W637" i="1"/>
  <c r="AK636" i="1"/>
  <c r="AL636" i="1" s="1"/>
  <c r="AM636" i="1" s="1"/>
  <c r="AA636" i="1"/>
  <c r="Z636" i="1"/>
  <c r="Y636" i="1"/>
  <c r="X636" i="1"/>
  <c r="W636" i="1"/>
  <c r="AK635" i="1"/>
  <c r="AL635" i="1" s="1"/>
  <c r="AM635" i="1" s="1"/>
  <c r="AA635" i="1"/>
  <c r="Z635" i="1"/>
  <c r="Y635" i="1"/>
  <c r="X635" i="1"/>
  <c r="W635" i="1"/>
  <c r="AL634" i="1"/>
  <c r="AM634" i="1" s="1"/>
  <c r="AK634" i="1"/>
  <c r="AA634" i="1"/>
  <c r="Z634" i="1"/>
  <c r="Y634" i="1"/>
  <c r="X634" i="1"/>
  <c r="W634" i="1"/>
  <c r="AK633" i="1"/>
  <c r="AL633" i="1" s="1"/>
  <c r="AM633" i="1" s="1"/>
  <c r="AA633" i="1"/>
  <c r="Z633" i="1"/>
  <c r="Y633" i="1"/>
  <c r="X633" i="1"/>
  <c r="W633" i="1"/>
  <c r="AK632" i="1"/>
  <c r="AL632" i="1" s="1"/>
  <c r="AM632" i="1" s="1"/>
  <c r="AA632" i="1"/>
  <c r="Z632" i="1"/>
  <c r="Y632" i="1"/>
  <c r="X632" i="1"/>
  <c r="W632" i="1"/>
  <c r="AK631" i="1"/>
  <c r="AL631" i="1" s="1"/>
  <c r="AM631" i="1" s="1"/>
  <c r="AA631" i="1"/>
  <c r="Z631" i="1"/>
  <c r="Y631" i="1"/>
  <c r="X631" i="1"/>
  <c r="W631" i="1"/>
  <c r="AK630" i="1"/>
  <c r="AL630" i="1" s="1"/>
  <c r="AM630" i="1" s="1"/>
  <c r="AA630" i="1"/>
  <c r="Z630" i="1"/>
  <c r="Y630" i="1"/>
  <c r="X630" i="1"/>
  <c r="W630" i="1"/>
  <c r="AK629" i="1"/>
  <c r="AL629" i="1" s="1"/>
  <c r="AM629" i="1" s="1"/>
  <c r="AA629" i="1"/>
  <c r="Z629" i="1"/>
  <c r="Y629" i="1"/>
  <c r="X629" i="1"/>
  <c r="W629" i="1"/>
  <c r="AK628" i="1"/>
  <c r="AL628" i="1" s="1"/>
  <c r="AM628" i="1" s="1"/>
  <c r="AA628" i="1"/>
  <c r="Z628" i="1"/>
  <c r="Y628" i="1"/>
  <c r="X628" i="1"/>
  <c r="W628" i="1"/>
  <c r="AK627" i="1"/>
  <c r="AL627" i="1" s="1"/>
  <c r="AM627" i="1" s="1"/>
  <c r="AA627" i="1"/>
  <c r="Z627" i="1"/>
  <c r="Y627" i="1"/>
  <c r="X627" i="1"/>
  <c r="W627" i="1"/>
  <c r="AK626" i="1"/>
  <c r="AL626" i="1" s="1"/>
  <c r="AM626" i="1" s="1"/>
  <c r="AA626" i="1"/>
  <c r="Z626" i="1"/>
  <c r="Y626" i="1"/>
  <c r="X626" i="1"/>
  <c r="W626" i="1"/>
  <c r="AK625" i="1"/>
  <c r="AL625" i="1" s="1"/>
  <c r="AM625" i="1" s="1"/>
  <c r="AA625" i="1"/>
  <c r="Z625" i="1"/>
  <c r="Y625" i="1"/>
  <c r="X625" i="1"/>
  <c r="W625" i="1"/>
  <c r="AK624" i="1"/>
  <c r="AL624" i="1" s="1"/>
  <c r="AM624" i="1" s="1"/>
  <c r="AA624" i="1"/>
  <c r="Z624" i="1"/>
  <c r="Y624" i="1"/>
  <c r="X624" i="1"/>
  <c r="W624" i="1"/>
  <c r="AK623" i="1"/>
  <c r="AL623" i="1" s="1"/>
  <c r="AM623" i="1" s="1"/>
  <c r="AA623" i="1"/>
  <c r="Z623" i="1"/>
  <c r="Y623" i="1"/>
  <c r="X623" i="1"/>
  <c r="W623" i="1"/>
  <c r="AK622" i="1"/>
  <c r="AL622" i="1" s="1"/>
  <c r="AM622" i="1" s="1"/>
  <c r="AA622" i="1"/>
  <c r="Z622" i="1"/>
  <c r="Y622" i="1"/>
  <c r="X622" i="1"/>
  <c r="W622" i="1"/>
  <c r="AK621" i="1"/>
  <c r="AL621" i="1" s="1"/>
  <c r="AM621" i="1" s="1"/>
  <c r="AA621" i="1"/>
  <c r="Z621" i="1"/>
  <c r="Y621" i="1"/>
  <c r="X621" i="1"/>
  <c r="W621" i="1"/>
  <c r="AK620" i="1"/>
  <c r="AL620" i="1" s="1"/>
  <c r="AM620" i="1" s="1"/>
  <c r="AA620" i="1"/>
  <c r="Z620" i="1"/>
  <c r="Y620" i="1"/>
  <c r="X620" i="1"/>
  <c r="W620" i="1"/>
  <c r="AK619" i="1"/>
  <c r="AL619" i="1" s="1"/>
  <c r="AM619" i="1" s="1"/>
  <c r="AA619" i="1"/>
  <c r="Z619" i="1"/>
  <c r="Y619" i="1"/>
  <c r="X619" i="1"/>
  <c r="W619" i="1"/>
  <c r="AK618" i="1"/>
  <c r="AL618" i="1" s="1"/>
  <c r="AM618" i="1" s="1"/>
  <c r="AA618" i="1"/>
  <c r="Z618" i="1"/>
  <c r="Y618" i="1"/>
  <c r="X618" i="1"/>
  <c r="W618" i="1"/>
  <c r="AK617" i="1"/>
  <c r="AL617" i="1" s="1"/>
  <c r="AM617" i="1" s="1"/>
  <c r="AA617" i="1"/>
  <c r="Z617" i="1"/>
  <c r="Y617" i="1"/>
  <c r="X617" i="1"/>
  <c r="W617" i="1"/>
  <c r="AK616" i="1"/>
  <c r="AL616" i="1" s="1"/>
  <c r="AM616" i="1" s="1"/>
  <c r="AA616" i="1"/>
  <c r="Z616" i="1"/>
  <c r="Y616" i="1"/>
  <c r="X616" i="1"/>
  <c r="W616" i="1"/>
  <c r="AK615" i="1"/>
  <c r="AL615" i="1" s="1"/>
  <c r="AM615" i="1" s="1"/>
  <c r="AA615" i="1"/>
  <c r="Z615" i="1"/>
  <c r="Y615" i="1"/>
  <c r="X615" i="1"/>
  <c r="W615" i="1"/>
  <c r="AK614" i="1"/>
  <c r="AL614" i="1" s="1"/>
  <c r="AM614" i="1" s="1"/>
  <c r="AA614" i="1"/>
  <c r="Z614" i="1"/>
  <c r="Y614" i="1"/>
  <c r="X614" i="1"/>
  <c r="W614" i="1"/>
  <c r="AL613" i="1"/>
  <c r="AM613" i="1" s="1"/>
  <c r="AK613" i="1"/>
  <c r="AA613" i="1"/>
  <c r="Z613" i="1"/>
  <c r="Y613" i="1"/>
  <c r="X613" i="1"/>
  <c r="W613" i="1"/>
  <c r="AK612" i="1"/>
  <c r="AL612" i="1" s="1"/>
  <c r="AM612" i="1" s="1"/>
  <c r="AA612" i="1"/>
  <c r="Z612" i="1"/>
  <c r="Y612" i="1"/>
  <c r="X612" i="1"/>
  <c r="W612" i="1"/>
  <c r="AK611" i="1"/>
  <c r="AL611" i="1" s="1"/>
  <c r="AM611" i="1" s="1"/>
  <c r="AA611" i="1"/>
  <c r="Z611" i="1"/>
  <c r="Y611" i="1"/>
  <c r="X611" i="1"/>
  <c r="W611" i="1"/>
  <c r="AK610" i="1"/>
  <c r="AL610" i="1" s="1"/>
  <c r="AM610" i="1" s="1"/>
  <c r="AA610" i="1"/>
  <c r="Z610" i="1"/>
  <c r="Y610" i="1"/>
  <c r="X610" i="1"/>
  <c r="W610" i="1"/>
  <c r="AK609" i="1"/>
  <c r="AL609" i="1" s="1"/>
  <c r="AM609" i="1" s="1"/>
  <c r="AA609" i="1"/>
  <c r="Z609" i="1"/>
  <c r="Y609" i="1"/>
  <c r="X609" i="1"/>
  <c r="W609" i="1"/>
  <c r="AK608" i="1"/>
  <c r="AL608" i="1" s="1"/>
  <c r="AM608" i="1" s="1"/>
  <c r="AA608" i="1"/>
  <c r="Z608" i="1"/>
  <c r="Y608" i="1"/>
  <c r="X608" i="1"/>
  <c r="W608" i="1"/>
  <c r="AK607" i="1"/>
  <c r="AL607" i="1" s="1"/>
  <c r="AM607" i="1" s="1"/>
  <c r="AA607" i="1"/>
  <c r="Z607" i="1"/>
  <c r="Y607" i="1"/>
  <c r="X607" i="1"/>
  <c r="W607" i="1"/>
  <c r="AK606" i="1"/>
  <c r="AL606" i="1" s="1"/>
  <c r="AM606" i="1" s="1"/>
  <c r="AA606" i="1"/>
  <c r="Z606" i="1"/>
  <c r="Y606" i="1"/>
  <c r="X606" i="1"/>
  <c r="W606" i="1"/>
  <c r="AK605" i="1"/>
  <c r="AL605" i="1" s="1"/>
  <c r="AM605" i="1" s="1"/>
  <c r="AA605" i="1"/>
  <c r="Z605" i="1"/>
  <c r="Y605" i="1"/>
  <c r="X605" i="1"/>
  <c r="W605" i="1"/>
  <c r="AK604" i="1"/>
  <c r="AL604" i="1" s="1"/>
  <c r="AM604" i="1" s="1"/>
  <c r="AA604" i="1"/>
  <c r="Z604" i="1"/>
  <c r="Y604" i="1"/>
  <c r="X604" i="1"/>
  <c r="W604" i="1"/>
  <c r="AK603" i="1"/>
  <c r="AL603" i="1" s="1"/>
  <c r="AM603" i="1" s="1"/>
  <c r="AA603" i="1"/>
  <c r="Z603" i="1"/>
  <c r="Y603" i="1"/>
  <c r="X603" i="1"/>
  <c r="W603" i="1"/>
  <c r="AK602" i="1"/>
  <c r="AL602" i="1" s="1"/>
  <c r="AM602" i="1" s="1"/>
  <c r="AA602" i="1"/>
  <c r="Z602" i="1"/>
  <c r="Y602" i="1"/>
  <c r="X602" i="1"/>
  <c r="W602" i="1"/>
  <c r="AK601" i="1"/>
  <c r="AL601" i="1" s="1"/>
  <c r="AM601" i="1" s="1"/>
  <c r="AA601" i="1"/>
  <c r="Z601" i="1"/>
  <c r="Y601" i="1"/>
  <c r="X601" i="1"/>
  <c r="W601" i="1"/>
  <c r="AK600" i="1"/>
  <c r="AL600" i="1" s="1"/>
  <c r="AM600" i="1" s="1"/>
  <c r="AA600" i="1"/>
  <c r="Z600" i="1"/>
  <c r="Y600" i="1"/>
  <c r="X600" i="1"/>
  <c r="W600" i="1"/>
  <c r="AK599" i="1"/>
  <c r="AL599" i="1" s="1"/>
  <c r="AM599" i="1" s="1"/>
  <c r="AA599" i="1"/>
  <c r="Z599" i="1"/>
  <c r="Y599" i="1"/>
  <c r="X599" i="1"/>
  <c r="W599" i="1"/>
  <c r="AK598" i="1"/>
  <c r="AL598" i="1" s="1"/>
  <c r="AM598" i="1" s="1"/>
  <c r="AA598" i="1"/>
  <c r="Z598" i="1"/>
  <c r="Y598" i="1"/>
  <c r="X598" i="1"/>
  <c r="W598" i="1"/>
  <c r="AK597" i="1"/>
  <c r="AL597" i="1" s="1"/>
  <c r="AM597" i="1" s="1"/>
  <c r="AA597" i="1"/>
  <c r="Z597" i="1"/>
  <c r="Y597" i="1"/>
  <c r="X597" i="1"/>
  <c r="W597" i="1"/>
  <c r="AK596" i="1"/>
  <c r="AL596" i="1" s="1"/>
  <c r="AM596" i="1" s="1"/>
  <c r="AA596" i="1"/>
  <c r="Z596" i="1"/>
  <c r="Y596" i="1"/>
  <c r="X596" i="1"/>
  <c r="W596" i="1"/>
  <c r="AK595" i="1"/>
  <c r="AL595" i="1" s="1"/>
  <c r="AM595" i="1" s="1"/>
  <c r="AA595" i="1"/>
  <c r="Z595" i="1"/>
  <c r="Y595" i="1"/>
  <c r="X595" i="1"/>
  <c r="W595" i="1"/>
  <c r="AK594" i="1"/>
  <c r="AL594" i="1" s="1"/>
  <c r="AM594" i="1" s="1"/>
  <c r="AA594" i="1"/>
  <c r="Z594" i="1"/>
  <c r="Y594" i="1"/>
  <c r="X594" i="1"/>
  <c r="W594" i="1"/>
  <c r="AK593" i="1"/>
  <c r="AL593" i="1" s="1"/>
  <c r="AM593" i="1" s="1"/>
  <c r="AA593" i="1"/>
  <c r="Z593" i="1"/>
  <c r="Y593" i="1"/>
  <c r="X593" i="1"/>
  <c r="W593" i="1"/>
  <c r="AK592" i="1"/>
  <c r="AL592" i="1" s="1"/>
  <c r="AM592" i="1" s="1"/>
  <c r="AA592" i="1"/>
  <c r="Z592" i="1"/>
  <c r="Y592" i="1"/>
  <c r="X592" i="1"/>
  <c r="W592" i="1"/>
  <c r="AK591" i="1"/>
  <c r="AL591" i="1" s="1"/>
  <c r="AM591" i="1" s="1"/>
  <c r="AA591" i="1"/>
  <c r="Z591" i="1"/>
  <c r="Y591" i="1"/>
  <c r="X591" i="1"/>
  <c r="W591" i="1"/>
  <c r="AK590" i="1"/>
  <c r="AL590" i="1" s="1"/>
  <c r="AM590" i="1" s="1"/>
  <c r="AA590" i="1"/>
  <c r="Z590" i="1"/>
  <c r="Y590" i="1"/>
  <c r="X590" i="1"/>
  <c r="W590" i="1"/>
  <c r="AK589" i="1"/>
  <c r="AL589" i="1" s="1"/>
  <c r="AM589" i="1" s="1"/>
  <c r="AA589" i="1"/>
  <c r="Z589" i="1"/>
  <c r="Y589" i="1"/>
  <c r="X589" i="1"/>
  <c r="W589" i="1"/>
  <c r="AK588" i="1"/>
  <c r="AL588" i="1" s="1"/>
  <c r="AM588" i="1" s="1"/>
  <c r="AA588" i="1"/>
  <c r="Z588" i="1"/>
  <c r="Y588" i="1"/>
  <c r="X588" i="1"/>
  <c r="W588" i="1"/>
  <c r="AK587" i="1"/>
  <c r="AL587" i="1" s="1"/>
  <c r="AM587" i="1" s="1"/>
  <c r="AA587" i="1"/>
  <c r="Z587" i="1"/>
  <c r="Y587" i="1"/>
  <c r="X587" i="1"/>
  <c r="W587" i="1"/>
  <c r="AK586" i="1"/>
  <c r="AL586" i="1" s="1"/>
  <c r="AM586" i="1" s="1"/>
  <c r="AA586" i="1"/>
  <c r="Z586" i="1"/>
  <c r="Y586" i="1"/>
  <c r="X586" i="1"/>
  <c r="W586" i="1"/>
  <c r="AK585" i="1"/>
  <c r="AL585" i="1" s="1"/>
  <c r="AM585" i="1" s="1"/>
  <c r="AA585" i="1"/>
  <c r="Z585" i="1"/>
  <c r="Y585" i="1"/>
  <c r="X585" i="1"/>
  <c r="W585" i="1"/>
  <c r="AK584" i="1"/>
  <c r="AL584" i="1" s="1"/>
  <c r="AM584" i="1" s="1"/>
  <c r="AA584" i="1"/>
  <c r="Z584" i="1"/>
  <c r="Y584" i="1"/>
  <c r="X584" i="1"/>
  <c r="W584" i="1"/>
  <c r="AK583" i="1"/>
  <c r="AL583" i="1" s="1"/>
  <c r="AM583" i="1" s="1"/>
  <c r="AA583" i="1"/>
  <c r="Z583" i="1"/>
  <c r="Y583" i="1"/>
  <c r="X583" i="1"/>
  <c r="W583" i="1"/>
  <c r="AK582" i="1"/>
  <c r="AL582" i="1" s="1"/>
  <c r="AM582" i="1" s="1"/>
  <c r="AA582" i="1"/>
  <c r="Z582" i="1"/>
  <c r="Y582" i="1"/>
  <c r="X582" i="1"/>
  <c r="W582" i="1"/>
  <c r="AK581" i="1"/>
  <c r="AL581" i="1" s="1"/>
  <c r="AM581" i="1" s="1"/>
  <c r="AA581" i="1"/>
  <c r="Z581" i="1"/>
  <c r="Y581" i="1"/>
  <c r="X581" i="1"/>
  <c r="W581" i="1"/>
  <c r="AK580" i="1"/>
  <c r="AL580" i="1" s="1"/>
  <c r="AM580" i="1" s="1"/>
  <c r="AA580" i="1"/>
  <c r="Z580" i="1"/>
  <c r="Y580" i="1"/>
  <c r="X580" i="1"/>
  <c r="W580" i="1"/>
  <c r="AK579" i="1"/>
  <c r="AL579" i="1" s="1"/>
  <c r="AM579" i="1" s="1"/>
  <c r="AA579" i="1"/>
  <c r="Z579" i="1"/>
  <c r="Y579" i="1"/>
  <c r="X579" i="1"/>
  <c r="W579" i="1"/>
  <c r="AK578" i="1"/>
  <c r="AL578" i="1" s="1"/>
  <c r="AM578" i="1" s="1"/>
  <c r="AA578" i="1"/>
  <c r="Z578" i="1"/>
  <c r="Y578" i="1"/>
  <c r="X578" i="1"/>
  <c r="W578" i="1"/>
  <c r="AK577" i="1"/>
  <c r="AL577" i="1" s="1"/>
  <c r="AM577" i="1" s="1"/>
  <c r="AA577" i="1"/>
  <c r="Z577" i="1"/>
  <c r="Y577" i="1"/>
  <c r="X577" i="1"/>
  <c r="W577" i="1"/>
  <c r="AK576" i="1"/>
  <c r="AL576" i="1" s="1"/>
  <c r="AM576" i="1" s="1"/>
  <c r="AA576" i="1"/>
  <c r="Z576" i="1"/>
  <c r="Y576" i="1"/>
  <c r="X576" i="1"/>
  <c r="W576" i="1"/>
  <c r="AK575" i="1"/>
  <c r="AL575" i="1" s="1"/>
  <c r="AM575" i="1" s="1"/>
  <c r="AA575" i="1"/>
  <c r="Z575" i="1"/>
  <c r="Y575" i="1"/>
  <c r="X575" i="1"/>
  <c r="W575" i="1"/>
  <c r="AK574" i="1"/>
  <c r="AL574" i="1" s="1"/>
  <c r="AM574" i="1" s="1"/>
  <c r="AA574" i="1"/>
  <c r="Z574" i="1"/>
  <c r="Y574" i="1"/>
  <c r="X574" i="1"/>
  <c r="W574" i="1"/>
  <c r="AK573" i="1"/>
  <c r="AL573" i="1" s="1"/>
  <c r="AM573" i="1" s="1"/>
  <c r="AA573" i="1"/>
  <c r="Z573" i="1"/>
  <c r="Y573" i="1"/>
  <c r="X573" i="1"/>
  <c r="W573" i="1"/>
  <c r="AK572" i="1"/>
  <c r="AL572" i="1" s="1"/>
  <c r="AM572" i="1" s="1"/>
  <c r="AA572" i="1"/>
  <c r="Z572" i="1"/>
  <c r="Y572" i="1"/>
  <c r="X572" i="1"/>
  <c r="W572" i="1"/>
  <c r="AK571" i="1"/>
  <c r="AL571" i="1" s="1"/>
  <c r="AM571" i="1" s="1"/>
  <c r="AA571" i="1"/>
  <c r="Z571" i="1"/>
  <c r="Y571" i="1"/>
  <c r="X571" i="1"/>
  <c r="W571" i="1"/>
  <c r="AK570" i="1"/>
  <c r="AL570" i="1" s="1"/>
  <c r="AM570" i="1" s="1"/>
  <c r="AA570" i="1"/>
  <c r="Z570" i="1"/>
  <c r="Y570" i="1"/>
  <c r="X570" i="1"/>
  <c r="W570" i="1"/>
  <c r="AK569" i="1"/>
  <c r="AL569" i="1" s="1"/>
  <c r="AM569" i="1" s="1"/>
  <c r="AA569" i="1"/>
  <c r="Z569" i="1"/>
  <c r="Y569" i="1"/>
  <c r="X569" i="1"/>
  <c r="W569" i="1"/>
  <c r="AK568" i="1"/>
  <c r="AL568" i="1" s="1"/>
  <c r="AM568" i="1" s="1"/>
  <c r="AA568" i="1"/>
  <c r="Z568" i="1"/>
  <c r="Y568" i="1"/>
  <c r="X568" i="1"/>
  <c r="W568" i="1"/>
  <c r="AK567" i="1"/>
  <c r="AL567" i="1" s="1"/>
  <c r="AM567" i="1" s="1"/>
  <c r="AA567" i="1"/>
  <c r="Z567" i="1"/>
  <c r="Y567" i="1"/>
  <c r="X567" i="1"/>
  <c r="W567" i="1"/>
  <c r="AK566" i="1"/>
  <c r="AL566" i="1" s="1"/>
  <c r="AM566" i="1" s="1"/>
  <c r="AA566" i="1"/>
  <c r="Z566" i="1"/>
  <c r="Y566" i="1"/>
  <c r="X566" i="1"/>
  <c r="W566" i="1"/>
  <c r="AK565" i="1"/>
  <c r="AL565" i="1" s="1"/>
  <c r="AM565" i="1" s="1"/>
  <c r="AA565" i="1"/>
  <c r="Z565" i="1"/>
  <c r="Y565" i="1"/>
  <c r="X565" i="1"/>
  <c r="W565" i="1"/>
  <c r="AK564" i="1"/>
  <c r="AL564" i="1" s="1"/>
  <c r="AM564" i="1" s="1"/>
  <c r="AA564" i="1"/>
  <c r="Z564" i="1"/>
  <c r="Y564" i="1"/>
  <c r="X564" i="1"/>
  <c r="W564" i="1"/>
  <c r="AK563" i="1"/>
  <c r="AL563" i="1" s="1"/>
  <c r="AM563" i="1" s="1"/>
  <c r="AA563" i="1"/>
  <c r="Z563" i="1"/>
  <c r="Y563" i="1"/>
  <c r="X563" i="1"/>
  <c r="W563" i="1"/>
  <c r="AK562" i="1"/>
  <c r="AL562" i="1" s="1"/>
  <c r="AM562" i="1" s="1"/>
  <c r="AA562" i="1"/>
  <c r="Z562" i="1"/>
  <c r="Y562" i="1"/>
  <c r="X562" i="1"/>
  <c r="W562" i="1"/>
  <c r="AK561" i="1"/>
  <c r="AL561" i="1" s="1"/>
  <c r="AM561" i="1" s="1"/>
  <c r="AA561" i="1"/>
  <c r="Z561" i="1"/>
  <c r="Y561" i="1"/>
  <c r="X561" i="1"/>
  <c r="W561" i="1"/>
  <c r="AK560" i="1"/>
  <c r="AL560" i="1" s="1"/>
  <c r="AM560" i="1" s="1"/>
  <c r="AA560" i="1"/>
  <c r="Z560" i="1"/>
  <c r="Y560" i="1"/>
  <c r="X560" i="1"/>
  <c r="W560" i="1"/>
  <c r="AK559" i="1"/>
  <c r="AL559" i="1" s="1"/>
  <c r="AM559" i="1" s="1"/>
  <c r="AA559" i="1"/>
  <c r="Z559" i="1"/>
  <c r="Y559" i="1"/>
  <c r="X559" i="1"/>
  <c r="W559" i="1"/>
  <c r="AK558" i="1"/>
  <c r="AL558" i="1" s="1"/>
  <c r="AM558" i="1" s="1"/>
  <c r="AA558" i="1"/>
  <c r="Z558" i="1"/>
  <c r="Y558" i="1"/>
  <c r="X558" i="1"/>
  <c r="W558" i="1"/>
  <c r="AK557" i="1"/>
  <c r="AL557" i="1" s="1"/>
  <c r="AM557" i="1" s="1"/>
  <c r="AA557" i="1"/>
  <c r="Z557" i="1"/>
  <c r="Y557" i="1"/>
  <c r="X557" i="1"/>
  <c r="W557" i="1"/>
  <c r="AK556" i="1"/>
  <c r="AL556" i="1" s="1"/>
  <c r="AM556" i="1" s="1"/>
  <c r="AA556" i="1"/>
  <c r="Z556" i="1"/>
  <c r="Y556" i="1"/>
  <c r="X556" i="1"/>
  <c r="W556" i="1"/>
  <c r="AK555" i="1"/>
  <c r="AL555" i="1" s="1"/>
  <c r="AM555" i="1" s="1"/>
  <c r="AA555" i="1"/>
  <c r="Z555" i="1"/>
  <c r="Y555" i="1"/>
  <c r="X555" i="1"/>
  <c r="W555" i="1"/>
  <c r="AK554" i="1"/>
  <c r="AL554" i="1" s="1"/>
  <c r="AM554" i="1" s="1"/>
  <c r="AA554" i="1"/>
  <c r="Z554" i="1"/>
  <c r="Y554" i="1"/>
  <c r="X554" i="1"/>
  <c r="W554" i="1"/>
  <c r="AK553" i="1"/>
  <c r="AL553" i="1" s="1"/>
  <c r="AM553" i="1" s="1"/>
  <c r="AA553" i="1"/>
  <c r="Z553" i="1"/>
  <c r="Y553" i="1"/>
  <c r="X553" i="1"/>
  <c r="W553" i="1"/>
  <c r="AK552" i="1"/>
  <c r="AL552" i="1" s="1"/>
  <c r="AM552" i="1" s="1"/>
  <c r="AA552" i="1"/>
  <c r="Z552" i="1"/>
  <c r="Y552" i="1"/>
  <c r="X552" i="1"/>
  <c r="W552" i="1"/>
  <c r="AK551" i="1"/>
  <c r="AL551" i="1" s="1"/>
  <c r="AM551" i="1" s="1"/>
  <c r="AA551" i="1"/>
  <c r="Z551" i="1"/>
  <c r="Y551" i="1"/>
  <c r="X551" i="1"/>
  <c r="W551" i="1"/>
  <c r="AK550" i="1"/>
  <c r="AL550" i="1" s="1"/>
  <c r="AM550" i="1" s="1"/>
  <c r="AA550" i="1"/>
  <c r="Z550" i="1"/>
  <c r="Y550" i="1"/>
  <c r="X550" i="1"/>
  <c r="W550" i="1"/>
  <c r="AK549" i="1"/>
  <c r="AL549" i="1" s="1"/>
  <c r="AM549" i="1" s="1"/>
  <c r="AA549" i="1"/>
  <c r="Z549" i="1"/>
  <c r="Y549" i="1"/>
  <c r="X549" i="1"/>
  <c r="W549" i="1"/>
  <c r="AK548" i="1"/>
  <c r="AL548" i="1" s="1"/>
  <c r="AM548" i="1" s="1"/>
  <c r="AA548" i="1"/>
  <c r="Z548" i="1"/>
  <c r="Y548" i="1"/>
  <c r="X548" i="1"/>
  <c r="W548" i="1"/>
  <c r="AK547" i="1"/>
  <c r="AL547" i="1" s="1"/>
  <c r="AM547" i="1" s="1"/>
  <c r="AA547" i="1"/>
  <c r="Z547" i="1"/>
  <c r="Y547" i="1"/>
  <c r="X547" i="1"/>
  <c r="W547" i="1"/>
  <c r="AK546" i="1"/>
  <c r="AL546" i="1" s="1"/>
  <c r="AM546" i="1" s="1"/>
  <c r="AA546" i="1"/>
  <c r="Z546" i="1"/>
  <c r="Y546" i="1"/>
  <c r="X546" i="1"/>
  <c r="W546" i="1"/>
  <c r="AK545" i="1"/>
  <c r="AL545" i="1" s="1"/>
  <c r="AM545" i="1" s="1"/>
  <c r="AA545" i="1"/>
  <c r="Z545" i="1"/>
  <c r="Y545" i="1"/>
  <c r="X545" i="1"/>
  <c r="W545" i="1"/>
  <c r="AL544" i="1"/>
  <c r="AM544" i="1" s="1"/>
  <c r="AK544" i="1"/>
  <c r="AA544" i="1"/>
  <c r="Z544" i="1"/>
  <c r="Y544" i="1"/>
  <c r="X544" i="1"/>
  <c r="W544" i="1"/>
  <c r="AK543" i="1"/>
  <c r="AL543" i="1" s="1"/>
  <c r="AM543" i="1" s="1"/>
  <c r="AA543" i="1"/>
  <c r="Z543" i="1"/>
  <c r="Y543" i="1"/>
  <c r="X543" i="1"/>
  <c r="W543" i="1"/>
  <c r="AK542" i="1"/>
  <c r="AL542" i="1" s="1"/>
  <c r="AM542" i="1" s="1"/>
  <c r="AA542" i="1"/>
  <c r="Z542" i="1"/>
  <c r="Y542" i="1"/>
  <c r="X542" i="1"/>
  <c r="W542" i="1"/>
  <c r="AK541" i="1"/>
  <c r="AL541" i="1" s="1"/>
  <c r="AM541" i="1" s="1"/>
  <c r="AA541" i="1"/>
  <c r="Z541" i="1"/>
  <c r="Y541" i="1"/>
  <c r="X541" i="1"/>
  <c r="W541" i="1"/>
  <c r="AK540" i="1"/>
  <c r="AL540" i="1" s="1"/>
  <c r="AM540" i="1" s="1"/>
  <c r="AA540" i="1"/>
  <c r="Z540" i="1"/>
  <c r="Y540" i="1"/>
  <c r="X540" i="1"/>
  <c r="W540" i="1"/>
  <c r="AK539" i="1"/>
  <c r="AL539" i="1" s="1"/>
  <c r="AM539" i="1" s="1"/>
  <c r="AA539" i="1"/>
  <c r="Z539" i="1"/>
  <c r="Y539" i="1"/>
  <c r="X539" i="1"/>
  <c r="W539" i="1"/>
  <c r="AK538" i="1"/>
  <c r="AL538" i="1" s="1"/>
  <c r="AM538" i="1" s="1"/>
  <c r="AA538" i="1"/>
  <c r="Z538" i="1"/>
  <c r="Y538" i="1"/>
  <c r="X538" i="1"/>
  <c r="W538" i="1"/>
  <c r="AK537" i="1"/>
  <c r="AL537" i="1" s="1"/>
  <c r="AM537" i="1" s="1"/>
  <c r="AA537" i="1"/>
  <c r="Z537" i="1"/>
  <c r="Y537" i="1"/>
  <c r="X537" i="1"/>
  <c r="W537" i="1"/>
  <c r="AK536" i="1"/>
  <c r="AL536" i="1" s="1"/>
  <c r="AM536" i="1" s="1"/>
  <c r="AA536" i="1"/>
  <c r="Z536" i="1"/>
  <c r="Y536" i="1"/>
  <c r="X536" i="1"/>
  <c r="W536" i="1"/>
  <c r="AK535" i="1"/>
  <c r="AL535" i="1" s="1"/>
  <c r="AM535" i="1" s="1"/>
  <c r="AA535" i="1"/>
  <c r="Z535" i="1"/>
  <c r="Y535" i="1"/>
  <c r="X535" i="1"/>
  <c r="W535" i="1"/>
  <c r="AK534" i="1"/>
  <c r="AL534" i="1" s="1"/>
  <c r="AM534" i="1" s="1"/>
  <c r="AA534" i="1"/>
  <c r="Z534" i="1"/>
  <c r="Y534" i="1"/>
  <c r="X534" i="1"/>
  <c r="W534" i="1"/>
  <c r="AK533" i="1"/>
  <c r="AL533" i="1" s="1"/>
  <c r="AM533" i="1" s="1"/>
  <c r="AA533" i="1"/>
  <c r="Z533" i="1"/>
  <c r="Y533" i="1"/>
  <c r="X533" i="1"/>
  <c r="W533" i="1"/>
  <c r="AK532" i="1"/>
  <c r="AL532" i="1" s="1"/>
  <c r="AM532" i="1" s="1"/>
  <c r="AA532" i="1"/>
  <c r="Z532" i="1"/>
  <c r="Y532" i="1"/>
  <c r="X532" i="1"/>
  <c r="W532" i="1"/>
  <c r="AK531" i="1"/>
  <c r="AL531" i="1" s="1"/>
  <c r="AM531" i="1" s="1"/>
  <c r="AA531" i="1"/>
  <c r="Z531" i="1"/>
  <c r="Y531" i="1"/>
  <c r="X531" i="1"/>
  <c r="W531" i="1"/>
  <c r="AL530" i="1"/>
  <c r="AM530" i="1" s="1"/>
  <c r="AK530" i="1"/>
  <c r="AA530" i="1"/>
  <c r="Z530" i="1"/>
  <c r="Y530" i="1"/>
  <c r="X530" i="1"/>
  <c r="W530" i="1"/>
  <c r="AK529" i="1"/>
  <c r="AL529" i="1" s="1"/>
  <c r="AM529" i="1" s="1"/>
  <c r="AA529" i="1"/>
  <c r="Z529" i="1"/>
  <c r="Y529" i="1"/>
  <c r="X529" i="1"/>
  <c r="W529" i="1"/>
  <c r="AK528" i="1"/>
  <c r="AL528" i="1" s="1"/>
  <c r="AM528" i="1" s="1"/>
  <c r="AA528" i="1"/>
  <c r="Z528" i="1"/>
  <c r="Y528" i="1"/>
  <c r="X528" i="1"/>
  <c r="W528" i="1"/>
  <c r="AK527" i="1"/>
  <c r="AL527" i="1" s="1"/>
  <c r="AM527" i="1" s="1"/>
  <c r="AA527" i="1"/>
  <c r="Z527" i="1"/>
  <c r="Y527" i="1"/>
  <c r="X527" i="1"/>
  <c r="W527" i="1"/>
  <c r="AK526" i="1"/>
  <c r="AL526" i="1" s="1"/>
  <c r="AM526" i="1" s="1"/>
  <c r="AA526" i="1"/>
  <c r="Z526" i="1"/>
  <c r="Y526" i="1"/>
  <c r="X526" i="1"/>
  <c r="W526" i="1"/>
  <c r="AK525" i="1"/>
  <c r="AL525" i="1" s="1"/>
  <c r="AM525" i="1" s="1"/>
  <c r="AA525" i="1"/>
  <c r="Z525" i="1"/>
  <c r="Y525" i="1"/>
  <c r="X525" i="1"/>
  <c r="W525" i="1"/>
  <c r="AK524" i="1"/>
  <c r="AL524" i="1" s="1"/>
  <c r="AM524" i="1" s="1"/>
  <c r="AA524" i="1"/>
  <c r="Z524" i="1"/>
  <c r="Y524" i="1"/>
  <c r="X524" i="1"/>
  <c r="W524" i="1"/>
  <c r="AK523" i="1"/>
  <c r="AL523" i="1" s="1"/>
  <c r="AM523" i="1" s="1"/>
  <c r="AA523" i="1"/>
  <c r="Z523" i="1"/>
  <c r="Y523" i="1"/>
  <c r="X523" i="1"/>
  <c r="W523" i="1"/>
  <c r="AK522" i="1"/>
  <c r="AL522" i="1" s="1"/>
  <c r="AM522" i="1" s="1"/>
  <c r="AA522" i="1"/>
  <c r="Z522" i="1"/>
  <c r="Y522" i="1"/>
  <c r="X522" i="1"/>
  <c r="W522" i="1"/>
  <c r="AK521" i="1"/>
  <c r="AL521" i="1" s="1"/>
  <c r="AM521" i="1" s="1"/>
  <c r="AA521" i="1"/>
  <c r="Z521" i="1"/>
  <c r="Y521" i="1"/>
  <c r="X521" i="1"/>
  <c r="W521" i="1"/>
  <c r="AK520" i="1"/>
  <c r="AL520" i="1" s="1"/>
  <c r="AM520" i="1" s="1"/>
  <c r="AA520" i="1"/>
  <c r="Z520" i="1"/>
  <c r="Y520" i="1"/>
  <c r="X520" i="1"/>
  <c r="W520" i="1"/>
  <c r="AK519" i="1"/>
  <c r="AL519" i="1" s="1"/>
  <c r="AM519" i="1" s="1"/>
  <c r="AA519" i="1"/>
  <c r="Z519" i="1"/>
  <c r="Y519" i="1"/>
  <c r="X519" i="1"/>
  <c r="W519" i="1"/>
  <c r="AK518" i="1"/>
  <c r="AL518" i="1" s="1"/>
  <c r="AM518" i="1" s="1"/>
  <c r="AA518" i="1"/>
  <c r="Z518" i="1"/>
  <c r="Y518" i="1"/>
  <c r="X518" i="1"/>
  <c r="W518" i="1"/>
  <c r="AK517" i="1"/>
  <c r="AL517" i="1" s="1"/>
  <c r="AM517" i="1" s="1"/>
  <c r="AA517" i="1"/>
  <c r="Z517" i="1"/>
  <c r="Y517" i="1"/>
  <c r="X517" i="1"/>
  <c r="W517" i="1"/>
  <c r="AK516" i="1"/>
  <c r="AL516" i="1" s="1"/>
  <c r="AM516" i="1" s="1"/>
  <c r="AA516" i="1"/>
  <c r="Z516" i="1"/>
  <c r="Y516" i="1"/>
  <c r="X516" i="1"/>
  <c r="W516" i="1"/>
  <c r="AK515" i="1"/>
  <c r="AL515" i="1" s="1"/>
  <c r="AM515" i="1" s="1"/>
  <c r="AA515" i="1"/>
  <c r="Z515" i="1"/>
  <c r="Y515" i="1"/>
  <c r="X515" i="1"/>
  <c r="W515" i="1"/>
  <c r="AK514" i="1"/>
  <c r="AL514" i="1" s="1"/>
  <c r="AM514" i="1" s="1"/>
  <c r="AA514" i="1"/>
  <c r="Z514" i="1"/>
  <c r="Y514" i="1"/>
  <c r="X514" i="1"/>
  <c r="W514" i="1"/>
  <c r="AK513" i="1"/>
  <c r="AL513" i="1" s="1"/>
  <c r="AM513" i="1" s="1"/>
  <c r="AA513" i="1"/>
  <c r="Z513" i="1"/>
  <c r="Y513" i="1"/>
  <c r="X513" i="1"/>
  <c r="W513" i="1"/>
  <c r="AK512" i="1"/>
  <c r="AL512" i="1" s="1"/>
  <c r="AM512" i="1" s="1"/>
  <c r="AA512" i="1"/>
  <c r="Z512" i="1"/>
  <c r="Y512" i="1"/>
  <c r="X512" i="1"/>
  <c r="W512" i="1"/>
  <c r="AL511" i="1"/>
  <c r="AM511" i="1" s="1"/>
  <c r="AK511" i="1"/>
  <c r="AA511" i="1"/>
  <c r="Z511" i="1"/>
  <c r="Y511" i="1"/>
  <c r="X511" i="1"/>
  <c r="W511" i="1"/>
  <c r="AK510" i="1"/>
  <c r="AL510" i="1" s="1"/>
  <c r="AM510" i="1" s="1"/>
  <c r="AA510" i="1"/>
  <c r="Z510" i="1"/>
  <c r="Y510" i="1"/>
  <c r="X510" i="1"/>
  <c r="W510" i="1"/>
  <c r="AK509" i="1"/>
  <c r="AL509" i="1" s="1"/>
  <c r="AM509" i="1" s="1"/>
  <c r="AA509" i="1"/>
  <c r="Z509" i="1"/>
  <c r="Y509" i="1"/>
  <c r="X509" i="1"/>
  <c r="W509" i="1"/>
  <c r="AK508" i="1"/>
  <c r="AL508" i="1" s="1"/>
  <c r="AM508" i="1" s="1"/>
  <c r="AA508" i="1"/>
  <c r="Z508" i="1"/>
  <c r="Y508" i="1"/>
  <c r="X508" i="1"/>
  <c r="W508" i="1"/>
  <c r="AK507" i="1"/>
  <c r="AL507" i="1" s="1"/>
  <c r="AM507" i="1" s="1"/>
  <c r="AA507" i="1"/>
  <c r="Z507" i="1"/>
  <c r="Y507" i="1"/>
  <c r="X507" i="1"/>
  <c r="W507" i="1"/>
  <c r="AK506" i="1"/>
  <c r="AL506" i="1" s="1"/>
  <c r="AM506" i="1" s="1"/>
  <c r="AA506" i="1"/>
  <c r="Z506" i="1"/>
  <c r="Y506" i="1"/>
  <c r="X506" i="1"/>
  <c r="W506" i="1"/>
  <c r="AK505" i="1"/>
  <c r="AL505" i="1" s="1"/>
  <c r="AM505" i="1" s="1"/>
  <c r="AA505" i="1"/>
  <c r="Z505" i="1"/>
  <c r="Y505" i="1"/>
  <c r="X505" i="1"/>
  <c r="W505" i="1"/>
  <c r="AK504" i="1"/>
  <c r="AL504" i="1" s="1"/>
  <c r="AM504" i="1" s="1"/>
  <c r="AA504" i="1"/>
  <c r="Z504" i="1"/>
  <c r="Y504" i="1"/>
  <c r="X504" i="1"/>
  <c r="W504" i="1"/>
  <c r="AK503" i="1"/>
  <c r="AL503" i="1" s="1"/>
  <c r="AM503" i="1" s="1"/>
  <c r="AA503" i="1"/>
  <c r="Z503" i="1"/>
  <c r="Y503" i="1"/>
  <c r="X503" i="1"/>
  <c r="W503" i="1"/>
  <c r="AK502" i="1"/>
  <c r="AL502" i="1" s="1"/>
  <c r="AM502" i="1" s="1"/>
  <c r="AA502" i="1"/>
  <c r="Z502" i="1"/>
  <c r="Y502" i="1"/>
  <c r="X502" i="1"/>
  <c r="W502" i="1"/>
  <c r="AK501" i="1"/>
  <c r="AL501" i="1" s="1"/>
  <c r="AM501" i="1" s="1"/>
  <c r="AA501" i="1"/>
  <c r="Z501" i="1"/>
  <c r="Y501" i="1"/>
  <c r="X501" i="1"/>
  <c r="W501" i="1"/>
  <c r="AK500" i="1"/>
  <c r="AL500" i="1" s="1"/>
  <c r="AM500" i="1" s="1"/>
  <c r="AA500" i="1"/>
  <c r="Z500" i="1"/>
  <c r="Y500" i="1"/>
  <c r="X500" i="1"/>
  <c r="W500" i="1"/>
  <c r="AK499" i="1"/>
  <c r="AL499" i="1" s="1"/>
  <c r="AM499" i="1" s="1"/>
  <c r="AA499" i="1"/>
  <c r="Z499" i="1"/>
  <c r="Y499" i="1"/>
  <c r="X499" i="1"/>
  <c r="W499" i="1"/>
  <c r="AK498" i="1"/>
  <c r="AL498" i="1" s="1"/>
  <c r="AM498" i="1" s="1"/>
  <c r="AA498" i="1"/>
  <c r="Z498" i="1"/>
  <c r="Y498" i="1"/>
  <c r="X498" i="1"/>
  <c r="W498" i="1"/>
  <c r="AK497" i="1"/>
  <c r="AL497" i="1" s="1"/>
  <c r="AM497" i="1" s="1"/>
  <c r="AA497" i="1"/>
  <c r="Z497" i="1"/>
  <c r="Y497" i="1"/>
  <c r="X497" i="1"/>
  <c r="W497" i="1"/>
  <c r="AK496" i="1"/>
  <c r="AL496" i="1" s="1"/>
  <c r="AM496" i="1" s="1"/>
  <c r="AA496" i="1"/>
  <c r="Z496" i="1"/>
  <c r="Y496" i="1"/>
  <c r="X496" i="1"/>
  <c r="W496" i="1"/>
  <c r="AK495" i="1"/>
  <c r="AL495" i="1" s="1"/>
  <c r="AM495" i="1" s="1"/>
  <c r="AA495" i="1"/>
  <c r="Z495" i="1"/>
  <c r="Y495" i="1"/>
  <c r="X495" i="1"/>
  <c r="W495" i="1"/>
  <c r="AK494" i="1"/>
  <c r="AL494" i="1" s="1"/>
  <c r="AM494" i="1" s="1"/>
  <c r="AA494" i="1"/>
  <c r="Z494" i="1"/>
  <c r="Y494" i="1"/>
  <c r="X494" i="1"/>
  <c r="W494" i="1"/>
  <c r="AK493" i="1"/>
  <c r="AL493" i="1" s="1"/>
  <c r="AM493" i="1" s="1"/>
  <c r="AA493" i="1"/>
  <c r="Z493" i="1"/>
  <c r="Y493" i="1"/>
  <c r="X493" i="1"/>
  <c r="W493" i="1"/>
  <c r="AK492" i="1"/>
  <c r="AL492" i="1" s="1"/>
  <c r="AM492" i="1" s="1"/>
  <c r="AA492" i="1"/>
  <c r="Z492" i="1"/>
  <c r="Y492" i="1"/>
  <c r="X492" i="1"/>
  <c r="W492" i="1"/>
  <c r="AK491" i="1"/>
  <c r="AL491" i="1" s="1"/>
  <c r="AM491" i="1" s="1"/>
  <c r="AA491" i="1"/>
  <c r="Z491" i="1"/>
  <c r="Y491" i="1"/>
  <c r="X491" i="1"/>
  <c r="W491" i="1"/>
  <c r="AK490" i="1"/>
  <c r="AL490" i="1" s="1"/>
  <c r="AM490" i="1" s="1"/>
  <c r="AA490" i="1"/>
  <c r="Z490" i="1"/>
  <c r="Y490" i="1"/>
  <c r="X490" i="1"/>
  <c r="W490" i="1"/>
  <c r="AK489" i="1"/>
  <c r="AL489" i="1" s="1"/>
  <c r="AM489" i="1" s="1"/>
  <c r="AA489" i="1"/>
  <c r="Z489" i="1"/>
  <c r="Y489" i="1"/>
  <c r="X489" i="1"/>
  <c r="W489" i="1"/>
  <c r="AK488" i="1"/>
  <c r="AL488" i="1" s="1"/>
  <c r="AM488" i="1" s="1"/>
  <c r="AA488" i="1"/>
  <c r="Z488" i="1"/>
  <c r="Y488" i="1"/>
  <c r="X488" i="1"/>
  <c r="W488" i="1"/>
  <c r="AK487" i="1"/>
  <c r="AL487" i="1" s="1"/>
  <c r="AM487" i="1" s="1"/>
  <c r="AA487" i="1"/>
  <c r="Z487" i="1"/>
  <c r="Y487" i="1"/>
  <c r="X487" i="1"/>
  <c r="W487" i="1"/>
  <c r="AK486" i="1"/>
  <c r="AL486" i="1" s="1"/>
  <c r="AM486" i="1" s="1"/>
  <c r="AA486" i="1"/>
  <c r="Z486" i="1"/>
  <c r="Y486" i="1"/>
  <c r="X486" i="1"/>
  <c r="W486" i="1"/>
  <c r="AK485" i="1"/>
  <c r="AL485" i="1" s="1"/>
  <c r="AM485" i="1" s="1"/>
  <c r="AA485" i="1"/>
  <c r="Z485" i="1"/>
  <c r="Y485" i="1"/>
  <c r="X485" i="1"/>
  <c r="W485" i="1"/>
  <c r="AL484" i="1"/>
  <c r="AM484" i="1" s="1"/>
  <c r="AK484" i="1"/>
  <c r="AA484" i="1"/>
  <c r="Z484" i="1"/>
  <c r="Y484" i="1"/>
  <c r="X484" i="1"/>
  <c r="W484" i="1"/>
  <c r="AK483" i="1"/>
  <c r="AL483" i="1" s="1"/>
  <c r="AM483" i="1" s="1"/>
  <c r="AA483" i="1"/>
  <c r="Z483" i="1"/>
  <c r="Y483" i="1"/>
  <c r="X483" i="1"/>
  <c r="W483" i="1"/>
  <c r="AK482" i="1"/>
  <c r="AL482" i="1" s="1"/>
  <c r="AM482" i="1" s="1"/>
  <c r="AA482" i="1"/>
  <c r="Z482" i="1"/>
  <c r="Y482" i="1"/>
  <c r="X482" i="1"/>
  <c r="W482" i="1"/>
  <c r="AK481" i="1"/>
  <c r="AL481" i="1" s="1"/>
  <c r="AM481" i="1" s="1"/>
  <c r="AA481" i="1"/>
  <c r="Z481" i="1"/>
  <c r="Y481" i="1"/>
  <c r="X481" i="1"/>
  <c r="W481" i="1"/>
  <c r="AK480" i="1"/>
  <c r="AL480" i="1" s="1"/>
  <c r="AM480" i="1" s="1"/>
  <c r="AA480" i="1"/>
  <c r="Z480" i="1"/>
  <c r="Y480" i="1"/>
  <c r="X480" i="1"/>
  <c r="W480" i="1"/>
  <c r="AK479" i="1"/>
  <c r="AL479" i="1" s="1"/>
  <c r="AM479" i="1" s="1"/>
  <c r="AA479" i="1"/>
  <c r="Z479" i="1"/>
  <c r="Y479" i="1"/>
  <c r="X479" i="1"/>
  <c r="W479" i="1"/>
  <c r="AK478" i="1"/>
  <c r="AL478" i="1" s="1"/>
  <c r="AM478" i="1" s="1"/>
  <c r="AA478" i="1"/>
  <c r="Z478" i="1"/>
  <c r="Y478" i="1"/>
  <c r="X478" i="1"/>
  <c r="W478" i="1"/>
  <c r="AK477" i="1"/>
  <c r="AL477" i="1" s="1"/>
  <c r="AM477" i="1" s="1"/>
  <c r="AA477" i="1"/>
  <c r="Z477" i="1"/>
  <c r="Y477" i="1"/>
  <c r="X477" i="1"/>
  <c r="W477" i="1"/>
  <c r="AK476" i="1"/>
  <c r="AL476" i="1" s="1"/>
  <c r="AM476" i="1" s="1"/>
  <c r="AA476" i="1"/>
  <c r="Z476" i="1"/>
  <c r="Y476" i="1"/>
  <c r="X476" i="1"/>
  <c r="W476" i="1"/>
  <c r="AK475" i="1"/>
  <c r="AL475" i="1" s="1"/>
  <c r="AM475" i="1" s="1"/>
  <c r="AA475" i="1"/>
  <c r="Z475" i="1"/>
  <c r="Y475" i="1"/>
  <c r="X475" i="1"/>
  <c r="W475" i="1"/>
  <c r="AK474" i="1"/>
  <c r="AL474" i="1" s="1"/>
  <c r="AM474" i="1" s="1"/>
  <c r="AA474" i="1"/>
  <c r="Z474" i="1"/>
  <c r="Y474" i="1"/>
  <c r="X474" i="1"/>
  <c r="W474" i="1"/>
  <c r="AK473" i="1"/>
  <c r="AL473" i="1" s="1"/>
  <c r="AM473" i="1" s="1"/>
  <c r="AA473" i="1"/>
  <c r="Z473" i="1"/>
  <c r="Y473" i="1"/>
  <c r="X473" i="1"/>
  <c r="W473" i="1"/>
  <c r="AK472" i="1"/>
  <c r="AL472" i="1" s="1"/>
  <c r="AM472" i="1" s="1"/>
  <c r="AA472" i="1"/>
  <c r="Z472" i="1"/>
  <c r="Y472" i="1"/>
  <c r="X472" i="1"/>
  <c r="W472" i="1"/>
  <c r="AK471" i="1"/>
  <c r="AL471" i="1" s="1"/>
  <c r="AM471" i="1" s="1"/>
  <c r="AA471" i="1"/>
  <c r="Z471" i="1"/>
  <c r="Y471" i="1"/>
  <c r="X471" i="1"/>
  <c r="W471" i="1"/>
  <c r="AK470" i="1"/>
  <c r="AL470" i="1" s="1"/>
  <c r="AM470" i="1" s="1"/>
  <c r="AA470" i="1"/>
  <c r="Z470" i="1"/>
  <c r="Y470" i="1"/>
  <c r="X470" i="1"/>
  <c r="W470" i="1"/>
  <c r="AK469" i="1"/>
  <c r="AL469" i="1" s="1"/>
  <c r="AM469" i="1" s="1"/>
  <c r="AA469" i="1"/>
  <c r="Z469" i="1"/>
  <c r="Y469" i="1"/>
  <c r="X469" i="1"/>
  <c r="W469" i="1"/>
  <c r="AL468" i="1"/>
  <c r="AM468" i="1" s="1"/>
  <c r="AK468" i="1"/>
  <c r="AA468" i="1"/>
  <c r="Z468" i="1"/>
  <c r="Y468" i="1"/>
  <c r="X468" i="1"/>
  <c r="W468" i="1"/>
  <c r="AK467" i="1"/>
  <c r="AL467" i="1" s="1"/>
  <c r="AM467" i="1" s="1"/>
  <c r="AA467" i="1"/>
  <c r="Z467" i="1"/>
  <c r="Y467" i="1"/>
  <c r="X467" i="1"/>
  <c r="W467" i="1"/>
  <c r="AK466" i="1"/>
  <c r="AL466" i="1" s="1"/>
  <c r="AM466" i="1" s="1"/>
  <c r="AA466" i="1"/>
  <c r="Z466" i="1"/>
  <c r="Y466" i="1"/>
  <c r="X466" i="1"/>
  <c r="W466" i="1"/>
  <c r="AK465" i="1"/>
  <c r="AL465" i="1" s="1"/>
  <c r="AM465" i="1" s="1"/>
  <c r="AA465" i="1"/>
  <c r="Z465" i="1"/>
  <c r="Y465" i="1"/>
  <c r="X465" i="1"/>
  <c r="W465" i="1"/>
  <c r="AK464" i="1"/>
  <c r="AL464" i="1" s="1"/>
  <c r="AM464" i="1" s="1"/>
  <c r="AA464" i="1"/>
  <c r="Z464" i="1"/>
  <c r="Y464" i="1"/>
  <c r="X464" i="1"/>
  <c r="W464" i="1"/>
  <c r="AL463" i="1"/>
  <c r="AM463" i="1" s="1"/>
  <c r="AK463" i="1"/>
  <c r="AA463" i="1"/>
  <c r="Z463" i="1"/>
  <c r="Y463" i="1"/>
  <c r="X463" i="1"/>
  <c r="W463" i="1"/>
  <c r="AK462" i="1"/>
  <c r="AL462" i="1" s="1"/>
  <c r="AM462" i="1" s="1"/>
  <c r="AA462" i="1"/>
  <c r="Z462" i="1"/>
  <c r="Y462" i="1"/>
  <c r="X462" i="1"/>
  <c r="W462" i="1"/>
  <c r="AK461" i="1"/>
  <c r="AL461" i="1" s="1"/>
  <c r="AM461" i="1" s="1"/>
  <c r="AA461" i="1"/>
  <c r="Z461" i="1"/>
  <c r="Y461" i="1"/>
  <c r="X461" i="1"/>
  <c r="W461" i="1"/>
  <c r="AK460" i="1"/>
  <c r="AL460" i="1" s="1"/>
  <c r="AM460" i="1" s="1"/>
  <c r="AA460" i="1"/>
  <c r="Z460" i="1"/>
  <c r="Y460" i="1"/>
  <c r="X460" i="1"/>
  <c r="W460" i="1"/>
  <c r="AK459" i="1"/>
  <c r="AL459" i="1" s="1"/>
  <c r="AM459" i="1" s="1"/>
  <c r="AA459" i="1"/>
  <c r="Z459" i="1"/>
  <c r="Y459" i="1"/>
  <c r="X459" i="1"/>
  <c r="W459" i="1"/>
  <c r="AK458" i="1"/>
  <c r="AL458" i="1" s="1"/>
  <c r="AM458" i="1" s="1"/>
  <c r="AA458" i="1"/>
  <c r="Z458" i="1"/>
  <c r="Y458" i="1"/>
  <c r="X458" i="1"/>
  <c r="W458" i="1"/>
  <c r="AK457" i="1"/>
  <c r="AL457" i="1" s="1"/>
  <c r="AM457" i="1" s="1"/>
  <c r="AA457" i="1"/>
  <c r="Z457" i="1"/>
  <c r="Y457" i="1"/>
  <c r="X457" i="1"/>
  <c r="W457" i="1"/>
  <c r="AK456" i="1"/>
  <c r="AL456" i="1" s="1"/>
  <c r="AM456" i="1" s="1"/>
  <c r="AA456" i="1"/>
  <c r="Z456" i="1"/>
  <c r="Y456" i="1"/>
  <c r="X456" i="1"/>
  <c r="W456" i="1"/>
  <c r="AK455" i="1"/>
  <c r="AL455" i="1" s="1"/>
  <c r="AM455" i="1" s="1"/>
  <c r="AA455" i="1"/>
  <c r="Z455" i="1"/>
  <c r="Y455" i="1"/>
  <c r="X455" i="1"/>
  <c r="W455" i="1"/>
  <c r="AK454" i="1"/>
  <c r="AL454" i="1" s="1"/>
  <c r="AM454" i="1" s="1"/>
  <c r="AA454" i="1"/>
  <c r="Z454" i="1"/>
  <c r="Y454" i="1"/>
  <c r="X454" i="1"/>
  <c r="W454" i="1"/>
  <c r="AK453" i="1"/>
  <c r="AL453" i="1" s="1"/>
  <c r="AM453" i="1" s="1"/>
  <c r="AA453" i="1"/>
  <c r="Z453" i="1"/>
  <c r="Y453" i="1"/>
  <c r="X453" i="1"/>
  <c r="W453" i="1"/>
  <c r="AK452" i="1"/>
  <c r="AL452" i="1" s="1"/>
  <c r="AM452" i="1" s="1"/>
  <c r="AA452" i="1"/>
  <c r="Z452" i="1"/>
  <c r="Y452" i="1"/>
  <c r="X452" i="1"/>
  <c r="W452" i="1"/>
  <c r="AK451" i="1"/>
  <c r="AL451" i="1" s="1"/>
  <c r="AM451" i="1" s="1"/>
  <c r="AA451" i="1"/>
  <c r="Z451" i="1"/>
  <c r="Y451" i="1"/>
  <c r="X451" i="1"/>
  <c r="W451" i="1"/>
  <c r="AK450" i="1"/>
  <c r="AL450" i="1" s="1"/>
  <c r="AM450" i="1" s="1"/>
  <c r="AA450" i="1"/>
  <c r="Z450" i="1"/>
  <c r="Y450" i="1"/>
  <c r="X450" i="1"/>
  <c r="W450" i="1"/>
  <c r="AK449" i="1"/>
  <c r="AL449" i="1" s="1"/>
  <c r="AM449" i="1" s="1"/>
  <c r="AA449" i="1"/>
  <c r="Z449" i="1"/>
  <c r="Y449" i="1"/>
  <c r="X449" i="1"/>
  <c r="W449" i="1"/>
  <c r="AK448" i="1"/>
  <c r="AL448" i="1" s="1"/>
  <c r="AM448" i="1" s="1"/>
  <c r="AA448" i="1"/>
  <c r="Z448" i="1"/>
  <c r="Y448" i="1"/>
  <c r="X448" i="1"/>
  <c r="W448" i="1"/>
  <c r="AK447" i="1"/>
  <c r="AL447" i="1" s="1"/>
  <c r="AM447" i="1" s="1"/>
  <c r="AA447" i="1"/>
  <c r="Z447" i="1"/>
  <c r="Y447" i="1"/>
  <c r="X447" i="1"/>
  <c r="W447" i="1"/>
  <c r="AK446" i="1"/>
  <c r="AL446" i="1" s="1"/>
  <c r="AM446" i="1" s="1"/>
  <c r="AA446" i="1"/>
  <c r="Z446" i="1"/>
  <c r="Y446" i="1"/>
  <c r="X446" i="1"/>
  <c r="W446" i="1"/>
  <c r="AK445" i="1"/>
  <c r="AL445" i="1" s="1"/>
  <c r="AM445" i="1" s="1"/>
  <c r="AA445" i="1"/>
  <c r="Z445" i="1"/>
  <c r="Y445" i="1"/>
  <c r="X445" i="1"/>
  <c r="W445" i="1"/>
  <c r="AK444" i="1"/>
  <c r="AL444" i="1" s="1"/>
  <c r="AM444" i="1" s="1"/>
  <c r="AA444" i="1"/>
  <c r="Z444" i="1"/>
  <c r="Y444" i="1"/>
  <c r="X444" i="1"/>
  <c r="W444" i="1"/>
  <c r="AK443" i="1"/>
  <c r="AL443" i="1" s="1"/>
  <c r="AM443" i="1" s="1"/>
  <c r="AA443" i="1"/>
  <c r="Z443" i="1"/>
  <c r="Y443" i="1"/>
  <c r="X443" i="1"/>
  <c r="W443" i="1"/>
  <c r="AK442" i="1"/>
  <c r="AL442" i="1" s="1"/>
  <c r="AM442" i="1" s="1"/>
  <c r="AA442" i="1"/>
  <c r="Z442" i="1"/>
  <c r="Y442" i="1"/>
  <c r="X442" i="1"/>
  <c r="W442" i="1"/>
  <c r="AK441" i="1"/>
  <c r="AL441" i="1" s="1"/>
  <c r="AM441" i="1" s="1"/>
  <c r="AA441" i="1"/>
  <c r="Z441" i="1"/>
  <c r="Y441" i="1"/>
  <c r="X441" i="1"/>
  <c r="W441" i="1"/>
  <c r="AK440" i="1"/>
  <c r="AL440" i="1" s="1"/>
  <c r="AM440" i="1" s="1"/>
  <c r="AA440" i="1"/>
  <c r="Z440" i="1"/>
  <c r="Y440" i="1"/>
  <c r="X440" i="1"/>
  <c r="W440" i="1"/>
  <c r="AK439" i="1"/>
  <c r="AL439" i="1" s="1"/>
  <c r="AM439" i="1" s="1"/>
  <c r="AA439" i="1"/>
  <c r="Z439" i="1"/>
  <c r="Y439" i="1"/>
  <c r="X439" i="1"/>
  <c r="W439" i="1"/>
  <c r="AK438" i="1"/>
  <c r="AL438" i="1" s="1"/>
  <c r="AM438" i="1" s="1"/>
  <c r="AA438" i="1"/>
  <c r="Z438" i="1"/>
  <c r="Y438" i="1"/>
  <c r="X438" i="1"/>
  <c r="W438" i="1"/>
  <c r="AK437" i="1"/>
  <c r="AL437" i="1" s="1"/>
  <c r="AM437" i="1" s="1"/>
  <c r="AA437" i="1"/>
  <c r="Z437" i="1"/>
  <c r="Y437" i="1"/>
  <c r="X437" i="1"/>
  <c r="W437" i="1"/>
  <c r="AK436" i="1"/>
  <c r="AL436" i="1" s="1"/>
  <c r="AM436" i="1" s="1"/>
  <c r="AA436" i="1"/>
  <c r="Z436" i="1"/>
  <c r="Y436" i="1"/>
  <c r="X436" i="1"/>
  <c r="W436" i="1"/>
  <c r="AK435" i="1"/>
  <c r="AL435" i="1" s="1"/>
  <c r="AM435" i="1" s="1"/>
  <c r="AA435" i="1"/>
  <c r="Z435" i="1"/>
  <c r="Y435" i="1"/>
  <c r="X435" i="1"/>
  <c r="W435" i="1"/>
  <c r="AK434" i="1"/>
  <c r="AL434" i="1" s="1"/>
  <c r="AM434" i="1" s="1"/>
  <c r="AA434" i="1"/>
  <c r="Z434" i="1"/>
  <c r="Y434" i="1"/>
  <c r="X434" i="1"/>
  <c r="W434" i="1"/>
  <c r="AK433" i="1"/>
  <c r="AL433" i="1" s="1"/>
  <c r="AM433" i="1" s="1"/>
  <c r="AA433" i="1"/>
  <c r="Z433" i="1"/>
  <c r="Y433" i="1"/>
  <c r="X433" i="1"/>
  <c r="W433" i="1"/>
  <c r="AL432" i="1"/>
  <c r="AM432" i="1" s="1"/>
  <c r="AK432" i="1"/>
  <c r="AA432" i="1"/>
  <c r="Z432" i="1"/>
  <c r="Y432" i="1"/>
  <c r="X432" i="1"/>
  <c r="W432" i="1"/>
  <c r="AK431" i="1"/>
  <c r="AL431" i="1" s="1"/>
  <c r="AM431" i="1" s="1"/>
  <c r="AA431" i="1"/>
  <c r="Z431" i="1"/>
  <c r="Y431" i="1"/>
  <c r="X431" i="1"/>
  <c r="W431" i="1"/>
  <c r="AK430" i="1"/>
  <c r="AL430" i="1" s="1"/>
  <c r="AM430" i="1" s="1"/>
  <c r="AA430" i="1"/>
  <c r="Z430" i="1"/>
  <c r="Y430" i="1"/>
  <c r="X430" i="1"/>
  <c r="W430" i="1"/>
  <c r="AK429" i="1"/>
  <c r="AL429" i="1" s="1"/>
  <c r="AM429" i="1" s="1"/>
  <c r="AA429" i="1"/>
  <c r="Z429" i="1"/>
  <c r="Y429" i="1"/>
  <c r="X429" i="1"/>
  <c r="W429" i="1"/>
  <c r="AK428" i="1"/>
  <c r="AL428" i="1" s="1"/>
  <c r="AM428" i="1" s="1"/>
  <c r="AA428" i="1"/>
  <c r="Z428" i="1"/>
  <c r="Y428" i="1"/>
  <c r="X428" i="1"/>
  <c r="W428" i="1"/>
  <c r="AK427" i="1"/>
  <c r="AL427" i="1" s="1"/>
  <c r="AM427" i="1" s="1"/>
  <c r="AA427" i="1"/>
  <c r="Z427" i="1"/>
  <c r="Y427" i="1"/>
  <c r="X427" i="1"/>
  <c r="W427" i="1"/>
  <c r="AK426" i="1"/>
  <c r="AL426" i="1" s="1"/>
  <c r="AM426" i="1" s="1"/>
  <c r="AA426" i="1"/>
  <c r="Z426" i="1"/>
  <c r="Y426" i="1"/>
  <c r="X426" i="1"/>
  <c r="W426" i="1"/>
  <c r="AK425" i="1"/>
  <c r="AL425" i="1" s="1"/>
  <c r="AM425" i="1" s="1"/>
  <c r="AA425" i="1"/>
  <c r="Z425" i="1"/>
  <c r="Y425" i="1"/>
  <c r="X425" i="1"/>
  <c r="W425" i="1"/>
  <c r="AK424" i="1"/>
  <c r="AL424" i="1" s="1"/>
  <c r="AM424" i="1" s="1"/>
  <c r="AA424" i="1"/>
  <c r="Z424" i="1"/>
  <c r="Y424" i="1"/>
  <c r="X424" i="1"/>
  <c r="W424" i="1"/>
  <c r="AK423" i="1"/>
  <c r="AL423" i="1" s="1"/>
  <c r="AM423" i="1" s="1"/>
  <c r="AA423" i="1"/>
  <c r="Z423" i="1"/>
  <c r="Y423" i="1"/>
  <c r="X423" i="1"/>
  <c r="W423" i="1"/>
  <c r="AK422" i="1"/>
  <c r="AL422" i="1" s="1"/>
  <c r="AM422" i="1" s="1"/>
  <c r="AA422" i="1"/>
  <c r="Z422" i="1"/>
  <c r="Y422" i="1"/>
  <c r="X422" i="1"/>
  <c r="W422" i="1"/>
  <c r="AK421" i="1"/>
  <c r="AL421" i="1" s="1"/>
  <c r="AM421" i="1" s="1"/>
  <c r="AA421" i="1"/>
  <c r="Z421" i="1"/>
  <c r="Y421" i="1"/>
  <c r="X421" i="1"/>
  <c r="W421" i="1"/>
  <c r="AK420" i="1"/>
  <c r="AL420" i="1" s="1"/>
  <c r="AM420" i="1" s="1"/>
  <c r="AA420" i="1"/>
  <c r="Z420" i="1"/>
  <c r="Y420" i="1"/>
  <c r="X420" i="1"/>
  <c r="W420" i="1"/>
  <c r="AK419" i="1"/>
  <c r="AL419" i="1" s="1"/>
  <c r="AM419" i="1" s="1"/>
  <c r="AA419" i="1"/>
  <c r="Z419" i="1"/>
  <c r="Y419" i="1"/>
  <c r="X419" i="1"/>
  <c r="W419" i="1"/>
  <c r="AK418" i="1"/>
  <c r="AL418" i="1" s="1"/>
  <c r="AM418" i="1" s="1"/>
  <c r="AA418" i="1"/>
  <c r="Z418" i="1"/>
  <c r="Y418" i="1"/>
  <c r="X418" i="1"/>
  <c r="W418" i="1"/>
  <c r="AK417" i="1"/>
  <c r="AL417" i="1" s="1"/>
  <c r="AM417" i="1" s="1"/>
  <c r="AA417" i="1"/>
  <c r="Z417" i="1"/>
  <c r="Y417" i="1"/>
  <c r="X417" i="1"/>
  <c r="W417" i="1"/>
  <c r="AK416" i="1"/>
  <c r="AL416" i="1" s="1"/>
  <c r="AM416" i="1" s="1"/>
  <c r="AA416" i="1"/>
  <c r="Z416" i="1"/>
  <c r="Y416" i="1"/>
  <c r="X416" i="1"/>
  <c r="W416" i="1"/>
  <c r="AK415" i="1"/>
  <c r="AL415" i="1" s="1"/>
  <c r="AM415" i="1" s="1"/>
  <c r="AA415" i="1"/>
  <c r="Z415" i="1"/>
  <c r="Y415" i="1"/>
  <c r="X415" i="1"/>
  <c r="W415" i="1"/>
  <c r="AK414" i="1"/>
  <c r="AL414" i="1" s="1"/>
  <c r="AM414" i="1" s="1"/>
  <c r="AA414" i="1"/>
  <c r="Z414" i="1"/>
  <c r="Y414" i="1"/>
  <c r="X414" i="1"/>
  <c r="W414" i="1"/>
  <c r="AK413" i="1"/>
  <c r="AL413" i="1" s="1"/>
  <c r="AM413" i="1" s="1"/>
  <c r="AA413" i="1"/>
  <c r="Z413" i="1"/>
  <c r="Y413" i="1"/>
  <c r="X413" i="1"/>
  <c r="W413" i="1"/>
  <c r="AK412" i="1"/>
  <c r="AL412" i="1" s="1"/>
  <c r="AM412" i="1" s="1"/>
  <c r="AA412" i="1"/>
  <c r="Z412" i="1"/>
  <c r="Y412" i="1"/>
  <c r="X412" i="1"/>
  <c r="W412" i="1"/>
  <c r="AK411" i="1"/>
  <c r="AL411" i="1" s="1"/>
  <c r="AM411" i="1" s="1"/>
  <c r="AA411" i="1"/>
  <c r="Z411" i="1"/>
  <c r="Y411" i="1"/>
  <c r="X411" i="1"/>
  <c r="W411" i="1"/>
  <c r="AK410" i="1"/>
  <c r="AL410" i="1" s="1"/>
  <c r="AM410" i="1" s="1"/>
  <c r="AA410" i="1"/>
  <c r="Z410" i="1"/>
  <c r="Y410" i="1"/>
  <c r="X410" i="1"/>
  <c r="W410" i="1"/>
  <c r="AK409" i="1"/>
  <c r="AL409" i="1" s="1"/>
  <c r="AM409" i="1" s="1"/>
  <c r="AA409" i="1"/>
  <c r="Z409" i="1"/>
  <c r="Y409" i="1"/>
  <c r="X409" i="1"/>
  <c r="W409" i="1"/>
  <c r="AK408" i="1"/>
  <c r="AL408" i="1" s="1"/>
  <c r="AM408" i="1" s="1"/>
  <c r="AA408" i="1"/>
  <c r="Z408" i="1"/>
  <c r="Y408" i="1"/>
  <c r="X408" i="1"/>
  <c r="W408" i="1"/>
  <c r="AK407" i="1"/>
  <c r="AL407" i="1" s="1"/>
  <c r="AM407" i="1" s="1"/>
  <c r="AA407" i="1"/>
  <c r="Z407" i="1"/>
  <c r="Y407" i="1"/>
  <c r="X407" i="1"/>
  <c r="W407" i="1"/>
  <c r="AK406" i="1"/>
  <c r="AL406" i="1" s="1"/>
  <c r="AM406" i="1" s="1"/>
  <c r="AA406" i="1"/>
  <c r="Z406" i="1"/>
  <c r="Y406" i="1"/>
  <c r="X406" i="1"/>
  <c r="C75" i="10" s="1"/>
  <c r="W406" i="1"/>
  <c r="AK405" i="1"/>
  <c r="AL405" i="1" s="1"/>
  <c r="AM405" i="1" s="1"/>
  <c r="B73" i="6" s="1"/>
  <c r="AA405" i="1"/>
  <c r="F73" i="10" s="1"/>
  <c r="Z405" i="1"/>
  <c r="E73" i="10" s="1"/>
  <c r="Y405" i="1"/>
  <c r="X405" i="1"/>
  <c r="C73" i="10" s="1"/>
  <c r="W405" i="1"/>
  <c r="AK404" i="1"/>
  <c r="AL404" i="1" s="1"/>
  <c r="AM404" i="1" s="1"/>
  <c r="AA404" i="1"/>
  <c r="Z404" i="1"/>
  <c r="Y404" i="1"/>
  <c r="X404" i="1"/>
  <c r="W404" i="1"/>
  <c r="AK403" i="1"/>
  <c r="AL403" i="1" s="1"/>
  <c r="AM403" i="1" s="1"/>
  <c r="AA403" i="1"/>
  <c r="Z403" i="1"/>
  <c r="Y403" i="1"/>
  <c r="X403" i="1"/>
  <c r="W403" i="1"/>
  <c r="AK402" i="1"/>
  <c r="AL402" i="1" s="1"/>
  <c r="AM402" i="1" s="1"/>
  <c r="AA402" i="1"/>
  <c r="Z402" i="1"/>
  <c r="Y402" i="1"/>
  <c r="X402" i="1"/>
  <c r="W402" i="1"/>
  <c r="AK401" i="1"/>
  <c r="AL401" i="1" s="1"/>
  <c r="AM401" i="1" s="1"/>
  <c r="AA401" i="1"/>
  <c r="Z401" i="1"/>
  <c r="Y401" i="1"/>
  <c r="X401" i="1"/>
  <c r="W401" i="1"/>
  <c r="AL400" i="1"/>
  <c r="AM400" i="1" s="1"/>
  <c r="AK400" i="1"/>
  <c r="AA400" i="1"/>
  <c r="Z400" i="1"/>
  <c r="Y400" i="1"/>
  <c r="X400" i="1"/>
  <c r="W400" i="1"/>
  <c r="AK399" i="1"/>
  <c r="AL399" i="1" s="1"/>
  <c r="AM399" i="1" s="1"/>
  <c r="AA399" i="1"/>
  <c r="Z399" i="1"/>
  <c r="Y399" i="1"/>
  <c r="X399" i="1"/>
  <c r="W399" i="1"/>
  <c r="AK398" i="1"/>
  <c r="AL398" i="1" s="1"/>
  <c r="AM398" i="1" s="1"/>
  <c r="AA398" i="1"/>
  <c r="Z398" i="1"/>
  <c r="Y398" i="1"/>
  <c r="X398" i="1"/>
  <c r="W398" i="1"/>
  <c r="AK397" i="1"/>
  <c r="AL397" i="1" s="1"/>
  <c r="AM397" i="1" s="1"/>
  <c r="AA397" i="1"/>
  <c r="Z397" i="1"/>
  <c r="Y397" i="1"/>
  <c r="X397" i="1"/>
  <c r="W397" i="1"/>
  <c r="AK396" i="1"/>
  <c r="AL396" i="1" s="1"/>
  <c r="AM396" i="1" s="1"/>
  <c r="AA396" i="1"/>
  <c r="Z396" i="1"/>
  <c r="Y396" i="1"/>
  <c r="X396" i="1"/>
  <c r="W396" i="1"/>
  <c r="AK395" i="1"/>
  <c r="AL395" i="1" s="1"/>
  <c r="AM395" i="1" s="1"/>
  <c r="AA395" i="1"/>
  <c r="Z395" i="1"/>
  <c r="Y395" i="1"/>
  <c r="X395" i="1"/>
  <c r="W395" i="1"/>
  <c r="AK394" i="1"/>
  <c r="AL394" i="1" s="1"/>
  <c r="AM394" i="1" s="1"/>
  <c r="AA394" i="1"/>
  <c r="Z394" i="1"/>
  <c r="Y394" i="1"/>
  <c r="X394" i="1"/>
  <c r="W394" i="1"/>
  <c r="AK393" i="1"/>
  <c r="AL393" i="1" s="1"/>
  <c r="AM393" i="1" s="1"/>
  <c r="AA393" i="1"/>
  <c r="Z393" i="1"/>
  <c r="Y393" i="1"/>
  <c r="X393" i="1"/>
  <c r="W393" i="1"/>
  <c r="AK392" i="1"/>
  <c r="AL392" i="1" s="1"/>
  <c r="AM392" i="1" s="1"/>
  <c r="AA392" i="1"/>
  <c r="Z392" i="1"/>
  <c r="Y392" i="1"/>
  <c r="X392" i="1"/>
  <c r="W392" i="1"/>
  <c r="AK391" i="1"/>
  <c r="AL391" i="1" s="1"/>
  <c r="AM391" i="1" s="1"/>
  <c r="AA391" i="1"/>
  <c r="Z391" i="1"/>
  <c r="Y391" i="1"/>
  <c r="X391" i="1"/>
  <c r="W391" i="1"/>
  <c r="AK390" i="1"/>
  <c r="AL390" i="1" s="1"/>
  <c r="AM390" i="1" s="1"/>
  <c r="AA390" i="1"/>
  <c r="Z390" i="1"/>
  <c r="Y390" i="1"/>
  <c r="X390" i="1"/>
  <c r="W390" i="1"/>
  <c r="AK389" i="1"/>
  <c r="AL389" i="1" s="1"/>
  <c r="AM389" i="1" s="1"/>
  <c r="AA389" i="1"/>
  <c r="Z389" i="1"/>
  <c r="Y389" i="1"/>
  <c r="X389" i="1"/>
  <c r="W389" i="1"/>
  <c r="AK388" i="1"/>
  <c r="AL388" i="1" s="1"/>
  <c r="AM388" i="1" s="1"/>
  <c r="AA388" i="1"/>
  <c r="Z388" i="1"/>
  <c r="Y388" i="1"/>
  <c r="X388" i="1"/>
  <c r="W388" i="1"/>
  <c r="AK387" i="1"/>
  <c r="AL387" i="1" s="1"/>
  <c r="AM387" i="1" s="1"/>
  <c r="AA387" i="1"/>
  <c r="Z387" i="1"/>
  <c r="Y387" i="1"/>
  <c r="X387" i="1"/>
  <c r="W387" i="1"/>
  <c r="AK386" i="1"/>
  <c r="AL386" i="1" s="1"/>
  <c r="AM386" i="1" s="1"/>
  <c r="AA386" i="1"/>
  <c r="Z386" i="1"/>
  <c r="Y386" i="1"/>
  <c r="X386" i="1"/>
  <c r="W386" i="1"/>
  <c r="AK385" i="1"/>
  <c r="AL385" i="1" s="1"/>
  <c r="AM385" i="1" s="1"/>
  <c r="AA385" i="1"/>
  <c r="Z385" i="1"/>
  <c r="Y385" i="1"/>
  <c r="X385" i="1"/>
  <c r="W385" i="1"/>
  <c r="AK384" i="1"/>
  <c r="AL384" i="1" s="1"/>
  <c r="AM384" i="1" s="1"/>
  <c r="AA384" i="1"/>
  <c r="Z384" i="1"/>
  <c r="Y384" i="1"/>
  <c r="X384" i="1"/>
  <c r="W384" i="1"/>
  <c r="AK383" i="1"/>
  <c r="AL383" i="1" s="1"/>
  <c r="AM383" i="1" s="1"/>
  <c r="AA383" i="1"/>
  <c r="Z383" i="1"/>
  <c r="Y383" i="1"/>
  <c r="X383" i="1"/>
  <c r="W383" i="1"/>
  <c r="AK382" i="1"/>
  <c r="AL382" i="1" s="1"/>
  <c r="AM382" i="1" s="1"/>
  <c r="AA382" i="1"/>
  <c r="Z382" i="1"/>
  <c r="Y382" i="1"/>
  <c r="X382" i="1"/>
  <c r="W382" i="1"/>
  <c r="AK381" i="1"/>
  <c r="AL381" i="1" s="1"/>
  <c r="AM381" i="1" s="1"/>
  <c r="AA381" i="1"/>
  <c r="Z381" i="1"/>
  <c r="Y381" i="1"/>
  <c r="X381" i="1"/>
  <c r="W381" i="1"/>
  <c r="AK380" i="1"/>
  <c r="AL380" i="1" s="1"/>
  <c r="AM380" i="1" s="1"/>
  <c r="AA380" i="1"/>
  <c r="Z380" i="1"/>
  <c r="Y380" i="1"/>
  <c r="X380" i="1"/>
  <c r="W380" i="1"/>
  <c r="AK379" i="1"/>
  <c r="AL379" i="1" s="1"/>
  <c r="AM379" i="1" s="1"/>
  <c r="AA379" i="1"/>
  <c r="Z379" i="1"/>
  <c r="Y379" i="1"/>
  <c r="X379" i="1"/>
  <c r="W379" i="1"/>
  <c r="AK378" i="1"/>
  <c r="AL378" i="1" s="1"/>
  <c r="AM378" i="1" s="1"/>
  <c r="AA378" i="1"/>
  <c r="Z378" i="1"/>
  <c r="Y378" i="1"/>
  <c r="X378" i="1"/>
  <c r="W378" i="1"/>
  <c r="AK377" i="1"/>
  <c r="AL377" i="1" s="1"/>
  <c r="AM377" i="1" s="1"/>
  <c r="AA377" i="1"/>
  <c r="Z377" i="1"/>
  <c r="Y377" i="1"/>
  <c r="X377" i="1"/>
  <c r="W377" i="1"/>
  <c r="AK376" i="1"/>
  <c r="AL376" i="1" s="1"/>
  <c r="AM376" i="1" s="1"/>
  <c r="AA376" i="1"/>
  <c r="Z376" i="1"/>
  <c r="Y376" i="1"/>
  <c r="X376" i="1"/>
  <c r="W376" i="1"/>
  <c r="AK375" i="1"/>
  <c r="AL375" i="1" s="1"/>
  <c r="AM375" i="1" s="1"/>
  <c r="AA375" i="1"/>
  <c r="Z375" i="1"/>
  <c r="Y375" i="1"/>
  <c r="X375" i="1"/>
  <c r="W375" i="1"/>
  <c r="AK374" i="1"/>
  <c r="AL374" i="1" s="1"/>
  <c r="AM374" i="1" s="1"/>
  <c r="AA374" i="1"/>
  <c r="Z374" i="1"/>
  <c r="Y374" i="1"/>
  <c r="X374" i="1"/>
  <c r="W374" i="1"/>
  <c r="AK373" i="1"/>
  <c r="AL373" i="1" s="1"/>
  <c r="AM373" i="1" s="1"/>
  <c r="AA373" i="1"/>
  <c r="Z373" i="1"/>
  <c r="Y373" i="1"/>
  <c r="X373" i="1"/>
  <c r="W373" i="1"/>
  <c r="AK372" i="1"/>
  <c r="AL372" i="1" s="1"/>
  <c r="AM372" i="1" s="1"/>
  <c r="AA372" i="1"/>
  <c r="Z372" i="1"/>
  <c r="Y372" i="1"/>
  <c r="X372" i="1"/>
  <c r="W372" i="1"/>
  <c r="AK371" i="1"/>
  <c r="AL371" i="1" s="1"/>
  <c r="AM371" i="1" s="1"/>
  <c r="AA371" i="1"/>
  <c r="Z371" i="1"/>
  <c r="Y371" i="1"/>
  <c r="X371" i="1"/>
  <c r="W371" i="1"/>
  <c r="AK370" i="1"/>
  <c r="AL370" i="1" s="1"/>
  <c r="AM370" i="1" s="1"/>
  <c r="AA370" i="1"/>
  <c r="Z370" i="1"/>
  <c r="Y370" i="1"/>
  <c r="X370" i="1"/>
  <c r="W370" i="1"/>
  <c r="AK369" i="1"/>
  <c r="AL369" i="1" s="1"/>
  <c r="AM369" i="1" s="1"/>
  <c r="AA369" i="1"/>
  <c r="Z369" i="1"/>
  <c r="Y369" i="1"/>
  <c r="X369" i="1"/>
  <c r="W369" i="1"/>
  <c r="AK368" i="1"/>
  <c r="AL368" i="1" s="1"/>
  <c r="AM368" i="1" s="1"/>
  <c r="AA368" i="1"/>
  <c r="Z368" i="1"/>
  <c r="Y368" i="1"/>
  <c r="X368" i="1"/>
  <c r="W368" i="1"/>
  <c r="AK367" i="1"/>
  <c r="AL367" i="1" s="1"/>
  <c r="AM367" i="1" s="1"/>
  <c r="AA367" i="1"/>
  <c r="Z367" i="1"/>
  <c r="Y367" i="1"/>
  <c r="X367" i="1"/>
  <c r="W367" i="1"/>
  <c r="AK366" i="1"/>
  <c r="AL366" i="1" s="1"/>
  <c r="AM366" i="1" s="1"/>
  <c r="AA366" i="1"/>
  <c r="Z366" i="1"/>
  <c r="Y366" i="1"/>
  <c r="X366" i="1"/>
  <c r="W366" i="1"/>
  <c r="AK365" i="1"/>
  <c r="AL365" i="1" s="1"/>
  <c r="AM365" i="1" s="1"/>
  <c r="AA365" i="1"/>
  <c r="Z365" i="1"/>
  <c r="Y365" i="1"/>
  <c r="X365" i="1"/>
  <c r="W365" i="1"/>
  <c r="AK364" i="1"/>
  <c r="AL364" i="1" s="1"/>
  <c r="AM364" i="1" s="1"/>
  <c r="AA364" i="1"/>
  <c r="Z364" i="1"/>
  <c r="Y364" i="1"/>
  <c r="X364" i="1"/>
  <c r="W364" i="1"/>
  <c r="AK363" i="1"/>
  <c r="AL363" i="1" s="1"/>
  <c r="AM363" i="1" s="1"/>
  <c r="AA363" i="1"/>
  <c r="Z363" i="1"/>
  <c r="Y363" i="1"/>
  <c r="X363" i="1"/>
  <c r="W363" i="1"/>
  <c r="AL362" i="1"/>
  <c r="AM362" i="1" s="1"/>
  <c r="AK362" i="1"/>
  <c r="AA362" i="1"/>
  <c r="Z362" i="1"/>
  <c r="Y362" i="1"/>
  <c r="X362" i="1"/>
  <c r="W362" i="1"/>
  <c r="AK361" i="1"/>
  <c r="AL361" i="1" s="1"/>
  <c r="AM361" i="1" s="1"/>
  <c r="AA361" i="1"/>
  <c r="Z361" i="1"/>
  <c r="Y361" i="1"/>
  <c r="X361" i="1"/>
  <c r="W361" i="1"/>
  <c r="AL360" i="1"/>
  <c r="AM360" i="1" s="1"/>
  <c r="AK360" i="1"/>
  <c r="AA360" i="1"/>
  <c r="Z360" i="1"/>
  <c r="Y360" i="1"/>
  <c r="X360" i="1"/>
  <c r="W360" i="1"/>
  <c r="AK359" i="1"/>
  <c r="AL359" i="1" s="1"/>
  <c r="AM359" i="1" s="1"/>
  <c r="AA359" i="1"/>
  <c r="Z359" i="1"/>
  <c r="Y359" i="1"/>
  <c r="X359" i="1"/>
  <c r="W359" i="1"/>
  <c r="AK358" i="1"/>
  <c r="AL358" i="1" s="1"/>
  <c r="AM358" i="1" s="1"/>
  <c r="AA358" i="1"/>
  <c r="Z358" i="1"/>
  <c r="Y358" i="1"/>
  <c r="X358" i="1"/>
  <c r="W358" i="1"/>
  <c r="AK357" i="1"/>
  <c r="AL357" i="1" s="1"/>
  <c r="AM357" i="1" s="1"/>
  <c r="AA357" i="1"/>
  <c r="Z357" i="1"/>
  <c r="Y357" i="1"/>
  <c r="X357" i="1"/>
  <c r="W357" i="1"/>
  <c r="AK356" i="1"/>
  <c r="AL356" i="1" s="1"/>
  <c r="AM356" i="1" s="1"/>
  <c r="AA356" i="1"/>
  <c r="Z356" i="1"/>
  <c r="Y356" i="1"/>
  <c r="X356" i="1"/>
  <c r="W356" i="1"/>
  <c r="AK355" i="1"/>
  <c r="AL355" i="1" s="1"/>
  <c r="AM355" i="1" s="1"/>
  <c r="AA355" i="1"/>
  <c r="Z355" i="1"/>
  <c r="Y355" i="1"/>
  <c r="X355" i="1"/>
  <c r="W355" i="1"/>
  <c r="AK354" i="1"/>
  <c r="AL354" i="1" s="1"/>
  <c r="AM354" i="1" s="1"/>
  <c r="AA354" i="1"/>
  <c r="Z354" i="1"/>
  <c r="Y354" i="1"/>
  <c r="X354" i="1"/>
  <c r="W354" i="1"/>
  <c r="AK353" i="1"/>
  <c r="AL353" i="1" s="1"/>
  <c r="AM353" i="1" s="1"/>
  <c r="AA353" i="1"/>
  <c r="Z353" i="1"/>
  <c r="Y353" i="1"/>
  <c r="X353" i="1"/>
  <c r="C56" i="10" s="1"/>
  <c r="W353" i="1"/>
  <c r="AK352" i="1"/>
  <c r="AL352" i="1" s="1"/>
  <c r="AM352" i="1" s="1"/>
  <c r="AA352" i="1"/>
  <c r="Z352" i="1"/>
  <c r="Y352" i="1"/>
  <c r="X352" i="1"/>
  <c r="W352" i="1"/>
  <c r="AK351" i="1"/>
  <c r="AL351" i="1" s="1"/>
  <c r="AM351" i="1" s="1"/>
  <c r="AA351" i="1"/>
  <c r="Z351" i="1"/>
  <c r="Y351" i="1"/>
  <c r="X351" i="1"/>
  <c r="W351" i="1"/>
  <c r="AK350" i="1"/>
  <c r="AL350" i="1" s="1"/>
  <c r="AM350" i="1" s="1"/>
  <c r="AA350" i="1"/>
  <c r="Z350" i="1"/>
  <c r="Y350" i="1"/>
  <c r="X350" i="1"/>
  <c r="W350" i="1"/>
  <c r="AK349" i="1"/>
  <c r="AL349" i="1" s="1"/>
  <c r="AM349" i="1" s="1"/>
  <c r="AA349" i="1"/>
  <c r="Z349" i="1"/>
  <c r="Y349" i="1"/>
  <c r="X349" i="1"/>
  <c r="W349" i="1"/>
  <c r="AK348" i="1"/>
  <c r="AL348" i="1" s="1"/>
  <c r="AM348" i="1" s="1"/>
  <c r="AA348" i="1"/>
  <c r="Z348" i="1"/>
  <c r="Y348" i="1"/>
  <c r="X348" i="1"/>
  <c r="W348" i="1"/>
  <c r="AK347" i="1"/>
  <c r="AL347" i="1" s="1"/>
  <c r="AM347" i="1" s="1"/>
  <c r="AA347" i="1"/>
  <c r="Z347" i="1"/>
  <c r="Y347" i="1"/>
  <c r="X347" i="1"/>
  <c r="W347" i="1"/>
  <c r="AK346" i="1"/>
  <c r="AL346" i="1" s="1"/>
  <c r="AM346" i="1" s="1"/>
  <c r="AA346" i="1"/>
  <c r="Z346" i="1"/>
  <c r="Y346" i="1"/>
  <c r="X346" i="1"/>
  <c r="W346" i="1"/>
  <c r="AK345" i="1"/>
  <c r="AL345" i="1" s="1"/>
  <c r="AM345" i="1" s="1"/>
  <c r="AA345" i="1"/>
  <c r="Z345" i="1"/>
  <c r="Y345" i="1"/>
  <c r="X345" i="1"/>
  <c r="W345" i="1"/>
  <c r="AK344" i="1"/>
  <c r="AL344" i="1" s="1"/>
  <c r="AM344" i="1" s="1"/>
  <c r="AA344" i="1"/>
  <c r="Z344" i="1"/>
  <c r="Y344" i="1"/>
  <c r="X344" i="1"/>
  <c r="W344" i="1"/>
  <c r="AK343" i="1"/>
  <c r="AL343" i="1" s="1"/>
  <c r="AM343" i="1" s="1"/>
  <c r="AA343" i="1"/>
  <c r="Z343" i="1"/>
  <c r="Y343" i="1"/>
  <c r="X343" i="1"/>
  <c r="W343" i="1"/>
  <c r="AK342" i="1"/>
  <c r="AL342" i="1" s="1"/>
  <c r="AM342" i="1" s="1"/>
  <c r="AA342" i="1"/>
  <c r="Z342" i="1"/>
  <c r="Y342" i="1"/>
  <c r="X342" i="1"/>
  <c r="W342" i="1"/>
  <c r="AK341" i="1"/>
  <c r="AL341" i="1" s="1"/>
  <c r="AM341" i="1" s="1"/>
  <c r="AA341" i="1"/>
  <c r="Z341" i="1"/>
  <c r="Y341" i="1"/>
  <c r="X341" i="1"/>
  <c r="W341" i="1"/>
  <c r="AK340" i="1"/>
  <c r="AL340" i="1" s="1"/>
  <c r="AM340" i="1" s="1"/>
  <c r="AA340" i="1"/>
  <c r="Z340" i="1"/>
  <c r="Y340" i="1"/>
  <c r="X340" i="1"/>
  <c r="W340" i="1"/>
  <c r="AK339" i="1"/>
  <c r="AL339" i="1" s="1"/>
  <c r="AM339" i="1" s="1"/>
  <c r="AA339" i="1"/>
  <c r="Z339" i="1"/>
  <c r="Y339" i="1"/>
  <c r="X339" i="1"/>
  <c r="W339" i="1"/>
  <c r="AK338" i="1"/>
  <c r="AL338" i="1" s="1"/>
  <c r="AM338" i="1" s="1"/>
  <c r="AA338" i="1"/>
  <c r="Z338" i="1"/>
  <c r="Y338" i="1"/>
  <c r="X338" i="1"/>
  <c r="W338" i="1"/>
  <c r="AK337" i="1"/>
  <c r="AL337" i="1" s="1"/>
  <c r="AM337" i="1" s="1"/>
  <c r="AA337" i="1"/>
  <c r="Z337" i="1"/>
  <c r="Y337" i="1"/>
  <c r="X337" i="1"/>
  <c r="W337" i="1"/>
  <c r="AK336" i="1"/>
  <c r="AL336" i="1" s="1"/>
  <c r="AM336" i="1" s="1"/>
  <c r="AA336" i="1"/>
  <c r="Z336" i="1"/>
  <c r="Y336" i="1"/>
  <c r="X336" i="1"/>
  <c r="W336" i="1"/>
  <c r="AK335" i="1"/>
  <c r="AL335" i="1" s="1"/>
  <c r="AM335" i="1" s="1"/>
  <c r="AA335" i="1"/>
  <c r="Z335" i="1"/>
  <c r="Y335" i="1"/>
  <c r="X335" i="1"/>
  <c r="W335" i="1"/>
  <c r="AK334" i="1"/>
  <c r="AL334" i="1" s="1"/>
  <c r="AM334" i="1" s="1"/>
  <c r="AA334" i="1"/>
  <c r="Z334" i="1"/>
  <c r="Y334" i="1"/>
  <c r="X334" i="1"/>
  <c r="W334" i="1"/>
  <c r="AK333" i="1"/>
  <c r="AL333" i="1" s="1"/>
  <c r="AM333" i="1" s="1"/>
  <c r="AA333" i="1"/>
  <c r="Z333" i="1"/>
  <c r="Y333" i="1"/>
  <c r="X333" i="1"/>
  <c r="W333" i="1"/>
  <c r="AK332" i="1"/>
  <c r="AL332" i="1" s="1"/>
  <c r="AM332" i="1" s="1"/>
  <c r="AA332" i="1"/>
  <c r="Z332" i="1"/>
  <c r="Y332" i="1"/>
  <c r="X332" i="1"/>
  <c r="W332" i="1"/>
  <c r="AK331" i="1"/>
  <c r="AL331" i="1" s="1"/>
  <c r="AM331" i="1" s="1"/>
  <c r="AA331" i="1"/>
  <c r="Z331" i="1"/>
  <c r="Y331" i="1"/>
  <c r="X331" i="1"/>
  <c r="W331" i="1"/>
  <c r="AK330" i="1"/>
  <c r="AL330" i="1" s="1"/>
  <c r="AM330" i="1" s="1"/>
  <c r="AA330" i="1"/>
  <c r="Z330" i="1"/>
  <c r="Y330" i="1"/>
  <c r="X330" i="1"/>
  <c r="W330" i="1"/>
  <c r="AK329" i="1"/>
  <c r="AL329" i="1" s="1"/>
  <c r="AM329" i="1" s="1"/>
  <c r="AA329" i="1"/>
  <c r="Z329" i="1"/>
  <c r="Y329" i="1"/>
  <c r="X329" i="1"/>
  <c r="W329" i="1"/>
  <c r="AK328" i="1"/>
  <c r="AL328" i="1" s="1"/>
  <c r="AM328" i="1" s="1"/>
  <c r="AA328" i="1"/>
  <c r="Z328" i="1"/>
  <c r="Y328" i="1"/>
  <c r="X328" i="1"/>
  <c r="W328" i="1"/>
  <c r="AK327" i="1"/>
  <c r="AL327" i="1" s="1"/>
  <c r="AM327" i="1" s="1"/>
  <c r="AA327" i="1"/>
  <c r="Z327" i="1"/>
  <c r="Y327" i="1"/>
  <c r="X327" i="1"/>
  <c r="W327" i="1"/>
  <c r="AK326" i="1"/>
  <c r="AL326" i="1" s="1"/>
  <c r="AM326" i="1" s="1"/>
  <c r="AA326" i="1"/>
  <c r="Z326" i="1"/>
  <c r="Y326" i="1"/>
  <c r="X326" i="1"/>
  <c r="W326" i="1"/>
  <c r="AK325" i="1"/>
  <c r="AL325" i="1" s="1"/>
  <c r="AM325" i="1" s="1"/>
  <c r="AA325" i="1"/>
  <c r="Z325" i="1"/>
  <c r="Y325" i="1"/>
  <c r="X325" i="1"/>
  <c r="W325" i="1"/>
  <c r="AK324" i="1"/>
  <c r="AL324" i="1" s="1"/>
  <c r="AM324" i="1" s="1"/>
  <c r="AA324" i="1"/>
  <c r="Z324" i="1"/>
  <c r="Y324" i="1"/>
  <c r="X324" i="1"/>
  <c r="W324" i="1"/>
  <c r="AK323" i="1"/>
  <c r="AL323" i="1" s="1"/>
  <c r="AM323" i="1" s="1"/>
  <c r="AA323" i="1"/>
  <c r="Z323" i="1"/>
  <c r="Y323" i="1"/>
  <c r="X323" i="1"/>
  <c r="W323" i="1"/>
  <c r="AK322" i="1"/>
  <c r="AL322" i="1" s="1"/>
  <c r="AM322" i="1" s="1"/>
  <c r="AA322" i="1"/>
  <c r="Z322" i="1"/>
  <c r="Y322" i="1"/>
  <c r="X322" i="1"/>
  <c r="W322" i="1"/>
  <c r="AK321" i="1"/>
  <c r="AL321" i="1" s="1"/>
  <c r="AM321" i="1" s="1"/>
  <c r="AA321" i="1"/>
  <c r="Z321" i="1"/>
  <c r="Y321" i="1"/>
  <c r="X321" i="1"/>
  <c r="W321" i="1"/>
  <c r="AK320" i="1"/>
  <c r="AL320" i="1" s="1"/>
  <c r="AM320" i="1" s="1"/>
  <c r="AA320" i="1"/>
  <c r="Z320" i="1"/>
  <c r="Y320" i="1"/>
  <c r="X320" i="1"/>
  <c r="W320" i="1"/>
  <c r="AK319" i="1"/>
  <c r="AL319" i="1" s="1"/>
  <c r="AM319" i="1" s="1"/>
  <c r="AA319" i="1"/>
  <c r="Z319" i="1"/>
  <c r="Y319" i="1"/>
  <c r="X319" i="1"/>
  <c r="W319" i="1"/>
  <c r="AK318" i="1"/>
  <c r="AL318" i="1" s="1"/>
  <c r="AM318" i="1" s="1"/>
  <c r="AA318" i="1"/>
  <c r="Z318" i="1"/>
  <c r="Y318" i="1"/>
  <c r="X318" i="1"/>
  <c r="W318" i="1"/>
  <c r="AK317" i="1"/>
  <c r="AL317" i="1" s="1"/>
  <c r="AM317" i="1" s="1"/>
  <c r="AA317" i="1"/>
  <c r="Z317" i="1"/>
  <c r="Y317" i="1"/>
  <c r="X317" i="1"/>
  <c r="W317" i="1"/>
  <c r="AK316" i="1"/>
  <c r="AL316" i="1" s="1"/>
  <c r="AM316" i="1" s="1"/>
  <c r="AA316" i="1"/>
  <c r="Z316" i="1"/>
  <c r="Y316" i="1"/>
  <c r="X316" i="1"/>
  <c r="W316" i="1"/>
  <c r="AK315" i="1"/>
  <c r="AL315" i="1" s="1"/>
  <c r="AM315" i="1" s="1"/>
  <c r="AA315" i="1"/>
  <c r="Z315" i="1"/>
  <c r="Y315" i="1"/>
  <c r="X315" i="1"/>
  <c r="W315" i="1"/>
  <c r="AK314" i="1"/>
  <c r="AL314" i="1" s="1"/>
  <c r="AM314" i="1" s="1"/>
  <c r="AA314" i="1"/>
  <c r="Z314" i="1"/>
  <c r="Y314" i="1"/>
  <c r="X314" i="1"/>
  <c r="W314" i="1"/>
  <c r="AK313" i="1"/>
  <c r="AL313" i="1" s="1"/>
  <c r="AM313" i="1" s="1"/>
  <c r="AA313" i="1"/>
  <c r="Z313" i="1"/>
  <c r="Y313" i="1"/>
  <c r="X313" i="1"/>
  <c r="W313" i="1"/>
  <c r="AK312" i="1"/>
  <c r="AL312" i="1" s="1"/>
  <c r="AM312" i="1" s="1"/>
  <c r="AA312" i="1"/>
  <c r="Z312" i="1"/>
  <c r="Y312" i="1"/>
  <c r="X312" i="1"/>
  <c r="W312" i="1"/>
  <c r="AK311" i="1"/>
  <c r="AL311" i="1" s="1"/>
  <c r="AM311" i="1" s="1"/>
  <c r="AA311" i="1"/>
  <c r="Z311" i="1"/>
  <c r="Y311" i="1"/>
  <c r="X311" i="1"/>
  <c r="W311" i="1"/>
  <c r="AK310" i="1"/>
  <c r="AL310" i="1" s="1"/>
  <c r="AM310" i="1" s="1"/>
  <c r="AA310" i="1"/>
  <c r="Z310" i="1"/>
  <c r="Y310" i="1"/>
  <c r="X310" i="1"/>
  <c r="W310" i="1"/>
  <c r="AK309" i="1"/>
  <c r="AL309" i="1" s="1"/>
  <c r="AM309" i="1" s="1"/>
  <c r="AA309" i="1"/>
  <c r="Z309" i="1"/>
  <c r="Y309" i="1"/>
  <c r="X309" i="1"/>
  <c r="W309" i="1"/>
  <c r="AK308" i="1"/>
  <c r="AL308" i="1" s="1"/>
  <c r="AM308" i="1" s="1"/>
  <c r="AA308" i="1"/>
  <c r="Z308" i="1"/>
  <c r="Y308" i="1"/>
  <c r="X308" i="1"/>
  <c r="W308" i="1"/>
  <c r="AK307" i="1"/>
  <c r="AL307" i="1" s="1"/>
  <c r="AM307" i="1" s="1"/>
  <c r="AA307" i="1"/>
  <c r="Z307" i="1"/>
  <c r="Y307" i="1"/>
  <c r="X307" i="1"/>
  <c r="W307" i="1"/>
  <c r="AK306" i="1"/>
  <c r="AL306" i="1" s="1"/>
  <c r="AM306" i="1" s="1"/>
  <c r="AA306" i="1"/>
  <c r="Z306" i="1"/>
  <c r="Y306" i="1"/>
  <c r="X306" i="1"/>
  <c r="W306" i="1"/>
  <c r="AK305" i="1"/>
  <c r="AL305" i="1" s="1"/>
  <c r="AM305" i="1" s="1"/>
  <c r="AA305" i="1"/>
  <c r="Z305" i="1"/>
  <c r="Y305" i="1"/>
  <c r="X305" i="1"/>
  <c r="W305" i="1"/>
  <c r="AK304" i="1"/>
  <c r="AL304" i="1" s="1"/>
  <c r="AM304" i="1" s="1"/>
  <c r="AA304" i="1"/>
  <c r="Z304" i="1"/>
  <c r="Y304" i="1"/>
  <c r="X304" i="1"/>
  <c r="W304" i="1"/>
  <c r="AK303" i="1"/>
  <c r="AL303" i="1" s="1"/>
  <c r="AM303" i="1" s="1"/>
  <c r="AA303" i="1"/>
  <c r="Z303" i="1"/>
  <c r="Y303" i="1"/>
  <c r="X303" i="1"/>
  <c r="W303" i="1"/>
  <c r="AK302" i="1"/>
  <c r="AL302" i="1" s="1"/>
  <c r="AM302" i="1" s="1"/>
  <c r="AA302" i="1"/>
  <c r="Z302" i="1"/>
  <c r="Y302" i="1"/>
  <c r="X302" i="1"/>
  <c r="W302" i="1"/>
  <c r="AK301" i="1"/>
  <c r="AL301" i="1" s="1"/>
  <c r="AM301" i="1" s="1"/>
  <c r="AA301" i="1"/>
  <c r="Z301" i="1"/>
  <c r="Y301" i="1"/>
  <c r="X301" i="1"/>
  <c r="W301" i="1"/>
  <c r="AK300" i="1"/>
  <c r="AL300" i="1" s="1"/>
  <c r="AM300" i="1" s="1"/>
  <c r="AA300" i="1"/>
  <c r="Z300" i="1"/>
  <c r="Y300" i="1"/>
  <c r="X300" i="1"/>
  <c r="W300" i="1"/>
  <c r="AL299" i="1"/>
  <c r="AM299" i="1" s="1"/>
  <c r="AK299" i="1"/>
  <c r="AA299" i="1"/>
  <c r="Z299" i="1"/>
  <c r="Y299" i="1"/>
  <c r="X299" i="1"/>
  <c r="W299" i="1"/>
  <c r="AK298" i="1"/>
  <c r="AL298" i="1" s="1"/>
  <c r="AM298" i="1" s="1"/>
  <c r="AA298" i="1"/>
  <c r="Z298" i="1"/>
  <c r="Y298" i="1"/>
  <c r="X298" i="1"/>
  <c r="W298" i="1"/>
  <c r="AK297" i="1"/>
  <c r="AL297" i="1" s="1"/>
  <c r="AM297" i="1" s="1"/>
  <c r="AA297" i="1"/>
  <c r="Z297" i="1"/>
  <c r="Y297" i="1"/>
  <c r="X297" i="1"/>
  <c r="W297" i="1"/>
  <c r="AK296" i="1"/>
  <c r="AL296" i="1" s="1"/>
  <c r="AM296" i="1" s="1"/>
  <c r="AA296" i="1"/>
  <c r="Z296" i="1"/>
  <c r="Y296" i="1"/>
  <c r="X296" i="1"/>
  <c r="W296" i="1"/>
  <c r="AK295" i="1"/>
  <c r="AL295" i="1" s="1"/>
  <c r="AM295" i="1" s="1"/>
  <c r="AA295" i="1"/>
  <c r="Z295" i="1"/>
  <c r="Y295" i="1"/>
  <c r="X295" i="1"/>
  <c r="W295" i="1"/>
  <c r="AK294" i="1"/>
  <c r="AL294" i="1" s="1"/>
  <c r="AM294" i="1" s="1"/>
  <c r="AA294" i="1"/>
  <c r="Z294" i="1"/>
  <c r="Y294" i="1"/>
  <c r="X294" i="1"/>
  <c r="W294" i="1"/>
  <c r="AK293" i="1"/>
  <c r="AL293" i="1" s="1"/>
  <c r="AM293" i="1" s="1"/>
  <c r="AA293" i="1"/>
  <c r="Z293" i="1"/>
  <c r="Y293" i="1"/>
  <c r="X293" i="1"/>
  <c r="W293" i="1"/>
  <c r="AK292" i="1"/>
  <c r="AL292" i="1" s="1"/>
  <c r="AM292" i="1" s="1"/>
  <c r="AA292" i="1"/>
  <c r="Z292" i="1"/>
  <c r="Y292" i="1"/>
  <c r="X292" i="1"/>
  <c r="W292" i="1"/>
  <c r="AK291" i="1"/>
  <c r="AL291" i="1" s="1"/>
  <c r="AM291" i="1" s="1"/>
  <c r="AA291" i="1"/>
  <c r="Z291" i="1"/>
  <c r="Y291" i="1"/>
  <c r="X291" i="1"/>
  <c r="W291" i="1"/>
  <c r="AK290" i="1"/>
  <c r="AL290" i="1" s="1"/>
  <c r="AM290" i="1" s="1"/>
  <c r="AA290" i="1"/>
  <c r="Z290" i="1"/>
  <c r="Y290" i="1"/>
  <c r="X290" i="1"/>
  <c r="W290" i="1"/>
  <c r="AK289" i="1"/>
  <c r="AL289" i="1" s="1"/>
  <c r="AM289" i="1" s="1"/>
  <c r="AA289" i="1"/>
  <c r="Z289" i="1"/>
  <c r="Y289" i="1"/>
  <c r="X289" i="1"/>
  <c r="W289" i="1"/>
  <c r="AK288" i="1"/>
  <c r="AL288" i="1" s="1"/>
  <c r="AM288" i="1" s="1"/>
  <c r="AA288" i="1"/>
  <c r="Z288" i="1"/>
  <c r="Y288" i="1"/>
  <c r="X288" i="1"/>
  <c r="W288" i="1"/>
  <c r="AK287" i="1"/>
  <c r="AL287" i="1" s="1"/>
  <c r="AM287" i="1" s="1"/>
  <c r="AA287" i="1"/>
  <c r="Z287" i="1"/>
  <c r="Y287" i="1"/>
  <c r="X287" i="1"/>
  <c r="W287" i="1"/>
  <c r="AK286" i="1"/>
  <c r="AL286" i="1" s="1"/>
  <c r="AM286" i="1" s="1"/>
  <c r="AA286" i="1"/>
  <c r="Z286" i="1"/>
  <c r="Y286" i="1"/>
  <c r="X286" i="1"/>
  <c r="W286" i="1"/>
  <c r="AK285" i="1"/>
  <c r="AL285" i="1" s="1"/>
  <c r="AM285" i="1" s="1"/>
  <c r="AA285" i="1"/>
  <c r="Z285" i="1"/>
  <c r="Y285" i="1"/>
  <c r="X285" i="1"/>
  <c r="W285" i="1"/>
  <c r="AK284" i="1"/>
  <c r="AL284" i="1" s="1"/>
  <c r="AM284" i="1" s="1"/>
  <c r="AA284" i="1"/>
  <c r="Z284" i="1"/>
  <c r="Y284" i="1"/>
  <c r="X284" i="1"/>
  <c r="W284" i="1"/>
  <c r="AK283" i="1"/>
  <c r="AL283" i="1" s="1"/>
  <c r="AM283" i="1" s="1"/>
  <c r="AA283" i="1"/>
  <c r="Z283" i="1"/>
  <c r="Y283" i="1"/>
  <c r="X283" i="1"/>
  <c r="W283" i="1"/>
  <c r="AK282" i="1"/>
  <c r="AL282" i="1" s="1"/>
  <c r="AM282" i="1" s="1"/>
  <c r="AA282" i="1"/>
  <c r="Z282" i="1"/>
  <c r="Y282" i="1"/>
  <c r="X282" i="1"/>
  <c r="W282" i="1"/>
  <c r="AK281" i="1"/>
  <c r="AL281" i="1" s="1"/>
  <c r="AM281" i="1" s="1"/>
  <c r="AA281" i="1"/>
  <c r="Z281" i="1"/>
  <c r="Y281" i="1"/>
  <c r="X281" i="1"/>
  <c r="W281" i="1"/>
  <c r="AK280" i="1"/>
  <c r="AL280" i="1" s="1"/>
  <c r="AM280" i="1" s="1"/>
  <c r="AA280" i="1"/>
  <c r="Z280" i="1"/>
  <c r="Y280" i="1"/>
  <c r="X280" i="1"/>
  <c r="W280" i="1"/>
  <c r="AK279" i="1"/>
  <c r="AL279" i="1" s="1"/>
  <c r="AM279" i="1" s="1"/>
  <c r="AA279" i="1"/>
  <c r="Z279" i="1"/>
  <c r="Y279" i="1"/>
  <c r="X279" i="1"/>
  <c r="C27" i="10" s="1"/>
  <c r="W279" i="1"/>
  <c r="B27" i="10" s="1"/>
  <c r="AK278" i="1"/>
  <c r="AL278" i="1" s="1"/>
  <c r="AM278" i="1" s="1"/>
  <c r="AA278" i="1"/>
  <c r="Z278" i="1"/>
  <c r="E26" i="10" s="1"/>
  <c r="Y278" i="1"/>
  <c r="D26" i="10" s="1"/>
  <c r="X278" i="1"/>
  <c r="W278" i="1"/>
  <c r="B26" i="10" s="1"/>
  <c r="AK277" i="1"/>
  <c r="AL277" i="1" s="1"/>
  <c r="AM277" i="1" s="1"/>
  <c r="AA277" i="1"/>
  <c r="F25" i="10" s="1"/>
  <c r="Z277" i="1"/>
  <c r="E25" i="10" s="1"/>
  <c r="Y277" i="1"/>
  <c r="X277" i="1"/>
  <c r="C25" i="10" s="1"/>
  <c r="W277" i="1"/>
  <c r="AK276" i="1"/>
  <c r="AL276" i="1" s="1"/>
  <c r="AM276" i="1" s="1"/>
  <c r="AA276" i="1"/>
  <c r="Z276" i="1"/>
  <c r="Y276" i="1"/>
  <c r="X276" i="1"/>
  <c r="W276" i="1"/>
  <c r="AK275" i="1"/>
  <c r="AL275" i="1" s="1"/>
  <c r="AM275" i="1" s="1"/>
  <c r="AA275" i="1"/>
  <c r="Z275" i="1"/>
  <c r="Y275" i="1"/>
  <c r="X275" i="1"/>
  <c r="W275" i="1"/>
  <c r="AK274" i="1"/>
  <c r="AL274" i="1" s="1"/>
  <c r="AM274" i="1" s="1"/>
  <c r="AA274" i="1"/>
  <c r="Z274" i="1"/>
  <c r="Y274" i="1"/>
  <c r="X274" i="1"/>
  <c r="W274" i="1"/>
  <c r="AK273" i="1"/>
  <c r="AL273" i="1" s="1"/>
  <c r="AM273" i="1" s="1"/>
  <c r="AA273" i="1"/>
  <c r="Z273" i="1"/>
  <c r="Y273" i="1"/>
  <c r="X273" i="1"/>
  <c r="W273" i="1"/>
  <c r="AK272" i="1"/>
  <c r="AL272" i="1" s="1"/>
  <c r="AM272" i="1" s="1"/>
  <c r="AA272" i="1"/>
  <c r="Z272" i="1"/>
  <c r="Y272" i="1"/>
  <c r="X272" i="1"/>
  <c r="W272" i="1"/>
  <c r="AK271" i="1"/>
  <c r="AL271" i="1" s="1"/>
  <c r="AM271" i="1" s="1"/>
  <c r="AA271" i="1"/>
  <c r="Z271" i="1"/>
  <c r="Y271" i="1"/>
  <c r="X271" i="1"/>
  <c r="W271" i="1"/>
  <c r="AK270" i="1"/>
  <c r="AL270" i="1" s="1"/>
  <c r="AM270" i="1" s="1"/>
  <c r="AA270" i="1"/>
  <c r="Z270" i="1"/>
  <c r="Y270" i="1"/>
  <c r="X270" i="1"/>
  <c r="W270" i="1"/>
  <c r="AK269" i="1"/>
  <c r="AL269" i="1" s="1"/>
  <c r="AM269" i="1" s="1"/>
  <c r="AA269" i="1"/>
  <c r="Z269" i="1"/>
  <c r="Y269" i="1"/>
  <c r="X269" i="1"/>
  <c r="W269" i="1"/>
  <c r="AK268" i="1"/>
  <c r="AL268" i="1" s="1"/>
  <c r="AM268" i="1" s="1"/>
  <c r="AA268" i="1"/>
  <c r="Z268" i="1"/>
  <c r="Y268" i="1"/>
  <c r="X268" i="1"/>
  <c r="W268" i="1"/>
  <c r="AK267" i="1"/>
  <c r="AL267" i="1" s="1"/>
  <c r="AM267" i="1" s="1"/>
  <c r="AA267" i="1"/>
  <c r="Z267" i="1"/>
  <c r="Y267" i="1"/>
  <c r="X267" i="1"/>
  <c r="W267" i="1"/>
  <c r="AK266" i="1"/>
  <c r="AL266" i="1" s="1"/>
  <c r="AM266" i="1" s="1"/>
  <c r="AA266" i="1"/>
  <c r="Z266" i="1"/>
  <c r="Y266" i="1"/>
  <c r="X266" i="1"/>
  <c r="W266" i="1"/>
  <c r="AK265" i="1"/>
  <c r="AL265" i="1" s="1"/>
  <c r="AM265" i="1" s="1"/>
  <c r="AA265" i="1"/>
  <c r="Z265" i="1"/>
  <c r="Y265" i="1"/>
  <c r="X265" i="1"/>
  <c r="W265" i="1"/>
  <c r="AK264" i="1"/>
  <c r="AL264" i="1" s="1"/>
  <c r="AM264" i="1" s="1"/>
  <c r="AA264" i="1"/>
  <c r="Z264" i="1"/>
  <c r="Y264" i="1"/>
  <c r="X264" i="1"/>
  <c r="W264" i="1"/>
  <c r="AK263" i="1"/>
  <c r="AL263" i="1" s="1"/>
  <c r="AM263" i="1" s="1"/>
  <c r="AA263" i="1"/>
  <c r="Z263" i="1"/>
  <c r="Y263" i="1"/>
  <c r="X263" i="1"/>
  <c r="W263" i="1"/>
  <c r="AK262" i="1"/>
  <c r="AL262" i="1" s="1"/>
  <c r="AM262" i="1" s="1"/>
  <c r="AA262" i="1"/>
  <c r="Z262" i="1"/>
  <c r="Y262" i="1"/>
  <c r="X262" i="1"/>
  <c r="W262" i="1"/>
  <c r="AK261" i="1"/>
  <c r="AL261" i="1" s="1"/>
  <c r="AM261" i="1" s="1"/>
  <c r="AA261" i="1"/>
  <c r="Z261" i="1"/>
  <c r="Y261" i="1"/>
  <c r="X261" i="1"/>
  <c r="W261" i="1"/>
  <c r="AL260" i="1"/>
  <c r="AM260" i="1" s="1"/>
  <c r="AK260" i="1"/>
  <c r="AA260" i="1"/>
  <c r="Z260" i="1"/>
  <c r="Y260" i="1"/>
  <c r="X260" i="1"/>
  <c r="W260" i="1"/>
  <c r="AK259" i="1"/>
  <c r="AL259" i="1" s="1"/>
  <c r="AM259" i="1" s="1"/>
  <c r="AA259" i="1"/>
  <c r="Z259" i="1"/>
  <c r="Y259" i="1"/>
  <c r="X259" i="1"/>
  <c r="W259" i="1"/>
  <c r="AK258" i="1"/>
  <c r="AL258" i="1" s="1"/>
  <c r="AM258" i="1" s="1"/>
  <c r="AA258" i="1"/>
  <c r="Z258" i="1"/>
  <c r="Y258" i="1"/>
  <c r="X258" i="1"/>
  <c r="W258" i="1"/>
  <c r="AK257" i="1"/>
  <c r="AL257" i="1" s="1"/>
  <c r="AM257" i="1" s="1"/>
  <c r="AA257" i="1"/>
  <c r="Z257" i="1"/>
  <c r="Y257" i="1"/>
  <c r="X257" i="1"/>
  <c r="W257" i="1"/>
  <c r="AK256" i="1"/>
  <c r="AL256" i="1" s="1"/>
  <c r="AM256" i="1" s="1"/>
  <c r="AA256" i="1"/>
  <c r="Z256" i="1"/>
  <c r="Y256" i="1"/>
  <c r="X256" i="1"/>
  <c r="W256" i="1"/>
  <c r="AK255" i="1"/>
  <c r="AL255" i="1" s="1"/>
  <c r="AM255" i="1" s="1"/>
  <c r="AA255" i="1"/>
  <c r="Z255" i="1"/>
  <c r="Y255" i="1"/>
  <c r="X255" i="1"/>
  <c r="W255" i="1"/>
  <c r="AK254" i="1"/>
  <c r="AL254" i="1" s="1"/>
  <c r="AM254" i="1" s="1"/>
  <c r="AA254" i="1"/>
  <c r="Z254" i="1"/>
  <c r="Y254" i="1"/>
  <c r="X254" i="1"/>
  <c r="W254" i="1"/>
  <c r="AK253" i="1"/>
  <c r="AL253" i="1" s="1"/>
  <c r="AM253" i="1" s="1"/>
  <c r="AA253" i="1"/>
  <c r="Z253" i="1"/>
  <c r="Y253" i="1"/>
  <c r="X253" i="1"/>
  <c r="W253" i="1"/>
  <c r="AK252" i="1"/>
  <c r="AL252" i="1" s="1"/>
  <c r="AM252" i="1" s="1"/>
  <c r="AA252" i="1"/>
  <c r="Z252" i="1"/>
  <c r="Y252" i="1"/>
  <c r="X252" i="1"/>
  <c r="W252" i="1"/>
  <c r="AK251" i="1"/>
  <c r="AL251" i="1" s="1"/>
  <c r="AM251" i="1" s="1"/>
  <c r="AA251" i="1"/>
  <c r="Z251" i="1"/>
  <c r="Y251" i="1"/>
  <c r="X251" i="1"/>
  <c r="W251" i="1"/>
  <c r="AK250" i="1"/>
  <c r="AL250" i="1" s="1"/>
  <c r="AM250" i="1" s="1"/>
  <c r="AA250" i="1"/>
  <c r="Z250" i="1"/>
  <c r="Y250" i="1"/>
  <c r="X250" i="1"/>
  <c r="W250" i="1"/>
  <c r="AK249" i="1"/>
  <c r="AL249" i="1" s="1"/>
  <c r="AM249" i="1" s="1"/>
  <c r="AA249" i="1"/>
  <c r="Z249" i="1"/>
  <c r="Y249" i="1"/>
  <c r="X249" i="1"/>
  <c r="W249" i="1"/>
  <c r="AK248" i="1"/>
  <c r="AL248" i="1" s="1"/>
  <c r="AM248" i="1" s="1"/>
  <c r="AA248" i="1"/>
  <c r="Z248" i="1"/>
  <c r="Y248" i="1"/>
  <c r="X248" i="1"/>
  <c r="W248" i="1"/>
  <c r="AL247" i="1"/>
  <c r="AM247" i="1" s="1"/>
  <c r="AK247" i="1"/>
  <c r="AA247" i="1"/>
  <c r="Z247" i="1"/>
  <c r="Y247" i="1"/>
  <c r="X247" i="1"/>
  <c r="W247" i="1"/>
  <c r="AK246" i="1"/>
  <c r="AL246" i="1" s="1"/>
  <c r="AM246" i="1" s="1"/>
  <c r="AA246" i="1"/>
  <c r="Z246" i="1"/>
  <c r="Y246" i="1"/>
  <c r="X246" i="1"/>
  <c r="W246" i="1"/>
  <c r="AK245" i="1"/>
  <c r="AL245" i="1" s="1"/>
  <c r="AM245" i="1" s="1"/>
  <c r="AA245" i="1"/>
  <c r="Z245" i="1"/>
  <c r="Y245" i="1"/>
  <c r="X245" i="1"/>
  <c r="W245" i="1"/>
  <c r="AK244" i="1"/>
  <c r="AL244" i="1" s="1"/>
  <c r="AM244" i="1" s="1"/>
  <c r="AA244" i="1"/>
  <c r="Z244" i="1"/>
  <c r="Y244" i="1"/>
  <c r="X244" i="1"/>
  <c r="W244" i="1"/>
  <c r="AL243" i="1"/>
  <c r="AM243" i="1" s="1"/>
  <c r="AK243" i="1"/>
  <c r="AA243" i="1"/>
  <c r="Z243" i="1"/>
  <c r="Y243" i="1"/>
  <c r="X243" i="1"/>
  <c r="W243" i="1"/>
  <c r="AL242" i="1"/>
  <c r="AM242" i="1" s="1"/>
  <c r="AK242" i="1"/>
  <c r="AA242" i="1"/>
  <c r="Z242" i="1"/>
  <c r="Y242" i="1"/>
  <c r="X242" i="1"/>
  <c r="W242" i="1"/>
  <c r="AK241" i="1"/>
  <c r="AL241" i="1" s="1"/>
  <c r="AM241" i="1" s="1"/>
  <c r="AA241" i="1"/>
  <c r="Z241" i="1"/>
  <c r="Y241" i="1"/>
  <c r="X241" i="1"/>
  <c r="W241" i="1"/>
  <c r="AK240" i="1"/>
  <c r="AL240" i="1" s="1"/>
  <c r="AM240" i="1" s="1"/>
  <c r="AA240" i="1"/>
  <c r="Z240" i="1"/>
  <c r="Y240" i="1"/>
  <c r="X240" i="1"/>
  <c r="W240" i="1"/>
  <c r="AK239" i="1"/>
  <c r="AL239" i="1" s="1"/>
  <c r="AM239" i="1" s="1"/>
  <c r="AA239" i="1"/>
  <c r="Z239" i="1"/>
  <c r="Y239" i="1"/>
  <c r="X239" i="1"/>
  <c r="W239" i="1"/>
  <c r="AK238" i="1"/>
  <c r="AL238" i="1" s="1"/>
  <c r="AM238" i="1" s="1"/>
  <c r="AA238" i="1"/>
  <c r="Z238" i="1"/>
  <c r="Y238" i="1"/>
  <c r="X238" i="1"/>
  <c r="W238" i="1"/>
  <c r="AK237" i="1"/>
  <c r="AL237" i="1" s="1"/>
  <c r="AM237" i="1" s="1"/>
  <c r="AA237" i="1"/>
  <c r="Z237" i="1"/>
  <c r="Y237" i="1"/>
  <c r="X237" i="1"/>
  <c r="W237" i="1"/>
  <c r="AK236" i="1"/>
  <c r="AL236" i="1" s="1"/>
  <c r="AM236" i="1" s="1"/>
  <c r="AA236" i="1"/>
  <c r="Z236" i="1"/>
  <c r="Y236" i="1"/>
  <c r="X236" i="1"/>
  <c r="W236" i="1"/>
  <c r="AL235" i="1"/>
  <c r="AM235" i="1" s="1"/>
  <c r="AK235" i="1"/>
  <c r="AA235" i="1"/>
  <c r="Z235" i="1"/>
  <c r="Y235" i="1"/>
  <c r="X235" i="1"/>
  <c r="W235" i="1"/>
  <c r="AK234" i="1"/>
  <c r="AL234" i="1" s="1"/>
  <c r="AM234" i="1" s="1"/>
  <c r="AA234" i="1"/>
  <c r="Z234" i="1"/>
  <c r="Y234" i="1"/>
  <c r="X234" i="1"/>
  <c r="W234" i="1"/>
  <c r="AK233" i="1"/>
  <c r="AL233" i="1" s="1"/>
  <c r="AM233" i="1" s="1"/>
  <c r="AA233" i="1"/>
  <c r="Z233" i="1"/>
  <c r="Y233" i="1"/>
  <c r="X233" i="1"/>
  <c r="W233" i="1"/>
  <c r="AK232" i="1"/>
  <c r="AL232" i="1" s="1"/>
  <c r="AM232" i="1" s="1"/>
  <c r="AA232" i="1"/>
  <c r="Z232" i="1"/>
  <c r="Y232" i="1"/>
  <c r="X232" i="1"/>
  <c r="W232" i="1"/>
  <c r="AK231" i="1"/>
  <c r="AL231" i="1" s="1"/>
  <c r="AM231" i="1" s="1"/>
  <c r="AA231" i="1"/>
  <c r="Z231" i="1"/>
  <c r="Y231" i="1"/>
  <c r="X231" i="1"/>
  <c r="W231" i="1"/>
  <c r="AK230" i="1"/>
  <c r="AL230" i="1" s="1"/>
  <c r="AM230" i="1" s="1"/>
  <c r="AA230" i="1"/>
  <c r="Z230" i="1"/>
  <c r="Y230" i="1"/>
  <c r="X230" i="1"/>
  <c r="W230" i="1"/>
  <c r="AK229" i="1"/>
  <c r="AL229" i="1" s="1"/>
  <c r="AM229" i="1" s="1"/>
  <c r="AA229" i="1"/>
  <c r="Z229" i="1"/>
  <c r="Y229" i="1"/>
  <c r="X229" i="1"/>
  <c r="W229" i="1"/>
  <c r="AK228" i="1"/>
  <c r="AL228" i="1" s="1"/>
  <c r="AM228" i="1" s="1"/>
  <c r="AA228" i="1"/>
  <c r="Z228" i="1"/>
  <c r="Y228" i="1"/>
  <c r="X228" i="1"/>
  <c r="W228" i="1"/>
  <c r="AK227" i="1"/>
  <c r="AL227" i="1" s="1"/>
  <c r="AM227" i="1" s="1"/>
  <c r="AA227" i="1"/>
  <c r="Z227" i="1"/>
  <c r="Y227" i="1"/>
  <c r="X227" i="1"/>
  <c r="W227" i="1"/>
  <c r="AK226" i="1"/>
  <c r="AL226" i="1" s="1"/>
  <c r="AM226" i="1" s="1"/>
  <c r="AA226" i="1"/>
  <c r="Z226" i="1"/>
  <c r="Y226" i="1"/>
  <c r="X226" i="1"/>
  <c r="W226" i="1"/>
  <c r="AK225" i="1"/>
  <c r="AL225" i="1" s="1"/>
  <c r="AM225" i="1" s="1"/>
  <c r="AA225" i="1"/>
  <c r="Z225" i="1"/>
  <c r="Y225" i="1"/>
  <c r="X225" i="1"/>
  <c r="W225" i="1"/>
  <c r="AK224" i="1"/>
  <c r="AL224" i="1" s="1"/>
  <c r="AM224" i="1" s="1"/>
  <c r="AA224" i="1"/>
  <c r="Z224" i="1"/>
  <c r="Y224" i="1"/>
  <c r="X224" i="1"/>
  <c r="W224" i="1"/>
  <c r="AK223" i="1"/>
  <c r="AL223" i="1" s="1"/>
  <c r="AM223" i="1" s="1"/>
  <c r="AA223" i="1"/>
  <c r="Z223" i="1"/>
  <c r="Y223" i="1"/>
  <c r="X223" i="1"/>
  <c r="W223" i="1"/>
  <c r="AK222" i="1"/>
  <c r="AL222" i="1" s="1"/>
  <c r="AM222" i="1" s="1"/>
  <c r="AA222" i="1"/>
  <c r="Z222" i="1"/>
  <c r="Y222" i="1"/>
  <c r="X222" i="1"/>
  <c r="W222" i="1"/>
  <c r="AK221" i="1"/>
  <c r="AL221" i="1" s="1"/>
  <c r="AM221" i="1" s="1"/>
  <c r="AA221" i="1"/>
  <c r="Z221" i="1"/>
  <c r="Y221" i="1"/>
  <c r="X221" i="1"/>
  <c r="W221" i="1"/>
  <c r="AK220" i="1"/>
  <c r="AL220" i="1" s="1"/>
  <c r="AM220" i="1" s="1"/>
  <c r="AA220" i="1"/>
  <c r="Z220" i="1"/>
  <c r="Y220" i="1"/>
  <c r="X220" i="1"/>
  <c r="W220" i="1"/>
  <c r="AK219" i="1"/>
  <c r="AL219" i="1" s="1"/>
  <c r="AM219" i="1" s="1"/>
  <c r="AA219" i="1"/>
  <c r="Z219" i="1"/>
  <c r="Y219" i="1"/>
  <c r="X219" i="1"/>
  <c r="W219" i="1"/>
  <c r="AK218" i="1"/>
  <c r="AL218" i="1" s="1"/>
  <c r="AM218" i="1" s="1"/>
  <c r="AA218" i="1"/>
  <c r="Z218" i="1"/>
  <c r="Y218" i="1"/>
  <c r="X218" i="1"/>
  <c r="W218" i="1"/>
  <c r="AK217" i="1"/>
  <c r="AL217" i="1" s="1"/>
  <c r="AM217" i="1" s="1"/>
  <c r="AA217" i="1"/>
  <c r="Z217" i="1"/>
  <c r="Y217" i="1"/>
  <c r="X217" i="1"/>
  <c r="W217" i="1"/>
  <c r="AK216" i="1"/>
  <c r="AL216" i="1" s="1"/>
  <c r="AM216" i="1" s="1"/>
  <c r="AA216" i="1"/>
  <c r="Z216" i="1"/>
  <c r="Y216" i="1"/>
  <c r="X216" i="1"/>
  <c r="W216" i="1"/>
  <c r="AK215" i="1"/>
  <c r="AL215" i="1" s="1"/>
  <c r="AM215" i="1" s="1"/>
  <c r="AA215" i="1"/>
  <c r="Z215" i="1"/>
  <c r="Y215" i="1"/>
  <c r="X215" i="1"/>
  <c r="W215" i="1"/>
  <c r="AK214" i="1"/>
  <c r="AL214" i="1" s="1"/>
  <c r="AM214" i="1" s="1"/>
  <c r="AA214" i="1"/>
  <c r="Z214" i="1"/>
  <c r="Y214" i="1"/>
  <c r="X214" i="1"/>
  <c r="W214" i="1"/>
  <c r="AK213" i="1"/>
  <c r="AL213" i="1" s="1"/>
  <c r="AM213" i="1" s="1"/>
  <c r="AA213" i="1"/>
  <c r="Z213" i="1"/>
  <c r="Y213" i="1"/>
  <c r="X213" i="1"/>
  <c r="W213" i="1"/>
  <c r="AK212" i="1"/>
  <c r="AL212" i="1" s="1"/>
  <c r="AM212" i="1" s="1"/>
  <c r="AA212" i="1"/>
  <c r="Z212" i="1"/>
  <c r="Y212" i="1"/>
  <c r="X212" i="1"/>
  <c r="W212" i="1"/>
  <c r="AK211" i="1"/>
  <c r="AL211" i="1" s="1"/>
  <c r="AM211" i="1" s="1"/>
  <c r="AA211" i="1"/>
  <c r="Z211" i="1"/>
  <c r="Y211" i="1"/>
  <c r="X211" i="1"/>
  <c r="W211" i="1"/>
  <c r="AK210" i="1"/>
  <c r="AL210" i="1" s="1"/>
  <c r="AM210" i="1" s="1"/>
  <c r="AA210" i="1"/>
  <c r="Z210" i="1"/>
  <c r="Y210" i="1"/>
  <c r="X210" i="1"/>
  <c r="W210" i="1"/>
  <c r="AK209" i="1"/>
  <c r="AL209" i="1" s="1"/>
  <c r="AM209" i="1" s="1"/>
  <c r="AA209" i="1"/>
  <c r="Z209" i="1"/>
  <c r="Y209" i="1"/>
  <c r="X209" i="1"/>
  <c r="W209" i="1"/>
  <c r="AK208" i="1"/>
  <c r="AL208" i="1" s="1"/>
  <c r="AM208" i="1" s="1"/>
  <c r="AA208" i="1"/>
  <c r="Z208" i="1"/>
  <c r="Y208" i="1"/>
  <c r="X208" i="1"/>
  <c r="W208" i="1"/>
  <c r="AK207" i="1"/>
  <c r="AL207" i="1" s="1"/>
  <c r="AM207" i="1" s="1"/>
  <c r="AA207" i="1"/>
  <c r="Z207" i="1"/>
  <c r="Y207" i="1"/>
  <c r="X207" i="1"/>
  <c r="W207" i="1"/>
  <c r="AK206" i="1"/>
  <c r="AL206" i="1" s="1"/>
  <c r="AM206" i="1" s="1"/>
  <c r="AA206" i="1"/>
  <c r="Z206" i="1"/>
  <c r="Y206" i="1"/>
  <c r="X206" i="1"/>
  <c r="W206" i="1"/>
  <c r="AK205" i="1"/>
  <c r="AL205" i="1" s="1"/>
  <c r="AM205" i="1" s="1"/>
  <c r="AA205" i="1"/>
  <c r="Z205" i="1"/>
  <c r="Y205" i="1"/>
  <c r="X205" i="1"/>
  <c r="W205" i="1"/>
  <c r="AK204" i="1"/>
  <c r="AL204" i="1" s="1"/>
  <c r="AM204" i="1" s="1"/>
  <c r="AA204" i="1"/>
  <c r="Z204" i="1"/>
  <c r="Y204" i="1"/>
  <c r="X204" i="1"/>
  <c r="W204" i="1"/>
  <c r="AK203" i="1"/>
  <c r="AL203" i="1" s="1"/>
  <c r="AM203" i="1" s="1"/>
  <c r="AA203" i="1"/>
  <c r="Z203" i="1"/>
  <c r="Y203" i="1"/>
  <c r="X203" i="1"/>
  <c r="W203" i="1"/>
  <c r="AK202" i="1"/>
  <c r="AL202" i="1" s="1"/>
  <c r="AM202" i="1" s="1"/>
  <c r="AA202" i="1"/>
  <c r="Z202" i="1"/>
  <c r="Y202" i="1"/>
  <c r="X202" i="1"/>
  <c r="W202" i="1"/>
  <c r="AK201" i="1"/>
  <c r="AL201" i="1" s="1"/>
  <c r="AM201" i="1" s="1"/>
  <c r="AA201" i="1"/>
  <c r="Z201" i="1"/>
  <c r="Y201" i="1"/>
  <c r="X201" i="1"/>
  <c r="W201" i="1"/>
  <c r="AK200" i="1"/>
  <c r="AL200" i="1" s="1"/>
  <c r="AM200" i="1" s="1"/>
  <c r="AA200" i="1"/>
  <c r="Z200" i="1"/>
  <c r="Y200" i="1"/>
  <c r="X200" i="1"/>
  <c r="W200" i="1"/>
  <c r="AK199" i="1"/>
  <c r="AL199" i="1" s="1"/>
  <c r="AM199" i="1" s="1"/>
  <c r="AA199" i="1"/>
  <c r="Z199" i="1"/>
  <c r="Y199" i="1"/>
  <c r="X199" i="1"/>
  <c r="W199" i="1"/>
  <c r="AK198" i="1"/>
  <c r="AL198" i="1" s="1"/>
  <c r="AM198" i="1" s="1"/>
  <c r="AA198" i="1"/>
  <c r="Z198" i="1"/>
  <c r="Y198" i="1"/>
  <c r="X198" i="1"/>
  <c r="W198" i="1"/>
  <c r="AK197" i="1"/>
  <c r="AL197" i="1" s="1"/>
  <c r="AM197" i="1" s="1"/>
  <c r="AA197" i="1"/>
  <c r="Z197" i="1"/>
  <c r="Y197" i="1"/>
  <c r="X197" i="1"/>
  <c r="W197" i="1"/>
  <c r="AK196" i="1"/>
  <c r="AL196" i="1" s="1"/>
  <c r="AM196" i="1" s="1"/>
  <c r="AA196" i="1"/>
  <c r="Z196" i="1"/>
  <c r="Y196" i="1"/>
  <c r="X196" i="1"/>
  <c r="W196" i="1"/>
  <c r="AK195" i="1"/>
  <c r="AL195" i="1" s="1"/>
  <c r="AM195" i="1" s="1"/>
  <c r="AA195" i="1"/>
  <c r="Z195" i="1"/>
  <c r="Y195" i="1"/>
  <c r="X195" i="1"/>
  <c r="W195" i="1"/>
  <c r="AK194" i="1"/>
  <c r="AL194" i="1" s="1"/>
  <c r="AM194" i="1" s="1"/>
  <c r="AA194" i="1"/>
  <c r="Z194" i="1"/>
  <c r="Y194" i="1"/>
  <c r="X194" i="1"/>
  <c r="W194" i="1"/>
  <c r="AK193" i="1"/>
  <c r="AL193" i="1" s="1"/>
  <c r="AM193" i="1" s="1"/>
  <c r="AA193" i="1"/>
  <c r="Z193" i="1"/>
  <c r="Y193" i="1"/>
  <c r="X193" i="1"/>
  <c r="W193" i="1"/>
  <c r="AK192" i="1"/>
  <c r="AL192" i="1" s="1"/>
  <c r="AM192" i="1" s="1"/>
  <c r="AA192" i="1"/>
  <c r="Z192" i="1"/>
  <c r="Y192" i="1"/>
  <c r="X192" i="1"/>
  <c r="W192" i="1"/>
  <c r="AK191" i="1"/>
  <c r="AL191" i="1" s="1"/>
  <c r="AM191" i="1" s="1"/>
  <c r="AA191" i="1"/>
  <c r="Z191" i="1"/>
  <c r="Y191" i="1"/>
  <c r="X191" i="1"/>
  <c r="W191" i="1"/>
  <c r="AK190" i="1"/>
  <c r="AL190" i="1" s="1"/>
  <c r="AM190" i="1" s="1"/>
  <c r="AA190" i="1"/>
  <c r="Z190" i="1"/>
  <c r="Y190" i="1"/>
  <c r="X190" i="1"/>
  <c r="W190" i="1"/>
  <c r="AK189" i="1"/>
  <c r="AL189" i="1" s="1"/>
  <c r="AM189" i="1" s="1"/>
  <c r="AA189" i="1"/>
  <c r="Z189" i="1"/>
  <c r="Y189" i="1"/>
  <c r="X189" i="1"/>
  <c r="W189" i="1"/>
  <c r="AK188" i="1"/>
  <c r="AL188" i="1" s="1"/>
  <c r="AM188" i="1" s="1"/>
  <c r="AA188" i="1"/>
  <c r="Z188" i="1"/>
  <c r="Y188" i="1"/>
  <c r="X188" i="1"/>
  <c r="W188" i="1"/>
  <c r="AK187" i="1"/>
  <c r="AL187" i="1" s="1"/>
  <c r="AM187" i="1" s="1"/>
  <c r="AA187" i="1"/>
  <c r="Z187" i="1"/>
  <c r="Y187" i="1"/>
  <c r="X187" i="1"/>
  <c r="W187" i="1"/>
  <c r="AK186" i="1"/>
  <c r="AL186" i="1" s="1"/>
  <c r="AM186" i="1" s="1"/>
  <c r="AA186" i="1"/>
  <c r="Z186" i="1"/>
  <c r="Y186" i="1"/>
  <c r="X186" i="1"/>
  <c r="W186" i="1"/>
  <c r="AK185" i="1"/>
  <c r="AL185" i="1" s="1"/>
  <c r="AM185" i="1" s="1"/>
  <c r="AA185" i="1"/>
  <c r="Z185" i="1"/>
  <c r="Y185" i="1"/>
  <c r="X185" i="1"/>
  <c r="W185" i="1"/>
  <c r="AK184" i="1"/>
  <c r="AL184" i="1" s="1"/>
  <c r="AM184" i="1" s="1"/>
  <c r="AA184" i="1"/>
  <c r="Z184" i="1"/>
  <c r="Y184" i="1"/>
  <c r="X184" i="1"/>
  <c r="W184" i="1"/>
  <c r="AL183" i="1"/>
  <c r="AM183" i="1" s="1"/>
  <c r="AK183" i="1"/>
  <c r="AA183" i="1"/>
  <c r="Z183" i="1"/>
  <c r="Y183" i="1"/>
  <c r="X183" i="1"/>
  <c r="W183" i="1"/>
  <c r="AK182" i="1"/>
  <c r="AL182" i="1" s="1"/>
  <c r="AM182" i="1" s="1"/>
  <c r="AA182" i="1"/>
  <c r="Z182" i="1"/>
  <c r="Y182" i="1"/>
  <c r="X182" i="1"/>
  <c r="W182" i="1"/>
  <c r="AK181" i="1"/>
  <c r="AL181" i="1" s="1"/>
  <c r="AM181" i="1" s="1"/>
  <c r="AA181" i="1"/>
  <c r="Z181" i="1"/>
  <c r="Y181" i="1"/>
  <c r="X181" i="1"/>
  <c r="W181" i="1"/>
  <c r="AK180" i="1"/>
  <c r="AL180" i="1" s="1"/>
  <c r="AM180" i="1" s="1"/>
  <c r="AA180" i="1"/>
  <c r="Z180" i="1"/>
  <c r="Y180" i="1"/>
  <c r="X180" i="1"/>
  <c r="W180" i="1"/>
  <c r="AK179" i="1"/>
  <c r="AL179" i="1" s="1"/>
  <c r="AM179" i="1" s="1"/>
  <c r="AA179" i="1"/>
  <c r="Z179" i="1"/>
  <c r="Y179" i="1"/>
  <c r="X179" i="1"/>
  <c r="W179" i="1"/>
  <c r="AK178" i="1"/>
  <c r="AL178" i="1" s="1"/>
  <c r="AM178" i="1" s="1"/>
  <c r="AA178" i="1"/>
  <c r="Z178" i="1"/>
  <c r="Y178" i="1"/>
  <c r="X178" i="1"/>
  <c r="W178" i="1"/>
  <c r="AK177" i="1"/>
  <c r="AL177" i="1" s="1"/>
  <c r="AM177" i="1" s="1"/>
  <c r="AA177" i="1"/>
  <c r="Z177" i="1"/>
  <c r="Y177" i="1"/>
  <c r="X177" i="1"/>
  <c r="W177" i="1"/>
  <c r="AK176" i="1"/>
  <c r="AL176" i="1" s="1"/>
  <c r="AM176" i="1" s="1"/>
  <c r="AA176" i="1"/>
  <c r="Z176" i="1"/>
  <c r="Y176" i="1"/>
  <c r="X176" i="1"/>
  <c r="W176" i="1"/>
  <c r="AK175" i="1"/>
  <c r="AL175" i="1" s="1"/>
  <c r="AM175" i="1" s="1"/>
  <c r="AA175" i="1"/>
  <c r="Z175" i="1"/>
  <c r="Y175" i="1"/>
  <c r="X175" i="1"/>
  <c r="W175" i="1"/>
  <c r="AK174" i="1"/>
  <c r="AL174" i="1" s="1"/>
  <c r="AM174" i="1" s="1"/>
  <c r="AA174" i="1"/>
  <c r="Z174" i="1"/>
  <c r="Y174" i="1"/>
  <c r="X174" i="1"/>
  <c r="W174" i="1"/>
  <c r="AK173" i="1"/>
  <c r="AL173" i="1" s="1"/>
  <c r="AM173" i="1" s="1"/>
  <c r="AA173" i="1"/>
  <c r="Z173" i="1"/>
  <c r="Y173" i="1"/>
  <c r="X173" i="1"/>
  <c r="W173" i="1"/>
  <c r="AK172" i="1"/>
  <c r="AL172" i="1" s="1"/>
  <c r="AM172" i="1" s="1"/>
  <c r="AA172" i="1"/>
  <c r="Z172" i="1"/>
  <c r="Y172" i="1"/>
  <c r="X172" i="1"/>
  <c r="W172" i="1"/>
  <c r="AK171" i="1"/>
  <c r="AL171" i="1" s="1"/>
  <c r="AM171" i="1" s="1"/>
  <c r="AA171" i="1"/>
  <c r="Z171" i="1"/>
  <c r="Y171" i="1"/>
  <c r="X171" i="1"/>
  <c r="W171" i="1"/>
  <c r="AL170" i="1"/>
  <c r="AM170" i="1" s="1"/>
  <c r="AK170" i="1"/>
  <c r="AA170" i="1"/>
  <c r="Z170" i="1"/>
  <c r="Y170" i="1"/>
  <c r="X170" i="1"/>
  <c r="W170" i="1"/>
  <c r="AK169" i="1"/>
  <c r="AL169" i="1" s="1"/>
  <c r="AM169" i="1" s="1"/>
  <c r="AA169" i="1"/>
  <c r="Z169" i="1"/>
  <c r="Y169" i="1"/>
  <c r="X169" i="1"/>
  <c r="W169" i="1"/>
  <c r="AK168" i="1"/>
  <c r="AL168" i="1" s="1"/>
  <c r="AM168" i="1" s="1"/>
  <c r="AA168" i="1"/>
  <c r="Z168" i="1"/>
  <c r="Y168" i="1"/>
  <c r="X168" i="1"/>
  <c r="W168" i="1"/>
  <c r="AK167" i="1"/>
  <c r="AL167" i="1" s="1"/>
  <c r="AM167" i="1" s="1"/>
  <c r="AA167" i="1"/>
  <c r="Z167" i="1"/>
  <c r="Y167" i="1"/>
  <c r="X167" i="1"/>
  <c r="W167" i="1"/>
  <c r="AK166" i="1"/>
  <c r="AL166" i="1" s="1"/>
  <c r="AM166" i="1" s="1"/>
  <c r="AA166" i="1"/>
  <c r="Z166" i="1"/>
  <c r="Y166" i="1"/>
  <c r="X166" i="1"/>
  <c r="W166" i="1"/>
  <c r="AK165" i="1"/>
  <c r="AL165" i="1" s="1"/>
  <c r="AM165" i="1" s="1"/>
  <c r="AA165" i="1"/>
  <c r="Z165" i="1"/>
  <c r="Y165" i="1"/>
  <c r="X165" i="1"/>
  <c r="W165" i="1"/>
  <c r="AK164" i="1"/>
  <c r="AL164" i="1" s="1"/>
  <c r="AM164" i="1" s="1"/>
  <c r="AA164" i="1"/>
  <c r="Z164" i="1"/>
  <c r="Y164" i="1"/>
  <c r="X164" i="1"/>
  <c r="W164" i="1"/>
  <c r="AK163" i="1"/>
  <c r="AL163" i="1" s="1"/>
  <c r="AM163" i="1" s="1"/>
  <c r="AA163" i="1"/>
  <c r="Z163" i="1"/>
  <c r="Y163" i="1"/>
  <c r="X163" i="1"/>
  <c r="W163" i="1"/>
  <c r="AK162" i="1"/>
  <c r="AL162" i="1" s="1"/>
  <c r="AM162" i="1" s="1"/>
  <c r="AA162" i="1"/>
  <c r="Z162" i="1"/>
  <c r="Y162" i="1"/>
  <c r="X162" i="1"/>
  <c r="W162" i="1"/>
  <c r="AK161" i="1"/>
  <c r="AL161" i="1" s="1"/>
  <c r="AM161" i="1" s="1"/>
  <c r="AA161" i="1"/>
  <c r="Z161" i="1"/>
  <c r="Y161" i="1"/>
  <c r="X161" i="1"/>
  <c r="W161" i="1"/>
  <c r="AK160" i="1"/>
  <c r="AL160" i="1" s="1"/>
  <c r="AM160" i="1" s="1"/>
  <c r="AA160" i="1"/>
  <c r="Z160" i="1"/>
  <c r="Y160" i="1"/>
  <c r="X160" i="1"/>
  <c r="W160" i="1"/>
  <c r="AK159" i="1"/>
  <c r="AL159" i="1" s="1"/>
  <c r="AM159" i="1" s="1"/>
  <c r="AA159" i="1"/>
  <c r="Z159" i="1"/>
  <c r="Y159" i="1"/>
  <c r="X159" i="1"/>
  <c r="W159" i="1"/>
  <c r="AK158" i="1"/>
  <c r="AL158" i="1" s="1"/>
  <c r="AM158" i="1" s="1"/>
  <c r="AA158" i="1"/>
  <c r="Z158" i="1"/>
  <c r="Y158" i="1"/>
  <c r="X158" i="1"/>
  <c r="W158" i="1"/>
  <c r="AK157" i="1"/>
  <c r="AL157" i="1" s="1"/>
  <c r="AM157" i="1" s="1"/>
  <c r="AA157" i="1"/>
  <c r="Z157" i="1"/>
  <c r="Y157" i="1"/>
  <c r="X157" i="1"/>
  <c r="W157" i="1"/>
  <c r="AK156" i="1"/>
  <c r="AL156" i="1" s="1"/>
  <c r="AM156" i="1" s="1"/>
  <c r="AA156" i="1"/>
  <c r="Z156" i="1"/>
  <c r="Y156" i="1"/>
  <c r="X156" i="1"/>
  <c r="W156" i="1"/>
  <c r="AK155" i="1"/>
  <c r="AL155" i="1" s="1"/>
  <c r="AM155" i="1" s="1"/>
  <c r="AA155" i="1"/>
  <c r="Z155" i="1"/>
  <c r="Y155" i="1"/>
  <c r="X155" i="1"/>
  <c r="W155" i="1"/>
  <c r="AK154" i="1"/>
  <c r="AL154" i="1" s="1"/>
  <c r="AM154" i="1" s="1"/>
  <c r="AA154" i="1"/>
  <c r="Z154" i="1"/>
  <c r="Y154" i="1"/>
  <c r="X154" i="1"/>
  <c r="W154" i="1"/>
  <c r="AK153" i="1"/>
  <c r="AL153" i="1" s="1"/>
  <c r="AM153" i="1" s="1"/>
  <c r="AA153" i="1"/>
  <c r="Z153" i="1"/>
  <c r="Y153" i="1"/>
  <c r="X153" i="1"/>
  <c r="W153" i="1"/>
  <c r="AK152" i="1"/>
  <c r="AL152" i="1" s="1"/>
  <c r="AM152" i="1" s="1"/>
  <c r="AA152" i="1"/>
  <c r="Z152" i="1"/>
  <c r="Y152" i="1"/>
  <c r="X152" i="1"/>
  <c r="W152" i="1"/>
  <c r="AK151" i="1"/>
  <c r="AL151" i="1" s="1"/>
  <c r="AM151" i="1" s="1"/>
  <c r="AA151" i="1"/>
  <c r="Z151" i="1"/>
  <c r="Y151" i="1"/>
  <c r="X151" i="1"/>
  <c r="W151" i="1"/>
  <c r="AL150" i="1"/>
  <c r="AM150" i="1" s="1"/>
  <c r="AK150" i="1"/>
  <c r="AA150" i="1"/>
  <c r="Z150" i="1"/>
  <c r="Y150" i="1"/>
  <c r="X150" i="1"/>
  <c r="W150" i="1"/>
  <c r="AK149" i="1"/>
  <c r="AL149" i="1" s="1"/>
  <c r="AM149" i="1" s="1"/>
  <c r="AA149" i="1"/>
  <c r="Z149" i="1"/>
  <c r="Y149" i="1"/>
  <c r="X149" i="1"/>
  <c r="W149" i="1"/>
  <c r="AK148" i="1"/>
  <c r="AL148" i="1" s="1"/>
  <c r="AM148" i="1" s="1"/>
  <c r="AA148" i="1"/>
  <c r="Z148" i="1"/>
  <c r="Y148" i="1"/>
  <c r="X148" i="1"/>
  <c r="W148" i="1"/>
  <c r="AK147" i="1"/>
  <c r="AL147" i="1" s="1"/>
  <c r="AM147" i="1" s="1"/>
  <c r="AA147" i="1"/>
  <c r="Z147" i="1"/>
  <c r="Y147" i="1"/>
  <c r="X147" i="1"/>
  <c r="W147" i="1"/>
  <c r="AK146" i="1"/>
  <c r="AL146" i="1" s="1"/>
  <c r="AM146" i="1" s="1"/>
  <c r="AA146" i="1"/>
  <c r="Z146" i="1"/>
  <c r="Y146" i="1"/>
  <c r="X146" i="1"/>
  <c r="W146" i="1"/>
  <c r="AK145" i="1"/>
  <c r="AL145" i="1" s="1"/>
  <c r="AM145" i="1" s="1"/>
  <c r="AA145" i="1"/>
  <c r="Z145" i="1"/>
  <c r="Y145" i="1"/>
  <c r="X145" i="1"/>
  <c r="W145" i="1"/>
  <c r="AK144" i="1"/>
  <c r="AL144" i="1" s="1"/>
  <c r="AM144" i="1" s="1"/>
  <c r="AA144" i="1"/>
  <c r="Z144" i="1"/>
  <c r="Y144" i="1"/>
  <c r="X144" i="1"/>
  <c r="W144" i="1"/>
  <c r="AK143" i="1"/>
  <c r="AL143" i="1" s="1"/>
  <c r="AM143" i="1" s="1"/>
  <c r="AA143" i="1"/>
  <c r="Z143" i="1"/>
  <c r="Y143" i="1"/>
  <c r="X143" i="1"/>
  <c r="W143" i="1"/>
  <c r="AK142" i="1"/>
  <c r="AL142" i="1" s="1"/>
  <c r="AM142" i="1" s="1"/>
  <c r="AA142" i="1"/>
  <c r="Z142" i="1"/>
  <c r="Y142" i="1"/>
  <c r="X142" i="1"/>
  <c r="W142" i="1"/>
  <c r="AK141" i="1"/>
  <c r="AL141" i="1" s="1"/>
  <c r="AM141" i="1" s="1"/>
  <c r="AA141" i="1"/>
  <c r="Z141" i="1"/>
  <c r="Y141" i="1"/>
  <c r="X141" i="1"/>
  <c r="W141" i="1"/>
  <c r="AK140" i="1"/>
  <c r="AL140" i="1" s="1"/>
  <c r="AM140" i="1" s="1"/>
  <c r="AA140" i="1"/>
  <c r="Z140" i="1"/>
  <c r="Y140" i="1"/>
  <c r="X140" i="1"/>
  <c r="W140" i="1"/>
  <c r="AK139" i="1"/>
  <c r="AL139" i="1" s="1"/>
  <c r="AM139" i="1" s="1"/>
  <c r="AA139" i="1"/>
  <c r="Z139" i="1"/>
  <c r="Y139" i="1"/>
  <c r="X139" i="1"/>
  <c r="W139" i="1"/>
  <c r="AK138" i="1"/>
  <c r="AL138" i="1" s="1"/>
  <c r="AM138" i="1" s="1"/>
  <c r="AA138" i="1"/>
  <c r="Z138" i="1"/>
  <c r="Y138" i="1"/>
  <c r="X138" i="1"/>
  <c r="W138" i="1"/>
  <c r="AK137" i="1"/>
  <c r="AL137" i="1" s="1"/>
  <c r="AM137" i="1" s="1"/>
  <c r="AA137" i="1"/>
  <c r="Z137" i="1"/>
  <c r="Y137" i="1"/>
  <c r="X137" i="1"/>
  <c r="W137" i="1"/>
  <c r="AK136" i="1"/>
  <c r="AL136" i="1" s="1"/>
  <c r="AM136" i="1" s="1"/>
  <c r="AA136" i="1"/>
  <c r="Z136" i="1"/>
  <c r="Y136" i="1"/>
  <c r="X136" i="1"/>
  <c r="W136" i="1"/>
  <c r="AK135" i="1"/>
  <c r="AL135" i="1" s="1"/>
  <c r="AM135" i="1" s="1"/>
  <c r="AA135" i="1"/>
  <c r="Z135" i="1"/>
  <c r="Y135" i="1"/>
  <c r="X135" i="1"/>
  <c r="W135" i="1"/>
  <c r="AK134" i="1"/>
  <c r="AL134" i="1" s="1"/>
  <c r="AM134" i="1" s="1"/>
  <c r="AA134" i="1"/>
  <c r="Z134" i="1"/>
  <c r="Y134" i="1"/>
  <c r="X134" i="1"/>
  <c r="W134" i="1"/>
  <c r="AK133" i="1"/>
  <c r="AL133" i="1" s="1"/>
  <c r="AM133" i="1" s="1"/>
  <c r="AA133" i="1"/>
  <c r="Z133" i="1"/>
  <c r="Y133" i="1"/>
  <c r="X133" i="1"/>
  <c r="W133" i="1"/>
  <c r="AL132" i="1"/>
  <c r="AM132" i="1" s="1"/>
  <c r="AK132" i="1"/>
  <c r="AA132" i="1"/>
  <c r="Z132" i="1"/>
  <c r="Y132" i="1"/>
  <c r="X132" i="1"/>
  <c r="W132" i="1"/>
  <c r="AL131" i="1"/>
  <c r="AM131" i="1" s="1"/>
  <c r="AK131" i="1"/>
  <c r="AA131" i="1"/>
  <c r="Z131" i="1"/>
  <c r="Y131" i="1"/>
  <c r="X131" i="1"/>
  <c r="W131" i="1"/>
  <c r="AK130" i="1"/>
  <c r="AL130" i="1" s="1"/>
  <c r="AM130" i="1" s="1"/>
  <c r="AA130" i="1"/>
  <c r="Z130" i="1"/>
  <c r="Y130" i="1"/>
  <c r="X130" i="1"/>
  <c r="W130" i="1"/>
  <c r="AK129" i="1"/>
  <c r="AL129" i="1" s="1"/>
  <c r="AM129" i="1" s="1"/>
  <c r="AA129" i="1"/>
  <c r="Z129" i="1"/>
  <c r="Y129" i="1"/>
  <c r="X129" i="1"/>
  <c r="W129" i="1"/>
  <c r="AK128" i="1"/>
  <c r="AL128" i="1" s="1"/>
  <c r="AM128" i="1" s="1"/>
  <c r="AA128" i="1"/>
  <c r="Z128" i="1"/>
  <c r="Y128" i="1"/>
  <c r="X128" i="1"/>
  <c r="W128" i="1"/>
  <c r="AK127" i="1"/>
  <c r="AL127" i="1" s="1"/>
  <c r="AM127" i="1" s="1"/>
  <c r="AA127" i="1"/>
  <c r="Z127" i="1"/>
  <c r="Y127" i="1"/>
  <c r="X127" i="1"/>
  <c r="W127" i="1"/>
  <c r="AK126" i="1"/>
  <c r="AL126" i="1" s="1"/>
  <c r="AM126" i="1" s="1"/>
  <c r="AA126" i="1"/>
  <c r="Z126" i="1"/>
  <c r="Y126" i="1"/>
  <c r="X126" i="1"/>
  <c r="W126" i="1"/>
  <c r="AK125" i="1"/>
  <c r="AL125" i="1" s="1"/>
  <c r="AM125" i="1" s="1"/>
  <c r="AA125" i="1"/>
  <c r="Z125" i="1"/>
  <c r="Y125" i="1"/>
  <c r="X125" i="1"/>
  <c r="W125" i="1"/>
  <c r="AL124" i="1"/>
  <c r="AM124" i="1" s="1"/>
  <c r="AK124" i="1"/>
  <c r="AA124" i="1"/>
  <c r="Z124" i="1"/>
  <c r="Y124" i="1"/>
  <c r="X124" i="1"/>
  <c r="W124" i="1"/>
  <c r="AK123" i="1"/>
  <c r="AL123" i="1" s="1"/>
  <c r="AM123" i="1" s="1"/>
  <c r="AA123" i="1"/>
  <c r="Z123" i="1"/>
  <c r="Y123" i="1"/>
  <c r="X123" i="1"/>
  <c r="W123" i="1"/>
  <c r="AL122" i="1"/>
  <c r="AM122" i="1" s="1"/>
  <c r="AK122" i="1"/>
  <c r="AA122" i="1"/>
  <c r="Z122" i="1"/>
  <c r="Y122" i="1"/>
  <c r="X122" i="1"/>
  <c r="W122" i="1"/>
  <c r="AK121" i="1"/>
  <c r="AL121" i="1" s="1"/>
  <c r="AM121" i="1" s="1"/>
  <c r="AA121" i="1"/>
  <c r="Z121" i="1"/>
  <c r="Y121" i="1"/>
  <c r="X121" i="1"/>
  <c r="W121" i="1"/>
  <c r="AK120" i="1"/>
  <c r="AL120" i="1" s="1"/>
  <c r="AM120" i="1" s="1"/>
  <c r="AA120" i="1"/>
  <c r="Z120" i="1"/>
  <c r="Y120" i="1"/>
  <c r="X120" i="1"/>
  <c r="W120" i="1"/>
  <c r="AK119" i="1"/>
  <c r="AL119" i="1" s="1"/>
  <c r="AM119" i="1" s="1"/>
  <c r="AA119" i="1"/>
  <c r="Z119" i="1"/>
  <c r="Y119" i="1"/>
  <c r="X119" i="1"/>
  <c r="W119" i="1"/>
  <c r="AK118" i="1"/>
  <c r="AL118" i="1" s="1"/>
  <c r="AM118" i="1" s="1"/>
  <c r="AA118" i="1"/>
  <c r="Z118" i="1"/>
  <c r="Y118" i="1"/>
  <c r="X118" i="1"/>
  <c r="W118" i="1"/>
  <c r="AK117" i="1"/>
  <c r="AL117" i="1" s="1"/>
  <c r="AM117" i="1" s="1"/>
  <c r="AA117" i="1"/>
  <c r="Z117" i="1"/>
  <c r="Y117" i="1"/>
  <c r="X117" i="1"/>
  <c r="W117" i="1"/>
  <c r="AK116" i="1"/>
  <c r="AL116" i="1" s="1"/>
  <c r="AM116" i="1" s="1"/>
  <c r="AA116" i="1"/>
  <c r="Z116" i="1"/>
  <c r="Y116" i="1"/>
  <c r="X116" i="1"/>
  <c r="W116" i="1"/>
  <c r="AK115" i="1"/>
  <c r="AL115" i="1" s="1"/>
  <c r="AM115" i="1" s="1"/>
  <c r="AA115" i="1"/>
  <c r="Z115" i="1"/>
  <c r="Y115" i="1"/>
  <c r="X115" i="1"/>
  <c r="W115" i="1"/>
  <c r="AK114" i="1"/>
  <c r="AL114" i="1" s="1"/>
  <c r="AM114" i="1" s="1"/>
  <c r="AA114" i="1"/>
  <c r="Z114" i="1"/>
  <c r="Y114" i="1"/>
  <c r="X114" i="1"/>
  <c r="W114" i="1"/>
  <c r="AK113" i="1"/>
  <c r="AL113" i="1" s="1"/>
  <c r="AM113" i="1" s="1"/>
  <c r="AA113" i="1"/>
  <c r="Z113" i="1"/>
  <c r="Y113" i="1"/>
  <c r="X113" i="1"/>
  <c r="W113" i="1"/>
  <c r="AK112" i="1"/>
  <c r="AL112" i="1" s="1"/>
  <c r="AM112" i="1" s="1"/>
  <c r="AA112" i="1"/>
  <c r="Z112" i="1"/>
  <c r="Y112" i="1"/>
  <c r="X112" i="1"/>
  <c r="W112" i="1"/>
  <c r="AK111" i="1"/>
  <c r="AL111" i="1" s="1"/>
  <c r="AM111" i="1" s="1"/>
  <c r="AA111" i="1"/>
  <c r="Z111" i="1"/>
  <c r="Y111" i="1"/>
  <c r="X111" i="1"/>
  <c r="W111" i="1"/>
  <c r="AK110" i="1"/>
  <c r="AL110" i="1" s="1"/>
  <c r="AM110" i="1" s="1"/>
  <c r="AA110" i="1"/>
  <c r="Z110" i="1"/>
  <c r="Y110" i="1"/>
  <c r="X110" i="1"/>
  <c r="W110" i="1"/>
  <c r="AK109" i="1"/>
  <c r="AL109" i="1" s="1"/>
  <c r="AM109" i="1" s="1"/>
  <c r="AA109" i="1"/>
  <c r="Z109" i="1"/>
  <c r="Y109" i="1"/>
  <c r="X109" i="1"/>
  <c r="W109" i="1"/>
  <c r="AK108" i="1"/>
  <c r="AL108" i="1" s="1"/>
  <c r="AM108" i="1" s="1"/>
  <c r="AA108" i="1"/>
  <c r="Z108" i="1"/>
  <c r="Y108" i="1"/>
  <c r="X108" i="1"/>
  <c r="W108" i="1"/>
  <c r="AK107" i="1"/>
  <c r="AL107" i="1" s="1"/>
  <c r="AM107" i="1" s="1"/>
  <c r="AA107" i="1"/>
  <c r="Z107" i="1"/>
  <c r="Y107" i="1"/>
  <c r="X107" i="1"/>
  <c r="W107" i="1"/>
  <c r="AK106" i="1"/>
  <c r="AL106" i="1" s="1"/>
  <c r="AM106" i="1" s="1"/>
  <c r="AA106" i="1"/>
  <c r="Z106" i="1"/>
  <c r="Y106" i="1"/>
  <c r="X106" i="1"/>
  <c r="W106" i="1"/>
  <c r="AK105" i="1"/>
  <c r="AL105" i="1" s="1"/>
  <c r="AM105" i="1" s="1"/>
  <c r="AA105" i="1"/>
  <c r="Z105" i="1"/>
  <c r="Y105" i="1"/>
  <c r="X105" i="1"/>
  <c r="W105" i="1"/>
  <c r="AK104" i="1"/>
  <c r="AL104" i="1" s="1"/>
  <c r="AM104" i="1" s="1"/>
  <c r="AA104" i="1"/>
  <c r="Z104" i="1"/>
  <c r="Y104" i="1"/>
  <c r="X104" i="1"/>
  <c r="W104" i="1"/>
  <c r="AK103" i="1"/>
  <c r="AL103" i="1" s="1"/>
  <c r="AM103" i="1" s="1"/>
  <c r="AA103" i="1"/>
  <c r="Z103" i="1"/>
  <c r="Y103" i="1"/>
  <c r="X103" i="1"/>
  <c r="W103" i="1"/>
  <c r="AK102" i="1"/>
  <c r="AL102" i="1" s="1"/>
  <c r="AM102" i="1" s="1"/>
  <c r="AA102" i="1"/>
  <c r="Z102" i="1"/>
  <c r="Y102" i="1"/>
  <c r="X102" i="1"/>
  <c r="W102" i="1"/>
  <c r="AK101" i="1"/>
  <c r="AL101" i="1" s="1"/>
  <c r="AM101" i="1" s="1"/>
  <c r="AA101" i="1"/>
  <c r="Z101" i="1"/>
  <c r="Y101" i="1"/>
  <c r="X101" i="1"/>
  <c r="W101" i="1"/>
  <c r="AK100" i="1"/>
  <c r="AL100" i="1" s="1"/>
  <c r="AM100" i="1" s="1"/>
  <c r="AA100" i="1"/>
  <c r="Z100" i="1"/>
  <c r="Y100" i="1"/>
  <c r="X100" i="1"/>
  <c r="W100" i="1"/>
  <c r="AK99" i="1"/>
  <c r="AL99" i="1" s="1"/>
  <c r="AM99" i="1" s="1"/>
  <c r="AA99" i="1"/>
  <c r="Z99" i="1"/>
  <c r="Y99" i="1"/>
  <c r="X99" i="1"/>
  <c r="W99" i="1"/>
  <c r="AL98" i="1"/>
  <c r="AM98" i="1" s="1"/>
  <c r="AK98" i="1"/>
  <c r="AA98" i="1"/>
  <c r="Z98" i="1"/>
  <c r="Y98" i="1"/>
  <c r="X98" i="1"/>
  <c r="W98" i="1"/>
  <c r="AK97" i="1"/>
  <c r="AL97" i="1" s="1"/>
  <c r="AM97" i="1" s="1"/>
  <c r="AA97" i="1"/>
  <c r="Z97" i="1"/>
  <c r="Y97" i="1"/>
  <c r="X97" i="1"/>
  <c r="W97" i="1"/>
  <c r="AK96" i="1"/>
  <c r="AL96" i="1" s="1"/>
  <c r="AM96" i="1" s="1"/>
  <c r="AA96" i="1"/>
  <c r="Z96" i="1"/>
  <c r="Y96" i="1"/>
  <c r="X96" i="1"/>
  <c r="W96" i="1"/>
  <c r="AK95" i="1"/>
  <c r="AL95" i="1" s="1"/>
  <c r="AM95" i="1" s="1"/>
  <c r="AA95" i="1"/>
  <c r="Z95" i="1"/>
  <c r="Y95" i="1"/>
  <c r="X95" i="1"/>
  <c r="W95" i="1"/>
  <c r="AK94" i="1"/>
  <c r="AL94" i="1" s="1"/>
  <c r="AM94" i="1" s="1"/>
  <c r="AA94" i="1"/>
  <c r="Z94" i="1"/>
  <c r="Y94" i="1"/>
  <c r="X94" i="1"/>
  <c r="W94" i="1"/>
  <c r="AK93" i="1"/>
  <c r="AL93" i="1" s="1"/>
  <c r="AM93" i="1" s="1"/>
  <c r="AA93" i="1"/>
  <c r="Z93" i="1"/>
  <c r="Y93" i="1"/>
  <c r="X93" i="1"/>
  <c r="W93" i="1"/>
  <c r="AK92" i="1"/>
  <c r="AL92" i="1" s="1"/>
  <c r="AM92" i="1" s="1"/>
  <c r="AA92" i="1"/>
  <c r="Z92" i="1"/>
  <c r="Y92" i="1"/>
  <c r="X92" i="1"/>
  <c r="W92" i="1"/>
  <c r="AK91" i="1"/>
  <c r="AL91" i="1" s="1"/>
  <c r="AM91" i="1" s="1"/>
  <c r="AA91" i="1"/>
  <c r="Z91" i="1"/>
  <c r="Y91" i="1"/>
  <c r="X91" i="1"/>
  <c r="W91" i="1"/>
  <c r="AK90" i="1"/>
  <c r="AL90" i="1" s="1"/>
  <c r="AM90" i="1" s="1"/>
  <c r="AA90" i="1"/>
  <c r="Z90" i="1"/>
  <c r="Y90" i="1"/>
  <c r="X90" i="1"/>
  <c r="W90" i="1"/>
  <c r="AK89" i="1"/>
  <c r="AL89" i="1" s="1"/>
  <c r="AM89" i="1" s="1"/>
  <c r="AA89" i="1"/>
  <c r="Z89" i="1"/>
  <c r="Y89" i="1"/>
  <c r="X89" i="1"/>
  <c r="W89" i="1"/>
  <c r="AK88" i="1"/>
  <c r="AL88" i="1" s="1"/>
  <c r="AM88" i="1" s="1"/>
  <c r="AA88" i="1"/>
  <c r="Z88" i="1"/>
  <c r="Y88" i="1"/>
  <c r="X88" i="1"/>
  <c r="W88" i="1"/>
  <c r="AK87" i="1"/>
  <c r="AL87" i="1" s="1"/>
  <c r="AM87" i="1" s="1"/>
  <c r="AA87" i="1"/>
  <c r="Z87" i="1"/>
  <c r="Y87" i="1"/>
  <c r="X87" i="1"/>
  <c r="W87" i="1"/>
  <c r="AK86" i="1"/>
  <c r="AL86" i="1" s="1"/>
  <c r="AM86" i="1" s="1"/>
  <c r="AA86" i="1"/>
  <c r="Z86" i="1"/>
  <c r="Y86" i="1"/>
  <c r="X86" i="1"/>
  <c r="W86" i="1"/>
  <c r="AK85" i="1"/>
  <c r="AL85" i="1" s="1"/>
  <c r="AM85" i="1" s="1"/>
  <c r="AA85" i="1"/>
  <c r="Z85" i="1"/>
  <c r="Y85" i="1"/>
  <c r="X85" i="1"/>
  <c r="W85" i="1"/>
  <c r="AK84" i="1"/>
  <c r="AL84" i="1" s="1"/>
  <c r="AM84" i="1" s="1"/>
  <c r="AA84" i="1"/>
  <c r="Z84" i="1"/>
  <c r="Y84" i="1"/>
  <c r="X84" i="1"/>
  <c r="W84" i="1"/>
  <c r="AK83" i="1"/>
  <c r="AL83" i="1" s="1"/>
  <c r="AM83" i="1" s="1"/>
  <c r="AA83" i="1"/>
  <c r="Z83" i="1"/>
  <c r="Y83" i="1"/>
  <c r="X83" i="1"/>
  <c r="W83" i="1"/>
  <c r="AK82" i="1"/>
  <c r="AL82" i="1" s="1"/>
  <c r="AM82" i="1" s="1"/>
  <c r="AA82" i="1"/>
  <c r="Z82" i="1"/>
  <c r="Y82" i="1"/>
  <c r="X82" i="1"/>
  <c r="W82" i="1"/>
  <c r="AK81" i="1"/>
  <c r="AL81" i="1" s="1"/>
  <c r="AM81" i="1" s="1"/>
  <c r="AA81" i="1"/>
  <c r="Z81" i="1"/>
  <c r="Y81" i="1"/>
  <c r="X81" i="1"/>
  <c r="W81" i="1"/>
  <c r="AK80" i="1"/>
  <c r="AL80" i="1" s="1"/>
  <c r="AM80" i="1" s="1"/>
  <c r="AA80" i="1"/>
  <c r="Z80" i="1"/>
  <c r="Y80" i="1"/>
  <c r="X80" i="1"/>
  <c r="W80" i="1"/>
  <c r="AK79" i="1"/>
  <c r="AL79" i="1" s="1"/>
  <c r="AM79" i="1" s="1"/>
  <c r="AA79" i="1"/>
  <c r="Z79" i="1"/>
  <c r="Y79" i="1"/>
  <c r="X79" i="1"/>
  <c r="W79" i="1"/>
  <c r="AK78" i="1"/>
  <c r="AL78" i="1" s="1"/>
  <c r="AM78" i="1" s="1"/>
  <c r="AA78" i="1"/>
  <c r="Z78" i="1"/>
  <c r="Y78" i="1"/>
  <c r="X78" i="1"/>
  <c r="W78" i="1"/>
  <c r="AK77" i="1"/>
  <c r="AL77" i="1" s="1"/>
  <c r="AM77" i="1" s="1"/>
  <c r="AA77" i="1"/>
  <c r="Z77" i="1"/>
  <c r="Y77" i="1"/>
  <c r="X77" i="1"/>
  <c r="W77" i="1"/>
  <c r="AK76" i="1"/>
  <c r="AL76" i="1" s="1"/>
  <c r="AM76" i="1" s="1"/>
  <c r="AA76" i="1"/>
  <c r="Z76" i="1"/>
  <c r="Y76" i="1"/>
  <c r="X76" i="1"/>
  <c r="W76" i="1"/>
  <c r="AK75" i="1"/>
  <c r="AL75" i="1" s="1"/>
  <c r="AM75" i="1" s="1"/>
  <c r="AA75" i="1"/>
  <c r="Z75" i="1"/>
  <c r="Y75" i="1"/>
  <c r="X75" i="1"/>
  <c r="W75" i="1"/>
  <c r="AK74" i="1"/>
  <c r="AL74" i="1" s="1"/>
  <c r="AM74" i="1" s="1"/>
  <c r="AA74" i="1"/>
  <c r="Z74" i="1"/>
  <c r="Y74" i="1"/>
  <c r="X74" i="1"/>
  <c r="W74" i="1"/>
  <c r="AK73" i="1"/>
  <c r="AL73" i="1" s="1"/>
  <c r="AM73" i="1" s="1"/>
  <c r="AA73" i="1"/>
  <c r="Z73" i="1"/>
  <c r="Y73" i="1"/>
  <c r="X73" i="1"/>
  <c r="W73" i="1"/>
  <c r="AK72" i="1"/>
  <c r="AL72" i="1" s="1"/>
  <c r="AM72" i="1" s="1"/>
  <c r="AA72" i="1"/>
  <c r="Z72" i="1"/>
  <c r="Y72" i="1"/>
  <c r="X72" i="1"/>
  <c r="W72" i="1"/>
  <c r="AK71" i="1"/>
  <c r="AL71" i="1" s="1"/>
  <c r="AM71" i="1" s="1"/>
  <c r="AA71" i="1"/>
  <c r="Z71" i="1"/>
  <c r="Y71" i="1"/>
  <c r="X71" i="1"/>
  <c r="W71" i="1"/>
  <c r="AK70" i="1"/>
  <c r="AL70" i="1" s="1"/>
  <c r="AM70" i="1" s="1"/>
  <c r="AA70" i="1"/>
  <c r="Z70" i="1"/>
  <c r="Y70" i="1"/>
  <c r="X70" i="1"/>
  <c r="W70" i="1"/>
  <c r="AK69" i="1"/>
  <c r="AL69" i="1" s="1"/>
  <c r="AM69" i="1" s="1"/>
  <c r="AA69" i="1"/>
  <c r="Z69" i="1"/>
  <c r="Y69" i="1"/>
  <c r="X69" i="1"/>
  <c r="W69" i="1"/>
  <c r="AK68" i="1"/>
  <c r="AL68" i="1" s="1"/>
  <c r="AM68" i="1" s="1"/>
  <c r="AA68" i="1"/>
  <c r="Z68" i="1"/>
  <c r="Y68" i="1"/>
  <c r="X68" i="1"/>
  <c r="W68" i="1"/>
  <c r="AK67" i="1"/>
  <c r="AL67" i="1" s="1"/>
  <c r="AM67" i="1" s="1"/>
  <c r="AA67" i="1"/>
  <c r="Z67" i="1"/>
  <c r="Y67" i="1"/>
  <c r="X67" i="1"/>
  <c r="W67" i="1"/>
  <c r="AK66" i="1"/>
  <c r="AL66" i="1" s="1"/>
  <c r="AM66" i="1" s="1"/>
  <c r="AA66" i="1"/>
  <c r="Z66" i="1"/>
  <c r="Y66" i="1"/>
  <c r="X66" i="1"/>
  <c r="W66" i="1"/>
  <c r="AK65" i="1"/>
  <c r="AL65" i="1" s="1"/>
  <c r="AM65" i="1" s="1"/>
  <c r="AA65" i="1"/>
  <c r="Z65" i="1"/>
  <c r="Y65" i="1"/>
  <c r="X65" i="1"/>
  <c r="W65" i="1"/>
  <c r="AK64" i="1"/>
  <c r="AL64" i="1" s="1"/>
  <c r="AM64" i="1" s="1"/>
  <c r="AA64" i="1"/>
  <c r="Z64" i="1"/>
  <c r="Y64" i="1"/>
  <c r="X64" i="1"/>
  <c r="W64" i="1"/>
  <c r="AK63" i="1"/>
  <c r="AL63" i="1" s="1"/>
  <c r="AM63" i="1" s="1"/>
  <c r="AA63" i="1"/>
  <c r="Z63" i="1"/>
  <c r="Y63" i="1"/>
  <c r="X63" i="1"/>
  <c r="W63" i="1"/>
  <c r="AK62" i="1"/>
  <c r="AL62" i="1" s="1"/>
  <c r="AM62" i="1" s="1"/>
  <c r="AA62" i="1"/>
  <c r="Z62" i="1"/>
  <c r="Y62" i="1"/>
  <c r="X62" i="1"/>
  <c r="W62" i="1"/>
  <c r="AL61" i="1"/>
  <c r="AM61" i="1" s="1"/>
  <c r="AK61" i="1"/>
  <c r="AA61" i="1"/>
  <c r="Z61" i="1"/>
  <c r="Y61" i="1"/>
  <c r="X61" i="1"/>
  <c r="W61" i="1"/>
  <c r="AK60" i="1"/>
  <c r="AL60" i="1" s="1"/>
  <c r="AM60" i="1" s="1"/>
  <c r="AA60" i="1"/>
  <c r="Z60" i="1"/>
  <c r="Y60" i="1"/>
  <c r="X60" i="1"/>
  <c r="W60" i="1"/>
  <c r="AK59" i="1"/>
  <c r="AL59" i="1" s="1"/>
  <c r="AM59" i="1" s="1"/>
  <c r="AA59" i="1"/>
  <c r="Z59" i="1"/>
  <c r="Y59" i="1"/>
  <c r="X59" i="1"/>
  <c r="W59" i="1"/>
  <c r="AK58" i="1"/>
  <c r="AL58" i="1" s="1"/>
  <c r="AM58" i="1" s="1"/>
  <c r="AA58" i="1"/>
  <c r="Z58" i="1"/>
  <c r="Y58" i="1"/>
  <c r="X58" i="1"/>
  <c r="W58" i="1"/>
  <c r="AK57" i="1"/>
  <c r="AL57" i="1" s="1"/>
  <c r="AM57" i="1" s="1"/>
  <c r="AA57" i="1"/>
  <c r="Z57" i="1"/>
  <c r="Y57" i="1"/>
  <c r="X57" i="1"/>
  <c r="W57" i="1"/>
  <c r="AK56" i="1"/>
  <c r="AL56" i="1" s="1"/>
  <c r="AM56" i="1" s="1"/>
  <c r="AA56" i="1"/>
  <c r="Z56" i="1"/>
  <c r="Y56" i="1"/>
  <c r="X56" i="1"/>
  <c r="W56" i="1"/>
  <c r="AK55" i="1"/>
  <c r="AL55" i="1" s="1"/>
  <c r="AM55" i="1" s="1"/>
  <c r="AA55" i="1"/>
  <c r="Z55" i="1"/>
  <c r="Y55" i="1"/>
  <c r="X55" i="1"/>
  <c r="W55" i="1"/>
  <c r="AK54" i="1"/>
  <c r="AL54" i="1" s="1"/>
  <c r="AM54" i="1" s="1"/>
  <c r="AA54" i="1"/>
  <c r="Z54" i="1"/>
  <c r="Y54" i="1"/>
  <c r="X54" i="1"/>
  <c r="W54" i="1"/>
  <c r="AK53" i="1"/>
  <c r="AL53" i="1" s="1"/>
  <c r="AM53" i="1" s="1"/>
  <c r="AA53" i="1"/>
  <c r="Z53" i="1"/>
  <c r="Y53" i="1"/>
  <c r="X53" i="1"/>
  <c r="W53" i="1"/>
  <c r="AK52" i="1"/>
  <c r="AL52" i="1" s="1"/>
  <c r="AM52" i="1" s="1"/>
  <c r="AA52" i="1"/>
  <c r="Z52" i="1"/>
  <c r="Y52" i="1"/>
  <c r="X52" i="1"/>
  <c r="W52" i="1"/>
  <c r="AK51" i="1"/>
  <c r="AL51" i="1" s="1"/>
  <c r="AM51" i="1" s="1"/>
  <c r="AA51" i="1"/>
  <c r="Z51" i="1"/>
  <c r="Y51" i="1"/>
  <c r="X51" i="1"/>
  <c r="W51" i="1"/>
  <c r="AK50" i="1"/>
  <c r="AL50" i="1" s="1"/>
  <c r="AM50" i="1" s="1"/>
  <c r="AA50" i="1"/>
  <c r="Z50" i="1"/>
  <c r="Y50" i="1"/>
  <c r="X50" i="1"/>
  <c r="W50" i="1"/>
  <c r="AK49" i="1"/>
  <c r="AL49" i="1" s="1"/>
  <c r="AM49" i="1" s="1"/>
  <c r="AA49" i="1"/>
  <c r="Z49" i="1"/>
  <c r="Y49" i="1"/>
  <c r="X49" i="1"/>
  <c r="W49" i="1"/>
  <c r="AK48" i="1"/>
  <c r="AL48" i="1" s="1"/>
  <c r="AM48" i="1" s="1"/>
  <c r="AA48" i="1"/>
  <c r="Z48" i="1"/>
  <c r="Y48" i="1"/>
  <c r="X48" i="1"/>
  <c r="W48" i="1"/>
  <c r="AK47" i="1"/>
  <c r="AL47" i="1" s="1"/>
  <c r="AM47" i="1" s="1"/>
  <c r="AA47" i="1"/>
  <c r="Z47" i="1"/>
  <c r="Y47" i="1"/>
  <c r="X47" i="1"/>
  <c r="W47" i="1"/>
  <c r="AK46" i="1"/>
  <c r="AL46" i="1" s="1"/>
  <c r="AM46" i="1" s="1"/>
  <c r="B19" i="6" s="1"/>
  <c r="AA46" i="1"/>
  <c r="F19" i="10" s="1"/>
  <c r="Z46" i="1"/>
  <c r="Y46" i="1"/>
  <c r="X46" i="1"/>
  <c r="W46" i="1"/>
  <c r="AK45" i="1"/>
  <c r="AL45" i="1" s="1"/>
  <c r="AM45" i="1" s="1"/>
  <c r="AA45" i="1"/>
  <c r="Z45" i="1"/>
  <c r="Y45" i="1"/>
  <c r="X45" i="1"/>
  <c r="W45" i="1"/>
  <c r="AK44" i="1"/>
  <c r="AL44" i="1" s="1"/>
  <c r="AM44" i="1" s="1"/>
  <c r="AA44" i="1"/>
  <c r="Z44" i="1"/>
  <c r="Y44" i="1"/>
  <c r="X44" i="1"/>
  <c r="W44" i="1"/>
  <c r="AK43" i="1"/>
  <c r="AL43" i="1" s="1"/>
  <c r="AM43" i="1" s="1"/>
  <c r="AA43" i="1"/>
  <c r="Z43" i="1"/>
  <c r="Y43" i="1"/>
  <c r="X43" i="1"/>
  <c r="W43" i="1"/>
  <c r="AK42" i="1"/>
  <c r="AL42" i="1" s="1"/>
  <c r="AM42" i="1" s="1"/>
  <c r="AA42" i="1"/>
  <c r="Z42" i="1"/>
  <c r="Y42" i="1"/>
  <c r="X42" i="1"/>
  <c r="W42" i="1"/>
  <c r="AK41" i="1"/>
  <c r="AL41" i="1" s="1"/>
  <c r="AM41" i="1" s="1"/>
  <c r="AA41" i="1"/>
  <c r="Z41" i="1"/>
  <c r="Y41" i="1"/>
  <c r="X41" i="1"/>
  <c r="W41" i="1"/>
  <c r="AK40" i="1"/>
  <c r="AL40" i="1" s="1"/>
  <c r="AM40" i="1" s="1"/>
  <c r="AA40" i="1"/>
  <c r="Z40" i="1"/>
  <c r="Y40" i="1"/>
  <c r="X40" i="1"/>
  <c r="W40" i="1"/>
  <c r="AK39" i="1"/>
  <c r="AL39" i="1" s="1"/>
  <c r="AM39" i="1" s="1"/>
  <c r="AA39" i="1"/>
  <c r="Z39" i="1"/>
  <c r="Y39" i="1"/>
  <c r="X39" i="1"/>
  <c r="W39" i="1"/>
  <c r="AK38" i="1"/>
  <c r="AL38" i="1" s="1"/>
  <c r="AM38" i="1" s="1"/>
  <c r="AA38" i="1"/>
  <c r="Z38" i="1"/>
  <c r="Y38" i="1"/>
  <c r="X38" i="1"/>
  <c r="W38" i="1"/>
  <c r="AK37" i="1"/>
  <c r="AL37" i="1" s="1"/>
  <c r="AM37" i="1" s="1"/>
  <c r="AA37" i="1"/>
  <c r="Z37" i="1"/>
  <c r="Y37" i="1"/>
  <c r="X37" i="1"/>
  <c r="W37" i="1"/>
  <c r="AK36" i="1"/>
  <c r="AL36" i="1" s="1"/>
  <c r="AM36" i="1" s="1"/>
  <c r="AA36" i="1"/>
  <c r="Z36" i="1"/>
  <c r="Y36" i="1"/>
  <c r="X36" i="1"/>
  <c r="W36" i="1"/>
  <c r="AK35" i="1"/>
  <c r="AL35" i="1" s="1"/>
  <c r="AM35" i="1" s="1"/>
  <c r="AA35" i="1"/>
  <c r="Z35" i="1"/>
  <c r="Y35" i="1"/>
  <c r="X35" i="1"/>
  <c r="W35" i="1"/>
  <c r="AK34" i="1"/>
  <c r="AL34" i="1" s="1"/>
  <c r="AM34" i="1" s="1"/>
  <c r="AA34" i="1"/>
  <c r="Z34" i="1"/>
  <c r="Y34" i="1"/>
  <c r="X34" i="1"/>
  <c r="W34" i="1"/>
  <c r="AK33" i="1"/>
  <c r="AL33" i="1" s="1"/>
  <c r="AM33" i="1" s="1"/>
  <c r="AA33" i="1"/>
  <c r="Z33" i="1"/>
  <c r="Y33" i="1"/>
  <c r="X33" i="1"/>
  <c r="W33" i="1"/>
  <c r="AK32" i="1"/>
  <c r="AL32" i="1" s="1"/>
  <c r="AM32" i="1" s="1"/>
  <c r="AA32" i="1"/>
  <c r="Z32" i="1"/>
  <c r="Y32" i="1"/>
  <c r="X32" i="1"/>
  <c r="W32" i="1"/>
  <c r="AK31" i="1"/>
  <c r="AL31" i="1" s="1"/>
  <c r="AM31" i="1" s="1"/>
  <c r="AA31" i="1"/>
  <c r="Z31" i="1"/>
  <c r="Y31" i="1"/>
  <c r="X31" i="1"/>
  <c r="W31" i="1"/>
  <c r="AK30" i="1"/>
  <c r="AL30" i="1" s="1"/>
  <c r="AM30" i="1" s="1"/>
  <c r="AA30" i="1"/>
  <c r="Z30" i="1"/>
  <c r="Y30" i="1"/>
  <c r="X30" i="1"/>
  <c r="W30" i="1"/>
  <c r="AK29" i="1"/>
  <c r="AL29" i="1" s="1"/>
  <c r="AM29" i="1" s="1"/>
  <c r="AA29" i="1"/>
  <c r="Z29" i="1"/>
  <c r="Y29" i="1"/>
  <c r="X29" i="1"/>
  <c r="W29" i="1"/>
  <c r="AK28" i="1"/>
  <c r="AL28" i="1" s="1"/>
  <c r="AM28" i="1" s="1"/>
  <c r="AA28" i="1"/>
  <c r="Z28" i="1"/>
  <c r="Y28" i="1"/>
  <c r="X28" i="1"/>
  <c r="W28" i="1"/>
  <c r="AK27" i="1"/>
  <c r="AL27" i="1" s="1"/>
  <c r="AM27" i="1" s="1"/>
  <c r="AA27" i="1"/>
  <c r="Z27" i="1"/>
  <c r="Y27" i="1"/>
  <c r="X27" i="1"/>
  <c r="W27" i="1"/>
  <c r="AK26" i="1"/>
  <c r="AL26" i="1" s="1"/>
  <c r="AM26" i="1" s="1"/>
  <c r="AA26" i="1"/>
  <c r="Z26" i="1"/>
  <c r="Y26" i="1"/>
  <c r="X26" i="1"/>
  <c r="W26" i="1"/>
  <c r="AK25" i="1"/>
  <c r="AL25" i="1" s="1"/>
  <c r="AM25" i="1" s="1"/>
  <c r="AA25" i="1"/>
  <c r="Z25" i="1"/>
  <c r="Y25" i="1"/>
  <c r="X25" i="1"/>
  <c r="W25" i="1"/>
  <c r="AK24" i="1"/>
  <c r="AL24" i="1" s="1"/>
  <c r="AM24" i="1" s="1"/>
  <c r="AA24" i="1"/>
  <c r="Z24" i="1"/>
  <c r="Y24" i="1"/>
  <c r="X24" i="1"/>
  <c r="W24" i="1"/>
  <c r="AK23" i="1"/>
  <c r="AL23" i="1" s="1"/>
  <c r="AM23" i="1" s="1"/>
  <c r="AA23" i="1"/>
  <c r="Z23" i="1"/>
  <c r="Y23" i="1"/>
  <c r="X23" i="1"/>
  <c r="W23" i="1"/>
  <c r="AK22" i="1"/>
  <c r="AL22" i="1" s="1"/>
  <c r="AM22" i="1" s="1"/>
  <c r="AA22" i="1"/>
  <c r="Z22" i="1"/>
  <c r="Y22" i="1"/>
  <c r="X22" i="1"/>
  <c r="W22" i="1"/>
  <c r="AK21" i="1"/>
  <c r="AL21" i="1" s="1"/>
  <c r="AM21" i="1" s="1"/>
  <c r="AA21" i="1"/>
  <c r="Z21" i="1"/>
  <c r="Y21" i="1"/>
  <c r="X21" i="1"/>
  <c r="W21" i="1"/>
  <c r="AK20" i="1"/>
  <c r="AL20" i="1" s="1"/>
  <c r="AM20" i="1" s="1"/>
  <c r="AA20" i="1"/>
  <c r="Z20" i="1"/>
  <c r="Y20" i="1"/>
  <c r="X20" i="1"/>
  <c r="W20" i="1"/>
  <c r="AK19" i="1"/>
  <c r="AL19" i="1" s="1"/>
  <c r="AM19" i="1" s="1"/>
  <c r="AA19" i="1"/>
  <c r="Z19" i="1"/>
  <c r="Y19" i="1"/>
  <c r="X19" i="1"/>
  <c r="W19" i="1"/>
  <c r="AK18" i="1"/>
  <c r="AL18" i="1" s="1"/>
  <c r="AM18" i="1" s="1"/>
  <c r="AA18" i="1"/>
  <c r="Z18" i="1"/>
  <c r="Y18" i="1"/>
  <c r="X18" i="1"/>
  <c r="W18" i="1"/>
  <c r="AL17" i="1"/>
  <c r="AM17" i="1" s="1"/>
  <c r="AK17" i="1"/>
  <c r="AA17" i="1"/>
  <c r="Z17" i="1"/>
  <c r="Y17" i="1"/>
  <c r="X17" i="1"/>
  <c r="W17" i="1"/>
  <c r="AK16" i="1"/>
  <c r="AL16" i="1" s="1"/>
  <c r="AM16" i="1" s="1"/>
  <c r="AA16" i="1"/>
  <c r="Z16" i="1"/>
  <c r="Y16" i="1"/>
  <c r="X16" i="1"/>
  <c r="W16" i="1"/>
  <c r="AK15" i="1"/>
  <c r="AL15" i="1" s="1"/>
  <c r="AM15" i="1" s="1"/>
  <c r="AA15" i="1"/>
  <c r="Z15" i="1"/>
  <c r="Y15" i="1"/>
  <c r="X15" i="1"/>
  <c r="W15" i="1"/>
  <c r="AK14" i="1"/>
  <c r="AL14" i="1" s="1"/>
  <c r="AM14" i="1" s="1"/>
  <c r="AA14" i="1"/>
  <c r="Z14" i="1"/>
  <c r="Y14" i="1"/>
  <c r="X14" i="1"/>
  <c r="W14" i="1"/>
  <c r="AK13" i="1"/>
  <c r="AL13" i="1" s="1"/>
  <c r="AM13" i="1" s="1"/>
  <c r="AA13" i="1"/>
  <c r="Z13" i="1"/>
  <c r="Y13" i="1"/>
  <c r="X13" i="1"/>
  <c r="W13" i="1"/>
  <c r="AK12" i="1"/>
  <c r="AL12" i="1" s="1"/>
  <c r="AM12" i="1" s="1"/>
  <c r="AA12" i="1"/>
  <c r="Z12" i="1"/>
  <c r="Y12" i="1"/>
  <c r="X12" i="1"/>
  <c r="W12" i="1"/>
  <c r="AK11" i="1"/>
  <c r="AL11" i="1" s="1"/>
  <c r="AM11" i="1" s="1"/>
  <c r="AA11" i="1"/>
  <c r="Z11" i="1"/>
  <c r="Y11" i="1"/>
  <c r="X11" i="1"/>
  <c r="W11" i="1"/>
  <c r="AL10" i="1"/>
  <c r="AM10" i="1" s="1"/>
  <c r="AK10" i="1"/>
  <c r="AA10" i="1"/>
  <c r="Z10" i="1"/>
  <c r="Y10" i="1"/>
  <c r="X10" i="1"/>
  <c r="W10" i="1"/>
  <c r="AK9" i="1"/>
  <c r="AL9" i="1" s="1"/>
  <c r="AM9" i="1" s="1"/>
  <c r="AA9" i="1"/>
  <c r="Z9" i="1"/>
  <c r="Y9" i="1"/>
  <c r="X9" i="1"/>
  <c r="W9" i="1"/>
  <c r="AK8" i="1"/>
  <c r="AL8" i="1" s="1"/>
  <c r="AM8" i="1" s="1"/>
  <c r="AA8" i="1"/>
  <c r="Z8" i="1"/>
  <c r="Y8" i="1"/>
  <c r="X8" i="1"/>
  <c r="W8" i="1"/>
  <c r="AK7" i="1"/>
  <c r="AL7" i="1" s="1"/>
  <c r="AM7" i="1" s="1"/>
  <c r="AA7" i="1"/>
  <c r="Z7" i="1"/>
  <c r="Y7" i="1"/>
  <c r="X7" i="1"/>
  <c r="W7" i="1"/>
  <c r="AK6" i="1"/>
  <c r="AL6" i="1" s="1"/>
  <c r="AM6" i="1" s="1"/>
  <c r="AA6" i="1"/>
  <c r="Z6" i="1"/>
  <c r="Y6" i="1"/>
  <c r="X6" i="1"/>
  <c r="W6" i="1"/>
  <c r="AK5" i="1"/>
  <c r="AL5" i="1" s="1"/>
  <c r="AM5" i="1" s="1"/>
  <c r="AA5" i="1"/>
  <c r="Z5" i="1"/>
  <c r="Y5" i="1"/>
  <c r="X5" i="1"/>
  <c r="W5" i="1"/>
  <c r="AK4" i="1"/>
  <c r="AL4" i="1" s="1"/>
  <c r="AM4" i="1" s="1"/>
  <c r="AA4" i="1"/>
  <c r="Z4" i="1"/>
  <c r="Y4" i="1"/>
  <c r="X4" i="1"/>
  <c r="W4" i="1"/>
  <c r="AK3" i="1"/>
  <c r="AL3" i="1" s="1"/>
  <c r="AM3" i="1" s="1"/>
  <c r="AA3" i="1"/>
  <c r="Z3" i="1"/>
  <c r="Y3" i="1"/>
  <c r="X3" i="1"/>
  <c r="W3" i="1"/>
  <c r="AK2" i="1"/>
  <c r="AL2" i="1" s="1"/>
  <c r="AM2" i="1" s="1"/>
  <c r="AA2" i="1"/>
  <c r="Z2" i="1"/>
  <c r="Y2" i="1"/>
  <c r="X2" i="1"/>
  <c r="W2" i="1"/>
  <c r="C4" i="10" l="1"/>
  <c r="C31" i="10"/>
  <c r="C77" i="10"/>
  <c r="B73" i="5"/>
  <c r="D59" i="10"/>
  <c r="E30" i="10"/>
  <c r="E14" i="10"/>
  <c r="E31" i="10"/>
  <c r="D40" i="10"/>
  <c r="E46" i="10"/>
  <c r="E64" i="10"/>
  <c r="F40" i="10"/>
  <c r="D100" i="10"/>
  <c r="C16" i="10"/>
  <c r="E37" i="10"/>
  <c r="B46" i="5"/>
  <c r="D4" i="10"/>
  <c r="D18" i="10"/>
  <c r="C66" i="10"/>
  <c r="B14" i="6"/>
  <c r="B45" i="5"/>
  <c r="B25" i="10"/>
  <c r="B77" i="5"/>
  <c r="B27" i="6"/>
  <c r="B37" i="10"/>
  <c r="D31" i="10"/>
  <c r="E89" i="10"/>
  <c r="B2" i="10"/>
  <c r="F31" i="10"/>
  <c r="F60" i="10"/>
  <c r="B30" i="6"/>
  <c r="E55" i="10"/>
  <c r="B31" i="10"/>
  <c r="C52" i="10"/>
  <c r="B78" i="10"/>
  <c r="C101" i="10"/>
  <c r="B86" i="5"/>
  <c r="C6" i="10"/>
  <c r="F11" i="10"/>
  <c r="C37" i="10"/>
  <c r="B54" i="10"/>
  <c r="B95" i="10"/>
  <c r="D6" i="10"/>
  <c r="C64" i="10"/>
  <c r="B97" i="6"/>
  <c r="B32" i="6"/>
  <c r="B98" i="5"/>
  <c r="E6" i="10"/>
  <c r="B34" i="10"/>
  <c r="F37" i="10"/>
  <c r="D64" i="10"/>
  <c r="F101" i="10"/>
  <c r="C34" i="10"/>
  <c r="C111" i="10"/>
  <c r="E3" i="10"/>
  <c r="B55" i="10"/>
  <c r="F57" i="10"/>
  <c r="C60" i="10"/>
  <c r="C55" i="10"/>
  <c r="B30" i="10"/>
  <c r="D60" i="10"/>
  <c r="D55" i="10"/>
  <c r="C30" i="10"/>
  <c r="D51" i="10"/>
  <c r="E60" i="10"/>
  <c r="B93" i="5"/>
  <c r="B15" i="10"/>
  <c r="D30" i="10"/>
  <c r="E77" i="10"/>
  <c r="B89" i="6"/>
  <c r="B89" i="5"/>
  <c r="B77" i="6"/>
  <c r="E61" i="10"/>
  <c r="E107" i="10"/>
  <c r="B61" i="5"/>
  <c r="B38" i="5"/>
  <c r="B112" i="6"/>
  <c r="B117" i="5"/>
  <c r="D108" i="10"/>
  <c r="B39" i="10"/>
  <c r="E108" i="10"/>
  <c r="F4" i="10"/>
  <c r="D12" i="10"/>
  <c r="D16" i="10"/>
  <c r="D34" i="10"/>
  <c r="E42" i="10"/>
  <c r="B110" i="10"/>
  <c r="F12" i="10"/>
  <c r="E16" i="10"/>
  <c r="E34" i="10"/>
  <c r="B87" i="10"/>
  <c r="C98" i="10"/>
  <c r="B9" i="10"/>
  <c r="E68" i="10"/>
  <c r="C87" i="10"/>
  <c r="E98" i="10"/>
  <c r="B6" i="10"/>
  <c r="C9" i="10"/>
  <c r="C13" i="10"/>
  <c r="C82" i="10"/>
  <c r="D87" i="10"/>
  <c r="C93" i="10"/>
  <c r="E87" i="10"/>
  <c r="B97" i="5"/>
  <c r="B113" i="5"/>
  <c r="E78" i="10"/>
  <c r="E11" i="10"/>
  <c r="F23" i="10"/>
  <c r="C42" i="10"/>
  <c r="F53" i="10"/>
  <c r="D71" i="10"/>
  <c r="E85" i="10"/>
  <c r="F92" i="10"/>
  <c r="F96" i="10"/>
  <c r="E114" i="10"/>
  <c r="D119" i="10"/>
  <c r="C40" i="10"/>
  <c r="D42" i="10"/>
  <c r="E59" i="10"/>
  <c r="E71" i="10"/>
  <c r="B82" i="10"/>
  <c r="F85" i="10"/>
  <c r="C100" i="10"/>
  <c r="E119" i="10"/>
  <c r="B18" i="10"/>
  <c r="E4" i="10"/>
  <c r="B22" i="10"/>
  <c r="E40" i="10"/>
  <c r="E100" i="10"/>
  <c r="D120" i="10"/>
  <c r="F7" i="10"/>
  <c r="B23" i="10"/>
  <c r="E33" i="10"/>
  <c r="B35" i="10"/>
  <c r="C44" i="10"/>
  <c r="D48" i="10"/>
  <c r="B62" i="10"/>
  <c r="C92" i="10"/>
  <c r="C109" i="10"/>
  <c r="B5" i="10"/>
  <c r="C11" i="10"/>
  <c r="D23" i="10"/>
  <c r="E28" i="10"/>
  <c r="F33" i="10"/>
  <c r="C35" i="10"/>
  <c r="E48" i="10"/>
  <c r="C53" i="10"/>
  <c r="C62" i="10"/>
  <c r="B71" i="10"/>
  <c r="D92" i="10"/>
  <c r="E109" i="10"/>
  <c r="B114" i="10"/>
  <c r="B119" i="10"/>
  <c r="B65" i="5"/>
  <c r="C8" i="10"/>
  <c r="D11" i="10"/>
  <c r="B13" i="10"/>
  <c r="F16" i="10"/>
  <c r="E23" i="10"/>
  <c r="F28" i="10"/>
  <c r="B42" i="10"/>
  <c r="F48" i="10"/>
  <c r="C71" i="10"/>
  <c r="E92" i="10"/>
  <c r="C119" i="10"/>
  <c r="G1" i="5"/>
  <c r="B14" i="5"/>
  <c r="B30" i="5"/>
  <c r="B37" i="5"/>
  <c r="B38" i="6"/>
  <c r="B55" i="6"/>
  <c r="B56" i="6"/>
  <c r="B55" i="5"/>
  <c r="B54" i="5"/>
  <c r="B31" i="6"/>
  <c r="B49" i="5"/>
  <c r="B69" i="5"/>
  <c r="B13" i="5"/>
  <c r="B26" i="6"/>
  <c r="B25" i="5"/>
  <c r="B63" i="5"/>
  <c r="B2" i="6"/>
  <c r="G2" i="5"/>
  <c r="B29" i="5"/>
  <c r="B57" i="6"/>
  <c r="C57" i="10"/>
  <c r="C76" i="10"/>
  <c r="F89" i="10"/>
  <c r="E90" i="10"/>
  <c r="B91" i="10"/>
  <c r="B75" i="10"/>
  <c r="D76" i="10"/>
  <c r="C91" i="10"/>
  <c r="B94" i="10"/>
  <c r="B103" i="6"/>
  <c r="E57" i="10"/>
  <c r="E76" i="10"/>
  <c r="D91" i="10"/>
  <c r="C94" i="10"/>
  <c r="C69" i="10"/>
  <c r="D75" i="10"/>
  <c r="F76" i="10"/>
  <c r="E91" i="10"/>
  <c r="C103" i="10"/>
  <c r="E75" i="10"/>
  <c r="E94" i="10"/>
  <c r="E69" i="10"/>
  <c r="C70" i="10"/>
  <c r="B75" i="5"/>
  <c r="C89" i="10"/>
  <c r="B91" i="6"/>
  <c r="B94" i="5"/>
  <c r="B105" i="5"/>
  <c r="F69" i="10"/>
  <c r="E105" i="10"/>
  <c r="B101" i="5"/>
  <c r="D103" i="10"/>
  <c r="F105" i="10"/>
  <c r="E103" i="10"/>
  <c r="B103" i="5"/>
  <c r="B102" i="5"/>
  <c r="E101" i="10"/>
  <c r="C105" i="10"/>
  <c r="B102" i="10"/>
  <c r="B103" i="10"/>
  <c r="C102" i="10"/>
  <c r="B111" i="6"/>
  <c r="B110" i="5"/>
  <c r="B107" i="10"/>
  <c r="C107" i="10"/>
  <c r="D107" i="10"/>
  <c r="B111" i="10"/>
  <c r="B111" i="5"/>
  <c r="C117" i="10"/>
  <c r="C116" i="10"/>
  <c r="D116" i="10"/>
  <c r="C118" i="10"/>
  <c r="B107" i="5"/>
  <c r="G3" i="5"/>
  <c r="H3" i="5" s="1"/>
  <c r="C3" i="10"/>
  <c r="B118" i="5"/>
  <c r="C108" i="10"/>
  <c r="D3" i="10"/>
  <c r="B11" i="5"/>
  <c r="B12" i="6"/>
  <c r="B119" i="6"/>
  <c r="B31" i="5"/>
  <c r="B39" i="6"/>
  <c r="B6" i="6"/>
  <c r="B5" i="5"/>
  <c r="B15" i="5"/>
  <c r="B96" i="6"/>
  <c r="B95" i="5"/>
  <c r="F3" i="10"/>
  <c r="B71" i="6"/>
  <c r="F108" i="10"/>
  <c r="B3" i="6"/>
  <c r="B2" i="5"/>
  <c r="E116" i="10"/>
  <c r="C39" i="10"/>
  <c r="B70" i="5"/>
  <c r="B3" i="10"/>
  <c r="B39" i="5"/>
  <c r="G4" i="5"/>
  <c r="B4" i="6"/>
  <c r="B50" i="5"/>
  <c r="B90" i="5"/>
  <c r="B106" i="5"/>
  <c r="B3" i="5"/>
  <c r="B51" i="5"/>
  <c r="B91" i="5"/>
  <c r="B4" i="5"/>
  <c r="B18" i="5"/>
  <c r="B59" i="5"/>
  <c r="B115" i="5"/>
  <c r="B74" i="5"/>
  <c r="B40" i="6"/>
  <c r="B26" i="5"/>
  <c r="B27" i="5"/>
  <c r="B82" i="5"/>
  <c r="B1" i="5"/>
  <c r="B83" i="5"/>
  <c r="B68" i="5"/>
  <c r="B100" i="5"/>
  <c r="B33" i="6"/>
  <c r="B61" i="6"/>
  <c r="B32" i="5"/>
  <c r="B64" i="5"/>
  <c r="B96" i="5"/>
  <c r="B107" i="6"/>
  <c r="B60" i="5"/>
  <c r="B9" i="6"/>
  <c r="B49" i="6"/>
  <c r="B75" i="6"/>
  <c r="B95" i="6"/>
  <c r="B101" i="6"/>
  <c r="B108" i="6"/>
  <c r="B116" i="6"/>
  <c r="F15" i="10"/>
  <c r="B24" i="5"/>
  <c r="B56" i="5"/>
  <c r="B88" i="5"/>
  <c r="B5" i="6"/>
  <c r="B69" i="6"/>
  <c r="B117" i="6"/>
  <c r="B116" i="5"/>
  <c r="B51" i="6"/>
  <c r="F56" i="10"/>
  <c r="B16" i="5"/>
  <c r="B48" i="5"/>
  <c r="B112" i="5"/>
  <c r="B25" i="6"/>
  <c r="B52" i="6"/>
  <c r="B84" i="6"/>
  <c r="B104" i="6"/>
  <c r="B19" i="10"/>
  <c r="B12" i="5"/>
  <c r="B76" i="5"/>
  <c r="B108" i="5"/>
  <c r="E2" i="10"/>
  <c r="B8" i="5"/>
  <c r="B72" i="5"/>
  <c r="B104" i="5"/>
  <c r="B60" i="6"/>
  <c r="B92" i="6"/>
  <c r="B99" i="6"/>
  <c r="B113" i="6"/>
  <c r="E39" i="10"/>
  <c r="B58" i="6"/>
  <c r="B90" i="6"/>
  <c r="F5" i="10"/>
  <c r="C7" i="10"/>
  <c r="F8" i="10"/>
  <c r="D10" i="10"/>
  <c r="F14" i="10"/>
  <c r="B14" i="10"/>
  <c r="E17" i="10"/>
  <c r="C19" i="10"/>
  <c r="D21" i="10"/>
  <c r="F21" i="10"/>
  <c r="E22" i="10"/>
  <c r="D24" i="10"/>
  <c r="D36" i="10"/>
  <c r="F38" i="10"/>
  <c r="E38" i="10"/>
  <c r="D38" i="10"/>
  <c r="F39" i="10"/>
  <c r="E43" i="10"/>
  <c r="E45" i="10"/>
  <c r="F50" i="10"/>
  <c r="D50" i="10"/>
  <c r="F63" i="10"/>
  <c r="E63" i="10"/>
  <c r="D63" i="10"/>
  <c r="D65" i="10"/>
  <c r="B65" i="10"/>
  <c r="E65" i="10"/>
  <c r="C65" i="10"/>
  <c r="F74" i="10"/>
  <c r="D74" i="10"/>
  <c r="C74" i="10"/>
  <c r="B74" i="10"/>
  <c r="D81" i="10"/>
  <c r="B81" i="10"/>
  <c r="E81" i="10"/>
  <c r="C81" i="10"/>
  <c r="B84" i="10"/>
  <c r="F84" i="10"/>
  <c r="F86" i="10"/>
  <c r="D86" i="10"/>
  <c r="E86" i="10"/>
  <c r="B88" i="10"/>
  <c r="E88" i="10"/>
  <c r="D88" i="10"/>
  <c r="F95" i="10"/>
  <c r="E95" i="10"/>
  <c r="D95" i="10"/>
  <c r="D113" i="10"/>
  <c r="B113" i="10"/>
  <c r="E113" i="10"/>
  <c r="C113" i="10"/>
  <c r="F116" i="10"/>
  <c r="B118" i="6"/>
  <c r="D7" i="10"/>
  <c r="D9" i="10"/>
  <c r="E9" i="10"/>
  <c r="E10" i="10"/>
  <c r="C14" i="10"/>
  <c r="D19" i="10"/>
  <c r="B21" i="10"/>
  <c r="C28" i="10"/>
  <c r="F30" i="10"/>
  <c r="B33" i="10"/>
  <c r="E36" i="10"/>
  <c r="B38" i="10"/>
  <c r="F45" i="10"/>
  <c r="B50" i="10"/>
  <c r="D52" i="10"/>
  <c r="B59" i="10"/>
  <c r="D61" i="10"/>
  <c r="B61" i="10"/>
  <c r="F61" i="10"/>
  <c r="B63" i="10"/>
  <c r="F65" i="10"/>
  <c r="B68" i="10"/>
  <c r="F68" i="10"/>
  <c r="F70" i="10"/>
  <c r="D70" i="10"/>
  <c r="E70" i="10"/>
  <c r="B72" i="10"/>
  <c r="E72" i="10"/>
  <c r="D72" i="10"/>
  <c r="E74" i="10"/>
  <c r="F79" i="10"/>
  <c r="E79" i="10"/>
  <c r="D79" i="10"/>
  <c r="F81" i="10"/>
  <c r="C84" i="10"/>
  <c r="B86" i="10"/>
  <c r="C88" i="10"/>
  <c r="B104" i="10"/>
  <c r="E104" i="10"/>
  <c r="D104" i="10"/>
  <c r="F113" i="10"/>
  <c r="B50" i="6"/>
  <c r="B82" i="6"/>
  <c r="B114" i="6"/>
  <c r="E7" i="10"/>
  <c r="D14" i="10"/>
  <c r="F18" i="10"/>
  <c r="E18" i="10"/>
  <c r="E19" i="10"/>
  <c r="C21" i="10"/>
  <c r="D25" i="10"/>
  <c r="D28" i="10"/>
  <c r="C33" i="10"/>
  <c r="E35" i="10"/>
  <c r="D35" i="10"/>
  <c r="F36" i="10"/>
  <c r="C38" i="10"/>
  <c r="B44" i="10"/>
  <c r="F44" i="10"/>
  <c r="E44" i="10"/>
  <c r="F46" i="10"/>
  <c r="C46" i="10"/>
  <c r="B46" i="10"/>
  <c r="C48" i="10"/>
  <c r="C50" i="10"/>
  <c r="D57" i="10"/>
  <c r="B57" i="10"/>
  <c r="C59" i="10"/>
  <c r="C61" i="10"/>
  <c r="C63" i="10"/>
  <c r="F66" i="10"/>
  <c r="D66" i="10"/>
  <c r="C68" i="10"/>
  <c r="B70" i="10"/>
  <c r="C72" i="10"/>
  <c r="D77" i="10"/>
  <c r="B77" i="10"/>
  <c r="F77" i="10"/>
  <c r="B79" i="10"/>
  <c r="D84" i="10"/>
  <c r="C86" i="10"/>
  <c r="F88" i="10"/>
  <c r="C95" i="10"/>
  <c r="C104" i="10"/>
  <c r="F27" i="10"/>
  <c r="E50" i="10"/>
  <c r="B64" i="10"/>
  <c r="C79" i="10"/>
  <c r="E84" i="10"/>
  <c r="D93" i="10"/>
  <c r="B93" i="10"/>
  <c r="F93" i="10"/>
  <c r="B96" i="10"/>
  <c r="D96" i="10"/>
  <c r="C96" i="10"/>
  <c r="F104" i="10"/>
  <c r="E111" i="10"/>
  <c r="B74" i="6"/>
  <c r="B106" i="6"/>
  <c r="F2" i="10"/>
  <c r="E15" i="10"/>
  <c r="B20" i="10"/>
  <c r="C20" i="10"/>
  <c r="B32" i="10"/>
  <c r="D32" i="10"/>
  <c r="F51" i="10"/>
  <c r="C51" i="10"/>
  <c r="B51" i="10"/>
  <c r="B80" i="10"/>
  <c r="C80" i="10"/>
  <c r="F99" i="10"/>
  <c r="E99" i="10"/>
  <c r="C99" i="10"/>
  <c r="B99" i="10"/>
  <c r="E102" i="10"/>
  <c r="E118" i="10"/>
  <c r="E121" i="10"/>
  <c r="D121" i="10"/>
  <c r="B121" i="10"/>
  <c r="F121" i="10"/>
  <c r="C121" i="10"/>
  <c r="B70" i="6"/>
  <c r="B102" i="6"/>
  <c r="D29" i="10"/>
  <c r="C29" i="10"/>
  <c r="F47" i="10"/>
  <c r="E47" i="10"/>
  <c r="D80" i="10"/>
  <c r="B98" i="6"/>
  <c r="C2" i="10"/>
  <c r="C5" i="10"/>
  <c r="D8" i="10"/>
  <c r="B10" i="10"/>
  <c r="E13" i="10"/>
  <c r="C15" i="10"/>
  <c r="D17" i="10"/>
  <c r="B17" i="10"/>
  <c r="E20" i="10"/>
  <c r="C22" i="10"/>
  <c r="B24" i="10"/>
  <c r="F24" i="10"/>
  <c r="D27" i="10"/>
  <c r="B29" i="10"/>
  <c r="E32" i="10"/>
  <c r="D39" i="10"/>
  <c r="D41" i="10"/>
  <c r="F41" i="10"/>
  <c r="E41" i="10"/>
  <c r="C43" i="10"/>
  <c r="B43" i="10"/>
  <c r="B45" i="10"/>
  <c r="B47" i="10"/>
  <c r="D49" i="10"/>
  <c r="B49" i="10"/>
  <c r="E49" i="10"/>
  <c r="C49" i="10"/>
  <c r="E51" i="10"/>
  <c r="F58" i="10"/>
  <c r="D58" i="10"/>
  <c r="C58" i="10"/>
  <c r="B58" i="10"/>
  <c r="F67" i="10"/>
  <c r="C67" i="10"/>
  <c r="B67" i="10"/>
  <c r="E80" i="10"/>
  <c r="F83" i="10"/>
  <c r="E83" i="10"/>
  <c r="C83" i="10"/>
  <c r="B83" i="10"/>
  <c r="D97" i="10"/>
  <c r="B97" i="10"/>
  <c r="E97" i="10"/>
  <c r="C97" i="10"/>
  <c r="F106" i="10"/>
  <c r="D106" i="10"/>
  <c r="C106" i="10"/>
  <c r="B106" i="10"/>
  <c r="B112" i="10"/>
  <c r="E112" i="10"/>
  <c r="D112" i="10"/>
  <c r="C112" i="10"/>
  <c r="F115" i="10"/>
  <c r="E115" i="10"/>
  <c r="C115" i="10"/>
  <c r="B115" i="10"/>
  <c r="B62" i="6"/>
  <c r="B94" i="6"/>
  <c r="D2" i="10"/>
  <c r="E5" i="10"/>
  <c r="E8" i="10"/>
  <c r="C10" i="10"/>
  <c r="B12" i="10"/>
  <c r="E12" i="10"/>
  <c r="F13" i="10"/>
  <c r="D15" i="10"/>
  <c r="C17" i="10"/>
  <c r="F20" i="10"/>
  <c r="D22" i="10"/>
  <c r="C24" i="10"/>
  <c r="F26" i="10"/>
  <c r="C26" i="10"/>
  <c r="E27" i="10"/>
  <c r="E29" i="10"/>
  <c r="F32" i="10"/>
  <c r="C36" i="10"/>
  <c r="B41" i="10"/>
  <c r="D43" i="10"/>
  <c r="C45" i="10"/>
  <c r="C47" i="10"/>
  <c r="F49" i="10"/>
  <c r="B52" i="10"/>
  <c r="F52" i="10"/>
  <c r="F54" i="10"/>
  <c r="D54" i="10"/>
  <c r="E54" i="10"/>
  <c r="B56" i="10"/>
  <c r="E56" i="10"/>
  <c r="D56" i="10"/>
  <c r="E58" i="10"/>
  <c r="F64" i="10"/>
  <c r="D67" i="10"/>
  <c r="F80" i="10"/>
  <c r="D83" i="10"/>
  <c r="F90" i="10"/>
  <c r="D90" i="10"/>
  <c r="C90" i="10"/>
  <c r="B90" i="10"/>
  <c r="F97" i="10"/>
  <c r="E106" i="10"/>
  <c r="F112" i="10"/>
  <c r="D115" i="10"/>
  <c r="B60" i="10"/>
  <c r="B76" i="10"/>
  <c r="F100" i="10"/>
  <c r="B108" i="10"/>
  <c r="D111" i="10"/>
  <c r="E120" i="10"/>
  <c r="D53" i="10"/>
  <c r="B53" i="10"/>
  <c r="F55" i="10"/>
  <c r="F62" i="10"/>
  <c r="D62" i="10"/>
  <c r="D69" i="10"/>
  <c r="B69" i="10"/>
  <c r="F78" i="10"/>
  <c r="D78" i="10"/>
  <c r="D85" i="10"/>
  <c r="B85" i="10"/>
  <c r="F94" i="10"/>
  <c r="D94" i="10"/>
  <c r="D101" i="10"/>
  <c r="B101" i="10"/>
  <c r="F103" i="10"/>
  <c r="F110" i="10"/>
  <c r="D110" i="10"/>
  <c r="D117" i="10"/>
  <c r="B117" i="10"/>
  <c r="D73" i="10"/>
  <c r="B73" i="10"/>
  <c r="F75" i="10"/>
  <c r="F82" i="10"/>
  <c r="D82" i="10"/>
  <c r="D89" i="10"/>
  <c r="B89" i="10"/>
  <c r="F91" i="10"/>
  <c r="F98" i="10"/>
  <c r="D98" i="10"/>
  <c r="D105" i="10"/>
  <c r="B105" i="10"/>
  <c r="F107" i="10"/>
  <c r="C110" i="10"/>
  <c r="F114" i="10"/>
  <c r="D114" i="10"/>
  <c r="E117" i="10"/>
  <c r="B116" i="10"/>
  <c r="F117" i="10"/>
  <c r="F102" i="10"/>
  <c r="D102" i="10"/>
  <c r="D109" i="10"/>
  <c r="B109" i="10"/>
  <c r="F111" i="10"/>
  <c r="F118" i="10"/>
  <c r="D118" i="10"/>
  <c r="B118" i="10"/>
  <c r="C120" i="10"/>
  <c r="B120" i="10"/>
  <c r="H2" i="5" l="1"/>
  <c r="H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8" authorId="0" shapeId="0" xr:uid="{00000000-0006-0000-0100-000001000000}">
      <text>
        <r>
          <rPr>
            <sz val="10"/>
            <color rgb="FF000000"/>
            <rFont val="Arial"/>
            <scheme val="minor"/>
          </rPr>
          <t>I think they've now stopped using RightsLink.
	-Matthew Herring</t>
        </r>
      </text>
    </comment>
  </commentList>
</comments>
</file>

<file path=xl/sharedStrings.xml><?xml version="1.0" encoding="utf-8"?>
<sst xmlns="http://schemas.openxmlformats.org/spreadsheetml/2006/main" count="50891" uniqueCount="14388">
  <si>
    <t>Title</t>
  </si>
  <si>
    <t>DOI</t>
  </si>
  <si>
    <t>Journal</t>
  </si>
  <si>
    <t>Publisher</t>
  </si>
  <si>
    <t>Hybrid/Fully OA journal</t>
  </si>
  <si>
    <t>OA status</t>
  </si>
  <si>
    <t>Made OA under deal?</t>
  </si>
  <si>
    <t>Deal (leave blank if not made OA under deal)</t>
  </si>
  <si>
    <t>Licence</t>
  </si>
  <si>
    <t>Submission date</t>
  </si>
  <si>
    <t>Acceptance date</t>
  </si>
  <si>
    <t>Order/approval date</t>
  </si>
  <si>
    <t>Publication date</t>
  </si>
  <si>
    <t>Deal year</t>
  </si>
  <si>
    <t>Source</t>
  </si>
  <si>
    <t>UKRI funded?</t>
  </si>
  <si>
    <t>WT funded?</t>
  </si>
  <si>
    <t>Funding</t>
  </si>
  <si>
    <t>Note</t>
  </si>
  <si>
    <t>Why not covered by deal</t>
  </si>
  <si>
    <t>Why not covered by deal note</t>
  </si>
  <si>
    <t>VAT invoice (T&amp;F)</t>
  </si>
  <si>
    <t>PlumX Capture</t>
  </si>
  <si>
    <t>PlumX Citation</t>
  </si>
  <si>
    <t>PlumX Social Media</t>
  </si>
  <si>
    <t>PlumX Usage</t>
  </si>
  <si>
    <t>PlumX Mention</t>
  </si>
  <si>
    <t>PlumX snapshot date</t>
  </si>
  <si>
    <t>Corresponding author name</t>
  </si>
  <si>
    <t>Corresponding author email</t>
  </si>
  <si>
    <t>Corresponding author ORCID</t>
  </si>
  <si>
    <t>Additional authors</t>
  </si>
  <si>
    <t>Denied because honorary?</t>
  </si>
  <si>
    <t>APC price ex VAT</t>
  </si>
  <si>
    <t>APC price source</t>
  </si>
  <si>
    <t>List APC price currency</t>
  </si>
  <si>
    <t>Exchange rate key</t>
  </si>
  <si>
    <t>Exchange rate</t>
  </si>
  <si>
    <t>APC price GBP inc VAT</t>
  </si>
  <si>
    <t>Revisit?</t>
  </si>
  <si>
    <t>Revisit reason</t>
  </si>
  <si>
    <t>Revisit note</t>
  </si>
  <si>
    <t>Journal current model</t>
  </si>
  <si>
    <t>EISSN</t>
  </si>
  <si>
    <t>Print ISSN</t>
  </si>
  <si>
    <t>Using Greener Gels To Explore Rheology</t>
  </si>
  <si>
    <t>10.1021/acs.jchemed.6b00584</t>
  </si>
  <si>
    <t>Journal of Chemical Education</t>
  </si>
  <si>
    <t>American Chemical Society</t>
  </si>
  <si>
    <t>Hybrid</t>
  </si>
  <si>
    <t>Not OA</t>
  </si>
  <si>
    <t>N</t>
  </si>
  <si>
    <t>CCC dashboard report: ACS transactions 2019-Jun 2021.xlsx</t>
  </si>
  <si>
    <t>No</t>
  </si>
  <si>
    <t>Higher Education Funding Council for England</t>
  </si>
  <si>
    <t>Denied by library</t>
  </si>
  <si>
    <t>Denied on CCC dashboard</t>
  </si>
  <si>
    <t>USD</t>
  </si>
  <si>
    <t>1938-1328</t>
  </si>
  <si>
    <t>0021-9584</t>
  </si>
  <si>
    <t>Green and Smart: Hydrogels To Facilitate Independent
Practical Learning</t>
  </si>
  <si>
    <t>10.1021/acs.jchemed.7b00235</t>
  </si>
  <si>
    <t>Chemical Bioconjugation of Proteins in an Undergraduate
Lab: One-Pot Oxidation and Derivatization of the NTerminus</t>
  </si>
  <si>
    <t>10.1021/acs.jchemed.8b00787</t>
  </si>
  <si>
    <t>Valorization of Waste Orange Peel to Produce Shear-Thinning
Gels</t>
  </si>
  <si>
    <t>10.1021/acs.jchemed.8b01009</t>
  </si>
  <si>
    <t>Systematic comparison of Genetic Algorithm and Basin Hopping approaches to the global optimization of Si(111) surface reconstructions</t>
  </si>
  <si>
    <t>10.1021/acs.jpca.2c00647</t>
  </si>
  <si>
    <t>The Journal of Physical Chemistry A</t>
  </si>
  <si>
    <t>OA</t>
  </si>
  <si>
    <t>Y</t>
  </si>
  <si>
    <t>American Chemical Society TA 2022</t>
  </si>
  <si>
    <t>CC BY</t>
  </si>
  <si>
    <t>CCC dashboard report: ACS transactions 1 Jan 2022-9 May 2022 CCC.xlsx</t>
  </si>
  <si>
    <t>Deutsche Forschungsgemeinschaft</t>
  </si>
  <si>
    <t>Matt Probert</t>
  </si>
  <si>
    <t>matt.probert@york.ac.uk</t>
  </si>
  <si>
    <t>Publisher report</t>
  </si>
  <si>
    <t>1520-5215</t>
  </si>
  <si>
    <t>1089-5639</t>
  </si>
  <si>
    <t>Real time high sensitivity reaction monitoring of important nitrogen cycle synthons by 15N hyperpolarized NMR</t>
  </si>
  <si>
    <t>10.1021/jacs.2c02619</t>
  </si>
  <si>
    <t>Journal of the American Chemical Society</t>
  </si>
  <si>
    <t>Yes</t>
  </si>
  <si>
    <t>EPSRC EP/R51181X/1 and G0065601</t>
  </si>
  <si>
    <t>Simon Duckett</t>
  </si>
  <si>
    <t>simon.duckett@york.ac.uk</t>
  </si>
  <si>
    <t>1520-5126</t>
  </si>
  <si>
    <t>0002-7863</t>
  </si>
  <si>
    <t>Direct evidence for competitive CH activation by a well-defined silver XPhos complex in palladium-catalyzed CH functionalization</t>
  </si>
  <si>
    <t>10.1021/acs.organomet.2c00063</t>
  </si>
  <si>
    <t>Organometallics</t>
  </si>
  <si>
    <t>No funding declared</t>
  </si>
  <si>
    <t>Robin Perutz</t>
  </si>
  <si>
    <t>robin.perutz@york.ac.uk</t>
  </si>
  <si>
    <t>1520-6041</t>
  </si>
  <si>
    <t>0276-7333</t>
  </si>
  <si>
    <t>Selectivity, speciation and substrate control in the gold-catalyzed coupling of indoles and alkynes</t>
  </si>
  <si>
    <t>10.1021/acs.organomet.2c00035</t>
  </si>
  <si>
    <t>EPSRC EP/H011455/1, EP/ K031589/1</t>
  </si>
  <si>
    <t>Jason Lynam</t>
  </si>
  <si>
    <t>jason.lynam@york.ac.uk</t>
  </si>
  <si>
    <t>Beyond Q: The importance of the resonance amplitude for photonic sensors</t>
  </si>
  <si>
    <t>10.1021/acsphotonics.2c00188</t>
  </si>
  <si>
    <t>ACS Photonics</t>
  </si>
  <si>
    <t>EPSRC (EP/P030017/1); Conselho Nacional de Desenvolvimento Científico e Tecnológico; Fundação de Amparo à Pesquisa do Estado de São Paulo; Royal Academy of Engineering</t>
  </si>
  <si>
    <t>Donato Conteduca</t>
  </si>
  <si>
    <t>donato.conteduca@york.ac.uk</t>
  </si>
  <si>
    <t>2330-4022</t>
  </si>
  <si>
    <t>Inclusive Outreach Activity Targeting Negative Alternate Conceptions of Chemistry</t>
  </si>
  <si>
    <t>10.1021/acs.jchemed.1c00400</t>
  </si>
  <si>
    <t>Julia Sarju</t>
  </si>
  <si>
    <t>julia.sarju@york.ac.uk</t>
  </si>
  <si>
    <t>Pd-catalyzed cross-couplings: on the importance of the catalyst quantity descriptors  mol% and ppm</t>
  </si>
  <si>
    <t>10.1021/acs.oprd.2c00051</t>
  </si>
  <si>
    <t>Organic Process Research &amp; Development</t>
  </si>
  <si>
    <t>CCC dashboard report: CCC_ACS_1Jan2021-8Jun2022.xlsx</t>
  </si>
  <si>
    <t>Engineering and Physical Sciences Research Council</t>
  </si>
  <si>
    <t>Ian Fairlamb</t>
  </si>
  <si>
    <t>ian.fairlamb@york.ac.uk</t>
  </si>
  <si>
    <t>1520-586X</t>
  </si>
  <si>
    <t>1083-6160</t>
  </si>
  <si>
    <t>Highly Efficient Mesoporous Carbonaceous CeO2 catalyst for Dephosphorylation</t>
  </si>
  <si>
    <t>10.1021/acsomega.2c01832</t>
  </si>
  <si>
    <t>ACS Omega</t>
  </si>
  <si>
    <t>Fully OA</t>
  </si>
  <si>
    <t>Commonwealth Scholarship Commission; Council of Scientific and Industrial Research, India</t>
  </si>
  <si>
    <t>Avtar Matharu</t>
  </si>
  <si>
    <t>avtar.matharu@york.ac.uk</t>
  </si>
  <si>
    <t>2470-1343</t>
  </si>
  <si>
    <t>Tween-20 Induces the Structural Remodeling of Single Lipid Vesicles</t>
  </si>
  <si>
    <t>10.1021/acs.jpclett.2c00704</t>
  </si>
  <si>
    <t>The Journal of Physical Chemistry Letters</t>
  </si>
  <si>
    <t>Engineering and Physical Sciences Research Council; Alzheimer's Research Foundation</t>
  </si>
  <si>
    <t>Steven Quinn</t>
  </si>
  <si>
    <t>steven.quinn@york.ac.uk</t>
  </si>
  <si>
    <t>1948-7185</t>
  </si>
  <si>
    <t>Surface Area Estimation: Replacing the BET Model with the Statistical Thermodynamic Fluctuation Theory</t>
  </si>
  <si>
    <t>10.1021/acs.langmuir.2c00753</t>
  </si>
  <si>
    <t>Langmuir</t>
  </si>
  <si>
    <t>Ministry of Education, Culture, Sports, Science and Technology; Japan Society for the Promotion of Science</t>
  </si>
  <si>
    <t>Seishi Shimizu</t>
  </si>
  <si>
    <t>seishi.shimizu@york.ac.uk</t>
  </si>
  <si>
    <t>1520-5827</t>
  </si>
  <si>
    <t>0743-7463</t>
  </si>
  <si>
    <t>Safe handling of air-sensitive organometallic reagents using Schlenk line techniques: Negishi cross-couplings for trainee graduate students</t>
  </si>
  <si>
    <t>10.1021/acs.jchemed.2c00134</t>
  </si>
  <si>
    <t>By-product Valorization: From Spent Coffee Grounds to Fatty Acid Ethyl Esters</t>
  </si>
  <si>
    <t>10.1021/acs.jchemed.2c00728</t>
  </si>
  <si>
    <t>ACS dashboard report year to date 31 Oct 2022</t>
  </si>
  <si>
    <t>Glenn Hurst</t>
  </si>
  <si>
    <t>glenn.hurst@york.ac.uk</t>
  </si>
  <si>
    <t>Enhancing &lt;sup&gt;19&lt;/sup&gt;F benchtop NMR spectroscopy by combining &lt;i&gt;para&lt;/i&gt;hydrogen hyperpolarisation and multiplet refocusing</t>
  </si>
  <si>
    <t>10.1021/acsmeasuresciau.2c00055</t>
  </si>
  <si>
    <t>ACS Measurement Science Au</t>
  </si>
  <si>
    <t>Engineering and Physical Sciences Research Council EP/M020983/1  EP/R028745/1</t>
  </si>
  <si>
    <t>Meghan Halse</t>
  </si>
  <si>
    <t>meghan.halse@york.ac.uk</t>
  </si>
  <si>
    <t>2694-250X</t>
  </si>
  <si>
    <t>Electrochemical and solution structural characterization of Fe(III) azotochelin complexes: Examining the coordination behaviour of a tetradentate siderophore</t>
  </si>
  <si>
    <t>10.1021/acs.inorgchem.2c02777</t>
  </si>
  <si>
    <t>Inorganic Chemistry</t>
  </si>
  <si>
    <t>Engineering and Physical Sciences Research Council EP/T007338/1</t>
  </si>
  <si>
    <t>Anne-Kathrin Duhme-Klair</t>
  </si>
  <si>
    <t>anne.duhme-klair@york.ac.uk</t>
  </si>
  <si>
    <t>1520-510X</t>
  </si>
  <si>
    <t>0020-1669</t>
  </si>
  <si>
    <t>Cooperative Sorption on Heterogeneous Surfaces</t>
  </si>
  <si>
    <t>10.1021/acs.langmuir.2c01750</t>
  </si>
  <si>
    <t>Dehydropolymerization of H3BNMeH2 Mediated by Cationic Iridium(III) Precatalysts Bearing 3-iPr-PN(R)P Pincer Ligands (R = H, Me). An Unexpected Inner-Sphere Mechanism.</t>
  </si>
  <si>
    <t>10.1021/acscatal.2c03778</t>
  </si>
  <si>
    <t>ACS Catalysis</t>
  </si>
  <si>
    <t>Engineering and Physical Sciences Research Council EP/M024210/2  EP/T019867/1</t>
  </si>
  <si>
    <t>Andrew Weller</t>
  </si>
  <si>
    <t>andrew.weller@york.ac.uk</t>
  </si>
  <si>
    <t>2155-5435</t>
  </si>
  <si>
    <t>Measuring RNA UNCG Tetraloop Refolding Dynamics Using Temperature-jump/drop Infrared Spectroscopy</t>
  </si>
  <si>
    <t>10.1021/acs.jpclett.2c02338</t>
  </si>
  <si>
    <t>University of York</t>
  </si>
  <si>
    <t>Neil Hunt</t>
  </si>
  <si>
    <t>neil.hunt@york.ac.uk</t>
  </si>
  <si>
    <t>A Simple Setup to Explore Fog Harvesting as a Clean and Sustainable Source of Water</t>
  </si>
  <si>
    <t>10.1021/acs.jchemed.2c00018</t>
  </si>
  <si>
    <t>Well-Defined Pdn Clusters for CrossCoupling and Hydrogenation Catalysis: New Opportunities for Catalyst Design</t>
  </si>
  <si>
    <t>10.1021/acscatal.2c03345</t>
  </si>
  <si>
    <t>Royal Society</t>
  </si>
  <si>
    <t>A Greener Synthesis of the Antidepressant Bupropion Hydrochloride</t>
  </si>
  <si>
    <t>10.1021/acs.jchemed.2c00581</t>
  </si>
  <si>
    <t>A new approach to the detection of short-lived radical intermediates</t>
  </si>
  <si>
    <t>10.1021/jacs.2c03618</t>
  </si>
  <si>
    <t>Engineering and Physical Sciences Research Council EP/N509802/1</t>
  </si>
  <si>
    <t>Victor Chechik</t>
  </si>
  <si>
    <t>vc4@york.ac.uk</t>
  </si>
  <si>
    <t>Single-Crystal to Single-Crystal Addition of H2 to [Ir(iPr-PONOP)(propene)][BArF4] and Comparison Between Solid-State and Solution Reactivity.</t>
  </si>
  <si>
    <t>10.1021/acs.organomet.2c00274</t>
  </si>
  <si>
    <t>Engineering and Physical Sciences Research Council EP/M024210/2 ; SCG Chemicals</t>
  </si>
  <si>
    <t>Synthesis, Mesomorphism, Photophysics and Device Properties of Liquid-crystalline Pincer Complexes of Gold(III) Containing Semi-perfluorinated Chains</t>
  </si>
  <si>
    <t>10.1021/acsomega.2c03669</t>
  </si>
  <si>
    <t>National Natural Science Foundation of China</t>
  </si>
  <si>
    <t>Duncan Bruce</t>
  </si>
  <si>
    <t>duncan.bruce@york.ac.uk</t>
  </si>
  <si>
    <t>Toward Optimizing and Understanding Reversible Hyperpolarization
of Lactate Esters Relayed from para-Hydrogen</t>
  </si>
  <si>
    <t>10.1021/acs.jpclett.2c01442</t>
  </si>
  <si>
    <t>Wellcome Trust 98335  92506</t>
  </si>
  <si>
    <t>Philosophy, Religion, and Heterodoxy in the Philosophy of Henry More, Ralph Cudworth, and Anne Conway</t>
  </si>
  <si>
    <t>10.1163/18712428-10002002</t>
  </si>
  <si>
    <t>Church History and Religious Culture</t>
  </si>
  <si>
    <t>Brill</t>
  </si>
  <si>
    <t>Brill TA 2020</t>
  </si>
  <si>
    <t>Email report: Brill-University of York_YTD 2021_2020</t>
  </si>
  <si>
    <t>No funding detected</t>
  </si>
  <si>
    <t>1871-2428</t>
  </si>
  <si>
    <t>1871-241X</t>
  </si>
  <si>
    <t>Calouste Gulbenkian, His Mīnāʾī Ware, and the Changing Islamic Art Market in the Early Twentieth Century</t>
  </si>
  <si>
    <t>10.1163/22118993-00371P13</t>
  </si>
  <si>
    <t>Muqarnas Online</t>
  </si>
  <si>
    <t>Not OA. Kan Wai Min from Brill told me it would be made OA. Need to monitor. OA on 1/12/21.</t>
  </si>
  <si>
    <t>2211-8993</t>
  </si>
  <si>
    <t>An Ecological Whodunit: The Story of Colony Collapse Disorder</t>
  </si>
  <si>
    <t>10.1163/15685306-bja10026</t>
  </si>
  <si>
    <t>Society &amp; Animals</t>
  </si>
  <si>
    <t>Email report: Brill JISC_2020 OA_University of York.xlsx</t>
  </si>
  <si>
    <t>Not OA so emailed Linda Empringham at Brill to get made OA 17/11/21. Resolved.</t>
  </si>
  <si>
    <t>1568-5306</t>
  </si>
  <si>
    <t>1063-1119</t>
  </si>
  <si>
    <t>Beckett, Music, Intermediality: John Tilbury's Worstward Ho</t>
  </si>
  <si>
    <t>10.1163/18757405-03201009</t>
  </si>
  <si>
    <t>Samuel Beckett Today / Aujourd'hui</t>
  </si>
  <si>
    <t>1875-7405</t>
  </si>
  <si>
    <t>0927-3131</t>
  </si>
  <si>
    <t>Erasmus and the Colloquial Emotions</t>
  </si>
  <si>
    <t>10.1163/18749275-04002004</t>
  </si>
  <si>
    <t>Erasmus Studies</t>
  </si>
  <si>
    <t>1874-9275</t>
  </si>
  <si>
    <t>0276-2854</t>
  </si>
  <si>
    <t>With a little help from his friends: Rubens and the acquisition of Caravaggio’s Rosary Madonna for the Dominican Church in Antwerp</t>
  </si>
  <si>
    <t>10.1163/22145966-07001007</t>
  </si>
  <si>
    <t>Netherlands Yearbook for History of Art / Nederlands Kunsthistorisch Jaarboek Online</t>
  </si>
  <si>
    <t>CC BY-NC</t>
  </si>
  <si>
    <t>APC spreadsheet</t>
  </si>
  <si>
    <t>AHRC</t>
  </si>
  <si>
    <t>Requested funding from YOAF and we asked Brill to include it in the deal. Not included in any of the reports Brill sent us, but we didn't pay an APC.</t>
  </si>
  <si>
    <t>2214-5966</t>
  </si>
  <si>
    <t>Why Indonesia Adopted ‘Quiet Diplomacy’ Over R2p In The Rohingya Crisis: The Roles Of Islamic Humanitarianism, Civil–Military Relations, And Asean</t>
  </si>
  <si>
    <t>10.1163/1875-984x-13020004</t>
  </si>
  <si>
    <t>Global Responsibility To Protect</t>
  </si>
  <si>
    <t>Brill TA 2021</t>
  </si>
  <si>
    <t>Jisc TA data 2021</t>
  </si>
  <si>
    <t>1875-984X</t>
  </si>
  <si>
    <t>1875-9858</t>
  </si>
  <si>
    <t>Fact-finding In Situations Of Atrocities: In Search Of Legitimacy</t>
  </si>
  <si>
    <t>10.1163/18781527-bja10027</t>
  </si>
  <si>
    <t>Journal Of International Humanitarian Legal Studies</t>
  </si>
  <si>
    <t>1878-1527</t>
  </si>
  <si>
    <t>1878-1373</t>
  </si>
  <si>
    <t>Experiments in Dealing with Epidemics in Seventeenth-Century Siam</t>
  </si>
  <si>
    <t>10.1163/15734218-12341488</t>
  </si>
  <si>
    <t>Asian Medicine</t>
  </si>
  <si>
    <t>Email report: York Q1-Q3 2021 Brill.xlsx</t>
  </si>
  <si>
    <t>1573-4218</t>
  </si>
  <si>
    <t>1573-420X</t>
  </si>
  <si>
    <t>The Inclusion of Sexual Orientation and Gender Identity in Relationships Education: Faith-Based Objections and the European Convention on Human Rights</t>
  </si>
  <si>
    <t>10.1163/26663236-bja10020</t>
  </si>
  <si>
    <t>European Convention on Human Rights Law Review</t>
  </si>
  <si>
    <t>2666-3236</t>
  </si>
  <si>
    <t>2666-3228</t>
  </si>
  <si>
    <t>Testing the Ethos of Tolerance: Chin’s Interpretation of Rorty’s Political Theory</t>
  </si>
  <si>
    <t>10.1163/18758185-bja10022</t>
  </si>
  <si>
    <t>Contemporary Pragmatism</t>
  </si>
  <si>
    <t>Email report: University of York_Brill-JISC 2021</t>
  </si>
  <si>
    <t>1875-8185</t>
  </si>
  <si>
    <t>1572-3429</t>
  </si>
  <si>
    <t>Estimating the Equity Impacts of the Smoking Ban in England on Cotinine Levels: A Regression Discontinuity Design</t>
  </si>
  <si>
    <t>10.1136/bmjopen-2021-049547</t>
  </si>
  <si>
    <t>BMJ Open</t>
  </si>
  <si>
    <t>BMJ</t>
  </si>
  <si>
    <t>Report: University of York articles 2021 (asked for Nov 2021)</t>
  </si>
  <si>
    <t>Wellcome</t>
  </si>
  <si>
    <t>APC paid from YOAF</t>
  </si>
  <si>
    <t>Journal not included in deal</t>
  </si>
  <si>
    <t>2044-6055</t>
  </si>
  <si>
    <t>The causal impact of social care, public health and healthcare expenditure on mortality in England: cross-sectional evidence for 2013/14</t>
  </si>
  <si>
    <t>10.1136/bmjopen-2020-046417</t>
  </si>
  <si>
    <t>UK National Institute for Health Research Policy Research Programme (NIHR PRP)</t>
  </si>
  <si>
    <t>Economic evaluation of covered stents for transjugular intrahepatic portosystemic stent shunt in patients with variceal bleeding and refractory ascites secondary to cirrhosis.</t>
  </si>
  <si>
    <t>10.1136/bmjgast-2021-000641</t>
  </si>
  <si>
    <t>BMJ Open Gastroenterology</t>
  </si>
  <si>
    <t>W.L. GORE &amp; Associates</t>
  </si>
  <si>
    <t>2054-4774</t>
  </si>
  <si>
    <t>Adapting the community-based health planning and services (CHPS) to engage urban poor communities in Ghana: protocol for a participatory action research study.</t>
  </si>
  <si>
    <t>10.1136/bmjopen-2021-049564</t>
  </si>
  <si>
    <t>CC BY-NC-ND</t>
  </si>
  <si>
    <t>Medical Research Council</t>
  </si>
  <si>
    <t>The economics of health-care access in low and middle-income countries: A protocol for a scoping review of the economic impacts of seeking health care on slum-dwellers compared with other city residents.</t>
  </si>
  <si>
    <t>10.1136/bmjopen-2020-045441</t>
  </si>
  <si>
    <t>Medical Research Council, Scottish Government Chief Scientist Office</t>
  </si>
  <si>
    <t>“A Procedure Without a Problem,” or, The Face Transplant That Didn’t Happen. The Royal Free, the Royal College of Surgeons and the Challenge of Surgical Firsts.</t>
  </si>
  <si>
    <t>10.1136/medhum-2020-012106</t>
  </si>
  <si>
    <t>Medical Humanities</t>
  </si>
  <si>
    <t>BMJ TA 2021</t>
  </si>
  <si>
    <t>Research for this article was funded by a UK Research and Innovation Future Leaders Fellowship awarded to FBA in 2019. Grant reference number: MR/S017356/1.</t>
  </si>
  <si>
    <t>GBP</t>
  </si>
  <si>
    <t>1473-4265</t>
  </si>
  <si>
    <t>1468-215X</t>
  </si>
  <si>
    <t>The experiences of fathers of children with a life-limiting condition: a systematic review and thematic synthesis</t>
  </si>
  <si>
    <t>10.1136/bmjspcare-2021-003019</t>
  </si>
  <si>
    <t>BMJ Supportive &amp; Palliative Care</t>
  </si>
  <si>
    <t>National Institute for Health Research</t>
  </si>
  <si>
    <t>2045-4368</t>
  </si>
  <si>
    <t>2045-435X</t>
  </si>
  <si>
    <t>Support and follow-up needs of patients discharged from Intensive Care after severe COVID-19: a mixed-methods study of the views of UK general practitioners and intensive care staff during the pandemic’s first wave</t>
  </si>
  <si>
    <t>10.1136/bmjopen-2020-048392</t>
  </si>
  <si>
    <t>NIHR Policy Review Programme</t>
  </si>
  <si>
    <t>Associations of diarised sleep onset time, period, and duration with total and central adiposity in a biethnic sample of young children: the Born in Bradford observational cohort study</t>
  </si>
  <si>
    <t>10.1136/bmjopen-2020-044769</t>
  </si>
  <si>
    <t>British Heart Foundation, Economic and Social Research Council, Medical Research Council, National Institute for Health Research (NIHR) under its Collaboration for Applied Health Research and Care (CLAHRC) for Yorkshire and Humber</t>
  </si>
  <si>
    <t>The Potential Impacts of General Practitioners Working in or Alongside Emergency Departments in England: initial qualitative findings from a national mixed-methods evaluation</t>
  </si>
  <si>
    <t>10.1136/bmjopen-2020-045453</t>
  </si>
  <si>
    <t>Health Services and Delivery Research Programme</t>
  </si>
  <si>
    <t>Not published yet as of Nov 2021</t>
  </si>
  <si>
    <t>A randomised controlled feasibility trial of an Active Communication Education programme plus hearing aid provision versus hearing aid provision alone (ACE To HEAR)</t>
  </si>
  <si>
    <t>10.1136/bmjopen-2020-043364</t>
  </si>
  <si>
    <t>Health impact of monoclonal gammopathy of undetermined significance (MGUS) and monoclonal B-cell lymphocytosis (MBL): findings from a UK population-based cohort</t>
  </si>
  <si>
    <t>10.1136/bmjopen-2020-041296</t>
  </si>
  <si>
    <t>Bloodwise, Cancer Research UK</t>
  </si>
  <si>
    <t>The health of mothers of children with a life-limiting condition; a comparative cohort study</t>
  </si>
  <si>
    <t>10.1136/archdischild-2020-320655</t>
  </si>
  <si>
    <t>Archives of Disease in Childhood</t>
  </si>
  <si>
    <t>Author deemed ineligible by publisher</t>
  </si>
  <si>
    <t>Author not funded by UKRI/COAF</t>
  </si>
  <si>
    <t>1468-2044</t>
  </si>
  <si>
    <t>0003-9888</t>
  </si>
  <si>
    <t>Effect of quitting smoking on health outcomes during treatment for tuberculosis: secondary analysis of the TB &amp; Tobacco Trial</t>
  </si>
  <si>
    <t>10.1136/thoraxjnl-2020-215926</t>
  </si>
  <si>
    <t>Thorax</t>
  </si>
  <si>
    <t>Report sent by BMJ in support of 2022 offer Nov 2021: Jisc Publish and Read 2022  - University of York.xlsx</t>
  </si>
  <si>
    <t>The study was funded by the European Union Horizon 2020 research and innovation programme (680995).</t>
  </si>
  <si>
    <t>1468-3296</t>
  </si>
  <si>
    <t>0040-6376</t>
  </si>
  <si>
    <t>Implantable cardioverter defibrillator devices: when, how and who should discuss deactivation with patients: a systematic literature review</t>
  </si>
  <si>
    <t>10.1136/bmjspcare-2021-002894</t>
  </si>
  <si>
    <t>This review was completed as part of a research module towards a primary medical degree and received no external funding. FM is a National Institute for Health Research (NIHR) Senior Investigator. The views expressed in this article are those of the author(s) and not necessarily those of the NIHR or the Department of Health and Social Care.</t>
  </si>
  <si>
    <t>BMJ reported this as OA, but it isn't</t>
  </si>
  <si>
    <t>Parental terminal cancer and dependent children: a systematic review</t>
  </si>
  <si>
    <t>10.1136/bmjspcare-2021-003094</t>
  </si>
  <si>
    <t>The author(s) disclosed receipt of the following financial support for the research, authorship and/or publication of this article: this work was funded by Yorkshire Cancer Research (Award reference number HEND405PhD) awarded to the lead author to undertake this research as part of an academic clinical fellowship, within the TRANSFORMing Cancer Outcomes in Yorkshire programme.</t>
  </si>
  <si>
    <t>10.1136/bmjgh-2021-007047</t>
  </si>
  <si>
    <t>BMJ Global Health</t>
  </si>
  <si>
    <t>Report sent by BMJ in support of 2023 offer Nov 2022: University of York - R&amp;P Data and Pricing (2023_2024)</t>
  </si>
  <si>
    <t>2059-7908</t>
  </si>
  <si>
    <t>10.1136/bmjopen-2020-047746</t>
  </si>
  <si>
    <t>10.1136/bmjopen-2021-056347</t>
  </si>
  <si>
    <t>10.1136/bmj-2021-067742</t>
  </si>
  <si>
    <t>The BMJ</t>
  </si>
  <si>
    <t>0959-8138</t>
  </si>
  <si>
    <t>1759-2151</t>
  </si>
  <si>
    <t>Can achievement at medical admission tests predict future performance in postgraduate clinical assessments? A UK-based national cohort study</t>
  </si>
  <si>
    <t>10.1136/bmjopen-2021-056129</t>
  </si>
  <si>
    <t>EXHAUSTION, ADVERSITY, AND REPRESSION: EMOTIONAL ATTRITION IN HIGH-RISK ACTIVISM</t>
  </si>
  <si>
    <t>10.1017/S1537592721003273</t>
  </si>
  <si>
    <t>Perspectives on Politics</t>
  </si>
  <si>
    <t>Cambridge University Press</t>
  </si>
  <si>
    <t>Cambridge University Press TA 2021</t>
  </si>
  <si>
    <t>CCC dashboard 19/10/2021</t>
  </si>
  <si>
    <t>Alejandro  Milciades Peña</t>
  </si>
  <si>
    <t>alejandro.pena@york.ac.uk</t>
  </si>
  <si>
    <t>1541-0986</t>
  </si>
  <si>
    <t>1537-5927</t>
  </si>
  <si>
    <t>Sowing Seeds: Garden Festivals and the Remaking of British Cities after Deindustrialization</t>
  </si>
  <si>
    <t>10.1017/jbr.2021.67</t>
  </si>
  <si>
    <t>Journal of British Studies</t>
  </si>
  <si>
    <t>Reported OA/CC BY on CCC dashboard, but not OA 15/11/21. Emailed oaqueries@cambridge.org to ask for it to be made OA. Made OA/CC BY 29/11/21</t>
  </si>
  <si>
    <t>Sam Wetherell</t>
  </si>
  <si>
    <t>wetherellsam@gmail.com</t>
  </si>
  <si>
    <t>1545-6986</t>
  </si>
  <si>
    <t>0021-9371</t>
  </si>
  <si>
    <t>A gendered approach to the Yu Chi Chan Club and National Liberation Front during South Africa’s transition to armed struggle</t>
  </si>
  <si>
    <t>10.1017/S002085902100047X</t>
  </si>
  <si>
    <t>International Review of Social History</t>
  </si>
  <si>
    <t>Research for this article was made possible by a British Academy grant. The author is very grateful to the Academy for its support. Thanks to Celia Donert, David Howell, David Johnson, Christine Moll-Murata, and two anonymous readers for comments.</t>
  </si>
  <si>
    <t>Allison Drew</t>
  </si>
  <si>
    <t>allisonvictoriadrew@gmail.com</t>
  </si>
  <si>
    <t>1469-512X</t>
  </si>
  <si>
    <t>0020-8590</t>
  </si>
  <si>
    <t>Utilitarianism without Moral Aggregation</t>
  </si>
  <si>
    <t>10.1017/can.2021.20</t>
  </si>
  <si>
    <t>Canadian Journal of Philosophy</t>
  </si>
  <si>
    <t>Johan  E. Gustafsson</t>
  </si>
  <si>
    <t>cje.gustafsson@gmail.com</t>
  </si>
  <si>
    <t>1911-0820</t>
  </si>
  <si>
    <t>0045-5091</t>
  </si>
  <si>
    <t>Baroque around the Clock: Daniello Bartoli SJ (1608–85) and the Uses of Global History</t>
  </si>
  <si>
    <t>10.1017/S0080440121000037</t>
  </si>
  <si>
    <t>Transactions of the Royal Historical Society</t>
  </si>
  <si>
    <t>Simon Ditchfield</t>
  </si>
  <si>
    <t>simon.ditchfield@york.ac.uk</t>
  </si>
  <si>
    <t>1474-0648</t>
  </si>
  <si>
    <t>0080-4401</t>
  </si>
  <si>
    <t>Need, demand, supply in health care: working definitions, and their implications for defining access</t>
  </si>
  <si>
    <t>10.1017/S1744133121000293</t>
  </si>
  <si>
    <t>Health Economics, Policy and Law</t>
  </si>
  <si>
    <t>This study is funded by the National Institute for Health Research (NIHR) Policy Research Programme, conducted through the NIHR Policy Research Unit in Economics of Health Systems and Interface with Social Care, PR-PRU-1217-20301.</t>
  </si>
  <si>
    <t>Anne Mason</t>
  </si>
  <si>
    <t>anne.mason@york.ac.uk</t>
  </si>
  <si>
    <t>1744-134X</t>
  </si>
  <si>
    <t>1744-1331</t>
  </si>
  <si>
    <t>PREDICTION AND ERROR-BASED LEARNING IN L2 PROCESSING AND ACQUISITION: A CONCEPTUAL REVIEW</t>
  </si>
  <si>
    <t>10.1017/S0272263121000723</t>
  </si>
  <si>
    <t>Studies in Second Language Acquisition</t>
  </si>
  <si>
    <t>CC BY-NC-SA</t>
  </si>
  <si>
    <t>Giulia Bovolenta</t>
  </si>
  <si>
    <t>giulia.bovolenta@york.ac.uk</t>
  </si>
  <si>
    <t>1470-1545</t>
  </si>
  <si>
    <t>0272-2631</t>
  </si>
  <si>
    <t>The return of the Beaker Folk? Rethinking migration and population change in British prehistory</t>
  </si>
  <si>
    <t>10.15184/aqy.2021.129</t>
  </si>
  <si>
    <t>Antiquity</t>
  </si>
  <si>
    <t>David Reich received support as an Investigator of the Howard Hughes Medical Institute.</t>
  </si>
  <si>
    <t>Ian Armit</t>
  </si>
  <si>
    <t>ian.armit@york.ac.uk</t>
  </si>
  <si>
    <t>1745-1744</t>
  </si>
  <si>
    <t>0003-598X</t>
  </si>
  <si>
    <t>Healthcare resource use and costs for people with type 2 diabetes mellitus with and without severe mental illness in England: a longitudinal matched cohort study using the Clinical Practice Research Datalink.</t>
  </si>
  <si>
    <t>10.1192/bjp.2021.131</t>
  </si>
  <si>
    <t>British Journal of Psychiatry</t>
  </si>
  <si>
    <t>This publication presents independent research funded by the National Institute for Health Research (NIHR) Health Services and Delivery Research (HS&amp;DR) programme (ref 15/70/26). S.G., N.S., S.L.P. and R.J. were also funded by the NIHR Yorkshire and Humber Applied Research Collaboration (NIHR YH-ARC), https://www.arc-yh.nihr.ac.uk/.</t>
  </si>
  <si>
    <t>Han Wang</t>
  </si>
  <si>
    <t>han-i.wang@york.ac.uk</t>
  </si>
  <si>
    <t>1472-1465</t>
  </si>
  <si>
    <t>0007-1250</t>
  </si>
  <si>
    <t>The “Code Adjudicator” model: The Pubs Code, statutory arbitration and the tied lease</t>
  </si>
  <si>
    <t>10.1017/lst.2021.47</t>
  </si>
  <si>
    <t>Legal Studies</t>
  </si>
  <si>
    <t>Jed Meers</t>
  </si>
  <si>
    <t>jed.meers@york.ac.uk</t>
  </si>
  <si>
    <t>1748-121X</t>
  </si>
  <si>
    <t>0261-3875</t>
  </si>
  <si>
    <t>Rethinking Knowledge Production in Sociology: A Critical Analysis of the Conceptual, the Methodological and the Institutional</t>
  </si>
  <si>
    <t>10.1017/S1474746421000580</t>
  </si>
  <si>
    <t>Social Policy and Society</t>
  </si>
  <si>
    <t>Katy Sian</t>
  </si>
  <si>
    <t>katy.sian@york.ac.uk</t>
  </si>
  <si>
    <t>1475-3073</t>
  </si>
  <si>
    <t>1474-7464</t>
  </si>
  <si>
    <t>On the Origins of the Shrine of ‘Abd al-Samad in Natanz: The Case for a Revised Chronology</t>
  </si>
  <si>
    <t>10.1017/S1356186321000730</t>
  </si>
  <si>
    <t>Journal of the Royal Asiatic Society</t>
  </si>
  <si>
    <t>This research is, in part, related to the ongoing research project Stucco and Tiles, funded by the Deutsche Forschungsgemeinschaft (DFG). Research work for the article has been possible thanks to the generous financial support of the Studienstiftung des Deutschen Volkes and the DFG.</t>
  </si>
  <si>
    <t>Richard McClary</t>
  </si>
  <si>
    <t>richard.mcclary@york.ac.uk</t>
  </si>
  <si>
    <t>1474-0591</t>
  </si>
  <si>
    <t>1356-1863</t>
  </si>
  <si>
    <t>Proceed with Caution</t>
  </si>
  <si>
    <t>10.1017/can.2021.17</t>
  </si>
  <si>
    <t>Annette Zimmermann</t>
  </si>
  <si>
    <t>annette.zimmermann@york.ac.uk</t>
  </si>
  <si>
    <t>Towards a credibility revolution in bilingualism research: Open data and materials as stepping stones to more reproducible and replicable research</t>
  </si>
  <si>
    <t>10.1017/S1366728921000535</t>
  </si>
  <si>
    <t>Bilingualism: Language and Cognition</t>
  </si>
  <si>
    <t>Cylcia Bolibaugh</t>
  </si>
  <si>
    <t>cylcia.bolibaugh@york.ac.uk</t>
  </si>
  <si>
    <t>1469-1841</t>
  </si>
  <si>
    <t>1366-7289</t>
  </si>
  <si>
    <t>Introduction Qualitative longitudinal Research for Social Policy – Where Are we Now?</t>
  </si>
  <si>
    <t>10.1017/S1474746421000245</t>
  </si>
  <si>
    <t>Ruth Patrick</t>
  </si>
  <si>
    <t>ruth.patrick@york.ac.uk</t>
  </si>
  <si>
    <t>Discrimination in digital immigration status</t>
  </si>
  <si>
    <t>10.1017/lst.2021.33</t>
  </si>
  <si>
    <t>Joe Tomlinson</t>
  </si>
  <si>
    <t>joe.tomlinson@york.ac.uk</t>
  </si>
  <si>
    <t>Review of: Stone Fidelity: Marriage and Emotion in Medieval Tomb Sculpture. By JESSICA BARKER</t>
  </si>
  <si>
    <t>10.1017/S000358152100007X</t>
  </si>
  <si>
    <t>Antiquaries Journal</t>
  </si>
  <si>
    <t>Book review</t>
  </si>
  <si>
    <t>Christian Steer</t>
  </si>
  <si>
    <t>christianosteer@yahoo.co.uk</t>
  </si>
  <si>
    <t>1758-5309</t>
  </si>
  <si>
    <t>0003-5815</t>
  </si>
  <si>
    <t>Trademarks as 'Global Merchants of Skill': The Dynamics of the Japanese Match Industry, c1860-c1930</t>
  </si>
  <si>
    <t>10.1017/S0007680521000362</t>
  </si>
  <si>
    <t>Business History Review</t>
  </si>
  <si>
    <t>Teresa Lopes</t>
  </si>
  <si>
    <t>teresa.lopes@york.ac.uk</t>
  </si>
  <si>
    <t>2044-768X</t>
  </si>
  <si>
    <t>0007-6805</t>
  </si>
  <si>
    <t>PICTURING PARLIAMENT: THE GREAT SEAL OF THE COMMONWEALTH AND THE HOUSE OF COMMONS</t>
  </si>
  <si>
    <t>10.1017/S0003581521000020</t>
  </si>
  <si>
    <t>John Cooper</t>
  </si>
  <si>
    <t>j.p.d.cooper@york.ac.uk</t>
  </si>
  <si>
    <t>Detecting and mapping the ‘ephemeral’: magnetometric survey of a Pastoral Neolithic settlement at Luxmanda, Tanzania</t>
  </si>
  <si>
    <t>10.15184/aqy.2021.59</t>
  </si>
  <si>
    <t>NYP 14/03/22</t>
  </si>
  <si>
    <t>Tom Fitton</t>
  </si>
  <si>
    <t>tom.fitton@york.ac.uk</t>
  </si>
  <si>
    <t>Organising Research and Development for evidence-informed healthcare: some principles and a case study from the UK</t>
  </si>
  <si>
    <t>10.1017/S1744133121000074</t>
  </si>
  <si>
    <t>Anthony Culyer</t>
  </si>
  <si>
    <t>tony.culyer@york.ac.uk</t>
  </si>
  <si>
    <t>The monarchical principle in question: Hohenzollern state-building, conquest, and the locus of royal sovereignty in Prussia, 1815-1871</t>
  </si>
  <si>
    <t>10.1017/S0018246X20000333</t>
  </si>
  <si>
    <t>Historical Journal</t>
  </si>
  <si>
    <t>Jasper Maximilian Heinzen</t>
  </si>
  <si>
    <t>jasper.heinzen@york.ac.uk</t>
  </si>
  <si>
    <t>1469-5103</t>
  </si>
  <si>
    <t>0018-246X</t>
  </si>
  <si>
    <t>Iron Age mnemonics: a biographical approach to dwelling in later prehistoric Britain</t>
  </si>
  <si>
    <t>10.1017/S0959774321000263</t>
  </si>
  <si>
    <t>Cambridge Archaeological Journal</t>
  </si>
  <si>
    <t>The doctoral research upon which this paper is based was funded by the Arts and Humanities Research Council (AHRC) and was undertaken as part of the Broxmouth Project, funded by Historic Environment Scotland.</t>
  </si>
  <si>
    <t>Lindsey Buster</t>
  </si>
  <si>
    <t>lindsey.buster@york.ac.uk</t>
  </si>
  <si>
    <t>1474-0540</t>
  </si>
  <si>
    <t>0959-7743</t>
  </si>
  <si>
    <t>Ordering the City: Revolution, Modernity and Road Renaming in Shanghai, 1949–1966</t>
  </si>
  <si>
    <t>10.1017/S0963926821000249</t>
  </si>
  <si>
    <t>Urban History</t>
  </si>
  <si>
    <t>Jonathan Howlett</t>
  </si>
  <si>
    <t>jon.howlett@york.ac.uk</t>
  </si>
  <si>
    <t>1469-8706</t>
  </si>
  <si>
    <t>0963-9268</t>
  </si>
  <si>
    <t>Using a wearable camera to support everyday memory following brain injury: a single case study</t>
  </si>
  <si>
    <t>10.1017/BrImp.2021.6</t>
  </si>
  <si>
    <t>Brain Impairment</t>
  </si>
  <si>
    <t>This work was supported in part by a Postdoctoral Fellowship award from the British Academy (Grant number: PF19\100083).</t>
  </si>
  <si>
    <t>Ali Mair</t>
  </si>
  <si>
    <t>ali.mair@york.ac.uk</t>
  </si>
  <si>
    <t>1839-5252</t>
  </si>
  <si>
    <t>1443-9646</t>
  </si>
  <si>
    <t>‘COVID Waste’ and Social Media as Method: An Archaeology of PPE and its Contribution to Policy in and after a Global Pandemic</t>
  </si>
  <si>
    <t>10.15184/aqy.2021.18</t>
  </si>
  <si>
    <t>This research received no specific grant from any funding agency or from commercial or not-for-profit sectors. Estelle Praet thanks the Fonds de la Recherche Scientifique—FNRS and the White Rose College of Arts and Humanities for funding her PhD on Galápagos Marine Plastics.</t>
  </si>
  <si>
    <t>John Schofield</t>
  </si>
  <si>
    <t>john.schofield@york.ac.uk</t>
  </si>
  <si>
    <t>How has the COVID-19 pandemic impacted on smoking and nicotine dependence among people with severe mental ill health?  Analysis of linked data from a UK Closing the Gap Cohort</t>
  </si>
  <si>
    <t>10.1192/bjo.2021.45</t>
  </si>
  <si>
    <t>BJPsych Open</t>
  </si>
  <si>
    <t>This study is supported by the Medical Research Council (grant reference MR/V028529) and links with the Closing the Gap cohort, which was part-funded by the Wellcome Trust (reference 204829) through the Centre for Future Health at the University of York, UK Research and Innovation (reference ES/S004459/1), and the NIHR Yorkshire and Humberside Applied Research Collaboration. Any views expressed here are those of the project investigators and do not necessarily represent the views of the Medical Research Council, Wellcome Trust, UK Research and Innovation, National Institute for Health Research or the Department of Health and Social Care.</t>
  </si>
  <si>
    <t>Reported as denied by library in CUP report but reported as published OA under deal in Jisc ALM report Jul 2023.</t>
  </si>
  <si>
    <t>Wrong licence selected</t>
  </si>
  <si>
    <t>Emily Peckham</t>
  </si>
  <si>
    <t>emily.peckham@york.ac.uk</t>
  </si>
  <si>
    <t>2056-4724</t>
  </si>
  <si>
    <t>Applications of Robotics, AI, and Digital Technologies During COVID-19: A Review</t>
  </si>
  <si>
    <t>10.1017/dmp.2021.9</t>
  </si>
  <si>
    <t>Disaster Medicine and Public Health Preparedness</t>
  </si>
  <si>
    <t>This work is partially supported by the Royal Society Wolfson Fellowship.</t>
  </si>
  <si>
    <t>Zion Tse</t>
  </si>
  <si>
    <t>zion.tse@york.ac.uk</t>
  </si>
  <si>
    <t>1938-744X</t>
  </si>
  <si>
    <t>1935-7893</t>
  </si>
  <si>
    <t>Response to COVID-19: Was Italy (un)prepared?</t>
  </si>
  <si>
    <t>10.1017/S1744133121000141</t>
  </si>
  <si>
    <t>Keira Keep</t>
  </si>
  <si>
    <t>kkeep@cambridge.org</t>
  </si>
  <si>
    <t>The Knights Templar in English towns</t>
  </si>
  <si>
    <t>10.1017/S0963926821000870</t>
  </si>
  <si>
    <t>Cambridge University Press TA 2022</t>
  </si>
  <si>
    <t>CCC dashboard 14/02/2022 (saved as CUP CCC 14 Feb 2022.xlsx)</t>
  </si>
  <si>
    <t>John Lee</t>
  </si>
  <si>
    <t>jsl500@york.ac.uk</t>
  </si>
  <si>
    <t>Rautavaara’s Cantus Arcticus: National Exoticism or International Modernism?</t>
  </si>
  <si>
    <t>10.1017/S1478572221000311</t>
  </si>
  <si>
    <t>Twentieth-Century Music</t>
  </si>
  <si>
    <t>Owen Burton</t>
  </si>
  <si>
    <t>ob703@york.ac.uk</t>
  </si>
  <si>
    <t>1478-5730</t>
  </si>
  <si>
    <t>1478-5722</t>
  </si>
  <si>
    <t>ELICITING UNCERTAINTY FOR COMPLEX PARAMETERS IN MODEL-BASED ECONOMIC EVALUATIONS: QUANTIFYING A TEMPORAL CHANGE IN THE TREATMENT EFFECT</t>
  </si>
  <si>
    <t>10.1017/S0266462322000022</t>
  </si>
  <si>
    <t>International Journal of Technology Assessment in Health Care</t>
  </si>
  <si>
    <t>Financial support for this study was provided in part by a grant from NIHR CLAHRC YH and the NIHR Applied Research Collaboration Yorkshire and Humber.</t>
  </si>
  <si>
    <t>Dina Jankovic</t>
  </si>
  <si>
    <t>dina.jankovic@york.ac.uk</t>
  </si>
  <si>
    <t>1471-6348</t>
  </si>
  <si>
    <t>0266-4623</t>
  </si>
  <si>
    <t>Super-naturals</t>
  </si>
  <si>
    <t>10.1017/S0956796822000028</t>
  </si>
  <si>
    <t>Journal of Functional Programming</t>
  </si>
  <si>
    <t>No funding</t>
  </si>
  <si>
    <t>Denied because author emeritus</t>
  </si>
  <si>
    <t>Emeritus</t>
  </si>
  <si>
    <t>Colin Runciman</t>
  </si>
  <si>
    <t>colin.runciman@york.ac.uk</t>
  </si>
  <si>
    <t>1469-7653</t>
  </si>
  <si>
    <t>0956-7968</t>
  </si>
  <si>
    <t>On the Appropriateness of Grief to its Object</t>
  </si>
  <si>
    <t>10.1017/apa.2021.55</t>
  </si>
  <si>
    <t>Journal of the American Philosophical Association</t>
  </si>
  <si>
    <t>We are also grateful to the UK Arts and Humanities Research Council for funding our research (Grant Ref. AH/T000066/1).</t>
  </si>
  <si>
    <t>Matthew Ratcliffe</t>
  </si>
  <si>
    <t>matthew.ratcliffe@york.ac.uk</t>
  </si>
  <si>
    <t>2053-4485</t>
  </si>
  <si>
    <t>2053-4477</t>
  </si>
  <si>
    <t>Overgroups of regular unipotent elements in reductive groups</t>
  </si>
  <si>
    <t>10.1017/fms.2021.82</t>
  </si>
  <si>
    <t>Forum of Mathematics, Sigma</t>
  </si>
  <si>
    <t>Michael Bate</t>
  </si>
  <si>
    <t>michael.bate@york.ac.uk</t>
  </si>
  <si>
    <t>2050-5094</t>
  </si>
  <si>
    <t>Semigroups whose right ideals are finitely generated</t>
  </si>
  <si>
    <t>10.1017/S0013091521000638</t>
  </si>
  <si>
    <t>Proceedings of the Edinburgh Mathematical Society</t>
  </si>
  <si>
    <t>This research was supported by the London Mathematical Society through the Early Career Fellowship scheme.</t>
  </si>
  <si>
    <t>Craig Miller</t>
  </si>
  <si>
    <t>camiller395@gmail.com</t>
  </si>
  <si>
    <t>1464-3839</t>
  </si>
  <si>
    <t>0013-0915</t>
  </si>
  <si>
    <t>Finding difference in emotional communities: new feminisms of women’s lives in the 19th century AD and 6th millennium BC</t>
  </si>
  <si>
    <t>10.1017/S0959774321000585</t>
  </si>
  <si>
    <t>Penny Bickle</t>
  </si>
  <si>
    <t>penny.bickle@york.ac.uk</t>
  </si>
  <si>
    <t>From extraordinary success to no considerable results: Victorian music entrepreneurialism and the Crystal Palace Brass Band Competition 1860-1863</t>
  </si>
  <si>
    <t>10.1017/S1479409821000446</t>
  </si>
  <si>
    <t>Nineteenth-Century Music Review</t>
  </si>
  <si>
    <t>Philip Boardman</t>
  </si>
  <si>
    <t>pb1029@york.ac.uk</t>
  </si>
  <si>
    <t>2044-8414</t>
  </si>
  <si>
    <t>1479-4098</t>
  </si>
  <si>
    <t>To Purge or Not to Purge? An Individual-Level Quantitative Analysis of Elite Purges in Dictatorships</t>
  </si>
  <si>
    <t>10.1017/S0007123421000569</t>
  </si>
  <si>
    <t>British Journal of Political Science</t>
  </si>
  <si>
    <t>Edward Goldring acknowledges funding from the Hong Kong Research Grants Council, PDFS2021-6H02.</t>
  </si>
  <si>
    <t>Edward Goldring</t>
  </si>
  <si>
    <t>edward.goldring@york.ac.uk</t>
  </si>
  <si>
    <t>1469-2112</t>
  </si>
  <si>
    <t>0007-1234</t>
  </si>
  <si>
    <t>Viticulture, opus doliare, and the patrimonium Caesaris at the Roman Imperial estate at Vagnari (Puglia)</t>
  </si>
  <si>
    <t>10.1017/S1047759421000726</t>
  </si>
  <si>
    <t>Journal of Roman Archaeology</t>
  </si>
  <si>
    <t>The research on Roman dolia was carried out in good part at the British School at Rome, with a grant from the British Academy, and I am grateful to both institutions.</t>
  </si>
  <si>
    <t>Maureen Carroll</t>
  </si>
  <si>
    <t>maureen.carroll@york.ac.uk</t>
  </si>
  <si>
    <t>2331-5709</t>
  </si>
  <si>
    <t>1047-7594</t>
  </si>
  <si>
    <t>Attention, identity, and linguistic capital: Inverted style-shifting in Anglo-Cornish dialect lexis</t>
  </si>
  <si>
    <t>10.1017/S136067432100040X</t>
  </si>
  <si>
    <t>English Language &amp; Linguistics</t>
  </si>
  <si>
    <t>Rhys Sandow</t>
  </si>
  <si>
    <t>rhys.sandow@york.ac.uk</t>
  </si>
  <si>
    <t>1469-4379</t>
  </si>
  <si>
    <t>1360-6743</t>
  </si>
  <si>
    <t>Using bed-roughness signatures to characterise glacial landform assemblages beneath contemporary and palaeo ice-sheets</t>
  </si>
  <si>
    <t>10.1017/jog.2021.122</t>
  </si>
  <si>
    <t>Journal of Glaciology</t>
  </si>
  <si>
    <t>This research is part of a Ph.D. project, funded by NERC, grant number NE/K00987/1.</t>
  </si>
  <si>
    <t>Francesca Falcini</t>
  </si>
  <si>
    <t>f.a.falcini@gmail.com</t>
  </si>
  <si>
    <t>1727-5652</t>
  </si>
  <si>
    <t>0022-1430</t>
  </si>
  <si>
    <t>Against cumulative type theory</t>
  </si>
  <si>
    <t>10.1017/S1755020321000435</t>
  </si>
  <si>
    <t>Review of Symbolic Logic</t>
  </si>
  <si>
    <t>Robert Trueman</t>
  </si>
  <si>
    <t>rob.trueman@york.ac.uk</t>
  </si>
  <si>
    <t>1755-0211</t>
  </si>
  <si>
    <t>1755-0203</t>
  </si>
  <si>
    <t>When the Music Stopped: Reactions to the Outbreak of World War I in an Austrian Province</t>
  </si>
  <si>
    <t>10.1017/S0067237821000023</t>
  </si>
  <si>
    <t>Austrian History Yearbook</t>
  </si>
  <si>
    <t>Email from Louise Deane at CUP - papers which weren't made OA but still could be 2021</t>
  </si>
  <si>
    <t>Author opt out</t>
  </si>
  <si>
    <t>1558-5255</t>
  </si>
  <si>
    <t>0067-2378</t>
  </si>
  <si>
    <t>‘Problematic stuff’: death, memory and the interpretation of cached objects</t>
  </si>
  <si>
    <t>10.15184/aqy.2021.81</t>
  </si>
  <si>
    <t>The ideas in this paper have developed over a number of years during the author's research as part of the Broxmouth Project, funded by Historic Environment Scotland, and the AHRC-funded Continuing Bonds Project (grant AH/S005196/1), both of which were undertaken at the University of Bradford.</t>
  </si>
  <si>
    <t>A NEW DAWN? THOMAS ADÈS AND THE CASE OF MUSICAL SIMPLICITY</t>
  </si>
  <si>
    <t>10.1017/S0040298221000395</t>
  </si>
  <si>
    <t>Tempo</t>
  </si>
  <si>
    <t>1478-2286</t>
  </si>
  <si>
    <t>0040-2982</t>
  </si>
  <si>
    <t>Appropriation, Integration, and Nation Building: Portuguese Railways in the Second Half of the Nineteenth and Early Years of the Twentieth Century</t>
  </si>
  <si>
    <t>10.1017/ssh.2021.4</t>
  </si>
  <si>
    <t>Social Science History</t>
  </si>
  <si>
    <t>I wish to acknowledge the institutional and academic support provided by CITCEM—Transdisciplinary Research Centre Culture, Space and Memory, Portugal (UID/HIS/04059), CIUHCT—Interuniversity Research Centre for the History of Sciences and Technology, Portugal (UID/HIS/00286), and the Department of History, United Kingdom, as well as the funding provided by the Foundation for Science and Technology, Portugal (doctoral fellowship SFRH/BD/46011/2008, postdoctoral fellowship SFRH/BPD/95212/2013, and legal umbrella provided by the decree-law 57/2016 and law 57/2017).</t>
  </si>
  <si>
    <t>1527-8034</t>
  </si>
  <si>
    <t>0145-5532</t>
  </si>
  <si>
    <t>Managing Expertise: The Problem of Engineers in the English East India Company, 1668–1764</t>
  </si>
  <si>
    <t>10.1017/S0165115321000140</t>
  </si>
  <si>
    <t>Itinerario</t>
  </si>
  <si>
    <t>2041-2827</t>
  </si>
  <si>
    <t>0165-1153</t>
  </si>
  <si>
    <t>The Epistemological Power of Taste</t>
  </si>
  <si>
    <t>10.1017/apa.2020.37</t>
  </si>
  <si>
    <t>Predicting relapse or recurrence of depression: systematic review of prognostic models</t>
  </si>
  <si>
    <t>10.1192/bjp.2021.218</t>
  </si>
  <si>
    <t>Email report: Transformative Monthly Report Feb 2022.xlsx</t>
  </si>
  <si>
    <t>A.S.M. is funded by a NIHR Doctoral Research Fellowship for this research project (NIHR Doctoral Research Fellowship, Dr Andrew Moriarty, DRF-2018-11-ST2-044). K.I.E.S. is funded by the NIHR School for Primary Care Research (SPCR Launching Fellowship). This publication presents independent research funded by the NIHR. The views expressed are those of the authors and not necessarily those of the NHS, the NIHR or the Department of Health and Social Care.</t>
  </si>
  <si>
    <t>Reported as not OA in initial CUP report, but reported as OA in Jisc ALM data Jul 2023</t>
  </si>
  <si>
    <t>Andrew Moriarty</t>
  </si>
  <si>
    <t>andrew.moriarty@york.ac.uk</t>
  </si>
  <si>
    <t>“According to the Strict Principles of Honor”: Loyalty, Ambition, and Service in the Habsburg Army during the Coalition Wars</t>
  </si>
  <si>
    <t>10.1017/S0067237822000017</t>
  </si>
  <si>
    <t>Email report: CUP customer report March 2022</t>
  </si>
  <si>
    <t>Not OA when originally reported by CUP. Reported OA in July 2023 Jisc ALM report.</t>
  </si>
  <si>
    <t>Kurt Baird</t>
  </si>
  <si>
    <t>kjb554@york.ac.uk</t>
  </si>
  <si>
    <t>Duck Fights: Walt Disney vs Dudu Geva and the Politics of Americanization in Late Twentieth Century Israel</t>
  </si>
  <si>
    <t>10.1017/S0021875822000093</t>
  </si>
  <si>
    <t>Journal of American Studies</t>
  </si>
  <si>
    <t>CCC dashboard report: CUP CCC 1 Jan 2022-9 May 2022.xlsx</t>
  </si>
  <si>
    <t>Shaul Mitelpunkt</t>
  </si>
  <si>
    <t>shaul.mitelpunkt@york.ac.uk</t>
  </si>
  <si>
    <t>1469-5154</t>
  </si>
  <si>
    <t>0021-8758</t>
  </si>
  <si>
    <t>Effectiveness of interventions to address obesity and health risk behaviours among people with severe mental illness in low- and middle-income countries (LMICs): Systematic review and meta-analysis</t>
  </si>
  <si>
    <t>10.1017/gmh.2022.21</t>
  </si>
  <si>
    <t>Global Mental Health</t>
  </si>
  <si>
    <t>Gerardo Zavala</t>
  </si>
  <si>
    <t>g.zavala@york.ac.uk</t>
  </si>
  <si>
    <t>2054-4251</t>
  </si>
  <si>
    <t>The contested jurisdiction of Social Policy in UK universities since 1972</t>
  </si>
  <si>
    <t>10.1017/S0047279422000320</t>
  </si>
  <si>
    <t>Journal of Social Policy</t>
  </si>
  <si>
    <t>John Hudson</t>
  </si>
  <si>
    <t>john.hudson@york.ac.uk</t>
  </si>
  <si>
    <t>1469-7823</t>
  </si>
  <si>
    <t>0047-2794</t>
  </si>
  <si>
    <t>Radical Democratic Inclusion: Why We Should Lower the Voting Age to 12</t>
  </si>
  <si>
    <t>10.1017/S135824612200008X</t>
  </si>
  <si>
    <t>Royal Institute of Philosophy Supplements</t>
  </si>
  <si>
    <t>Email report: CUP customer report April 2022</t>
  </si>
  <si>
    <t>Unknown</t>
  </si>
  <si>
    <t>1755-3555</t>
  </si>
  <si>
    <t>1358-2461</t>
  </si>
  <si>
    <t>Building a virtual Roman city: teaching history through video game design</t>
  </si>
  <si>
    <t>10.1017/S2058631022000277</t>
  </si>
  <si>
    <t>Journal of Classics Teaching</t>
  </si>
  <si>
    <t>Email report June 2022</t>
  </si>
  <si>
    <t>Diamond journal</t>
  </si>
  <si>
    <t>Diamond OA journal</t>
  </si>
  <si>
    <t>Harrison Forsyth</t>
  </si>
  <si>
    <t>2058-6310</t>
  </si>
  <si>
    <t>On Being Had: Publishing an Article on a Literary Fake</t>
  </si>
  <si>
    <t>10.1017/S0307883322000098</t>
  </si>
  <si>
    <t>Theatre Research International</t>
  </si>
  <si>
    <t>David Barnett</t>
  </si>
  <si>
    <t>david.barnett@york.ac.uk</t>
  </si>
  <si>
    <t>1474-0672</t>
  </si>
  <si>
    <t>0307-8833</t>
  </si>
  <si>
    <t>Peasant frontiers as a research strategy: peasant resilience and the reproduction of common land rights</t>
  </si>
  <si>
    <t>10.1017/S0268416022000108</t>
  </si>
  <si>
    <t>Continuity and Change</t>
  </si>
  <si>
    <t>Email report July 2022</t>
  </si>
  <si>
    <t>Reported as not OA on July 2022 report, but is OA.</t>
  </si>
  <si>
    <t>Hanne Cottyn</t>
  </si>
  <si>
    <t>hanne.cottyn@york.ac.uk</t>
  </si>
  <si>
    <t>1469-218X</t>
  </si>
  <si>
    <t>0268-4160</t>
  </si>
  <si>
    <t>A brief report informing the adaptation of a behavioural activation intervention for delivery by non-mental health specialists for the treatment of perinatal depression</t>
  </si>
  <si>
    <t>10.1017/S1352465822000315</t>
  </si>
  <si>
    <t>Behavioural and Cognitive Psychotherapy</t>
  </si>
  <si>
    <t>This study was conducted as part of a PhD study funded by the Republic of Turkey Ministry of National Education.</t>
  </si>
  <si>
    <t>SEMRA PINAR</t>
  </si>
  <si>
    <t>s.semrapinar@gmail.com</t>
  </si>
  <si>
    <t>1469-1833</t>
  </si>
  <si>
    <t>1352-4658</t>
  </si>
  <si>
    <t>Historicizing Economic Growth: An Overview of Recent Works</t>
  </si>
  <si>
    <t>10.1017/S0018246X22000206</t>
  </si>
  <si>
    <t>Email report August 2022</t>
  </si>
  <si>
    <t>Venus Bivar</t>
  </si>
  <si>
    <t>venus.bivar@york.ac.uk</t>
  </si>
  <si>
    <t>Geometric interlace: a study of the rise, fall and meaning of stereotomic strapwork in the architecture of Rum Seljuq Anatolia</t>
  </si>
  <si>
    <t>10.1017/S0066154622000102</t>
  </si>
  <si>
    <t>Anatolian Studies</t>
  </si>
  <si>
    <t>The research for this article was made possible, in part, by the award of a research grant from the British Institute at Ankara that allowed me to study several of the buildings in question and to acquire a number of relevant Turkish publications.</t>
  </si>
  <si>
    <t>2048-0849</t>
  </si>
  <si>
    <t>0066-1546</t>
  </si>
  <si>
    <t>Child phonological responses to variegation in adult words: A cross-linguistic study</t>
  </si>
  <si>
    <t>10.1017/S0305000922000393</t>
  </si>
  <si>
    <t>Journal of Child Language</t>
  </si>
  <si>
    <t>Marilyn Vihman</t>
  </si>
  <si>
    <t>marilyn.vihman@york.ac.uk</t>
  </si>
  <si>
    <t>1469-7602</t>
  </si>
  <si>
    <t>0305-0009</t>
  </si>
  <si>
    <t>Bentham's Mugging</t>
  </si>
  <si>
    <t>10.1017/S0953820822000218</t>
  </si>
  <si>
    <t>Utilitas</t>
  </si>
  <si>
    <t>Johan Gustafsson</t>
  </si>
  <si>
    <t>johan.eric.gustafsson@gmail.com</t>
  </si>
  <si>
    <t>1741-6183</t>
  </si>
  <si>
    <t>0953-8208</t>
  </si>
  <si>
    <t>Prosocial behavior and psychopathology: An 11-year longitudinal study of inter- and intraindividual reciprocal relations across childhood and adolescence</t>
  </si>
  <si>
    <t>10.1017/S0954579422000657</t>
  </si>
  <si>
    <t>Development and Psychopathology</t>
  </si>
  <si>
    <t>The research received no specific grant from any funding agency, commercial, or not-for-profit sectors.</t>
  </si>
  <si>
    <t>Umar Toseeb</t>
  </si>
  <si>
    <t>umar.toseeb@york.ac.uk</t>
  </si>
  <si>
    <t>1469-2198</t>
  </si>
  <si>
    <t>0954-5794</t>
  </si>
  <si>
    <t>Taming the Global Financial Cycle: Central Banks as Shock Absorbers in the First Era of Globalization</t>
  </si>
  <si>
    <t>10.1017/S0022050722000274</t>
  </si>
  <si>
    <t>Journal of Economic History</t>
  </si>
  <si>
    <t>Reported by CUP as author opt out. Contacted author using CUP template email 15/03/23 to request them to retroactively apply OA.</t>
  </si>
  <si>
    <t>1471-6372</t>
  </si>
  <si>
    <t>0022-0507</t>
  </si>
  <si>
    <t>Subsegmental Representation in Child Speech Production: Structured Variability of Stop Consonant Voice Onset Time in American English and Cantonese</t>
  </si>
  <si>
    <t>10.1017/S0305000922000368</t>
  </si>
  <si>
    <t>we thank the Mt. Holyoke’s Lynk Summer Funding Program for financially supporting the third author for work on this project.</t>
  </si>
  <si>
    <t>“That They May Vomit Out Their Folly”: The Gut-Mind Axis and Hellebore in Early Modern England</t>
  </si>
  <si>
    <t>10.1017/jbr.2021.189</t>
  </si>
  <si>
    <t>Email report September 2022</t>
  </si>
  <si>
    <t>Michael Walkden</t>
  </si>
  <si>
    <t>walkdenml@gmail.com</t>
  </si>
  <si>
    <t>Ethical issues when interviewing older people about loneliness: reflections and recommendations for an effective methodological approach</t>
  </si>
  <si>
    <t>10.1017/S0144686X2200099X</t>
  </si>
  <si>
    <t>Ageing &amp; Society</t>
  </si>
  <si>
    <t>Time to Shine was supported by the National Lottery Community Fund 2015–2022; Older Men at the Margins was supported by the NIHR School for Social Care Research (grant number CO88/CM/UBDA-P110); and Isolation and Loneliness Among Older People was supported by the Economic and Social Research Council.</t>
  </si>
  <si>
    <t>Ruth Naughton-Doe</t>
  </si>
  <si>
    <t>ruth.naughton-doe@york.ac.uk</t>
  </si>
  <si>
    <t>1469-1779</t>
  </si>
  <si>
    <t>0144-686X</t>
  </si>
  <si>
    <t>Using discrete-choice experiments to elicit preferences for digital wearable health technology for self-management of chronic kidney disease</t>
  </si>
  <si>
    <t>10.1017/S0266462322003233</t>
  </si>
  <si>
    <t>Email report Oct 2022</t>
  </si>
  <si>
    <t>This research was funded by the Engineering and Physical Sciences Research Council (grant EP/P010148/1; The Wearable Clinic: Connecting Health, Self and Care).</t>
  </si>
  <si>
    <t>Andrea Manca</t>
  </si>
  <si>
    <t>andrea.manca@york.ac.uk</t>
  </si>
  <si>
    <t>Material and Sensory Experiences of Mesolithic Resinous Substances</t>
  </si>
  <si>
    <t>10.1017/S0959774322000300</t>
  </si>
  <si>
    <t>Research was carried out with support from the following funding bodies: Arts and Humanities Research Council (AHRC) Standard Early Career Grant (AH/T00519X/1) Stone Dead Project, PI: Aimée Little, British Academy Early Career Research Grant (PF19\100082), Ornaments on the Edge Project, PI: Andy Needham, Invisible Technologies &amp; the Container Revolution, Andrew Langley's White Rose College of the Arts and Humanities (WRoCAH) funded PhD Project. Previous experiments on birch and pine tar production and conversations between the authors took place at the YEAR (York Experimental Archaeological Research) Centre, Department of Archaeology, University of York. We would like further to thank Oliver Craig, Mark Edmonds, Alexandre Lucquin, Diederik Pomstra, Harry Robson and Graeme Warren for constructive comments on aspects of an earlier draft; Neil Gevaux for assisting with figures; and Tabea Koch for German/English translations. Finally, our sincere thanks to the anonymous reviewers for their constructive feedback. All errors and omissions are, however, our own.</t>
  </si>
  <si>
    <t>Aimée Little</t>
  </si>
  <si>
    <t>aimee.little@york.ac.uk</t>
  </si>
  <si>
    <t>Language switching in different contexts and modalities: Response-stimulus interval influences cued-naming but not voluntary-naming or comprehension language-switching costs</t>
  </si>
  <si>
    <t>10.1017/S1366728922000554</t>
  </si>
  <si>
    <t>Angela de Bruin</t>
  </si>
  <si>
    <t>angela.debruin@york.ac.uk</t>
  </si>
  <si>
    <t>Light Production by Ceramic Using Hunter-Gatherer-Fishers of the Circum-Baltic</t>
  </si>
  <si>
    <t>10.1017/ppr.2022.12</t>
  </si>
  <si>
    <t>Proceedings of the Prehistoric Society</t>
  </si>
  <si>
    <t>Email report Nov 2022</t>
  </si>
  <si>
    <t>Harry Robson</t>
  </si>
  <si>
    <t>hkrobson@hotmail.co.uk</t>
  </si>
  <si>
    <t>2050-2729</t>
  </si>
  <si>
    <t>0079-497X</t>
  </si>
  <si>
    <t>UNITARY REPRESENTATIONS OF CYCLOTOMIC HECKE ALGEBRAS AT ROOTS OF UNITY: COMBINATORIAL CLASSIFICATION AND BGG RESOLUTIONS</t>
  </si>
  <si>
    <t>10.1017/S147474802200055X</t>
  </si>
  <si>
    <t>Journal of the Institute of Mathematics of Jussieu</t>
  </si>
  <si>
    <t>Chris Bowman</t>
  </si>
  <si>
    <t>chris.bowman-scargill@york.ac.uk</t>
  </si>
  <si>
    <t>1475-3030</t>
  </si>
  <si>
    <t>1474-7480</t>
  </si>
  <si>
    <t>On minimal ideals in pseudo-finite semigroups</t>
  </si>
  <si>
    <t>10.4153/S0008414X2200061X</t>
  </si>
  <si>
    <t>Canadian Journal of Mathematics</t>
  </si>
  <si>
    <t>This work was supported by the Engineering and Physical Sciences Research Council [EP/V002953/1].</t>
  </si>
  <si>
    <t>Victoria Ann Rosalind Gould</t>
  </si>
  <si>
    <t>victoria.gould@york.ac.uk</t>
  </si>
  <si>
    <t>1496-4279</t>
  </si>
  <si>
    <t>0008-414X</t>
  </si>
  <si>
    <t>Bringing EU law back down to Earth</t>
  </si>
  <si>
    <t>10.1017/S1744552322000337</t>
  </si>
  <si>
    <t>International  Journal of Law in Context</t>
  </si>
  <si>
    <t>Reported as not OA in initial CUP report, but reported as OA by Jisc ALM report Jul 2023.</t>
  </si>
  <si>
    <t>Charlotte O'Brien</t>
  </si>
  <si>
    <t>charlotte.obrien@york.ac.uk</t>
  </si>
  <si>
    <t>1744-5531</t>
  </si>
  <si>
    <t>1744-5523</t>
  </si>
  <si>
    <t>The final frontier? Why we have been ignoring second language attrition, and why it is time we stopped</t>
  </si>
  <si>
    <t>10.1017/S0261444822000301</t>
  </si>
  <si>
    <t>Language Teaching</t>
  </si>
  <si>
    <t>Email report Dec 2022</t>
  </si>
  <si>
    <t>Monika Schmid</t>
  </si>
  <si>
    <t>monika.schmid@york.ac.uk</t>
  </si>
  <si>
    <t>1475-3049</t>
  </si>
  <si>
    <t>0261-4448</t>
  </si>
  <si>
    <t>Nano-faceted stabilization of polar-oxide thin films: The case of MgO(111) and NiO(111) surfaces</t>
  </si>
  <si>
    <t>10.1016/j.apsusc.2022.153490</t>
  </si>
  <si>
    <t>Applied Surface Science</t>
  </si>
  <si>
    <t>Elsevier</t>
  </si>
  <si>
    <t>Elsevier TA 2022</t>
  </si>
  <si>
    <t>Dashboard report: Elsevier_dashboard_report_all_6Jun2022.xlsx</t>
  </si>
  <si>
    <t>EP/N509802/1</t>
  </si>
  <si>
    <t>Dr. V.K. Lazarov</t>
  </si>
  <si>
    <t>Publisher website</t>
  </si>
  <si>
    <t>0169-4332</t>
  </si>
  <si>
    <t>Escape from planarity in fragment-based drug discovery: A synthetic strategy analysis of synthetic 3D fragment libraries</t>
  </si>
  <si>
    <t>10.1016/j.drudis.2022.05.021</t>
  </si>
  <si>
    <t>Drug Discovery Today</t>
  </si>
  <si>
    <t>Prof. Peter O'Brien</t>
  </si>
  <si>
    <t>1359-6446</t>
  </si>
  <si>
    <t>Rapid and Efficient Adsorption of Methylene Blue Dye From Aqueous Solution by Hierarchically Porous, Activated Starbons®: Mechanism and Porosity Dependence</t>
  </si>
  <si>
    <t>10.1016/j.jhazmat.2022.129174</t>
  </si>
  <si>
    <t>Journal of Hazardous Materials</t>
  </si>
  <si>
    <t>none</t>
  </si>
  <si>
    <t>Prof Michael North</t>
  </si>
  <si>
    <t>0304-3894</t>
  </si>
  <si>
    <t>A survey of cyber security threats and solutions for UAV communications and flying ad-hoc networks</t>
  </si>
  <si>
    <t>10.1016/j.adhoc.2022.102894</t>
  </si>
  <si>
    <t>Ad Hoc Networks</t>
  </si>
  <si>
    <t>Dr Vassilios G. Vassilakis</t>
  </si>
  <si>
    <t>1570-8705</t>
  </si>
  <si>
    <t>Synthesis and antimicrobial activity of an SO2-releasing siderophore conjugate</t>
  </si>
  <si>
    <t>10.1016/j.jinorgbio.2022.111875</t>
  </si>
  <si>
    <t>Journal of Inorganic Biochemistry</t>
  </si>
  <si>
    <t>EP/N509802/1,EP/T007338/1,EP/L024829/1,204829</t>
  </si>
  <si>
    <t>Professor Anne-Kathrin Duhme-Klair</t>
  </si>
  <si>
    <t>0162-0134</t>
  </si>
  <si>
    <t>Recognition of pareidolic objects in developmental prosopagnosic and neurotypical individuals</t>
  </si>
  <si>
    <t>10.1016/j.cortex.2022.04.011</t>
  </si>
  <si>
    <t>Cortex</t>
  </si>
  <si>
    <t>Mrs Gabriela Epihova</t>
  </si>
  <si>
    <t>1973-8102</t>
  </si>
  <si>
    <t>0010-9452</t>
  </si>
  <si>
    <t>Referential gestures are not ubiquitous in wild chimpanzees: alternative functions for exaggerated loud scratch gestures</t>
  </si>
  <si>
    <t>10.1016/j.anbehav.2022.04.007</t>
  </si>
  <si>
    <t>Animal Behaviour</t>
  </si>
  <si>
    <t>ERC_CoG 2016_724608</t>
  </si>
  <si>
    <t>Dr. Katie Slocombe</t>
  </si>
  <si>
    <t>0003-3472</t>
  </si>
  <si>
    <t>Evaluating childhood policy impacts on lifetime health, wellbeing and inequality: Lifecourse distributional economic evaluation</t>
  </si>
  <si>
    <t>10.1016/j.socscimed.2022.114960</t>
  </si>
  <si>
    <t>Social Science &amp; Medicine</t>
  </si>
  <si>
    <t>SRF-2013-06-015,205427/Z/16/Z,ActEarly Programme, MR/S037527/1</t>
  </si>
  <si>
    <t>Dr Ieva Skarda</t>
  </si>
  <si>
    <t>0277-9536</t>
  </si>
  <si>
    <t>Word-meaning priming extends beyond homonyms</t>
  </si>
  <si>
    <t>10.1016/j.cognition.2022.105175</t>
  </si>
  <si>
    <t>Cognition</t>
  </si>
  <si>
    <t>ES/T008571/1</t>
  </si>
  <si>
    <t>Professor M. Gareth Gaskell</t>
  </si>
  <si>
    <t>0010-0277</t>
  </si>
  <si>
    <t>A review of the effectiveness and experiences of welfare advice services co-located in health settings: A critical narrative systematic review</t>
  </si>
  <si>
    <t>10.1016/j.socscimed.2022.114746</t>
  </si>
  <si>
    <t>Dr Sian Reece</t>
  </si>
  <si>
    <t>Finite-window RLS algorithms</t>
  </si>
  <si>
    <t>10.1016/j.sigpro.2022.108599</t>
  </si>
  <si>
    <t>Signal Processing</t>
  </si>
  <si>
    <t>EP/V009591/1,EP/R003297/1,UMO-2018/29/B/ST7/00325</t>
  </si>
  <si>
    <t>Miss Lu Shen</t>
  </si>
  <si>
    <t>0165-1684</t>
  </si>
  <si>
    <t>Incorporating Concern for Health Equity Into Resource Allocation Decisions: Development of a Tool and Population-Based Valuation for Uganda</t>
  </si>
  <si>
    <t>10.1016/j.vhri.2022.04.006</t>
  </si>
  <si>
    <t>Value in Health Regional Issues</t>
  </si>
  <si>
    <t>MR/P028004/1</t>
  </si>
  <si>
    <t>Dr. Fan Yang</t>
  </si>
  <si>
    <t>2212-1099</t>
  </si>
  <si>
    <t>Archetypes of system transition and transformation: Six lessons for stewarding change</t>
  </si>
  <si>
    <t>10.1016/j.erss.2022.102646</t>
  </si>
  <si>
    <t>Energy Research &amp; Social Science</t>
  </si>
  <si>
    <t>BB/V004581/1</t>
  </si>
  <si>
    <t>Professor I. Fazey</t>
  </si>
  <si>
    <t>2214-6296</t>
  </si>
  <si>
    <t>What we still don't know about vascularized composite allotransplantation (VCA) outcomes and quality of life measurements</t>
  </si>
  <si>
    <t>10.1016/j.trre.2022.100708</t>
  </si>
  <si>
    <t>Transplantation Reviews</t>
  </si>
  <si>
    <t>MR/S017356/1</t>
  </si>
  <si>
    <t>Dr Matthew Ridley</t>
  </si>
  <si>
    <t>1557-9816</t>
  </si>
  <si>
    <t>0955-470X</t>
  </si>
  <si>
    <t>Sedimentological archives of coastal storms in South-West Wales, UK</t>
  </si>
  <si>
    <t>10.1016/j.ecss.2022.107926</t>
  </si>
  <si>
    <t>Estuarine, Coastal and Shelf Science</t>
  </si>
  <si>
    <t>White Rose College of the Arts and Humanities - Floods Network</t>
  </si>
  <si>
    <t>Mr Alexander Jardine</t>
  </si>
  <si>
    <t>0272-7714</t>
  </si>
  <si>
    <t>Significant improvement of the Seebeck coefficient of Fe2VAl with antisite defects</t>
  </si>
  <si>
    <t>10.1016/j.mtcomm.2022.103510</t>
  </si>
  <si>
    <t>Materials Today Communications</t>
  </si>
  <si>
    <t>Dr. Vlado K. Lazarov</t>
  </si>
  <si>
    <t>2352-4928</t>
  </si>
  <si>
    <t>Exploring the development of high-level contributions to body representation using the rubber hand illusion and the monkey hand illusion</t>
  </si>
  <si>
    <t>10.1016/j.jecp.2022.105477</t>
  </si>
  <si>
    <t>Journal of Experimental Child Psychology</t>
  </si>
  <si>
    <t>SG163427</t>
  </si>
  <si>
    <t>Dr. Catherine Preston</t>
  </si>
  <si>
    <t>0022-0965</t>
  </si>
  <si>
    <t>Current practice in the measurement and interpretation of intervention adherence in randomised controlled trials: A systematic review</t>
  </si>
  <si>
    <t>10.1016/j.cct.2022.106788</t>
  </si>
  <si>
    <t>Contemporary Clinical Trials</t>
  </si>
  <si>
    <t>Dr. Joy Adamson</t>
  </si>
  <si>
    <t>1551-7144</t>
  </si>
  <si>
    <t>Effect of the distribution of anisotropy constants on the magnetic properties of iron oxide nanoparticles</t>
  </si>
  <si>
    <t>10.1016/j.jmmm.2022.169543</t>
  </si>
  <si>
    <t>Journal of Magnetism and Magnetic Materials</t>
  </si>
  <si>
    <t>EP/R51181X/1,PID2019-106947RB- C21</t>
  </si>
  <si>
    <t>Dr. G. Vallejo-Fernandez</t>
  </si>
  <si>
    <t>0304-8853</t>
  </si>
  <si>
    <t>A discrete mean-value theorem for the higher derivatives of the Riemann zeta function</t>
  </si>
  <si>
    <t>10.1016/j.jnt.2022.03.004</t>
  </si>
  <si>
    <t>Journal of Number Theory</t>
  </si>
  <si>
    <t>Dr. Christopher Hughes</t>
  </si>
  <si>
    <t>0022-314X</t>
  </si>
  <si>
    <t>Flint awls at the Mesolithic site of Star Carr: Understanding tool use through integrated methods</t>
  </si>
  <si>
    <t>10.1016/j.jasrep.2022.103478</t>
  </si>
  <si>
    <t>Journal of Archaeological Science: Reports</t>
  </si>
  <si>
    <t>Ms. Jessica Bates</t>
  </si>
  <si>
    <t>2352-409X</t>
  </si>
  <si>
    <t>A shared socio-economic pathway based framework for characterising future emissions of chemicals to the natural environment</t>
  </si>
  <si>
    <t>10.1016/j.futures.2022.103040</t>
  </si>
  <si>
    <t>Futures</t>
  </si>
  <si>
    <t>Elsevier_dashboard_APC Report-2022-10-31-17-39-22</t>
  </si>
  <si>
    <t>This work is part of the Innovative Training Network ECORISK2050 and was supported by the European Union's Horizon 2020 research and innovation programme under the Marie Skłodowska-Curie grant agreement No [813124].</t>
  </si>
  <si>
    <t>Dr Alizée Desrousseaux</t>
  </si>
  <si>
    <t>0016-3287</t>
  </si>
  <si>
    <t>Cooperative game theory approach to develop an incentive mechanism for biopesticide adoption through farmer producer organizations</t>
  </si>
  <si>
    <t>10.1016/j.jenvman.2022.115696</t>
  </si>
  <si>
    <t>Journal of Environmental Management</t>
  </si>
  <si>
    <t>Professor Fu Jia</t>
  </si>
  <si>
    <t>0301-4797</t>
  </si>
  <si>
    <t>Temperature and risk of diarrhoea among children in Sub-Saharan Africa</t>
  </si>
  <si>
    <t>10.1016/j.worlddev.2022.106070</t>
  </si>
  <si>
    <t>World Development</t>
  </si>
  <si>
    <t>Dr. Matthias Flückiger</t>
  </si>
  <si>
    <t>0305-750X</t>
  </si>
  <si>
    <t>Bifurcation, stability, and critical slowing down in a simple mass–spring system</t>
  </si>
  <si>
    <t>10.1016/j.mechrescom.2022.103967</t>
  </si>
  <si>
    <t>Mechanics Research Communications</t>
  </si>
  <si>
    <t>Dr J.J. Bissell</t>
  </si>
  <si>
    <t>0093-6413</t>
  </si>
  <si>
    <t>Including underrepresented language learners in SLA research: A case study and considerations for internet-based methods</t>
  </si>
  <si>
    <t>10.1016/j.rmal.2022.100031</t>
  </si>
  <si>
    <t>Research Methods in Applied Linguistics</t>
  </si>
  <si>
    <t>ES/P000746/1</t>
  </si>
  <si>
    <t>Miss Louise Hannah Shepperd</t>
  </si>
  <si>
    <t>2772-7661</t>
  </si>
  <si>
    <t>A circular economy metric to determine sustainable resource use illustrated with neodymium for wind turbines</t>
  </si>
  <si>
    <t>10.1016/j.jclepro.2022.134305</t>
  </si>
  <si>
    <t>Journal of Cleaner Production</t>
  </si>
  <si>
    <t>Dr. James Sherwood</t>
  </si>
  <si>
    <t>0959-6526</t>
  </si>
  <si>
    <t>Estimating the economic value of green water as an approach to foster the virtual green-water trade</t>
  </si>
  <si>
    <t>10.1016/j.ecolind.2022.108632</t>
  </si>
  <si>
    <t>Ecological Indicators</t>
  </si>
  <si>
    <t>ES/J500215/1,814247</t>
  </si>
  <si>
    <t>APC paid by Sheffield (see APC sheet)</t>
  </si>
  <si>
    <t>Fully OA journal - not covered by deal</t>
  </si>
  <si>
    <t>Dr. Benjamin H. Lowe</t>
  </si>
  <si>
    <t>1872-7034</t>
  </si>
  <si>
    <t>1470-160X</t>
  </si>
  <si>
    <t>Distinguishing functions of trypanosomatid protein kinases</t>
  </si>
  <si>
    <t>10.1016/j.pt.2022.08.009</t>
  </si>
  <si>
    <t>Trends in Parasitology</t>
  </si>
  <si>
    <t>200807/Z/16/Z,221717/Z/20/Z,103740/Z/14/Z</t>
  </si>
  <si>
    <t>Prof. Jeremy C. Mottram</t>
  </si>
  <si>
    <t>1471-4922</t>
  </si>
  <si>
    <t>Using green chemistry to progress a circular fashion industry</t>
  </si>
  <si>
    <t>10.1016/j.cogsc.2022.100685</t>
  </si>
  <si>
    <t>Current Opinion in Green and Sustainable Chemistry</t>
  </si>
  <si>
    <t>Dr James H Clark</t>
  </si>
  <si>
    <t>2452-2236</t>
  </si>
  <si>
    <t>Integrating poverty alleviation and environmental protection efforts: A socio-ecological perspective on menstrual health management</t>
  </si>
  <si>
    <t>10.1016/j.socscimed.2022.115427</t>
  </si>
  <si>
    <t>Professor Federica Angeli</t>
  </si>
  <si>
    <t>Dirichlet is not just bad and singular</t>
  </si>
  <si>
    <t>10.1016/j.aim.2022.108316</t>
  </si>
  <si>
    <t>Advances in Mathematics</t>
  </si>
  <si>
    <t>EPSRC Programme grant EP/J018260/1,ERC Consolidator grant 648329,FWF Project I 3466-N35</t>
  </si>
  <si>
    <t>Paid by APC from YOAF but reimbursed by Elsevier as part of retrospective OA to cover Jan-Mar 2022</t>
  </si>
  <si>
    <t>Dr. Sanju Velani</t>
  </si>
  <si>
    <t>0001-8708</t>
  </si>
  <si>
    <t>Schematic information influences memory and generalisation behaviour for schema-relevant and -irrelevant information</t>
  </si>
  <si>
    <t>10.1016/j.cognition.2022.105203</t>
  </si>
  <si>
    <t>ES/R007454/1</t>
  </si>
  <si>
    <t>Dr Aidan J. Horner</t>
  </si>
  <si>
    <t>Optimal timing of non-pharmaceutical interventions during an epidemic</t>
  </si>
  <si>
    <t>10.1016/j.ejor.2022.06.034</t>
  </si>
  <si>
    <t>European Journal of Operational Research</t>
  </si>
  <si>
    <t>Dr Nick Huberts</t>
  </si>
  <si>
    <t>0377-2217</t>
  </si>
  <si>
    <t>Balancing the interaction between urban regeneration and flood risk management – A cost benefit approach in Ústí nad Labem</t>
  </si>
  <si>
    <t>10.1016/j.landusepol.2022.106276</t>
  </si>
  <si>
    <t>Land Use Policy</t>
  </si>
  <si>
    <t>The research has been designed and conducted within the project ‘The nature and dynamics of local land use conflicts in a polyrational arena’ (20-11782S) supported by the Czech Science Foundation and conducted by P. Raška and L. Slavíková. The short-term scientific mission of P. Hudson at UJEP Ústí nad Labem was funded by the EU COST Action ‘LAND4FLOOD: Natural Flood Retention on Private Land’ (CA16209, http://www.land4flood.eu) supported by COST (European Cooperation in Science and Technology).</t>
  </si>
  <si>
    <t>Dr Paul Hudson</t>
  </si>
  <si>
    <t>0264-8377</t>
  </si>
  <si>
    <t>The liquid-crystalline and luminescence properties of polycatenar diphenylpyridine complexes of Palladium(II)</t>
  </si>
  <si>
    <t>10.1016/j.jorganchem.2022.122455</t>
  </si>
  <si>
    <t>Journal of Organometallic Chemistry</t>
  </si>
  <si>
    <t>EP/H006710/1,.,.</t>
  </si>
  <si>
    <t>Prof. Duncan Bruce</t>
  </si>
  <si>
    <t>0022-328X</t>
  </si>
  <si>
    <t>Time-dependent subsonic ablation pressure scalings for soft X-ray heated low- and intermediate-Z materials at drive temperatures of up to 400 eV</t>
  </si>
  <si>
    <t>10.1016/j.hedp.2022.100995</t>
  </si>
  <si>
    <t>High Energy Density Physics</t>
  </si>
  <si>
    <t>EP/L01663X/1</t>
  </si>
  <si>
    <t>Dr. John Pasley</t>
  </si>
  <si>
    <t>1574-1818</t>
  </si>
  <si>
    <t>Contextual modulation of appearance-trait learning</t>
  </si>
  <si>
    <t>10.1016/j.cognition.2022.105288</t>
  </si>
  <si>
    <t>ERC-STG-755719,ERC-2016-StG-715824</t>
  </si>
  <si>
    <t>Dr Harriet Over</t>
  </si>
  <si>
    <t>Growing together: An analysis of measurement transparency across 15 years of player motivation questionnaires</t>
  </si>
  <si>
    <t>10.1016/j.ijhcs.2022.102940</t>
  </si>
  <si>
    <t>International Journal of Human-Computer Studies</t>
  </si>
  <si>
    <t>EP/L015846/1</t>
  </si>
  <si>
    <t>Mr Nathan GJ Hughes</t>
  </si>
  <si>
    <t>1071-5819</t>
  </si>
  <si>
    <t>The air quality impacts of pre-operational hydraulic fracturing activities</t>
  </si>
  <si>
    <t>10.1016/j.scitotenv.2022.159702</t>
  </si>
  <si>
    <t>Science of the Total Environment</t>
  </si>
  <si>
    <t>The data reported here was collected as part of the Environmental Baseline Project led by the British Geological Survey. This work was funded by the Department for Business, Energy and Industrial Strategy (BEIS; Grant code: GA/18F/017/NEE6617R). The authors would like to thank Third Energy (https://www.third-energy.com/) for facilitating the installation of monitoring equipment and the provision of electricity and access during this study.</t>
  </si>
  <si>
    <t>Miss Shona E. Wilde</t>
  </si>
  <si>
    <t>0048-9697</t>
  </si>
  <si>
    <t>Bedtime smartphone use and academic performance: A longitudinal analysis from the stressor-strain-outcome perspective</t>
  </si>
  <si>
    <t>10.1016/j.caeo.2022.100110</t>
  </si>
  <si>
    <t>Computers and Education Open</t>
  </si>
  <si>
    <t>Yanqing Lin gratefully acknowledges financial support from the Marcus Wallenberg Foundation (Grant Nos. 12-3407-40; 13-3998-14; 14-4368-17). Xun Zhou gratefully acknowledges financial support from the Finnish Cultural Foundation (Grant No. 00201201).</t>
  </si>
  <si>
    <t>Dr. Xun Zhou</t>
  </si>
  <si>
    <t>2666-5573</t>
  </si>
  <si>
    <t>Models of advanced recording systems: A multi-timescale micromagnetic code for granular thin film magnetic recording systems</t>
  </si>
  <si>
    <t>10.1016/j.cpc.2022.108462</t>
  </si>
  <si>
    <t>Computer Physics Communications</t>
  </si>
  <si>
    <t>The authors gratefully acknowledge the funding from Transforming Systems through Partnership Programme of the Royal Academy of Engineering under Grant No. TSP1285 as well as Seagate Technology (Thailand) and the Advanced Storage Research Consortium (ASRC). J.C. and P.C. gratefully acknowledge the financial support from Thailand Science Research and Innovation (TSRI).</t>
  </si>
  <si>
    <t>Mr. S. E. Rannala</t>
  </si>
  <si>
    <t>0010-4655</t>
  </si>
  <si>
    <t>Validation of the work stress screener (WOSS-13) and resilience at work scale (ReWoS-24)</t>
  </si>
  <si>
    <t>10.1016/j.jpsychores.2022.110989</t>
  </si>
  <si>
    <t>Journal of Psychosomatic Research</t>
  </si>
  <si>
    <t>This research was funded through a University of York research priming grant from the Centre for Future Health. The Centre for Future Health is a collaboration between the University of York and the Wellcome Trust. This work was therefore funded in whole, or in part, by the Wellcome Trust [ref: 204829]. For the purpose of Open Access, the author has applied a CC BY public copyright licence. The authors do not report any conflict of interest.</t>
  </si>
  <si>
    <t>Dr Jennifer Sweetman</t>
  </si>
  <si>
    <t>0022-3999</t>
  </si>
  <si>
    <t>Capacity limits in face detection</t>
  </si>
  <si>
    <t>10.1016/j.cognition.2022.105227</t>
  </si>
  <si>
    <t>This work was funded by a research grant from the Leverhulme Trust (RPG-2019-085) to Markus Bindemann and Rob Jenkins.</t>
  </si>
  <si>
    <t>Dr Rob Jenkins</t>
  </si>
  <si>
    <t>TFIIIC-based chromatin insulators through eukaryotic evolution</t>
  </si>
  <si>
    <t>10.1016/j.gene.2022.146533</t>
  </si>
  <si>
    <t>Gene</t>
  </si>
  <si>
    <t>Prof. Robert J. White</t>
  </si>
  <si>
    <t>0378-1119</t>
  </si>
  <si>
    <t>Selected Ion Flow Tube – Mass Spectrometry (SIFT-MS) study of the reactions of H3O+, NO+ and O2+ with a range of oxygenated volatile organic carbons (OVOCs)</t>
  </si>
  <si>
    <t>10.1016/j.ijms.2022.116892</t>
  </si>
  <si>
    <t>International Journal of Mass Spectrometry</t>
  </si>
  <si>
    <t>NE/L002574/1</t>
  </si>
  <si>
    <t>Mr Ieuan J. Roberts</t>
  </si>
  <si>
    <t>1387-3806</t>
  </si>
  <si>
    <t>Waste biomass-derived CQDs and Ag-CQDs as a sensing platform for Hg2+ ions</t>
  </si>
  <si>
    <t>10.1016/j.scp.2022.100813</t>
  </si>
  <si>
    <t>Sustainable Chemistry and Pharmacy</t>
  </si>
  <si>
    <t>Dr Avtar Singh Matharu</t>
  </si>
  <si>
    <t>2352-5541</t>
  </si>
  <si>
    <t>Women's experiences of perinatal depression: Symptoms, barriers and enablers to disclosure, and effects on daily life and interaction within the family</t>
  </si>
  <si>
    <t>10.1016/j.midw.2022.103389</t>
  </si>
  <si>
    <t>Midwifery</t>
  </si>
  <si>
    <t>Dr Semra Pinar</t>
  </si>
  <si>
    <t>0266-6138</t>
  </si>
  <si>
    <t>Understanding grade repetition from the perspectives of teachers and principals in basic schools in Ghana</t>
  </si>
  <si>
    <t>10.1016/j.ijedudev.2022.102633</t>
  </si>
  <si>
    <t>International Journal of Educational Development</t>
  </si>
  <si>
    <t>Mr Daniel Owusu Kyereko</t>
  </si>
  <si>
    <t>0738-0593</t>
  </si>
  <si>
    <t>Adaptive identification of sparse underwater acoustic channels with a mix of static and time-varying parameters</t>
  </si>
  <si>
    <t>10.1016/j.sigpro.2022.108664</t>
  </si>
  <si>
    <t>Integrated climate change and air pollution mitigation assessment for Togo</t>
  </si>
  <si>
    <t>10.1016/j.scitotenv.2022.157107</t>
  </si>
  <si>
    <t>Climate Promise,EP/T015373/1</t>
  </si>
  <si>
    <t>Mr. Christopher S. Malley</t>
  </si>
  <si>
    <t>The archetypal gene transfer agent RcGTA is regulated via direct interaction with the enigmatic RNA polymerase omega subunit</t>
  </si>
  <si>
    <t>10.1016/j.celrep.2022.111183</t>
  </si>
  <si>
    <t>Cell Reports</t>
  </si>
  <si>
    <t>This research was funded by a Wellcome Trust &amp; Royal Society Sir Henry Dale Fellowship grant ( 109363/Z/15/A ) and a Biotechnology and Biological Sciences Research Council responsive mode grant ( BB/V016288/1 ) (to P.C.M.F.).</t>
  </si>
  <si>
    <t>Dr. Paul C. M. Fogg</t>
  </si>
  <si>
    <t>2211-1247</t>
  </si>
  <si>
    <t>“A future beyond sugar”: Examining second-generation biofuel pathways in Alagoas, northeast Brazil</t>
  </si>
  <si>
    <t>10.1016/j.envdev.2022.100739</t>
  </si>
  <si>
    <t>Environmental Development</t>
  </si>
  <si>
    <t>The authors are also grateful to the British Academy for financial support and two anonymous referees for useful advice.</t>
  </si>
  <si>
    <t>Dr Joshua Kirshner</t>
  </si>
  <si>
    <t>2211-4645</t>
  </si>
  <si>
    <t>Sea-level change, palaeotidal modelling and hominin dispersals: The case of the southern Red Sea</t>
  </si>
  <si>
    <t>10.1016/j.quascirev.2022.107719</t>
  </si>
  <si>
    <t>Quaternary Science Reviews</t>
  </si>
  <si>
    <t>This project was undertaken on the Viking Cluster, which is a high performance compute facility provided by the University of York. We are grateful for computational support from the University of York High Performance Computing service, Viking and the Research Computing team. We also thank Robyn Inglis for comments on an earlier draft. The project originated in field investigations in the southern Red Sea supported by NERC under its EFCHED programme and the ERC under the Ideas Programme of the 7th Framework Programme as Advanced Grant 269586DISPERSE. This is DISPERSE Publication No. 66. We thank an anonymous reviewer and Jerry Mitrovica for helpful and constructive comments.</t>
  </si>
  <si>
    <t>Dr Jon Hill</t>
  </si>
  <si>
    <t>0277-3791</t>
  </si>
  <si>
    <t>Opportunities, challenges and solutions for black soldier fly larvae-based animal feed production</t>
  </si>
  <si>
    <t>10.1016/j.jclepro.2022.133802</t>
  </si>
  <si>
    <t>BB/V003593/1,536423090</t>
  </si>
  <si>
    <t>Dr. Lindsay C. Stringer</t>
  </si>
  <si>
    <t>Heterogeneity in end of life health care expenditure trajectory profiles</t>
  </si>
  <si>
    <t>10.1016/j.jebo.2022.10.017</t>
  </si>
  <si>
    <t>Journal of Economic Behavior &amp; Organization</t>
  </si>
  <si>
    <t>This study is funded by the National Institute for Health and Care Research (NIHR) Policy Research Programme (reference PR-PRU-1217-20301).</t>
  </si>
  <si>
    <t>Dr. Nigel Rice</t>
  </si>
  <si>
    <t>0167-2681</t>
  </si>
  <si>
    <t>Evaluation of noise excitation as a method for detection of hypernasality</t>
  </si>
  <si>
    <t>10.1016/j.apacoust.2022.108639</t>
  </si>
  <si>
    <t>Applied Acoustics</t>
  </si>
  <si>
    <t>Funding: This work was part-funded by the Wellcome Trust [ref: 204829] through the Centre for Future Health (CFH) at the University of York.</t>
  </si>
  <si>
    <t>Paid by APC from YOAF but reimbursed by Elsevier as part of retrospective TA cover Jan-Mar 2022.</t>
  </si>
  <si>
    <t>Dr. Helena Daffern</t>
  </si>
  <si>
    <t>0003-682X</t>
  </si>
  <si>
    <t>The divergence Borel–Cantelli Lemma revisited</t>
  </si>
  <si>
    <t>10.1016/j.jmaa.2022.126750</t>
  </si>
  <si>
    <t>Journal of Mathematical Analysis and Applications</t>
  </si>
  <si>
    <t>EP/J018260/1</t>
  </si>
  <si>
    <t>Prof. Victor Beresnevich</t>
  </si>
  <si>
    <t>0022-247X</t>
  </si>
  <si>
    <t>HAMR switching dynamics and the magnetic recording quadrilemma</t>
  </si>
  <si>
    <t>10.1016/j.jmmm.2022.170041</t>
  </si>
  <si>
    <t>TSP1285,Transforming Systems through Partnership Programme of the Royal Academy of Engineering,Advanced Storage Research Consortium,Seagate Technology,Seagate Technology</t>
  </si>
  <si>
    <t>Ms. M. Strungaru</t>
  </si>
  <si>
    <t>Synthesis and mesomorphism of 3,4-dialkoxyphenylpyridine complexes of silver(I)</t>
  </si>
  <si>
    <t>10.1016/j.molliq.2022.119707</t>
  </si>
  <si>
    <t>Journal of Molecular Liquids</t>
  </si>
  <si>
    <t>.</t>
  </si>
  <si>
    <t>Dr. Duncan W. Bruce</t>
  </si>
  <si>
    <t>0167-7322</t>
  </si>
  <si>
    <t>Optimising Elastic Network Models for Protein Dynamics and Allostery: Spatial and Modal Cut-offs and Backbone Stiffness</t>
  </si>
  <si>
    <t>10.1016/j.jmb.2022.167696</t>
  </si>
  <si>
    <t>Journal of Molecular Biology</t>
  </si>
  <si>
    <t>EP/N031431/2</t>
  </si>
  <si>
    <t>Mr. Igors Dubanevics</t>
  </si>
  <si>
    <t>0022-2836</t>
  </si>
  <si>
    <t>Ubiquitin and ubiquitin-like conjugation systems in trypanosomatids</t>
  </si>
  <si>
    <t>10.1016/j.mib.2022.102202</t>
  </si>
  <si>
    <t>Current Opinion in Microbiology</t>
  </si>
  <si>
    <t>This work was supported by a Medical Research Council Studentship to RB (MRC MR/N018230/) and the Wellcome Trust to JCM (200807/Z/16/Z).</t>
  </si>
  <si>
    <t>1369-5274</t>
  </si>
  <si>
    <t>Hematopoietic Stem Cells Depend on HIM and HER</t>
  </si>
  <si>
    <t>10.1016/j.exphem.2022.10.004</t>
  </si>
  <si>
    <t>Experimental Hematology</t>
  </si>
  <si>
    <t>Dr. David G. Kent</t>
  </si>
  <si>
    <t>0301-472X</t>
  </si>
  <si>
    <t>Widespread association of ERα with RMRP and tRNA genes in MCF-7 cells and breast cancers</t>
  </si>
  <si>
    <t>10.1016/j.gene.2022.146280</t>
  </si>
  <si>
    <t>This research is supported by the BBSRC White Rose Studentship [AC020305]</t>
  </si>
  <si>
    <t>Paid by APC from YOAF but remibursed by Elsevier as part of retrospective TA cover Jan-Mar 2022.</t>
  </si>
  <si>
    <t>Childhood obesity, is fast food exposure a factor?</t>
  </si>
  <si>
    <t>10.1016/j.ehb.2022.101153</t>
  </si>
  <si>
    <t>Economics &amp; Human Biology</t>
  </si>
  <si>
    <t>Dr Wiktoria Tafesse</t>
  </si>
  <si>
    <t>1570-677X</t>
  </si>
  <si>
    <t>The importance of ecological quality of public green and blue spaces for subjective well-being</t>
  </si>
  <si>
    <t>10.1016/j.landurbplan.2022.104510</t>
  </si>
  <si>
    <t>Landscape and Urban Planning</t>
  </si>
  <si>
    <t>Doctoral studentship 1500484,ES/W005883/1</t>
  </si>
  <si>
    <t>Dr. Sarah Jane Knight</t>
  </si>
  <si>
    <t>0169-2046</t>
  </si>
  <si>
    <t>An experimental investigation into the kinetics and mechanism of the aza-Michael additions of dimethyl itaconate</t>
  </si>
  <si>
    <t>10.1016/j.tet.2022.132921</t>
  </si>
  <si>
    <t>Tetrahedron</t>
  </si>
  <si>
    <t>BBI</t>
  </si>
  <si>
    <t>Dr James H. Clark</t>
  </si>
  <si>
    <t>0040-4020</t>
  </si>
  <si>
    <t>Supergravity On A 3–Torus: Quantum Linearization Instabilities With A Supergroup</t>
  </si>
  <si>
    <t>10.1088/1361-6382/ab90a4</t>
  </si>
  <si>
    <t>Classical And Quantum Gravity</t>
  </si>
  <si>
    <t>Institute of Physics Publishing</t>
  </si>
  <si>
    <t>Institute of Physics Publishing TA 2020</t>
  </si>
  <si>
    <t>Lasse Carsten Schmieding</t>
  </si>
  <si>
    <t>1361-6382</t>
  </si>
  <si>
    <t>0264-9381</t>
  </si>
  <si>
    <t>Enhancing Surface Production Of Negative Ions Using Nitrogen Doped Diamond In A Deuterium Plasma</t>
  </si>
  <si>
    <t>10.1088/1361-6463/aba6b6</t>
  </si>
  <si>
    <t>Journal Of Physics D: Applied Physics</t>
  </si>
  <si>
    <t>Gregory James Smith</t>
  </si>
  <si>
    <t>1361-6463</t>
  </si>
  <si>
    <t>0022-3727</t>
  </si>
  <si>
    <t>Magnetic Braille Using Ferrofluids</t>
  </si>
  <si>
    <t>10.1088/1361-6463/abe820</t>
  </si>
  <si>
    <t>Institute of Physics Publishing TA 2021</t>
  </si>
  <si>
    <t>Atsufumi Hirohata</t>
  </si>
  <si>
    <t>Model Nuclear Energy Density Functionals Derived From \Emph{Ab Initio} Calculations</t>
  </si>
  <si>
    <t>10.1088/1361-6471/ab8d8e</t>
  </si>
  <si>
    <t>Journal Of Physics G: Nuclear And Particle Physics</t>
  </si>
  <si>
    <t>Alessandro Pastore</t>
  </si>
  <si>
    <t>1361-6471</t>
  </si>
  <si>
    <t>0954-3899</t>
  </si>
  <si>
    <t>Trees And Forests In Nuclear Physics</t>
  </si>
  <si>
    <t>10.1088/1361-6471/ab92e3</t>
  </si>
  <si>
    <t>Properties Of Spherical And Deformed Nuclei Using Regularized Pseudopotentials In Nuclear Dft</t>
  </si>
  <si>
    <t>10.1088/1361-6471/ab9493</t>
  </si>
  <si>
    <t>Jacek Jan Dobaczewski</t>
  </si>
  <si>
    <t>Future Of Nuclear Fission Theory</t>
  </si>
  <si>
    <t>10.1088/1361-6471/abab4f</t>
  </si>
  <si>
    <t>Biophysical Characterization Of Dna Origami Nanostructures Reveals Inaccessibility To Intercalation Binding Sites</t>
  </si>
  <si>
    <t>10.1088/1361-6528/ab7a2b</t>
  </si>
  <si>
    <t>Nanotechnology</t>
  </si>
  <si>
    <t>Mark Leake</t>
  </si>
  <si>
    <t>1361-6528</t>
  </si>
  <si>
    <t>0957-4484</t>
  </si>
  <si>
    <t>Introducing The Trapezoidal Pendulum: Theory And Experiment Of Coupled Pendula For Distance Teaching</t>
  </si>
  <si>
    <t>10.1088/1361-6552/aba2a8</t>
  </si>
  <si>
    <t>Physics Education</t>
  </si>
  <si>
    <t>John Bissell</t>
  </si>
  <si>
    <t>1361-6552</t>
  </si>
  <si>
    <t>0031-9120</t>
  </si>
  <si>
    <t>Development And Simulation Of Multi-diagnostic Bayesian Analysis For 2d Inference Of Divertor Plasma Characteristics</t>
  </si>
  <si>
    <t>10.1088/1361-6587/ab759b</t>
  </si>
  <si>
    <t>Plasma Physics And Controlled Fusion</t>
  </si>
  <si>
    <t>1361-6587</t>
  </si>
  <si>
    <t>0741-3335</t>
  </si>
  <si>
    <t>Coded Apertures With Scatter And Partial Attenuation For High–Energy High–Resolution Imaging</t>
  </si>
  <si>
    <t>10.1088/1361-6587/ab8ca4</t>
  </si>
  <si>
    <t>Matthew P Selwood</t>
  </si>
  <si>
    <t>The Physics Of A Small–Scale Tearing Mode In Collisionless Slab Plasmas</t>
  </si>
  <si>
    <t>10.1088/1361-6587/ab97f1</t>
  </si>
  <si>
    <t>Chen Geng</t>
  </si>
  <si>
    <t>Development Of Control Mechanisms For A Laser Wakefield Accelerator–Driven Bremsstrahlung X–Ray Source For Advanced Radiographic Imaging</t>
  </si>
  <si>
    <t>10.1088/1361-6587/abbebe</t>
  </si>
  <si>
    <t>Christopher Isaac Donald Underwood</t>
  </si>
  <si>
    <t>Drift Kinetic Theory Of Neoclassical Tearing Modes In A Low Collisionality Tokamak Plasma: Magnetic Island Threshold Physics</t>
  </si>
  <si>
    <t>10.1088/1361-6587/abea2e</t>
  </si>
  <si>
    <t>Miss Alexandra V Dudkovskaia</t>
  </si>
  <si>
    <t>The Formation Of Atomic Oxygen And Hydrogen In Atmospheric Pressure Plasmas Containing Humidity: Picosecond Two–Photon Absorption Laser Induced Fluorescence And Numerical Simulations</t>
  </si>
  <si>
    <t>10.1088/1361-6595/abab55</t>
  </si>
  <si>
    <t>Plasma Sources Science And Technology</t>
  </si>
  <si>
    <t>Erik Wagenaars</t>
  </si>
  <si>
    <t>1361-6595</t>
  </si>
  <si>
    <t>0963-0252</t>
  </si>
  <si>
    <t>Reproducibility Of 'Cost Reference Microplasma Jets'</t>
  </si>
  <si>
    <t>10.1088/1361-6595/abad01</t>
  </si>
  <si>
    <t>Kari Niemi</t>
  </si>
  <si>
    <t>Asymmetric–Waveguide, Short Cavity Designs With A Bulk Active Layer For High Pulsed Power Eye–Safe Spectral Range Laser Diodes.</t>
  </si>
  <si>
    <t>10.1088/1361-6641/ab8fbe</t>
  </si>
  <si>
    <t>Semiconductor Science And Technology</t>
  </si>
  <si>
    <t>Eugene Avrutin</t>
  </si>
  <si>
    <t>1361-6641</t>
  </si>
  <si>
    <t>0268-1242</t>
  </si>
  <si>
    <t>Energy Conditions Allow Eternal Inflation</t>
  </si>
  <si>
    <t>10.1088/1475-7516/2021/03/097</t>
  </si>
  <si>
    <t>Journal Of Cosmology And Astroparticle Physics</t>
  </si>
  <si>
    <t>Eleni-Alexandra Kontou</t>
  </si>
  <si>
    <t>1475-7516</t>
  </si>
  <si>
    <t>Improved Functional Connectivity Network Estimation For Brain Networks Using Multivariate Partial Coherence.</t>
  </si>
  <si>
    <t>10.1088/1741-2552/ab7a50</t>
  </si>
  <si>
    <t>Journal Of Neural Engineering</t>
  </si>
  <si>
    <t>David Halliday</t>
  </si>
  <si>
    <t>1741-2552</t>
  </si>
  <si>
    <t>1741-2560</t>
  </si>
  <si>
    <t>Integrable Defects At Junctions Within A Network</t>
  </si>
  <si>
    <t>10.1088/1751-8121/abbec3</t>
  </si>
  <si>
    <t>Journal Of Physics A: Mathematical And Theoretical</t>
  </si>
  <si>
    <t>Edward Corrigan</t>
  </si>
  <si>
    <t>1751-8121</t>
  </si>
  <si>
    <t>1751-8113</t>
  </si>
  <si>
    <t>Peeling-ballooning stability of tokamak plasmas with applied 3D magnetic fields</t>
  </si>
  <si>
    <t>10.1088/1741-4326/aba451</t>
  </si>
  <si>
    <t>Nuclear Fusion</t>
  </si>
  <si>
    <t>Pure</t>
  </si>
  <si>
    <t>This work has been carried out within the framework of the EUROfusion Consortium and has received funding from the Euratom research and training programme 2014–2018 and 2019–2020 under Grant Agreement No. 633053 and from the RCUK Energy Programme (Grant Number EP/T0122250/1) as well as the Fusion CDT Programme through the EPSRC (Grant Number EP/L01663X/1).</t>
  </si>
  <si>
    <t>Used as basis for 2023 Nuclear Fusion publish deal pricing (on list of papers provided by Rhys Freshwater Dec 2022)</t>
  </si>
  <si>
    <t>Nuclear Fusion not included in deal at this time</t>
  </si>
  <si>
    <t>1741-4326</t>
  </si>
  <si>
    <t>0029-5515</t>
  </si>
  <si>
    <t>A model investigation of the impact of lower hybrid wave scattering angle on current drive profile in EAST and Alcator C-Mod</t>
  </si>
  <si>
    <t>10.1088/1741-4326/ac2278</t>
  </si>
  <si>
    <t>This work has been supported by an International Collaboration Grant No. DE-SC0010492 from the US Department of Energy, the National Key Research and Development Program of China (Grant Nos. 2016YFA0400603, and 2016YFA0400602), and the National Natural Science Foundation of China (Grant Nos. 11775259, 11675214, 11805233, 11975266, and U19A20113). Provision of Alcator C-Mod data sets was supported under DOE Award Number DE-FC02- 99ER5451. The simulations presented in this paper were performed on the MIT-PSFC partition of the Engaging cluster at the MGHPCC facility (www.mghpcc.org) which was funded by DoE Grant No. DE-FG02-91-ER54109.</t>
  </si>
  <si>
    <t>X-point radiation, its control and an ELM suppressed radiating regime at the ASDEX Upgrade tokamak</t>
  </si>
  <si>
    <t>10.1088/1741-4326/abc936</t>
  </si>
  <si>
    <t>This work has been carried out within the framework of the EUROfusion Consortium and has received funding from the Euratom research and training programme 2014–2018 and 2019–2020 under Grant Agreement No. 633053. The views and opinions expressed herein do not necessarily reflect those of the European Commission.</t>
  </si>
  <si>
    <t>Comparison between MAST-U conventional and Super-X configurations through SOLPS-ITER modelling</t>
  </si>
  <si>
    <t>10.1088/1741-4326/ac81d8</t>
  </si>
  <si>
    <t>This work has been carried out within the framework of the EUROfusion Consortium and has received funding from the Euratom research and training programme 2014–2018 and 2019–2020 under Grant Agreement No. 633053 and from the RCUK Energy Programme (Grant No. EP/T012250/1). To obtain further information on the data and models underlying this paper please contact publicationsmanager@ukaea.uk. All data created during this research is available in Open access at https://doi.org/10.5281/zenodo.6951989.The views and opinions expressed herein do not necessarily reflect those of the European Commission. This work has also received funding from the EPSRC under the Grant EP/N023846/1. The research 8 Nucl. Fusion 62 (2022) 096026 A. Fil et al by B. Lipschultz was funded in part by the RCUK Energy Programme (EPSRC Grant Nos. EP/I501045 and EP/N023846/1). This work has been in part performed under the auspices of the U.S. DoE by LLNL under Contract DE-AC52-07NA27344.</t>
  </si>
  <si>
    <t>Isotope dependence of the type I ELMy H-mode pedestal in JET-ILW hydrogen and deuterium plasmas</t>
  </si>
  <si>
    <t>10.1088/1741-4326/abdd77</t>
  </si>
  <si>
    <t>The first author would like to thank M. Groth for fruitful discussions. This work was supported by the Engineering and Physical Sciences Research Council (EP/L01663X/1). This work has been carried out within the framework of the EUROfusion Consortium and has received funding from the Euratom research and training program 2014–2018 and 2019–2020 under Grant Agreement No. 633053. The views and opinions expressed herein do not necessarily reflect those of the European Commission.</t>
  </si>
  <si>
    <t>Towards understanding reactor relevant tokamak pedestals</t>
  </si>
  <si>
    <t>10.1088/1741-4326/ac12e9</t>
  </si>
  <si>
    <t>This work resulted from a collaboration under the EUROfusion Enabling Research grant on Reactor Relevant Pedestals (ENR-MFE19.CCFE-04-T002-D001). CJH would like to acknowledge the work of Samuli Saarelma who was the original PI for this project. CJH also wishes to thank B Chapman who was the primary originator of section 3 and J W Connor who produced section 4. JWC would like to acknowledge Jim Hastie, Per Helander, Howard Wilson and James Simpson for their thoughts and comments. BC would like to acknowledge Lorenzo Frassinetti for preparation of the JET profile and useful discussions. This work has been carried out within the framework of the EUROfusion Consortium and has received funding from the Euratom research and training programme 2014–2018 and 2019–2020 under Grant agreement No. 633053 and from the RCUK [Grant No. EP/T012250/1]. This work was supported in part by the Swiss National Science Foundation.</t>
  </si>
  <si>
    <t>Three-Dimensional Inhomogeneity of Electron-Temperature-Gradient Turbulence in the Edge of Tokamak Plasmas</t>
  </si>
  <si>
    <t>10.1088/1741-4326/ac786b</t>
  </si>
  <si>
    <t>JFP was supported by a Culham Fusion Research Fellowship. FIP, MRH, MB, AAS, DS, and DD were supported in part by the TDoTP project funded by EPSRC (Grant Number EP/R034737/1). This work was supported by the U.S. Department of Energy under Contract Number DEAC02-09CH11466. The United States Government retains a non-exclusive, paid-up, irrevocable, world-wide license to publish or reproduce the published form of this manuscript, or allow others to do so, for United States Government purposes. This work has been carried out within the framework of the EUROfusion Consortium, funded by the European Union via the Euratom Research and Training Programme (Grant Agreement No. 101052200—EUROfusion).</t>
  </si>
  <si>
    <t>Dynamics of scrape-off layer filaments in detached conditions</t>
  </si>
  <si>
    <t>10.1088/1741-4326/ab8776</t>
  </si>
  <si>
    <t>This work has been carried out within the framework of the EUROfusion Consortium and has received funding from the Euratom research and training programme 2014-2018 and 2019-2020 under Grant Agreement No. 633 053. The views and opinions expressed herein do not necessarily reflect those of the European Commission. This work used the EUROfusion High Performance Computer (Marconi-Fusion) through EUROfusion.</t>
  </si>
  <si>
    <t>Simulations of edge localised mode instabilities in MAST-U Super-X tokamak plasmas</t>
  </si>
  <si>
    <t>10.1088/1741-4326/ab826a</t>
  </si>
  <si>
    <t>This work has been carried out within the framework of the EUROfusion Consortium and has received funding from the Euratom research and training programme 2014-2018 and 2019-2020 under Grant Agreement No. 633053 and from the RCUK Energy Programme (Grant No. EP/P012450/1) as well as the Fusion CDT Programme through the EPSRC (Grant No. EP/L01663X/1). The views and opinions expressed herein do not necessarily reflect those of the European Commission. This work used the MARCONI computer at CINECA and the PRACE MareNostrum computer under project Tier-0 JVSITPEI.</t>
  </si>
  <si>
    <t>The role of plasma-molecule interactions on power and particle balance during detachment on the TCV tokamak</t>
  </si>
  <si>
    <t>10.1088/1741-4326/ac1dc5</t>
  </si>
  <si>
    <t>This work has received support from EPSRC Grants EP/T012250/1 and EP/N023846/1. It has been supported in part by the Swiss National Science Foundation and has been carried out within the framework of the EUROfusion Consortium and has received funding from the Euratom research and training programme 2014–2018 and 2019–2020 under Grant Agreement No. 633053. The views and opinions expressed herein do not necessarily reflect those of the European Commission. The work by A. Kukushkin and A. Pshenov was supported by the Russian Science Foundation Grant No. 18-12-00329.</t>
  </si>
  <si>
    <t>Incorporating nonlocal parallel thermal transport in 1D ITER SOL modelling</t>
  </si>
  <si>
    <t>10.1088/1741-4326/ab868b</t>
  </si>
  <si>
    <t>Achieving a robust grassy-ELM operation regime in CFETR</t>
  </si>
  <si>
    <t>10.1088/1741-4326/ab72c0</t>
  </si>
  <si>
    <t>Characterising port–based teleportation as a universal simulator of qubit channels</t>
  </si>
  <si>
    <t>10.1088/1751-8121/abe67a</t>
  </si>
  <si>
    <t>Journal of Physics A: Mathematical and Theoretical</t>
  </si>
  <si>
    <t>Email report from IOP: York - Articles Published Under Jisc-IOPP TA Dec 2022</t>
  </si>
  <si>
    <t>H2020 Future and Emerging Technologies,Engineering and Physical Sciences Research Council</t>
  </si>
  <si>
    <t>Jason Luke Pereira</t>
  </si>
  <si>
    <t>Clarifying misconceptions about Ohm’s law and power dissipation in grid electricity transmission</t>
  </si>
  <si>
    <t>10.1088/1361-6552/abef08</t>
  </si>
  <si>
    <t>Funding not declared at submission</t>
  </si>
  <si>
    <t>Chemical kinetics and density measurements of OH in an atmospheric pressure He + O&lt;sub&gt;2&lt;/sub&gt; + H&lt;sub&gt;2&lt;/sub&gt;O radiofrequency plasma</t>
  </si>
  <si>
    <t>10.1088/1361-6463/abefec</t>
  </si>
  <si>
    <t>Journal of Physics D: Applied Physics</t>
  </si>
  <si>
    <t>Ms Alexandra Brisset</t>
  </si>
  <si>
    <t>Extrapolating from neural network models: a cautionary tale</t>
  </si>
  <si>
    <t>10.1088/1361-6471/abf08a</t>
  </si>
  <si>
    <t>Journal of Physics G: Nuclear and Particle Physics</t>
  </si>
  <si>
    <t>Science and Technology Facilities Council</t>
  </si>
  <si>
    <t>Formation and evolution of post–solitons following a high intensity laser–plasma interaction with a low–density foam target</t>
  </si>
  <si>
    <t>10.1088/1361-6587/abf85c</t>
  </si>
  <si>
    <t>Plasma Physics and Controlled Fusion</t>
  </si>
  <si>
    <t>Science and Engineering Research Board,National Science Foundation USA,FP7 Ideas: European Research Council,Engineering and Physical Sciences Research Council</t>
  </si>
  <si>
    <t>John Pasley</t>
  </si>
  <si>
    <t>Feasibility of quantum key distribution from high altitude platforms</t>
  </si>
  <si>
    <t>10.1088/2058-9565/abf9ae</t>
  </si>
  <si>
    <t>Quantum Science and Technology</t>
  </si>
  <si>
    <t>Royal Academy of Engineering,Engineering and Physical Sciences Research Council</t>
  </si>
  <si>
    <t>Yi Chu</t>
  </si>
  <si>
    <t>2058-9565</t>
  </si>
  <si>
    <t>Graviton backreaction on the local cosmological expansion in slow–roll inflation</t>
  </si>
  <si>
    <t>10.1088/1361-6382/abfaeb</t>
  </si>
  <si>
    <t>Classical and Quantum Gravity</t>
  </si>
  <si>
    <t>Leverhulme Trust</t>
  </si>
  <si>
    <t>William Couto Corrêa de Lima</t>
  </si>
  <si>
    <t>Solution of universal nonrelativistic nuclear DFT equations in the Cartesian deformed harmonic–oscillator basis. (IX) HFODD (3.06h): a new version of the program</t>
  </si>
  <si>
    <t>10.1088/1361-6471/ac0a82</t>
  </si>
  <si>
    <t>Science and Technology Facilities Council,Narodowe Centrum Nauki,Agence Nationale de la Recherche</t>
  </si>
  <si>
    <t>Measuring magnetic ﬁelds in laser–driven coils with dual–axis proton deﬂectometry</t>
  </si>
  <si>
    <t>10.1088/1361-6587/ac0bca</t>
  </si>
  <si>
    <t>Russian Ministry State Assignment for Science,Lawrence Livermore National Laboratory,H2020 Euratom,Engineering and Physical Sciences Research Council,Czech Republic MSMT targeted support of Large Infrastructures</t>
  </si>
  <si>
    <t>Philip Bradford</t>
  </si>
  <si>
    <t>Verification and validation of the high–performance Lorentz–Orbit Code for Use in Stellarators and Tokamaks (LOCUST)</t>
  </si>
  <si>
    <t>10.1088/1741-4326/ac108c</t>
  </si>
  <si>
    <t>Samuel Harvey Ward</t>
  </si>
  <si>
    <t>Surface production of negative ions from pulse–biased nitrogen doped diamond within a low–pressure deuterium plasma</t>
  </si>
  <si>
    <t>10.1088/1361-6463/ac18ee</t>
  </si>
  <si>
    <t>Weakly coupled local particle detectors cannot harvest entanglement</t>
  </si>
  <si>
    <t>10.1088/1361-6382/ac1b08</t>
  </si>
  <si>
    <t>Department of Mathematics, University of York</t>
  </si>
  <si>
    <t>Maximilian Heinz Ruep</t>
  </si>
  <si>
    <t>Symmetry restoration in mean–field approaches</t>
  </si>
  <si>
    <t>10.1088/1361-6471/ac288a</t>
  </si>
  <si>
    <t>US Department of Energy,Science and Technology Facilities Council,Narodowe Centrum Nauki,Deutsche Forschungsgemeinschaft,Consejo Superior de Investigaciones Científicas,Air Force Office of Scientific Research</t>
  </si>
  <si>
    <t>Translation of mechanical strain to a scalable biomanufacturing process for acellular matrix production from full thickness porcine bladders</t>
  </si>
  <si>
    <t>10.1088/1748-605X/ac2ab8</t>
  </si>
  <si>
    <t>Biomedical Materials</t>
  </si>
  <si>
    <t>York Against Cancer,Engineering and Physical Sciences Research Council,Biotechnology and Biological Sciences Research Council</t>
  </si>
  <si>
    <t>Jennifer Southgate</t>
  </si>
  <si>
    <t>1748-605X</t>
  </si>
  <si>
    <t>On Ohm’s law in reduced plasma ﬂuid models</t>
  </si>
  <si>
    <t>10.1088/1361-6587/ac2af9</t>
  </si>
  <si>
    <t>RCUK Energy Programme,H2020 Euratom</t>
  </si>
  <si>
    <t>Ben D Dudson</t>
  </si>
  <si>
    <t>Electron–Phonon Interaction and Superconductivity in Hexagonal Ternary Carbides Nb2AC (A: Al, S, Ge, As and Sn)</t>
  </si>
  <si>
    <t>10.1088/2516-1075/ac2c94</t>
  </si>
  <si>
    <t>Electronic Structure</t>
  </si>
  <si>
    <t>TUBITAK,Engineering and Physical Sciences Research Council</t>
  </si>
  <si>
    <t>2516-1075</t>
  </si>
  <si>
    <t>Dielectric metasurface for high–precision detection of large unilamellar vesicles</t>
  </si>
  <si>
    <t>10.1088/2040-8986/ac2dd7</t>
  </si>
  <si>
    <t>Journal of Optics</t>
  </si>
  <si>
    <t>EPSRC of the UK,ARUK,Alzheimer's Research UK</t>
  </si>
  <si>
    <t>DONATO CONTEDUCA</t>
  </si>
  <si>
    <t>0974-6900</t>
  </si>
  <si>
    <t>Linear gyrokinetic stability of a high β non–inductive spherical tokamak</t>
  </si>
  <si>
    <t>10.1088/1741-4326/ac359c</t>
  </si>
  <si>
    <t>National Energy Research Scientific Computing Center,Engineering and Physical Sciences Research Council</t>
  </si>
  <si>
    <t>Bhavin S Patel</t>
  </si>
  <si>
    <t>Illustrating dimensionless scaling with Hooke's law</t>
  </si>
  <si>
    <t>10.1088/1361-6552/ac45c9</t>
  </si>
  <si>
    <t>Institute of Physics Publishing TA 2022</t>
  </si>
  <si>
    <t>Cosmological Perturbations and Invariant Observables in Geodesic Lightcone Coordinates</t>
  </si>
  <si>
    <t>10.1088/1475-7516/2022/01/034</t>
  </si>
  <si>
    <t>Journal of Cosmology and Astroparticle Physics</t>
  </si>
  <si>
    <t>William Couto Correa de Lima</t>
  </si>
  <si>
    <t>Volatile compounds in human breath: critical review and meta–analysis</t>
  </si>
  <si>
    <t>10.1088/1752-7163/ac5230</t>
  </si>
  <si>
    <t>Journal of Breath Research</t>
  </si>
  <si>
    <t>Biotechnology and Biological Sciences Research Council</t>
  </si>
  <si>
    <t>Theo Issitt</t>
  </si>
  <si>
    <t>1752-7163</t>
  </si>
  <si>
    <t>1752-7155</t>
  </si>
  <si>
    <t>Tight–binding studies of uniaxial strain in T–graphene nanoribbons</t>
  </si>
  <si>
    <t>10.1088/1361-648X/ac5a02</t>
  </si>
  <si>
    <t>Journal of Physics: Condensed Matter</t>
  </si>
  <si>
    <t>Y. Hancock</t>
  </si>
  <si>
    <t>1361-648X</t>
  </si>
  <si>
    <t>0953-8984</t>
  </si>
  <si>
    <t>Effects of humidity on the dynamics and electron recombination of a pin–to–pin discharge in He+H&lt;sub&gt;2&lt;/sub&gt;O at atmospheric pressure</t>
  </si>
  <si>
    <t>10.1088/1361-6595/ac6130</t>
  </si>
  <si>
    <t>Plasma Sources Science and Technology</t>
  </si>
  <si>
    <t>Investigation of the role of hydrogen molecules in 1D simulation of divertor detachment</t>
  </si>
  <si>
    <t>10.1088/1361-6587/ac6827</t>
  </si>
  <si>
    <t>The U.S. DoE by LLNL,The National Science Foundation for Young Scientists of China,the Chinese ITER Project,The Chinese CFETR project,the China Scholarship Council,RCUK Energy Programme</t>
  </si>
  <si>
    <t>Yulin Zhou</t>
  </si>
  <si>
    <t>Noiseless linear amplification in quantum target detection using Gaussian states</t>
  </si>
  <si>
    <t>10.1088/2058-9565/ac781b</t>
  </si>
  <si>
    <t>Horizon 2020 Framework Programme,Engineering and Physical Sciences Research Council</t>
  </si>
  <si>
    <t>Athena Karsa</t>
  </si>
  <si>
    <t>Infinity, self–similarity, and continued fractions in physics : applications to resistor network puzzles</t>
  </si>
  <si>
    <t>10.1088/1361-6552/ac79ef</t>
  </si>
  <si>
    <t>Optimizing detachment control using the magnetic configuration of divertors</t>
  </si>
  <si>
    <t>10.1088/1741-4326/ac7a4c</t>
  </si>
  <si>
    <t>Lawrence Livermore National Laboratory,H2020 Euratom,Engineering and Physical Sciences Research Council</t>
  </si>
  <si>
    <t>Cyd Cowley</t>
  </si>
  <si>
    <t>A new quasilinear saturation rule for tokamak turbulence with application to the isotope scaling of transport</t>
  </si>
  <si>
    <t>10.1088/1741-4326/ac7a4d</t>
  </si>
  <si>
    <t>Euratom Research and Training Programme,Engineering and Physical Sciences Research Council</t>
  </si>
  <si>
    <t>Harry George Dudding</t>
  </si>
  <si>
    <t>Comparing two– and three–dimensional models of scrape–oﬀ layer turbulent transport</t>
  </si>
  <si>
    <t>10.1088/1361-6587/ac7b48</t>
  </si>
  <si>
    <t>RCUK Energy Programme,iCASE,EPSRC,Centre for Doctoral Training,CCFE</t>
  </si>
  <si>
    <t>Thomas Elliot Gruffydd Nicholas</t>
  </si>
  <si>
    <t>End–to–end capacities of imperfect–repeater quantum networks</t>
  </si>
  <si>
    <t>10.1088/2058-9565/ac7ba0</t>
  </si>
  <si>
    <t>Cillian Harney</t>
  </si>
  <si>
    <t>Kinetic ballooning modes as a constraint on plasma triangularity in commercial spherical tokamaks</t>
  </si>
  <si>
    <t>10.1088/1361-6587/ac8615</t>
  </si>
  <si>
    <t>Robert Davies</t>
  </si>
  <si>
    <t>Nuclear DFT analysis of electromagnetic moments in odd near doubly magic nuclei</t>
  </si>
  <si>
    <t>10.1088/1361-6471/ac900a</t>
  </si>
  <si>
    <t>Science and Technology Facilities Council,Office of Science,Narodowe Centrum Nauki</t>
  </si>
  <si>
    <t>LOCUST–GPU predictions of fast–ion transport and power loads due to ELM–control coils in ITER</t>
  </si>
  <si>
    <t>10.1088/1741-4326/ac904f</t>
  </si>
  <si>
    <t>High–resolution real–space evaluation of the self–energy operator of disordered lattices: Gade singularity, spin––orbit effects and p–wave superconductivity</t>
  </si>
  <si>
    <t>10.1088/2515-7639/ac91f9</t>
  </si>
  <si>
    <t>Journal of Physics: Materials</t>
  </si>
  <si>
    <t>Aires Ferreira</t>
  </si>
  <si>
    <t>2515-7639</t>
  </si>
  <si>
    <t>Fabrication of magnetic helical microribbons made of nickel thin films sandwiched between silicon nitride layers for microswimming applications</t>
  </si>
  <si>
    <t>10.1088/1361-6528/ac9530</t>
  </si>
  <si>
    <t>Türkiye Bilimsel ve Teknolojik Araştirma Kurumu</t>
  </si>
  <si>
    <t>Hakan Caldag</t>
  </si>
  <si>
    <t>Semiconductor laser design with an asymmetric large optical cavity waveguide  and a bulk active layer near p–cladding for efficient high–power red light emission.</t>
  </si>
  <si>
    <t>10.1088/1361-6641/ac985a</t>
  </si>
  <si>
    <t>Semiconductor Science and Technology</t>
  </si>
  <si>
    <t>Spin–transfer and spin–orbit torques in the Landau–Lifshitz–Gilbert equation</t>
  </si>
  <si>
    <t>10.1088/1361-648X/ac9c80</t>
  </si>
  <si>
    <t>Richard F L Evans</t>
  </si>
  <si>
    <t>Progress on nuclear reaction rates affecting the stellar production of &lt;sup&gt;26&lt;/sup&gt;Al</t>
  </si>
  <si>
    <t>10.1088/1361-6471/ac9cf8</t>
  </si>
  <si>
    <t>AAM only published as of 5/12/22</t>
  </si>
  <si>
    <t>Alison Monica Laird</t>
  </si>
  <si>
    <t>Drift kinetic theory of the NTM magnetic islands in a finite beta general geometry tokamak plasma</t>
  </si>
  <si>
    <t>10.1088/1741-4326/aca48d</t>
  </si>
  <si>
    <t>Alexandra V Dudkovskaia</t>
  </si>
  <si>
    <t>Machine learning discriminates a movement disorder in a zebrafish model of Parkinson's disease</t>
  </si>
  <si>
    <t>10.1242/dmm.045815</t>
  </si>
  <si>
    <t>Disease Models &amp; Mechanisms</t>
  </si>
  <si>
    <t>Company of Biologists</t>
  </si>
  <si>
    <t>APC sheet</t>
  </si>
  <si>
    <t>EPSRC, WT</t>
  </si>
  <si>
    <t>APC paid from YOAF, 50-50 split UKRI, WT</t>
  </si>
  <si>
    <t>OA journal - deal only covers hybrid</t>
  </si>
  <si>
    <t>1754-8411</t>
  </si>
  <si>
    <t>1754-8403</t>
  </si>
  <si>
    <t>A Glucose Starvation Response Governs Endocytic Trafficking And Eisosomal Retention Of Surface Cargoes</t>
  </si>
  <si>
    <t>10.1242/jcs.257733</t>
  </si>
  <si>
    <t>Journal of Cell Science</t>
  </si>
  <si>
    <t>Company of Biologists TA 2020</t>
  </si>
  <si>
    <t>CC dashboard 19/10/2021</t>
  </si>
  <si>
    <t>This research was supported by a Sir Henry Dale Research Fellowship from the Wellcome Trust and the Royal Society 204636/Z/16/Z (C.M.), and by the Engineering and Physical Sciences Research Council (EP/T002166/1 to M.L.), Biotechnology and Biological Sciences Research Council (BB/R001235/1 to M.L.), FP7 People: Marie-Curie Actions (ITN Ref. 764591 to M.L.) and Leverhulme Trust (RPG-2019-156/RPG-2017-340 to M.L.).</t>
  </si>
  <si>
    <t>1477-9137</t>
  </si>
  <si>
    <t>0021-9533</t>
  </si>
  <si>
    <t>Knockout of Syntaxin-4 in 3T3-L1 adipocytes reveals new insight into GLUT4 trafficking and adiponectin secretion</t>
  </si>
  <si>
    <t>10.1242/jcs.258375</t>
  </si>
  <si>
    <t>Company of Biologists TA 2021</t>
  </si>
  <si>
    <t>Email report: University of York to 31.12.2021.pdf</t>
  </si>
  <si>
    <t>This work was supported by grants from Diabetes UK (15/0005246, 17/0005605, 17/0005724, 18/0005847, 18/0005905 and 19/0005978 to G.W.G. and/or N.J.B.) and the Novo Nordisk Research Foundation (to G.W.G., J.R.P. and J.G.B.). A.G. thanks the Lister Institute for a summer research stipend and the EPSRC for a PhD studentship. M. Al T. thanks the Government of Oman for a studentship. C.C.M. thanks the University of Nevada, Reno for sabbatical support. Open access funding provided by University of York. Deposited in PMC for immediate release.</t>
  </si>
  <si>
    <t>Lessons from early life:  Understanding development to expand stem cells and treat cancers</t>
  </si>
  <si>
    <t>10.1242/dev.201070</t>
  </si>
  <si>
    <t>Development</t>
  </si>
  <si>
    <t>Company of Biologists TA 2022</t>
  </si>
  <si>
    <t>Company_of_Biolgists_CC_dashboard_ytd_31_Oct_2022</t>
  </si>
  <si>
    <t>This work was funded by The National Centre for the Replacement, Refinement and Reduction of Animals in Research (NC/V001922/1 to F.M.B.); the Swedish Research Council (Vetenskapsrådet)(2021-00185 to M.J.); Cancer Research UK (DCRPGF\100008 to D.K.); and the Medical Research Council (MR/B005502/1 to D.K.). Open access funding provided by the University of York. Deposited in PMC for immediate release.</t>
  </si>
  <si>
    <t>David Kent</t>
  </si>
  <si>
    <t>david.kent@york.ac.uk</t>
  </si>
  <si>
    <t>1477-9129</t>
  </si>
  <si>
    <t>0950-1991</t>
  </si>
  <si>
    <t>Poetry and the possibility of paraphrase</t>
  </si>
  <si>
    <t>10.1093/jaac/kpab040</t>
  </si>
  <si>
    <t>The Journal of Aesthetics and Art Criticism</t>
  </si>
  <si>
    <t>Oxford University Press</t>
  </si>
  <si>
    <t>Oxford University Press TA 2021</t>
  </si>
  <si>
    <t>OUP email report Jul 2021</t>
  </si>
  <si>
    <t>Currie, Greg</t>
  </si>
  <si>
    <t>gregory.currie@york.ac.uk</t>
  </si>
  <si>
    <t>1540-6245</t>
  </si>
  <si>
    <t>0021-8529</t>
  </si>
  <si>
    <t>Integration host factor bends and bridges DNA in a multiplicity of binding modes with varying specificity</t>
  </si>
  <si>
    <t>10.1093/nar/gkab641</t>
  </si>
  <si>
    <t>Nucleic Acids Research</t>
  </si>
  <si>
    <t>Engineering and Physical Sciences Research Council (EPSRC) [EP/N027639/1, EP/T002166/1, EP/R029407/1, EP/P020259/1]; Biology and Biotechnology Research Council (BBSRC) [BB/R001235/1]; Leverhulme Trust [RPG-2017-340]; V.V.-B. was funded by CONACYT agency from Mexican government [291163]; calculations were performed on ARCHER, JADE, Cambridge Tier-2 and the local York facilities (Viking and YARCC clusters). Funding for open access charge: York Open Access Fund or EPSRC [EP/N027639/1]</t>
  </si>
  <si>
    <t>Noy, Agnes</t>
  </si>
  <si>
    <t>agnes.noy@york.ac.uk</t>
  </si>
  <si>
    <t>0305-1048</t>
  </si>
  <si>
    <t>1362-4962</t>
  </si>
  <si>
    <t>Spectroscopic frequency and mode identi?cation of ? Doradus stars HD 109799 and HD 103257</t>
  </si>
  <si>
    <t>10.1093/mnras/stab1972</t>
  </si>
  <si>
    <t>Monthly Notices of the Royal Astronomical Society</t>
  </si>
  <si>
    <t>Shutt, Thomas</t>
  </si>
  <si>
    <t>thomas.shutt@york.ac.uk</t>
  </si>
  <si>
    <t>1365-2966</t>
  </si>
  <si>
    <t>Tobacco use among 1,310,716 women of reproductive age (15-49 years) in 42 low- and middle-income countries: secondary data analysis from the 2010-2016 Demographic and Health Surveys</t>
  </si>
  <si>
    <t>10.1093/ntr/ntab131</t>
  </si>
  <si>
    <t>Nicotine &amp; Tobacco Research</t>
  </si>
  <si>
    <t>The study was supported by grants received from Medical Research Council (MRC) for CLASS III trial (MR/T004959/1) and National Institute for Health Research (NIHR) for ASTRA project (GHR 17/63/76).</t>
  </si>
  <si>
    <t>Shukla, Radha</t>
  </si>
  <si>
    <t>radha.shukla@york.ac.uk</t>
  </si>
  <si>
    <t>1469-994X</t>
  </si>
  <si>
    <t>1462-2203</t>
  </si>
  <si>
    <t>Reply to Abell and Gilmore</t>
  </si>
  <si>
    <t>10.1093/aesthj/ayab047</t>
  </si>
  <si>
    <t>British Journal of Aesthetics</t>
  </si>
  <si>
    <t>Initially reported by OUP as not OA and not covered by deal. Reported in Jisc ALM Jul 2023 as OA and under deal.</t>
  </si>
  <si>
    <t>OA, but publisher report says not covered by Jisc report. Doesn't say why</t>
  </si>
  <si>
    <t>1468-2842</t>
  </si>
  <si>
    <t>Searching for a Social Work Language of Human Rights: Perspectives of Social Workers in an Integrated Mental Health Service</t>
  </si>
  <si>
    <t>10.1093/bjsw/bcab126</t>
  </si>
  <si>
    <t>The British Journal Of Social Work</t>
  </si>
  <si>
    <t>The study was unfunded.</t>
  </si>
  <si>
    <t>Moran, Nicola</t>
  </si>
  <si>
    <t>nicola.moran@york.ac.uk</t>
  </si>
  <si>
    <t>1468-263X</t>
  </si>
  <si>
    <t>0045-3102</t>
  </si>
  <si>
    <t>Face Transplants: An International History</t>
  </si>
  <si>
    <t>10.1093/jhmas/jrab019</t>
  </si>
  <si>
    <t>Journal Of The History Of Medicine And Allied Sciences</t>
  </si>
  <si>
    <t>This research was funded by the UKRI Future Leaders Scheme</t>
  </si>
  <si>
    <t>Bound Alberti, Fay</t>
  </si>
  <si>
    <t>fay.boundalberti@york.ac.uk</t>
  </si>
  <si>
    <t>1468-4373</t>
  </si>
  <si>
    <t>Currie comments on Abell and Gilmore</t>
  </si>
  <si>
    <t>10.1093/aesthj/ayab036</t>
  </si>
  <si>
    <t>NYP 16/11/21</t>
  </si>
  <si>
    <t>Type I hypersensitivity in ferrets following exposure to SARS-CoV-2 inoculum: lessons learned</t>
  </si>
  <si>
    <t>10.1093/ilar/ilab019</t>
  </si>
  <si>
    <t>The ILAR Journal</t>
  </si>
  <si>
    <t>This work was conducted with funding to the CSIRO from the Coalition for Epidemic Preparedness Innovations (CEPI). SSV is also grateful to CSIRO Future Science Platforms, Department of Finance, and National Health and Medical Research Council of Australia for funding.</t>
  </si>
  <si>
    <t>Vasan, SS</t>
  </si>
  <si>
    <t>prof.vasan@york.ac.uk</t>
  </si>
  <si>
    <t>1930-6180</t>
  </si>
  <si>
    <t>1084-2020</t>
  </si>
  <si>
    <t>The central importance of emotional and quality of life outcomes in the public’s perception of face transplantation</t>
  </si>
  <si>
    <t>10.1093/bjs/znab120</t>
  </si>
  <si>
    <t>British Journal of Surgery</t>
  </si>
  <si>
    <t>This research was funded by UKRI, via the Future Leaders Fellowship project AboutFace: The Affective and Cultural History of Face Transplants (MR/S017356/1).</t>
  </si>
  <si>
    <t>0007-1323</t>
  </si>
  <si>
    <t>1365-2168</t>
  </si>
  <si>
    <t>Deconstructing discourses in assessments of child neglect</t>
  </si>
  <si>
    <t>10.1093/bjsw/bcab044</t>
  </si>
  <si>
    <t>This work was supported by an ESRC doctoral training award.</t>
  </si>
  <si>
    <t>Initially reported by OUP as not OA. Reported as OA in Jisc ALM report Jul 2023</t>
  </si>
  <si>
    <t>Casey, Beth</t>
  </si>
  <si>
    <t>Beth.casey@york.ac.uk</t>
  </si>
  <si>
    <t>Place, Strengths and Assets: A Case Study of how Local Area Coordination is Supporting Individuals and Families Under Conditions of Austerity</t>
  </si>
  <si>
    <t>10.1093/bjsw/bcab041</t>
  </si>
  <si>
    <t>This work was supported by the University of York Economic and Social Research Council Impact Acceleration Account, Co-Production Call.</t>
  </si>
  <si>
    <t>Lunt, Neil</t>
  </si>
  <si>
    <t>neil.lunt@york.ac.uk</t>
  </si>
  <si>
    <t>The Covid Battle Cry and the Fantasy of the Civilian Empire</t>
  </si>
  <si>
    <t>10.1093/dh/dhab015</t>
  </si>
  <si>
    <t>Diplomatic History</t>
  </si>
  <si>
    <t>Mitelpunkt, Shaul</t>
  </si>
  <si>
    <t>0145-2096</t>
  </si>
  <si>
    <t>1467-7709</t>
  </si>
  <si>
    <t>Delayed transfers of care for older people: a wider perspective</t>
  </si>
  <si>
    <t>10.1093/ageing/afab035</t>
  </si>
  <si>
    <t>Age And Ageing</t>
  </si>
  <si>
    <t>Standard licence</t>
  </si>
  <si>
    <t>This research was funded by the National Institute for Health Research (NIHR) Applied Research Collaboration Yorkshire and Humber and Applied Research Collaboration Greater Manchester. The views expressed are those of the author (s), and not necessarily those of the NIHR or the Department of Health and Social Care. AC is part-funded by Health Data Research UK, an initiative funded by UK Research and Innovation Councils, National Institute for Health Research and the UK devolved administrations, and leading medical research charities.</t>
  </si>
  <si>
    <t>Hinde, Sebastian</t>
  </si>
  <si>
    <t>sebastian.hinde@york.ac.uk</t>
  </si>
  <si>
    <t>1468-2834</t>
  </si>
  <si>
    <t>Herbicide selection promotes antibiotic resistance in soil microbiomes</t>
  </si>
  <si>
    <t>10.1093/molbev/msab029</t>
  </si>
  <si>
    <t>Molecular Biology And Evolution</t>
  </si>
  <si>
    <t>This work was supported by the National Natural Science Foundation of China (31972521 and 42090060 for Y.G.Z), National Key Technologies R&amp;D Program of China (2017YFD0800203), the Fujian Agriculture and Forestry University Program for Distinguished Young Scholar (No. XJQ2017001), the Natural Science Foundation of Fujian (2018J01709). V.-P.F. is funded by the Royal Society (grant nos. RSG\R1\180213 and CHL\R1\180031) and jointly by a grant from UKRI, Defra, and the Scottish Government, under the Strategic Priorities Fund Plant Bacterial Diseases programme (BB/T010606/1) at the University of York.</t>
  </si>
  <si>
    <t>No deal at that time</t>
  </si>
  <si>
    <t>Paid Jan 2021. Deal started Jan 29. No evidence OUP refunded APC.</t>
  </si>
  <si>
    <t>Friman, Ville</t>
  </si>
  <si>
    <t>ville.friman@york.ac.uk</t>
  </si>
  <si>
    <t>1537-1719</t>
  </si>
  <si>
    <t>A recombineering pipeline to clone large and complex genes in Chlamydomonas</t>
  </si>
  <si>
    <t>10.1093/plcell/koab024</t>
  </si>
  <si>
    <t>The Plant Cell</t>
  </si>
  <si>
    <t>This work was funded by UK Biotechnology and Biological Sciences Research Council Grants BB/R001014/1 and BB/ S015337/1 (to L.C.M.M.); Leverhulme Trust Grant RPG-2017-402 (to L.C.M.M.); UKRI Future Leader Fellowship MR/ T020679/1 (to L.C.M.M.); BBSRC DTP2 BB/M011151/1 (to T.Z.E.M. and M.P.J.); BBSRC DTP2 BB/M011151/1a (to J.B. and L.C.M.M.); University of York Biology Pump Priming award (to LCMM); and University of York Biology Start-up grant (to L.C.M.M.).</t>
  </si>
  <si>
    <t>Mackinder, Luke CM</t>
  </si>
  <si>
    <t>luke.mackinder@york.ac.uk</t>
  </si>
  <si>
    <t>1040-4651</t>
  </si>
  <si>
    <t>1532-298X</t>
  </si>
  <si>
    <t>The Experience of Religious Same-Sex Marriage in England and Wales: Understanding the Opportunities and Limits Created by the Marriage (Same Sex Couples) Act 2013</t>
  </si>
  <si>
    <t>10.1093/lawfam/ebab003</t>
  </si>
  <si>
    <t>International Journal Of Law, Policy And The Family</t>
  </si>
  <si>
    <t>Initially reported by OUP as not OA, but reported as OA in Jisc ALM data Jul 2023.</t>
  </si>
  <si>
    <t>Falcetta, Silvia</t>
  </si>
  <si>
    <t>silvia.falcetta@york.ac.uk</t>
  </si>
  <si>
    <t>1464-3707</t>
  </si>
  <si>
    <t>Developing the Concept of Working Memory: The Role of Neuropsychology</t>
  </si>
  <si>
    <t>10.1093/arclin/acab060</t>
  </si>
  <si>
    <t>Archives of Clinical Neuropsychology</t>
  </si>
  <si>
    <t>OUP report: University of York OUP Jan-Dec 2021 Report.xslm</t>
  </si>
  <si>
    <t>Baddeley, Alan David</t>
  </si>
  <si>
    <t>ab50@york.ac.uk</t>
  </si>
  <si>
    <t>1873-5843</t>
  </si>
  <si>
    <t>John Wiltshire, Frances Burney and the Doctors: Patient Narratives Then and Now</t>
  </si>
  <si>
    <t>10.1093/notesj/gjab137</t>
  </si>
  <si>
    <t>Notes And Queries</t>
  </si>
  <si>
    <t>Coulombeau, Sophie</t>
  </si>
  <si>
    <t>sophie.coulombeau@york.ac.uk</t>
  </si>
  <si>
    <t>1471-6941</t>
  </si>
  <si>
    <t>A Half-Watt Light from Photography in Ezra Pound?s ?Medallion? (1920)</t>
  </si>
  <si>
    <t>10.1093/notesj/gjab124</t>
  </si>
  <si>
    <t>Asciuto, Nicoletta</t>
  </si>
  <si>
    <t>The Invisible Frontier: Practitioner Perspectives on the Privacy Implications of Utilising Social-Media in Mental Health Social Work Practice</t>
  </si>
  <si>
    <t>10.1093/bjsw/bcab184</t>
  </si>
  <si>
    <t>Accounting for country- and time-specific values in the economic evaluation of health-related projects relevant to low- and middle-income countries</t>
  </si>
  <si>
    <t>10.1093/heapol/czab104</t>
  </si>
  <si>
    <t>Health Policy And Planning</t>
  </si>
  <si>
    <t>This study received funding support from the Bill and Melinda Gates Foundation [OPP1165566 to University of York].</t>
  </si>
  <si>
    <t>Lomas, James</t>
  </si>
  <si>
    <t>james.lomas@york.ac.uk</t>
  </si>
  <si>
    <t>1460-2237</t>
  </si>
  <si>
    <t>The representation of source use in academic writing textbooks</t>
  </si>
  <si>
    <t>10.1093/elt/ccab058</t>
  </si>
  <si>
    <t>Elt Journal</t>
  </si>
  <si>
    <t>Sun, Qingyang</t>
  </si>
  <si>
    <t>sqy183@hotmail.com</t>
  </si>
  <si>
    <t>1477-4526</t>
  </si>
  <si>
    <t>EARLY FLOWERING3 sub-nuclear localization responds to changes in ambient temperature</t>
  </si>
  <si>
    <t>10.1093/plphys/kiab423</t>
  </si>
  <si>
    <t>Plant Physiology</t>
  </si>
  <si>
    <t>J.R. is funded by a BBSRC studentship award (ref 1792522). Work on this project was also supported by a BBSRC awards BB/N018540/1 and BB/V006665/1, and the 111 Project grant D16014.</t>
  </si>
  <si>
    <t>Davis, Seth J.</t>
  </si>
  <si>
    <t>seth.davis@york.ac.uk</t>
  </si>
  <si>
    <t>0032-0889</t>
  </si>
  <si>
    <t>1532-2548</t>
  </si>
  <si>
    <t>Knowing Outside of English: Decolonizing at York</t>
  </si>
  <si>
    <t>10.1093/english/efab021</t>
  </si>
  <si>
    <t>English</t>
  </si>
  <si>
    <t>Kingston-Reese, Alexandra</t>
  </si>
  <si>
    <t>alexandra.kingston-reese@york.ac.uk</t>
  </si>
  <si>
    <t>1756-1124</t>
  </si>
  <si>
    <t>Chaucer and Italian Culture</t>
  </si>
  <si>
    <t>10.1093/res/hgab084</t>
  </si>
  <si>
    <t>Review Of English Studies</t>
  </si>
  <si>
    <t>Clarke, Kenneth</t>
  </si>
  <si>
    <t>kp.clarke@york.ac.uk</t>
  </si>
  <si>
    <t>1471-6968</t>
  </si>
  <si>
    <t>Cohort Profile Update: The Haematology Malignancy Research Network’s (HMRN) UK population-based cohorts</t>
  </si>
  <si>
    <t>10.1093/ije/dyab275</t>
  </si>
  <si>
    <t>International Journal Of Epidemiology</t>
  </si>
  <si>
    <t>This work was supported by Cancer Research UK [grant numbers 18362 and 29685] and Blood Cancer UK [grant number 15037].</t>
  </si>
  <si>
    <t>Roman, Eve</t>
  </si>
  <si>
    <t>eve.roman@york.ac.uk</t>
  </si>
  <si>
    <t>1464-3685</t>
  </si>
  <si>
    <t>Truth without Dependence</t>
  </si>
  <si>
    <t>10.1093/arisup/akac012</t>
  </si>
  <si>
    <t>Aristotelian Society Supplementary Volume</t>
  </si>
  <si>
    <t>OUP email report: University of York OUP publication output - 1.1.22 - 31.3.22</t>
  </si>
  <si>
    <t>Reported by OUP as eligible but not covered. Author opt out?</t>
  </si>
  <si>
    <t>Trueman, Rob</t>
  </si>
  <si>
    <t>1467-8349</t>
  </si>
  <si>
    <t>Context Free and Context Dependent Conceptual Representation in the Brain</t>
  </si>
  <si>
    <t>10.1093/cercor/bhac058</t>
  </si>
  <si>
    <t>Cerebral Cortex</t>
  </si>
  <si>
    <t>Oxford University Press TA 2022</t>
  </si>
  <si>
    <t>European Research Council</t>
  </si>
  <si>
    <t>Jefferies, Beth</t>
  </si>
  <si>
    <t>beth.jefferies@york.ac.uk</t>
  </si>
  <si>
    <t>1460-2199</t>
  </si>
  <si>
    <t>The Event of a Poem: Denise Riley?s ?Lone Star Clattering?</t>
  </si>
  <si>
    <t>10.1093/english/efac007</t>
  </si>
  <si>
    <t>Attridge, Derek</t>
  </si>
  <si>
    <t>derek.attridge@york.ac.uk</t>
  </si>
  <si>
    <t>The Trial of Thomas Frogbrook: Bestiality and the Law in an Early Sixteenth-Century English Rural Community</t>
  </si>
  <si>
    <t>10.1093/hisres/htac011</t>
  </si>
  <si>
    <t>Historical Research</t>
  </si>
  <si>
    <t>Wingard, Tim</t>
  </si>
  <si>
    <t>tim.wingard@york.ac.uk</t>
  </si>
  <si>
    <t>1468-2281</t>
  </si>
  <si>
    <t>Curating Vraca Memorial Park: Activism, Counter-Memory, and Counter-Politics</t>
  </si>
  <si>
    <t>10.1093/ips/olac006</t>
  </si>
  <si>
    <t>International Political Sociology</t>
  </si>
  <si>
    <t>Cole, Lydia</t>
  </si>
  <si>
    <t>lydia.cole@york.ac.uk</t>
  </si>
  <si>
    <t>1749-5687</t>
  </si>
  <si>
    <t>What’s your poison? Cyanide production regulated by a bHLH transcription factor in Lotus japonicus</t>
  </si>
  <si>
    <t>10.1093/jxb/erac031</t>
  </si>
  <si>
    <t>Journal Of Experimental Botany</t>
  </si>
  <si>
    <t>Rosati, Viviana</t>
  </si>
  <si>
    <t>viviana.rosati@york.ac.uk</t>
  </si>
  <si>
    <t>1460-2431</t>
  </si>
  <si>
    <t>A systematic review of mental health professionals, patients and carers’ perceived barriers and enablers to supporting smoking cessation in mental health settings</t>
  </si>
  <si>
    <t>10.1093/ntr/ntac004</t>
  </si>
  <si>
    <t>Shoesmith, Emily</t>
  </si>
  <si>
    <t>emily.shoesmith@york.ac.uk</t>
  </si>
  <si>
    <t>The cellular localization of Arabidopsis ELF3 is responsive to light quality</t>
  </si>
  <si>
    <t>10.1093/plphys/kiac072</t>
  </si>
  <si>
    <t>Covid (In)equalities: Labour Market Protection, Health and Residential Care in Germany, Sweden and the UK</t>
  </si>
  <si>
    <t>10.1093/polsoc/puac004</t>
  </si>
  <si>
    <t>Policy and Society</t>
  </si>
  <si>
    <t>Ellison, Nicholas</t>
  </si>
  <si>
    <t>nick.ellison@york.ac.uk</t>
  </si>
  <si>
    <t>1839-3373</t>
  </si>
  <si>
    <t>Hybrid knowledge production and evaluation at the World Bank</t>
  </si>
  <si>
    <t>10.1093/polsoc/puac009</t>
  </si>
  <si>
    <t>Economic and Social Research Council; European Research Council</t>
  </si>
  <si>
    <t>Williams, Kate</t>
  </si>
  <si>
    <t>kate.williams@york.ac.uk</t>
  </si>
  <si>
    <t>Sleep loss disrupts the neural signature of successful learning</t>
  </si>
  <si>
    <t>10.1093/cercor/bhac159</t>
  </si>
  <si>
    <t>Cairney, Scott</t>
  </si>
  <si>
    <t>scott.cairney@york.ac.uk</t>
  </si>
  <si>
    <t>Measuring the response to visually presented faces in the human lateral prefrontal cortex</t>
  </si>
  <si>
    <t>10.1093/texcom/tgac036</t>
  </si>
  <si>
    <t>Cerebral Cortex Communications</t>
  </si>
  <si>
    <t>Pitcher, David</t>
  </si>
  <si>
    <t>david.pitcher@york.ac.uk</t>
  </si>
  <si>
    <t>2632-7376</t>
  </si>
  <si>
    <t>Fearing the End of Zionism: Israeli Emigration to the United States, 1970s-1990s</t>
  </si>
  <si>
    <t>10.1093/dh/dhac062</t>
  </si>
  <si>
    <t>Emancipation and Constitutional Patriotism: The Centralverein and the Weimar Republican Order</t>
  </si>
  <si>
    <t>10.1093/gerhis/ghac044</t>
  </si>
  <si>
    <t>German History</t>
  </si>
  <si>
    <t>Rybak, Jan</t>
  </si>
  <si>
    <t>jan.rybak.mail@gmail.com</t>
  </si>
  <si>
    <t>1477-089X</t>
  </si>
  <si>
    <t>Making Peace in the English Civil Wars*</t>
  </si>
  <si>
    <t>10.1093/hisres/htac024</t>
  </si>
  <si>
    <t>Reported by OUP as eligible, but as not covered by deal. Author opt out?</t>
  </si>
  <si>
    <t>White, William</t>
  </si>
  <si>
    <t>william.white@york.ac.uk</t>
  </si>
  <si>
    <t>Ecological transitions and the shape of the decapod tree of life</t>
  </si>
  <si>
    <t>10.1093/icb/icac052</t>
  </si>
  <si>
    <t>Integrative And Comparative Biology</t>
  </si>
  <si>
    <t>John Templeton Foundation; Leverhulme Trust; Biotechnology and Biological Sciences Research Council</t>
  </si>
  <si>
    <t>Davis, Katie</t>
  </si>
  <si>
    <t>katie.davis@york.ac.uk</t>
  </si>
  <si>
    <t>1557-7023</t>
  </si>
  <si>
    <t>The use of objective assessments in the evaluation of technical skills in cardiothoracic surgery. A systematic review</t>
  </si>
  <si>
    <t>10.1093/icvts/ivac194</t>
  </si>
  <si>
    <t>Interactive Cardiovascular and Thoracic Surgery</t>
  </si>
  <si>
    <t>Hussein, Nabil</t>
  </si>
  <si>
    <t>nabil.hussein18@gmail.com</t>
  </si>
  <si>
    <t>EUR</t>
  </si>
  <si>
    <t>1569-9285</t>
  </si>
  <si>
    <t>1569-9293</t>
  </si>
  <si>
    <t>Transitional justice in process: Plans and politics in Tunisia</t>
  </si>
  <si>
    <t>10.1093/ia/iiac184</t>
  </si>
  <si>
    <t>International Affairs</t>
  </si>
  <si>
    <t>Polimeno, Maria</t>
  </si>
  <si>
    <t>mariagloria.polimeno@york.ac.uk</t>
  </si>
  <si>
    <t>1468-2346</t>
  </si>
  <si>
    <t>Professions and inequality: Challenges, controversies and opportunities</t>
  </si>
  <si>
    <t>10.1093/jpo/joac014</t>
  </si>
  <si>
    <t>Journal of Professions and Organization</t>
  </si>
  <si>
    <t>Muzio, Daniel</t>
  </si>
  <si>
    <t>daniel.muzio@york.ac.uk</t>
  </si>
  <si>
    <t>2051-8811</t>
  </si>
  <si>
    <t>Ecumenism to Ontology: Stoker’s Theology of the Host</t>
  </si>
  <si>
    <t>10.1093/jvcult/vcac031</t>
  </si>
  <si>
    <t>Journal of Victorian Culture</t>
  </si>
  <si>
    <t>Standard assignment</t>
  </si>
  <si>
    <t>Potter, Madeline</t>
  </si>
  <si>
    <t>madeline.potter@york.ac.uk</t>
  </si>
  <si>
    <t>1750-0133</t>
  </si>
  <si>
    <t>William Calder Marshalls Imperial Homonormativity: Righteousness and Peace Have Kissed Each Other (1862-1863)</t>
  </si>
  <si>
    <t>10.1093/jvcult/vcac055</t>
  </si>
  <si>
    <t>Arts and Humanities Research Council</t>
  </si>
  <si>
    <t>Edwards, jason</t>
  </si>
  <si>
    <t>jason.edwards@york.ac.uk</t>
  </si>
  <si>
    <t>Carving Destruction: Carlo Marochettis Monument to Granville Gower Loch (1853)</t>
  </si>
  <si>
    <t>10.1093/jvcult/vcac066</t>
  </si>
  <si>
    <t>Gilroy-Ware, Cora</t>
  </si>
  <si>
    <t>cora.gilroy-ware@york.ac.uk</t>
  </si>
  <si>
    <t>The impact of 17O + a reaction rate uncertainties on the s-process in rotating massive stars</t>
  </si>
  <si>
    <t>10.1093/mnras/stac1373</t>
  </si>
  <si>
    <t>European Cooperation in Science and Technology; Office of Nuclear Physics; Claude Leon Foundation; European Commission</t>
  </si>
  <si>
    <t>Laird, Alison</t>
  </si>
  <si>
    <t>alison.laird@york.ac.uk</t>
  </si>
  <si>
    <t>A REVISED CHRONOLOGICAL SCOPE FOR THE NATIONAL ARCHIVES PROBATE INVENTORY SERIES</t>
  </si>
  <si>
    <t>10.1093/notesj/gjac088</t>
  </si>
  <si>
    <t>Hinds , Sarah</t>
  </si>
  <si>
    <t>slm574@york.ac.uk</t>
  </si>
  <si>
    <t>Structural basis of DNA packaging by a ring-type ATPase from an archetypal viral system</t>
  </si>
  <si>
    <t>10.1093/nar/gkac647</t>
  </si>
  <si>
    <t>Wellcome Trust; Biotechnology and Biological Sciences Research Council; Office of the Director; National Institute of General Medical Sciences; Medical Research Council; European Research Council</t>
  </si>
  <si>
    <t>Reported by OUP as OA but not published OA under agreement, but Jisc ALM report Jul 2023 reports it as published under deal. Left as not under deal.</t>
  </si>
  <si>
    <t>Antson, Alfred</t>
  </si>
  <si>
    <t>fred.antson@york.ac.uk</t>
  </si>
  <si>
    <t>No knowledge of ‘public funds’? An investigation into social work practitioners’ confidence and knowledge when working with adults with ‘no recourse to public funds’</t>
  </si>
  <si>
    <t>10.1093/bjsw/bcac108</t>
  </si>
  <si>
    <t>Hines, Zoë</t>
  </si>
  <si>
    <t>zoehines1@gmail.com</t>
  </si>
  <si>
    <t>Approaching the Colonial</t>
  </si>
  <si>
    <t>10.1093/bjsw/bcac141</t>
  </si>
  <si>
    <t>Reported by OUP as OA but not published OA under agreement, but Jisc ALM report Jul 2023 reports it as published under deal.  Left as not under deal. Author is emeritus.</t>
  </si>
  <si>
    <t>Shaw, Ian</t>
  </si>
  <si>
    <t>ian.shaw@york.ac.uk</t>
  </si>
  <si>
    <t>‘Breathing Through its Spectacles’:The Queer Trees of Frank O’Hara</t>
  </si>
  <si>
    <t>10.1093/camqtly/bfac017</t>
  </si>
  <si>
    <t>The Cambridge Quarterly</t>
  </si>
  <si>
    <t>Pritchard, Emily</t>
  </si>
  <si>
    <t>emily.pritchard5@gmail.com</t>
  </si>
  <si>
    <t>1471-6836</t>
  </si>
  <si>
    <t>0008-199X</t>
  </si>
  <si>
    <t>Grief: A Philosophical Guide</t>
  </si>
  <si>
    <t>10.1093/pq/pqac052</t>
  </si>
  <si>
    <t>The Philosophical Quarterly</t>
  </si>
  <si>
    <t>Millar, Becky</t>
  </si>
  <si>
    <t>becky.millar@york.ac.uk</t>
  </si>
  <si>
    <t>1467-9213</t>
  </si>
  <si>
    <t>0031-8094</t>
  </si>
  <si>
    <t>Robertkochia solimangrovi sp. nov., isolated from mangrove soil, and emended description of the genus Robertkochia</t>
  </si>
  <si>
    <t>10.1099/ijsem.0.003970</t>
  </si>
  <si>
    <t>International Journal of Systematic and Evolutionary Microbiology</t>
  </si>
  <si>
    <t>Microbiology Society</t>
  </si>
  <si>
    <t>Microbiology Society TA 2020</t>
  </si>
  <si>
    <t>Publisher email report (University of York P&amp;R 2020.xlsx)</t>
  </si>
  <si>
    <t>M. Q. L. is grateful for a Khazanah Watan Postgraduate (PhD) scholarship (scholar ID: 40852) from Yayasan Khazanah. S. J. C. acknowledges a Zamalah scholarship (PhD) from Universiti Teknologi Malaysia.</t>
  </si>
  <si>
    <t>1466-5034</t>
  </si>
  <si>
    <t>Symbiosis genes show a unique pattern of introgression and selection within a Rhizobium leguminosarum species complex</t>
  </si>
  <si>
    <t>10.1099/mgen.0.000351</t>
  </si>
  <si>
    <t>Microbial Genomics</t>
  </si>
  <si>
    <t>This work was funded by grant no. 4105-00007A from Innovation Fund Denmark (S.U.A.). Genome sequencing was provided by MicrobesNG, which is supported by the BBSRC (grant number BB/L024209/1).</t>
  </si>
  <si>
    <t>Email report had CC BY but PDF has CC BY-NC</t>
  </si>
  <si>
    <t>2057-5858</t>
  </si>
  <si>
    <t>Simulating the evolutionary trajectories of metabolic pathways for insect symbionts in the genus Sodalis</t>
  </si>
  <si>
    <t>10.1099/mgen.0.000378</t>
  </si>
  <si>
    <t>R.J.H. was funded by the BBSRC White Rose DTP (BB/M011151/1) and S.T. by the Wellcome Trust CIDCATS programme (WT095024MA).</t>
  </si>
  <si>
    <t>Microbial Musings – January 2020</t>
  </si>
  <si>
    <t>10.1099/mic.0.000882</t>
  </si>
  <si>
    <t>Microbiology</t>
  </si>
  <si>
    <t>Article type not covered by deal</t>
  </si>
  <si>
    <t>Editorial. Microbiology Soc confirmed by email to MH that, although these appear on our reports, they are not properly part of the deal, but are made OA anyway.</t>
  </si>
  <si>
    <t>1465-2080</t>
  </si>
  <si>
    <t>Microbial Musings – February 2020</t>
  </si>
  <si>
    <t>10.1099/mic.0.000901</t>
  </si>
  <si>
    <t>Microbial Musings – March 2020</t>
  </si>
  <si>
    <t>10.1099/mic.0.000914</t>
  </si>
  <si>
    <t>Microbial musings – April 2020</t>
  </si>
  <si>
    <t>10.1099/mic.0.000925</t>
  </si>
  <si>
    <t>Microbial Musings – May 2020</t>
  </si>
  <si>
    <t>10.1099/mic.0.000942</t>
  </si>
  <si>
    <t>Microbial Musings – June 2020</t>
  </si>
  <si>
    <t>10.1099/mic.0.000951</t>
  </si>
  <si>
    <t>Microbial Musings – July 2020</t>
  </si>
  <si>
    <t>10.1099/mic.0.000965</t>
  </si>
  <si>
    <t>The Salmonella enterica serovar Typhimurium virulence factor STM3169 is a hexuronic acid binding protein component of a TRAP transporter</t>
  </si>
  <si>
    <t>10.1099/mic.0.000967</t>
  </si>
  <si>
    <t>The work was supported by the Department of Biology, University of York, through support of C.B.N., an Integrated Masters in Biochemistry student, supported by R.H. who is employed on a BBSRC grant (BB/N01040X/1).</t>
  </si>
  <si>
    <t>Microbial Musings – August 2020</t>
  </si>
  <si>
    <t>10.1099/mic.0.000969</t>
  </si>
  <si>
    <t>Microbial Musings – September 2020</t>
  </si>
  <si>
    <t>10.1099/mic.0.000978</t>
  </si>
  <si>
    <t>Microbial Musings – October 2020</t>
  </si>
  <si>
    <t>10.1099/mic.0.000989</t>
  </si>
  <si>
    <t>Microbial Musings – November 2020</t>
  </si>
  <si>
    <t>10.1099/mic.0.001005</t>
  </si>
  <si>
    <t>Microbial Musings – December 2020</t>
  </si>
  <si>
    <t>10.1099/mic.0.001019</t>
  </si>
  <si>
    <t>Microbial Musings – September 2021</t>
  </si>
  <si>
    <t>10.1099/mic.0.001115</t>
  </si>
  <si>
    <t>Gavin Thomas</t>
  </si>
  <si>
    <t>gavin.thomas@york.ac.uk</t>
  </si>
  <si>
    <t>Alanine-scanning mutagenesis of protein mannosyl-transferase from Streptomyces coelicolor reveals strong activity-stability correlation</t>
  </si>
  <si>
    <t>10.1099/mic.0.001103</t>
  </si>
  <si>
    <t>Microbiology Society TA 2021</t>
  </si>
  <si>
    <t>BBSRC</t>
  </si>
  <si>
    <t>Anthony Wilkinson</t>
  </si>
  <si>
    <t>tony.wilkinson@york.ac.uk</t>
  </si>
  <si>
    <t>Microbial Musings – August 2021</t>
  </si>
  <si>
    <t>10.1099/mic.0.001107</t>
  </si>
  <si>
    <t>Gene-gene relationships in an Escherichia coli accessory genome are linked to function and mobility</t>
  </si>
  <si>
    <t>10.1099/mgen.0.000650</t>
  </si>
  <si>
    <t>Author not affiliated to York on submission</t>
  </si>
  <si>
    <t>Rebecca Hall</t>
  </si>
  <si>
    <t>rjh526@york.ac.uk</t>
  </si>
  <si>
    <t>Diverse functions for acyltransferase-3 proteins in the modification of bacterial cell surfaces</t>
  </si>
  <si>
    <t>10.1099/mic.0.001146</t>
  </si>
  <si>
    <t>Microbiology Society TA 2022</t>
  </si>
  <si>
    <t>CCC dashboard 16/02/2022</t>
  </si>
  <si>
    <t>The authors would like to thank the British Heart Foundation for funding (PG/16/5/31912) and C.P. and S.T. were funded through the BBSRC White Rose Mechanistic Biology DTP (BB/M011151/1).</t>
  </si>
  <si>
    <t>BHF funding</t>
  </si>
  <si>
    <t>Microbial Musings – December 2021</t>
  </si>
  <si>
    <t>10.1099/mic.0.001141</t>
  </si>
  <si>
    <t>Microbial Musings – November 2021</t>
  </si>
  <si>
    <t>10.1099/mic.0.001134</t>
  </si>
  <si>
    <t>Microbial Musings – October 2021</t>
  </si>
  <si>
    <t>10.1099/mic.0.001129</t>
  </si>
  <si>
    <t>Evaluation of in vitro activity of fosfomycin, and synergy in combination, in Gram-negative bloodstream infection isolates in a UK teaching hospital</t>
  </si>
  <si>
    <t>10.1099/jmm.0.001524</t>
  </si>
  <si>
    <t>Journal of Medical Microbiology</t>
  </si>
  <si>
    <t>CCC dashboard 09/05/2022</t>
  </si>
  <si>
    <t>Nordic Pharma</t>
  </si>
  <si>
    <t>Joseph Suich</t>
  </si>
  <si>
    <t>js1105@york.ac.uk</t>
  </si>
  <si>
    <t>1473-5644</t>
  </si>
  <si>
    <t>Dissemination of metaldehyde catabolic pathways is driven by mobile genetic elements in Proteobacteria</t>
  </si>
  <si>
    <t>10.1099/mgen.0.000881</t>
  </si>
  <si>
    <t>Microbiology_Society_dashboard_ytd_31_Oct_2022</t>
  </si>
  <si>
    <t>Natural Environment Research Council</t>
  </si>
  <si>
    <t>James Moir</t>
  </si>
  <si>
    <t>james.moir@york.ac.uk</t>
  </si>
  <si>
    <t>Microbial Musings – Summer 2022</t>
  </si>
  <si>
    <t>10.1099/mic.0.001250</t>
  </si>
  <si>
    <t>In silico identification of bacterial seaweed-degrading bioplastic producers</t>
  </si>
  <si>
    <t>10.1099/mgen.0.000866</t>
  </si>
  <si>
    <t>Daniel Leadbeater</t>
  </si>
  <si>
    <t>daniel.leadbeater@york.ac.uk</t>
  </si>
  <si>
    <t>Microbial Musings – Spring 2022</t>
  </si>
  <si>
    <t>10.1099/mic.0.001205</t>
  </si>
  <si>
    <t>Links between problem gambling and spending on booster packs in collectible card games: A conceptual replication of research on loot boxes</t>
  </si>
  <si>
    <t>10.1371/journal.pone.0247855</t>
  </si>
  <si>
    <t>PLOS ONE</t>
  </si>
  <si>
    <t>PLOS</t>
  </si>
  <si>
    <t>PLOS TFF 2021</t>
  </si>
  <si>
    <t>PLOS monthly report March 2021</t>
  </si>
  <si>
    <t>David Zendle</t>
  </si>
  <si>
    <t>david.zendle@york.ac.uk</t>
  </si>
  <si>
    <t>Publisher report average</t>
  </si>
  <si>
    <t>1932-6203</t>
  </si>
  <si>
    <t>Fungal GH25 muramidases: new family members with applications in animal nutrition and a crystal structure at 0.78Ã resolution.</t>
  </si>
  <si>
    <t>10.1371/journal.pone.0248190</t>
  </si>
  <si>
    <t>Keith Wilson</t>
  </si>
  <si>
    <t>Keith.Wilson@york.ac.uk</t>
  </si>
  <si>
    <t>Inequalities in the identification and management of common mental disorders in the perinatal period: an equity focused re-analysis of a systematic review</t>
  </si>
  <si>
    <t>10.1371/journal.pone.0248631</t>
  </si>
  <si>
    <t>Stephanie Prady</t>
  </si>
  <si>
    <t>stephanie.prady@york.ac.uk</t>
  </si>
  <si>
    <t>Machine-learning a virus assembly fitness landscape</t>
  </si>
  <si>
    <t>10.1371/journal.pone.0250227</t>
  </si>
  <si>
    <t>PLOS monthly report April 2021</t>
  </si>
  <si>
    <t>Pierre-Philippe Dechant</t>
  </si>
  <si>
    <t>ppd22@cantab.net</t>
  </si>
  <si>
    <t>Evaluation of COVID-19 vaccination strategies with a delayed second dose</t>
  </si>
  <si>
    <t>10.1371/journal.pbio.3001211</t>
  </si>
  <si>
    <t>PLOS Biology</t>
  </si>
  <si>
    <t>PLOS CAP 2021</t>
  </si>
  <si>
    <t>The authors received funding from the following sources: SMM: Canadian Institutes of Health Research [OV4 – 170643, COVID-19 Rapid Research]; TNV: São Paulo Research Foundation [18/24811-1]; APG, MCF: the National Institutes of Health [1RO1AI151176-01; 1K01AI141576-01]; APG: the National Science Foundation [RAPID 2027755; CCF-1918784].</t>
  </si>
  <si>
    <t>Corresponding author from York University Canada - queried with PLOS 03/05/23</t>
  </si>
  <si>
    <t>Seyed Moghadas</t>
  </si>
  <si>
    <t>moghadas@yorku.ca</t>
  </si>
  <si>
    <t>1545-7885</t>
  </si>
  <si>
    <t>Multiple spatial reference frames underpin perceptual recalibration to audio-visual discrepancies</t>
  </si>
  <si>
    <t>10.1371/journal.pone.0251827</t>
  </si>
  <si>
    <t>PLOS monthly report May 2021</t>
  </si>
  <si>
    <t>David Watson</t>
  </si>
  <si>
    <t>david.watson@york.ac.uk</t>
  </si>
  <si>
    <t>New insights into early medieval Islamic cuisine: organic residue analysis of pottery from rural and urban Sicily</t>
  </si>
  <si>
    <t>10.1371/journal.pone.0252225</t>
  </si>
  <si>
    <t>Jasmine Lundy</t>
  </si>
  <si>
    <t>jll519@york.ac.uk</t>
  </si>
  <si>
    <t>Social, economic, and environmental factors influencing the basic reproduction number of COVID-19 across countries</t>
  </si>
  <si>
    <t>10.1371/journal.pone.0252373</t>
  </si>
  <si>
    <t>Jude Dzevela Kong</t>
  </si>
  <si>
    <t>jdkong@yorku.ca</t>
  </si>
  <si>
    <t>CryoEM structure of the Nipah virus nucleocapsid assembly</t>
  </si>
  <si>
    <t>10.1371/journal.ppat.1009740</t>
  </si>
  <si>
    <t>PLOS Pathogens</t>
  </si>
  <si>
    <t>PLOS monthly report July 2021</t>
  </si>
  <si>
    <t>Alfred Antson</t>
  </si>
  <si>
    <t>1553-7374</t>
  </si>
  <si>
    <t>How urbanisation alters the intensity of the urban heat island in a tropical African city</t>
  </si>
  <si>
    <t>10.1371/journal.pone.0254371</t>
  </si>
  <si>
    <t>Xueqin Li</t>
  </si>
  <si>
    <t>xl3053@york.ac.uk</t>
  </si>
  <si>
    <t>Detecting joint attention events in mother-infant dyads: sharing looks cannot be reliably identified by naÃ¯ve third-party observers</t>
  </si>
  <si>
    <t>10.1371/journal.pone.0255241</t>
  </si>
  <si>
    <t>Kirsty Graham</t>
  </si>
  <si>
    <t>keg4@st-andrews.ac.uk</t>
  </si>
  <si>
    <t>Mental health among healthcare workers and other vulnerable groups during the COVID-19 pandemic and other coronavirus outbreaks: a rapid systematic review</t>
  </si>
  <si>
    <t>10.1371/journal.pone.0254821</t>
  </si>
  <si>
    <t>Mark Rodgers</t>
  </si>
  <si>
    <t>Mark.rodgers@york.ac.uk</t>
  </si>
  <si>
    <t>Behavioural activation to prevent depression and loneliness among socially isolated older people with long term conditions: the BASIL COVID-19 pilot randomised controlled trial</t>
  </si>
  <si>
    <t>10.1371/journal.pmed.1003779</t>
  </si>
  <si>
    <t>PLOS Medicine</t>
  </si>
  <si>
    <t>PLOS monthly report Sept 2021</t>
  </si>
  <si>
    <t>SG, EL, DM, CCG, DB, PC, CH, GTT, AC, AH, KL and DE were funded by National Institute for Health Research (NIHR) Programme Grants for Applied Research (PGfAR) RP-PG-0217-20006</t>
  </si>
  <si>
    <t>Report has $4K as amount, but PLOS confirmed by email that it was covered by the deal and no amount was charged.</t>
  </si>
  <si>
    <t>Simon Gilbody</t>
  </si>
  <si>
    <t>simon.gilbody@york.ac.uk</t>
  </si>
  <si>
    <t>1549-1676</t>
  </si>
  <si>
    <t>Steady-state measures of visual suppression</t>
  </si>
  <si>
    <t>10.1371/journal.pcbi.1009507</t>
  </si>
  <si>
    <t>PLOS Computational Biology</t>
  </si>
  <si>
    <t>PLOS monthly report Oct 2021</t>
  </si>
  <si>
    <t>DHB: RG130121  The Royal Society  https://royalsociety.org/    The funders had no role in study design  data collection and analysis  decision to publish  or preparation of the manuscript.</t>
  </si>
  <si>
    <t>Daniel Baker</t>
  </si>
  <si>
    <t>daniel.baker@york.ac.uk</t>
  </si>
  <si>
    <t>1553-7358</t>
  </si>
  <si>
    <t>Health risk behaviours among people with severe mental ill health during the COVID-19 pandemic: analysis of linked cohort data</t>
  </si>
  <si>
    <t>10.1371/journal.pone.0258349</t>
  </si>
  <si>
    <t>EP  PS  PH  GJ  EN and SG Medical Research Council (grant reference MR/V028529). https://mrc.ukri.org/funding/    SG Economic and Social Research Council (ES/S004459/1).  https://www.ukri.org    SG  RW  EN and PS National Institute for Health Research (NIHR200166) https://www.nihr.ac.uk</t>
  </si>
  <si>
    <t>Age effects in autobiographical memory depend on the measure</t>
  </si>
  <si>
    <t>10.1371/journal.pone.0259279</t>
  </si>
  <si>
    <t>Data collection was supported by a Doctoral Studentship from City  University of London. Part of the write-up was supported by a British Academy Postdoctoral Fellowship (PF19\100083).</t>
  </si>
  <si>
    <t>Exploring the facilitators  barriers  and strategies for self-management in adults living with severe mental illness  with and without long-term conditions: a qualitative evidence synthesis</t>
  </si>
  <si>
    <t>10.1371/journal.pone.0258937</t>
  </si>
  <si>
    <t>This paper reports work undertaken as part of the DIAMONDS programme  which is funded by the National Institute for Health Research under its Programme Grants for Applied Research (project number RP-PG-1016-20003). Peter Coventry is part funded by the UK Research and Innovation Closing the Gap Network+ [ES/S004459/1]</t>
  </si>
  <si>
    <t>Claire Carswell</t>
  </si>
  <si>
    <t>claire.carswell@york.ac.uk</t>
  </si>
  <si>
    <t>Future-relevant memories are not selectively strengthened during sleep</t>
  </si>
  <si>
    <t>10.1371/journal.pone.0258110</t>
  </si>
  <si>
    <t>This work was supported by a Medical Research Council Career Development Award (MR/P020208/1) to S.A.C. The funders had no role in study design  data collection and analysis  decision to publish  or preparation of the manuscript.</t>
  </si>
  <si>
    <t>Jennifer Ashton</t>
  </si>
  <si>
    <t>jennifer.ashton@york.ac.uk</t>
  </si>
  <si>
    <t>Improving oral health in people with severe mental illness (SMI): a systematic review</t>
  </si>
  <si>
    <t>10.1371/journal.pone.0260766</t>
  </si>
  <si>
    <t>PLOS monthly report Nov 2021</t>
  </si>
  <si>
    <t>The authors received no specific funding for this work.</t>
  </si>
  <si>
    <t>Alexandra Macnamara</t>
  </si>
  <si>
    <t>alexandra.macnamara@hyms.ac.uk</t>
  </si>
  <si>
    <t>The association between socioeconomic disadvantage and childrenâs working memory abilities: A systematic review and meta-analysis</t>
  </si>
  <si>
    <t>10.1371/journal.pone.0260788</t>
  </si>
  <si>
    <t>KEP  AHW  and SLP''s involvement was supported by the National Institute for Health Research Yorkshire and Humber ARC (reference: NIHR200166). The views expressed in this publication are those of the authors and not necessarily those of the National Institute for Health Research or the Department of Health and Social Care.  The work of the lead author (KEM) was supported by an ESRC White Rose Doctoral Training Partnership Pathway Award.    The funders had no role in study design  data collection and analysis  decision to  publish  or preparation of the manuscript</t>
  </si>
  <si>
    <t>Kate Mooney</t>
  </si>
  <si>
    <t>kate.mooney@york.ac.uk</t>
  </si>
  <si>
    <t>A data-driven approach for examining the demand for relaxation games on Steam during the COVID-19 pandemic</t>
  </si>
  <si>
    <t>10.1371/journal.pone.0261328</t>
  </si>
  <si>
    <t>PLOS monthly report Dec 2021</t>
  </si>
  <si>
    <t>The author(s) received no specific funding for this work.</t>
  </si>
  <si>
    <t>Maximilian Croissant</t>
  </si>
  <si>
    <t>mc2230@york.ac.uk</t>
  </si>
  <si>
    <t>The effectiveness of behaviour change interventions delivered by non-dental health workers in promoting children's oral health: A systematic review and meta-analysis</t>
  </si>
  <si>
    <t>10.1371/journal.pone.0262118</t>
  </si>
  <si>
    <t>Mehreen Riaz Faisal</t>
  </si>
  <si>
    <t>mehreen.faisal@york.ac.uk</t>
  </si>
  <si>
    <t>Modelling brain representations of abstract concepts</t>
  </si>
  <si>
    <t>10.1371/journal.pcbi.1009837</t>
  </si>
  <si>
    <t>PLOS TFF 2022</t>
  </si>
  <si>
    <t>PLOS monthly report Feb 2022</t>
  </si>
  <si>
    <t>D.K. and R.M.C. are supported by DFG grants (KA4683/2-1, CI241/1-1, CI241/3-1, CI241/7-1). R.M.C. is supported by an ERC Starting Grant (ERC-2018-StG 803370). The funders had no role in study design, data collection and analysis, decision to publish, or preparation of the manuscript.</t>
  </si>
  <si>
    <t>Daniel Kaiser</t>
  </si>
  <si>
    <t>danielkaiser.net@gmail.com</t>
  </si>
  <si>
    <t>Rapid detection of social interactions is the result of domain general attentional processes</t>
  </si>
  <si>
    <t>10.1371/journal.pone.0258832</t>
  </si>
  <si>
    <t>PLOS monthly report Jan 2022</t>
  </si>
  <si>
    <t>This research was supported by a Leverhulme Trust grant awarded to SPT and HO (RPG-2017-068), and by a European Research Council Starting Grant awarded to RC (ERC-STG-715824). The funders had no role in study design, data collection and analysis, decision to publish, or preparation of the manuscript.</t>
  </si>
  <si>
    <t>Jonathan Flavell</t>
  </si>
  <si>
    <t>jonathan.flavell@york.ac.uk</t>
  </si>
  <si>
    <t>Loneliness among people with severe mental illness during the COVID-19 pandemic: results from a linked UK population cohort study</t>
  </si>
  <si>
    <t>10.1371/journal.pone.0262363</t>
  </si>
  <si>
    <t>This study is supported by the Medical Research Council, https://mrc.ukri.org/, (grant reference MR/V028529) (author SG,EP) and links with the Closing the Gap cohort, which was part-funded by the Wellcome Trust, https://wellcome.org/, (reference 204829) (author SG,EP) through the Centre for Future Health at the University of York, UK Research and Innovation, https://www.york.ac.uk/future-health/, (reference ES/S004459/1) (author SG,EP), and the NIHR Yorkshire and Humberside Applied Research Collaboration, https://www.arc-yh.nihr.ac.uk/about-us (author RW). The funders had no role in study design, data collection and analysis, decision to publish, or preparation of the manuscript.</t>
  </si>
  <si>
    <t>Paul Heron</t>
  </si>
  <si>
    <t>paul.heron@york.ac.uk</t>
  </si>
  <si>
    <t>Incurable but treatable: Understanding, uncertainty and impact in chronic blood cancers â a Â qualitative study from the UKâs Haematological Malignancy Research Network</t>
  </si>
  <si>
    <t>10.1371/journal.pone.0263672</t>
  </si>
  <si>
    <t>1. DH, ER, AS and RP: National Institute for Health Research Programme Grant for Applied Research (NIHR PGfAR): RP-PG-0613-2002. https://www.nihr.ac.uk/explore-nihr/funding-programmes/programme-grants-for-applied-research.htm    2. DH, ER, AS: Cancer Research UK (CRUK) 29685. https://www.cancerresearchuk.org/    DH, ER, AS: Blood Cancer UK (BCUK) 15037. https://www.cancerresearchuk.org/    The funders had no role in study design, data collection and analysis, decision to publish, or preparation of the manuscript.</t>
  </si>
  <si>
    <t>Debra Howell</t>
  </si>
  <si>
    <t>debra.howell@york.ac.uk</t>
  </si>
  <si>
    <t>Effectiveness of tailored digital health interventions for mental health at the workplace: A systematic review of randomised controlled trials</t>
  </si>
  <si>
    <t>10.1371/journal.pdig.0000123</t>
  </si>
  <si>
    <t>PLOS Digital Health</t>
  </si>
  <si>
    <t>PLOS monthly report Sept 2022</t>
  </si>
  <si>
    <t>The study is funded by the European Union''s Horizon 2020 Research and Innovation Programme under Grant Agreement No. 848180. The funders had no role in study design, data collection and analysis, decision to publish, or preparation of the manuscript.</t>
  </si>
  <si>
    <t>Moe Byrne</t>
  </si>
  <si>
    <t>moe.byrne@york.ac.uk</t>
  </si>
  <si>
    <t>2767-3170</t>
  </si>
  <si>
    <t>One-Session Treatment for Specific Phobias: Barriers, facilitators and acceptability as perceived by children &amp; young people, parents, and clinicians</t>
  </si>
  <si>
    <t>10.1371/journal.pone.0274424</t>
  </si>
  <si>
    <t>This research was funded by the National Institute for Health Research under its Health Technology Assessment Programme (Grant Reference Number: HTA 15/38/04). The views expressed are those of the author(s) and not necessarily those of the NIHR or the Department of Health and Social Care.  The funders had no role in study design, data collection and analysis, decision to publish, or preparation of the manuscript.</t>
  </si>
  <si>
    <t>Emily Hayward</t>
  </si>
  <si>
    <t>e.hayward@york.ac.uk</t>
  </si>
  <si>
    <t>Co-production of a Nature-based Intervention For children with ADHD Study (CONIFAS): Protocol for co-production phases</t>
  </si>
  <si>
    <t>10.1371/journal.pone.0274375</t>
  </si>
  <si>
    <t>The research study detailed in this protocol is funded by the National Institute for Health Research''''s Research for Patient Benefit funding stream received by study leads HAA and PAC (NIHR203043) https://www.nihr.ac.uk/explore-nihr/funding-programmes/research-for-patient-benefit.htm. PAC is part funded by the National Institute for Health Research Yorkshire and Humber Applied Research Collaboration https://www.arc-yh.nihr.ac.uk/. The views expressed are those of the author(s), and not necessarily those of the NIHR or the Department of Health and Social Care. The funders had and will not have a role in study design, data collection and analysis, decision to publish, or preparation of the manuscript.</t>
  </si>
  <si>
    <t>Peter Coventry</t>
  </si>
  <si>
    <t>peter.coventry@york.ac.uk</t>
  </si>
  <si>
    <t>Degradation of chondroitin sulfate A by a PUL-like operon in &amp;lt;i&amp;gt;Tannerella forsythia&amp;lt;/i&amp;gt;</t>
  </si>
  <si>
    <t>10.1371/journal.pone.0272904</t>
  </si>
  <si>
    <t>PLOS monthly report Aug 2022</t>
  </si>
  <si>
    <t>PN, BG, RE, and AD were supported by studentships provided by Wilfrid Laurier University. This work was supported by a National Science and Engineering Research Council of Canada Discovery Development Grants (RPGIN-2014-05018 and DDG-2020-00007). Additional support was provided by GlycoNet Grant AM-21.  Synchrotron data were collected at the Canadian Light Source, Cornell High Energy Synchrotron Source, and infrastructure supported by the Canadian Foundation for Innovation, the Province of Ontario, and Laurier. The funders had no role in study design, data collection and analysis, decision to publish, or preparation of the manuscript.</t>
  </si>
  <si>
    <t>Michael Suits</t>
  </si>
  <si>
    <t>msuits@wlu.ca</t>
  </si>
  <si>
    <t>Parent-mediated play-based interventions to improve social communication and language skills of preschool autistic children: A systematic review and meta-analysis protocol</t>
  </si>
  <si>
    <t>10.1371/journal.pone.0270153</t>
  </si>
  <si>
    <t>Intensive behavioural interventions based on applied behaviour analysis (ABA) for young children with autism: Â A Cost-effectiveness analysis</t>
  </si>
  <si>
    <t>10.1371/journal.pone.0270833</t>
  </si>
  <si>
    <t>PLOS monthly report July 2022</t>
  </si>
  <si>
    <t>This work is based on a HTA carried out for NIHR Systematic Reviews Programme commissioned project: Intensive behavioural interventions based on applied behaviour analysis for young children with Autism: 16/104/15. The funders had no role in study design, data collection and analysis, decision to publish, or preparation of the manuscript.</t>
  </si>
  <si>
    <t>Rob Hodgson</t>
  </si>
  <si>
    <t>rob.hodgson@york.ac.uk</t>
  </si>
  <si>
    <t>Association of environmental and socioeconomic indicators with serious mental illness diagnoses identified from general practitioner practice data in England: A spatial Bayesian modelling study</t>
  </si>
  <si>
    <t>10.1371/journal.pmed.1004043</t>
  </si>
  <si>
    <t>PLOS CAP 2022</t>
  </si>
  <si>
    <t>PLOS monthly report June 2022</t>
  </si>
  <si>
    <t>Joana Cruz</t>
  </si>
  <si>
    <t>joana.cruz@ucl.ac.uk</t>
  </si>
  <si>
    <t>Estimating the global demand curve for a leishmaniasis vaccine: A generalisable approach based on global burden of disease estimates</t>
  </si>
  <si>
    <t>10.1371/journal.pntd.0010471</t>
  </si>
  <si>
    <t>PLOS Neglected Tropical Diseases</t>
  </si>
  <si>
    <t>SM, PR and MS were supported by UK Research and Innovation as part of the Global Challenges Research Fund, grant number MR/P028004/1. PMK was supported by a Wellcome Senior Investigator Award (Grant No. 104726) and PMK, StM and MM were supported by a Wellcome Translation Award (Grant No. 108518).    The funders had no role in study design, data collection and analysis, decision to publish, or preparation of the manuscript.  https://www.ukri.org/  https://wellcome.org/</t>
  </si>
  <si>
    <t>Sakshi Mohan</t>
  </si>
  <si>
    <t>sakshi.mohan@york.ac.uk</t>
  </si>
  <si>
    <t>1935-2735</t>
  </si>
  <si>
    <t>Sleep bolsters schematically incongruent memories</t>
  </si>
  <si>
    <t>10.1371/journal.pone.0269439</t>
  </si>
  <si>
    <t>This work was supported by a Medical Research Council (https://mrc.ukri.org/) Career Development Award (MR/P020208/1) to S.A.C. The funders had no role in study design, data collection and analysis, decision to publish, or preparation of the manuscript.</t>
  </si>
  <si>
    <t>Scott Cairney</t>
  </si>
  <si>
    <t>A Psychophysical Performance-based Approach to the Quality Assessment of Image Processing Algorithms</t>
  </si>
  <si>
    <t>10.1371/journal.pone.0267056</t>
  </si>
  <si>
    <t>PLOS monthly report April 2022</t>
  </si>
  <si>
    <t>Supported by the Engineering and Physical Sciences Research Council (https://epsrc.ukri.org/), Grant EP/H000038/1 awarded to TSM. The funders had no role in study design, data collection and analysis, decision to publish, or preparation of the manuscript.</t>
  </si>
  <si>
    <t>Behavioural Activation for Social IsoLation (BASIL+) trial (Behavioural activation to mitigate depression and loneliness among older people with long-term conditions): Protocol for a fully-powered pragmatic randomised controlled trial</t>
  </si>
  <si>
    <t>10.1371/journal.pone.0263856</t>
  </si>
  <si>
    <t>PLOS monthly report March 2022</t>
  </si>
  <si>
    <t>EL, DM, CCG, CH, PC, GTT, AC, TG, AH, KL, SDS, DE and SG were funded by National Institute for Health Research (NIHR) Programme Grants for Applied Research (PGfAR) RP-PG-0217-20006. The funder had no role in study design, data collection and analysis, decision to publish, or preparation of the manuscript. The funder had no role in study design, data collection and analysis, decision to publish, or preparation of the manuscript.</t>
  </si>
  <si>
    <t>Lauren Burke</t>
  </si>
  <si>
    <t>lauren.burke@york.ac.uk</t>
  </si>
  <si>
    <t>A randomized controlled trial of a proportionate universal parenting program delivery model (E-SEE Steps) to enhance child social-emotional wellbeing</t>
  </si>
  <si>
    <t>10.1371/journal.pone.0265200</t>
  </si>
  <si>
    <t>The authors confirm the independence of researchers from funders and that all authors had full access to the study data (including statistical reports and tables) and take responsibility for the integrity of the data and the accuracy of the analysis. All authors were supported by the grant, National Institute for Health Research (NIHR) Public Health Research (PHR) (ref 13/93/10) (see https://fundingawards.nihr.ac.uk/award/13/93/10).TB, SB, KP and GR are also supported by the NIHR Yorkshire and Humber Applied Research Collaboration (ARC-YH; Ref: NIHR200166, see https://www.arc-yh.nihr.ac.uk,); VB by the South West Peninsula ARC (PenARC, Ref: NIHR200167,  see https://arc-swp.nihr.ac.uk).The study sponsor (University of York), and funders (with additional support from Public Health England for site''s excess treatment costs (no award number), see https://www.gov.uk/government/organisations/public-health-england/about), were not involved in the study design; data collection, analysis, and ...</t>
  </si>
  <si>
    <t>Tracey Bywater</t>
  </si>
  <si>
    <t>tracey.bywater@york.ac.uk</t>
  </si>
  <si>
    <t>Art by firelight? Using experimental and digital techniques to explore Magdalenian engraved plaquette use at Montastruc (France)</t>
  </si>
  <si>
    <t>10.1371/journal.pone.0266146</t>
  </si>
  <si>
    <t>A.N. Arts and Humanities Block Grant (1251018). https://ahrc.ukri.org/    A.N. British Academy British Academy Early Career Research Grant (PF19\100082). https://www.thebritishacademy.ac.uk/    I.W. Northern Bridge Block Grant. http://www.northernbridge.ac.uk/    The funders had no role in study design, data collection and analysis, decision to publish, or preparation of the manuscript.</t>
  </si>
  <si>
    <t>Andrew Needham</t>
  </si>
  <si>
    <t>andrew.needham@york.ac.uk</t>
  </si>
  <si>
    <t>Multiple metals influence distinct properties of theÂ Arabidopsis circadian clock</t>
  </si>
  <si>
    <t>10.1371/journal.pone.0258374</t>
  </si>
  <si>
    <t>This work was supported by The Engineering and Physical Sciences Research Council (EPSRC) (URL https://epsrc.ukri.org/) which awarded funding to JKH and MIK.    The Biotechnology and Biological Sciences Research Council (BBSRC) (URL. https://bbsrc.ukri.org/) awarded SJD the following grants: BB/N018540/1; BB/V006665/1.    The 111 Project (no URL available) also awarded SJD grant D16014.    The funders had no role in study design, data collection and analysis, decision to publish, or preparation of the manuscript.</t>
  </si>
  <si>
    <t>Jessica Hargreaves</t>
  </si>
  <si>
    <t>jessica.hargreaves@york.ac.uk</t>
  </si>
  <si>
    <t>Pharmaceutical pollution of the world's rivers</t>
  </si>
  <si>
    <t>10.1073/pnas.2113947119</t>
  </si>
  <si>
    <t>Proceedings of the National Academy of Sciences of the United States of America</t>
  </si>
  <si>
    <t>PNAS</t>
  </si>
  <si>
    <t>PNAS TA 2022</t>
  </si>
  <si>
    <t>PNAS publications from start of deal until 30/10/2023 (emailed on request by PNAS)</t>
  </si>
  <si>
    <t>The project was partly sup-ported by the Medical Research Council (Project: MR/R014876/1), the BritishCouncil Institutional Links Science, Technology and Research Exchange AcrossMena (STREAM) program (Project Number 277947262), the Instituto AntarticoChileno (INACH) Regular Funding Projects (Grant INACH_RT_12_17), AgenciaNacional de Investigaci_x0013_on y Desarrollo (ANID) Programa de Investigaci_x0013_onanillo Instituto Antartico Chileno (Programa de Investigaci_x0013_on Anillo INACH)Grant ACT192057, and ANID Fondo Nacional de Desarrollo Cientifico, Tecnolo-gico y de Innovacion Tecnologica (FONDECYT) Grant 1210946. Any use oftrade,firm, or product names is for descriptive purposes only and does notimply endorsement by the US Government. The copyright of these data is heldby the University of York (York, United Kingdom)</t>
  </si>
  <si>
    <t>Presumably made OA under deal</t>
  </si>
  <si>
    <t>1091-6490</t>
  </si>
  <si>
    <t>0027-8424</t>
  </si>
  <si>
    <t>Nocturnal pollination: An overlooked ecosystem service vulnerable to environmental change</t>
  </si>
  <si>
    <t>10.1042/ETLS20190134</t>
  </si>
  <si>
    <t>Emerging Topics in Life Sciences</t>
  </si>
  <si>
    <t>Portland Press</t>
  </si>
  <si>
    <t>Portland Press TA 2020</t>
  </si>
  <si>
    <t>Email report from Portland University of York 2021: Half Year Article Publishing Data - Portland Press</t>
  </si>
  <si>
    <t>C.J.M. was supported by the Natural Environment Research Council (grant no. NE/N015797/1) during preparation of the manuscript. A.S.-B. was supported by a CDF Research Fellowship at RBG, Kew.</t>
  </si>
  <si>
    <t>2397-8562</t>
  </si>
  <si>
    <t>Fragment-derived modulators of an industrial β-glucosidase</t>
  </si>
  <si>
    <t>10.1042/BCJ20200507</t>
  </si>
  <si>
    <t>Biochemical Journal</t>
  </si>
  <si>
    <t>E.M. was supported by the European Union's Horizon2020 MSCA Programme under grant agreement 675899 (FRAGNET); research in the group of REH was additionally supported by research grants from the BBSRC (BB/N008332/1) and institutional infrastructure support from funds provided by the Welcome Trust and EPSRC.</t>
  </si>
  <si>
    <t>1470-8728</t>
  </si>
  <si>
    <t>Chemical reporters to study mammalian O-glycosylation</t>
  </si>
  <si>
    <t>10.1042/BST20200839</t>
  </si>
  <si>
    <t>Biochemical Society Transactions</t>
  </si>
  <si>
    <t>Portland Press TA 2021</t>
  </si>
  <si>
    <t>The work in the Willems lab is funded from the European Research Council (ERC) under the European Union's Horizon 2020 research and innovation programme [Grant agreement No 851448].</t>
  </si>
  <si>
    <t>1470-8752</t>
  </si>
  <si>
    <t>Great balls of fire: Inflammatory caspases activation and signalling</t>
  </si>
  <si>
    <t>10.1042/BST20200986</t>
  </si>
  <si>
    <t>The Boucher lab is supported by a Springboard award (SBF006\1025) from the Academy for Medical Science and institutional funding from the University of York.</t>
  </si>
  <si>
    <t>Small molecule ERK5 kinase inhibitors paradoxically activate ERK5 signalling: be careful what you wish for...</t>
  </si>
  <si>
    <t>10.1042/BST20190338</t>
  </si>
  <si>
    <t>Email report: Portland Press Publisher Data Document - University of York 2020</t>
  </si>
  <si>
    <t>This work was supported by a BBSRC project grant BB/N015886/1 (P.A.L. and S.J.C), an MRC-DPFS award MR/K007580/1 (S.J.C., J.A.T and P.A.L.) and Institute Strategic Programme Grants BB/J004456/1 and BB/P013384/1 from BBSRC (S.J.C.).</t>
  </si>
  <si>
    <t>Mesenchymal Stem Cells from Biology to Therapy</t>
  </si>
  <si>
    <t>10.1042/ETLS20200303</t>
  </si>
  <si>
    <t>CCC dashboard 26/10/2021</t>
  </si>
  <si>
    <t>D.K. is funded by the Wellcome Trust (204829) through the Centre for Future Health (CFH) at the University of York.</t>
  </si>
  <si>
    <t>Detection of subtype-specific Breast Cancer Surface Protein Biomarkers via a novel Transcriptomics approach</t>
  </si>
  <si>
    <t>10.1042/BSR20212218</t>
  </si>
  <si>
    <t>Bioscience Reports</t>
  </si>
  <si>
    <t>CCC dashboard 21/02/2022</t>
  </si>
  <si>
    <t>Funding for the project was provided by Cancer Research UK and the British Columbia Cancer Agency Branch.</t>
  </si>
  <si>
    <t>1573-4935</t>
  </si>
  <si>
    <t>Improved furfural tolerance in Escherichia coli mediated by heterologous NADH-dependent benzyl alcohol dehydrogenases</t>
  </si>
  <si>
    <t>10.1042/BCJ20210811</t>
  </si>
  <si>
    <t>Portland Press TA 2022</t>
  </si>
  <si>
    <t>CCC dashboard 16/05/2022</t>
  </si>
  <si>
    <t>BJW and RH are funded by the BBSRC IB Catalyst Grant ‘DeTOX ‐ Productive whole cell biocatalysis by engineering resistance to toxic products and substrates’ (Ref: BB/N01040X/1). SL is funded by the York Centre of Excellence in Mass Spectrometry, which was created with funding from Science City York, Yorkshire Forward and the Northern Way Initiative, and subsequent support from EPSRC (EP/K039660/1; EP/M028127/1) and BBSRC (BB/R013403/1).</t>
  </si>
  <si>
    <t>AAM only published 16/5/22. Not yet under CC licence.</t>
  </si>
  <si>
    <t>Benjamin Willson, Reyme Herman, Swen Langer</t>
  </si>
  <si>
    <t>Specific isotopic labelling and reverse labelling for protein NMR spectroscopy: Using metabolic precursors in sample preparation</t>
  </si>
  <si>
    <t>10.1042/BST20210586</t>
  </si>
  <si>
    <t>Portland_CCC_ytd_1_Nov_2022</t>
  </si>
  <si>
    <t>EPSRC and BBSRC BB/M011151/1 EP/W024063/1</t>
  </si>
  <si>
    <t>Michael Plevin</t>
  </si>
  <si>
    <t>michael.plevin@york.ac.uk</t>
  </si>
  <si>
    <t>Benjamin Rowlinson, Rime Kerfah, Elodie Crublet</t>
  </si>
  <si>
    <t>Insights from semi-oriented EPR spectroscopy studies into the interaction of lytic polysaccharide monooxygenases with cellulose</t>
  </si>
  <si>
    <t>10.1039/C9DT04065J</t>
  </si>
  <si>
    <t>Dalton Transactions</t>
  </si>
  <si>
    <t>Royal Society of Chemistry</t>
  </si>
  <si>
    <t>Report: 122_University of York</t>
  </si>
  <si>
    <t>Biotechnology and Biological Sciences Research Council; Engineering and Physical Sciences Research Council; Royal Society</t>
  </si>
  <si>
    <t>APC paid. Predates deal (deal started March 2020)</t>
  </si>
  <si>
    <t>1477-9234</t>
  </si>
  <si>
    <t>Tolerant to Air ?-Alkane Complexes by Surface Modification of Single Crystalline Solid-State Molecular Organometallics using Vapour-Phase Cationic Polymerisation: SMOM@Polymer</t>
  </si>
  <si>
    <t>10.1039/D0CC01140A</t>
  </si>
  <si>
    <t>Chemical Communications</t>
  </si>
  <si>
    <t>Engineering and Physical Sciences Research Council; Leverhulme Trust; SCG Chemicals</t>
  </si>
  <si>
    <t>1364-548X</t>
  </si>
  <si>
    <t>Time-resolved Infra-red Spectroscopy Reveals Competitive Water and Dinitrogen Coordination to a Manganese(I) Carbonyl Complex</t>
  </si>
  <si>
    <t>10.1039/C9DT04878B</t>
  </si>
  <si>
    <t>Not OA. Predates deal. Deal started 31/3/2020</t>
  </si>
  <si>
    <t>Unprecedented reductive cyclisation of salophen ligands to tetrahydroquinoxalines during metal complex formation</t>
  </si>
  <si>
    <t>10.1039/D0CC01192D</t>
  </si>
  <si>
    <t>Rapid sodium periodate cleavage of an unnatural amino acid enables unmasking of a highly reactive ?-oxo aldehyde for protein bioconjugation</t>
  </si>
  <si>
    <t>10.1039/D0OB00972E</t>
  </si>
  <si>
    <t>Organic &amp; Biomolecular Chemistry</t>
  </si>
  <si>
    <t>Royal Society of Chemistry TA 2020</t>
  </si>
  <si>
    <t>H2020 Marie Sk?odowska-Curie Actions; Engineering and Physical Sciences Research Council</t>
  </si>
  <si>
    <t>YOAF average</t>
  </si>
  <si>
    <t>1477-0539</t>
  </si>
  <si>
    <t>Molecular environment and reactivity in gels and colloidal solutions under identical conditions</t>
  </si>
  <si>
    <t>10.1039/D0CP01956A</t>
  </si>
  <si>
    <t>Physical Chemistry Chemical Physics</t>
  </si>
  <si>
    <t>Procter and Gamble</t>
  </si>
  <si>
    <t>1463-9084</t>
  </si>
  <si>
    <t>Photo-patterned multi-domain multi-component hybrid hydrogels</t>
  </si>
  <si>
    <t>10.1039/D0CC03004J</t>
  </si>
  <si>
    <t>First-generation shaped gel reactors based on photo-patterned hybrid hydrogels</t>
  </si>
  <si>
    <t>10.1039/D0RE00109K</t>
  </si>
  <si>
    <t>Reaction Chemistry &amp; Engineering</t>
  </si>
  <si>
    <t>Engineering and Physical Sciences Research Council; University of York</t>
  </si>
  <si>
    <t>2058-9883</t>
  </si>
  <si>
    <t>Trends in stabilisation of Criegee intermediates from alkene ozonolysis</t>
  </si>
  <si>
    <t>10.1039/D0CP00897D</t>
  </si>
  <si>
    <t>Natural Environment Research Council; Horizon 2020 Framework Programme; Generalitat Valenciana</t>
  </si>
  <si>
    <t>Novel Molybdenum oxide - Starbon Catalyst for Waste-water Remediation</t>
  </si>
  <si>
    <t>10.1039/D0TA05388K</t>
  </si>
  <si>
    <t>Journal of Materials Chemistry A</t>
  </si>
  <si>
    <t>Report: 133_University of York</t>
  </si>
  <si>
    <t>Commonwealth Scholarship Commission; Council of Scientific and Industrial Research, India; Department of Science and Technology, Ministry of Science and Technology, India</t>
  </si>
  <si>
    <t>2050-7496</t>
  </si>
  <si>
    <t>The scaffold-forming steps of plant alkaloid biosynthesis</t>
  </si>
  <si>
    <t>10.1039/D0NP00031K</t>
  </si>
  <si>
    <t>Natural Product Reports</t>
  </si>
  <si>
    <t>UK Research and Innovation</t>
  </si>
  <si>
    <t>1460-4752</t>
  </si>
  <si>
    <t>Multicomponent polysaccharide alginate-based bioinks</t>
  </si>
  <si>
    <t>10.1039/D0TB01005G</t>
  </si>
  <si>
    <t>Journal of Materials Chemistry B</t>
  </si>
  <si>
    <t>We thank EPSRC for funding (EP/P03361X/1).</t>
  </si>
  <si>
    <t>Funding not on RSC report</t>
  </si>
  <si>
    <t>2050-7518</t>
  </si>
  <si>
    <t>SerraNA: a program to determine nucleic acids elasticity from simulation data</t>
  </si>
  <si>
    <t>10.1039/D0CP02713H</t>
  </si>
  <si>
    <t>We thank John Maddocks, Richard Lavery, Modesto Orozco and the rest of ABC consortium for giving us accessibility to all simulations of the database. This work was supported by the EPSRC grant EP/N027639/1 and by the Leverhulme Trust grants RPG-2019-156 and RPG-2017-340. V. V.-B. was funded by CONACYT agency from Mexican government (scholarship no 291163) and M. B. by EPSRC (EP/R513386/1). Computational time was secured on ARCHER and JADE via the UK High-End Computing Consortium for Biomolecular Simulation, HECBioSim, supported by EPSRC grant EP/R029407/1 and on Cambridge Tier-2 system funded by EPSRC Tier-2 capital grant EP/P020259/1. We also thank Tier 3 High Performance Computing (HPC) facilities at York (Viking and YARCC clusters) for additional computational resources.</t>
  </si>
  <si>
    <t>Sodium Cationization Can Disrupt the Intramolecular Hydrogen Bond that Mediates the Sunscreen Activity of Oxybenzone</t>
  </si>
  <si>
    <t>10.1039/D0CP03152F</t>
  </si>
  <si>
    <t>This work was funded through the Leverhulme Trust Research Project Grant RPG-2017-147. We thank the University of York and the Department of Chemistry for provision of funds for the OPO laser system, and the University of York High Performance Computing service, Viking, and the Research Computing team, for the provision of computational resources. We gratefully acknowledge the Nederlandse Organisatie voor Wetenschappelijk Onderzoek (NWO) for the support of the FELIX Laboratory. The research leading to this result has been supported by the project CALIPSOplus under the Grant Agreement 730872 from the EU Framework Programme for Research and Innovation HORIZON 2020.</t>
  </si>
  <si>
    <t>Sources of non-methane hydrocarbons in surface air in Delhi, India</t>
  </si>
  <si>
    <t>10.1039/D0FD00087F</t>
  </si>
  <si>
    <t>Faraday Discussions</t>
  </si>
  <si>
    <t>Horizon 2020 Framework Programme; Leverhulme Trust</t>
  </si>
  <si>
    <t>1364-5498</t>
  </si>
  <si>
    <t>Two-component supramolecular hydrogel for controlled drug release</t>
  </si>
  <si>
    <t>10.1039/D0CC03962D</t>
  </si>
  <si>
    <t>No funding acknowledged on paper</t>
  </si>
  <si>
    <t>Cytotoxic (cis,cis-1,3,5-triaminocyclohexane)ruthenium(II)-diphosphine complexes; evidence for covalent binding and intercalation with DNA</t>
  </si>
  <si>
    <t>10.1039/D0DT02612C</t>
  </si>
  <si>
    <t>We thank the Bristol Chemical Synthesis Centre for Doctoral Training, funded by EPSRC (EP/L015366/1) and the University of Bristol, for a PhD studentship (DEW). We thank the EPSRC and the University of York (studentship to AJG), University of Garmian (studentship to SWA) and the University of York Research Priming Fund for financial support.</t>
  </si>
  <si>
    <t>Fluctuation adsorption theory: quantifying adsorbate-adsorbate interaction and interfacial phase transition from an isotherm</t>
  </si>
  <si>
    <t>10.1039/D0CP05122E</t>
  </si>
  <si>
    <t>Report: 136_University of York</t>
  </si>
  <si>
    <t>S. S. thanks the Gen Foundation for supporting the early stage of this investigation and Steven Abbott TCNF Ltd for a travel fund. N. M. is grateful to the Grant-in-Aid for Scientific Research (No. JP19H04206) from the Japan Society for the Promotion of Science and the Elements Strategy Initiative for Catalysts and Batteries (No. JPMXP0112101003) and the Fugaku Supercomputing Project from the Ministry of Education, Culture, Sports, Science, and Technology.</t>
  </si>
  <si>
    <t>Investigating the Mapping of Chromophore Excitations onto the Electron Detachment Spectrum: Photodissociation Spectroscopy of Iodide Ion-Thiouracil Clusters</t>
  </si>
  <si>
    <t>10.1039/D0CP05920J</t>
  </si>
  <si>
    <t>Report: 87_University of York</t>
  </si>
  <si>
    <t>Acknowledgment is made to the donors of the American Chemical Society Petroleum Research Fund for partial support of this research, through the award of grant ACS PRF 56174-ND6. We thank the University of York and the Department of Chemistry for funding the Horizon OPO laser system, and York Advanced Computing Cluster (YARCC) for access to computational resources. K. O. U. thanks the Tetfund for the award of a PhD studentship and the Department of Chemistry's Tony Wild fund for additional support. We also acknowledge the facilities of the York Centre of Excellence in Mass Spectrometry, which was created thanks to a major capital investment through Science City York, supported by Yorkshire Forward with funds from the Northern Way Initiative, and subsequently received additional support from the EPSRC.</t>
  </si>
  <si>
    <t>Not OA. Does EPSRC funding 'count' if related to facilities? Reported in Jisc ALM report Jul 2023 as OA but isn't.</t>
  </si>
  <si>
    <t>Cooperativity in micellar solubilization</t>
  </si>
  <si>
    <t>10.1039/D0CP06479C</t>
  </si>
  <si>
    <t>Royal Society of Chemistry TA 2021</t>
  </si>
  <si>
    <t>Japan Society for the Promotion of Science; Ministry of Education, Culture, Sports, Science and Technology</t>
  </si>
  <si>
    <t>Synthesis of macrocyclic and medium-sized ring thiolactones via the ring expansion of lactams</t>
  </si>
  <si>
    <t>10.1039/D0OB02502J</t>
  </si>
  <si>
    <t>Phytocat- A bio-derived Ni catalyst for rapid de-polymerization of polystyrene using a synergistic approach</t>
  </si>
  <si>
    <t>10.1039/D0GC03808C</t>
  </si>
  <si>
    <t>Green Chemistry</t>
  </si>
  <si>
    <t>Association of Commonwealth Universities; University of York</t>
  </si>
  <si>
    <t>1463-9270</t>
  </si>
  <si>
    <t>Frequency of use of household products containing VOCs and indoor atmospheric concentrations in homes</t>
  </si>
  <si>
    <t>10.1039/D0EM00504E</t>
  </si>
  <si>
    <t>Environmental Science: Processes &amp; Impacts</t>
  </si>
  <si>
    <t>National Centre for Atmospheric Science; Natural Environment Research Council</t>
  </si>
  <si>
    <t>2050-7895</t>
  </si>
  <si>
    <t>Liquid-crystalline TADF materials based on Substituted Carbazoles and Terephthalonitrile</t>
  </si>
  <si>
    <t>10.1039/D1TC00443C</t>
  </si>
  <si>
    <t>Journal of Materials Chemistry C</t>
  </si>
  <si>
    <t>Deutsche Forschungsgemeinschaft; University of York; Universität Regensburg</t>
  </si>
  <si>
    <t>2050-7534</t>
  </si>
  <si>
    <t>Microwave-assisted hydrothermal treatments for biomass valorisation: A critical review</t>
  </si>
  <si>
    <t>10.1039/D1GC00623A</t>
  </si>
  <si>
    <t>Ministerio de Ciencia, Innovación y Universidades</t>
  </si>
  <si>
    <t>Advanced masking agent for leather tanning from stepwise degradation and oxidation of cellulose</t>
  </si>
  <si>
    <t>10.1039/D1GC01264A</t>
  </si>
  <si>
    <t>National Natural Science Foundation of China; Sichuan Province Science and Technology Support Program</t>
  </si>
  <si>
    <t>Electrical conductivity of wood sawdust using graphite catalytic coating: Unlocking the microwave-assisted pyrolysis efficiency of lignocellulosic biomass</t>
  </si>
  <si>
    <t>10.1039/D1SE00610J</t>
  </si>
  <si>
    <t>Sustainable Energy &amp; Fuels</t>
  </si>
  <si>
    <t>Biotechnology and Biological Sciences Research Council; Engineering and Physical Sciences Research Council; Innovate UK</t>
  </si>
  <si>
    <t>2398-4902</t>
  </si>
  <si>
    <t>Enzyme-catalyzed synthesis of malonate polyesters and their use as metal chelating materials</t>
  </si>
  <si>
    <t>10.1039/D1GC01783G</t>
  </si>
  <si>
    <t>A. P. thanks the FWF Erwin Schrödinger fellowship (grant agreement J4014-N34) for financial support. A. E. S. thanks the Department of Chemistry of the University of York for funding her summer vacation placement to undertake this research.</t>
  </si>
  <si>
    <t>Combining steady state and temperature jump IR spectroscopy to investigate the allosteric effects of ligand binding to dsDNA</t>
  </si>
  <si>
    <t>10.1039/D1CP02233D</t>
  </si>
  <si>
    <t>Funding from STFC is gratefully acknowledged for programme access to the Central Laser Facility ULTRA spectrometer. RF gratefully acknowledges studentship support from the University of Strathclyde.</t>
  </si>
  <si>
    <t>Magnetic shielding paints an accurate and easy-to-visualize portrait of aromaticity</t>
  </si>
  <si>
    <t>10.1039/D1CC03701C</t>
  </si>
  <si>
    <t>ChemComm</t>
  </si>
  <si>
    <t>B. V. wishes to acknowledge the National Science Foundation, Division of Chemistry (grant 1848261) for support.</t>
  </si>
  <si>
    <t>1359-7345</t>
  </si>
  <si>
    <t>Pd-Catalysed Carbonylative Suzuki-Miyaura Cross-couplings using Fe(CO)5 under mild conditions: generation of a highly active, recyclable and scalable 'Pd-Fe' nanocatalyst</t>
  </si>
  <si>
    <t>10.1039/D0GC03036H</t>
  </si>
  <si>
    <t>Report from RSC: RSC publications 2018-2020</t>
  </si>
  <si>
    <t>This work was supported by the grant from the National Natural Science Foundation of China (21371112 and 21446014), the 111 Project (B14041), the Fundamental Funds Research for the Central Universities (No. GK201501005, GK201503029, and 2016CSY002), the grant from the Fundamental Doctoral Fund of Ministry of Education of China (20120202120005), and the Program for Changjiang Scholars and Innovative Research Team in University (IRT_14R33). I. J. S. F. is grateful to the Royal Society for University Research Fellowship (2004-12). We thank Syngenta and the University of York for the iCASE funding and studentship to T. J. B. We also acknowledge the Leverhulme Trust for funding, enabling us to initiate this research (W. Z., I. J. S. F., and J. M. L.).</t>
  </si>
  <si>
    <t>Paid by voucher according to RSC data. Don't know why this didn't show up on the regular monthly reports (did we miss one?). Has York CA.</t>
  </si>
  <si>
    <t>Pharmacokinetics and pharmacodynamics in the treatment of cutaneous leishmaniasis - Challenges and Opportunities -</t>
  </si>
  <si>
    <t>10.1039/D0MD00343C</t>
  </si>
  <si>
    <t>RSC Medicinal Chemistry</t>
  </si>
  <si>
    <t>KVB is supported by a fellowship awarded from the Research Council United Kingdom Grand Challenges Research Funder under grant agreement ‘A Global Network for Neglected Tropical Diseases’ grant number MR/P027989/1, the MRC CiC grant (number 18014) and European Union's Horizon 2020 (number 815622).</t>
  </si>
  <si>
    <t>OA, but not clear why. RSC data doesn't report it as being paid by voucher or APC. Don't know why this didn't appear on the regular monthly reports. Has York CA. Reported as published OA under our deal in Jisc ALM report Jul 2023. Was probably still in production when RSC report created.</t>
  </si>
  <si>
    <t>2632-8682</t>
  </si>
  <si>
    <t>Recent developments in organocatalysed transformations of epoxides and carbon dioxide into cyclic carbonates</t>
  </si>
  <si>
    <t>10.1039/D0GC03465G</t>
  </si>
  <si>
    <t>The authors thank the Program for Public Technology of Zhejiang Province (No. LGF18B060003) and the State Scholarship Fund from the China Scholarship Council (No. 201908330607) for financial support.</t>
  </si>
  <si>
    <t>Structural Analysis of Five-Coordinate Aluminium(Salen) Complexes and its Relationship to their Catalytic Activity</t>
  </si>
  <si>
    <t>10.1039/D0DT03598J</t>
  </si>
  <si>
    <t>Synthesis, Mesomorphism, Photophysics and Device Performance of Liquid-crystalline Pincer Complexes of Gold(III)</t>
  </si>
  <si>
    <t>10.1039/D0TC04839A</t>
  </si>
  <si>
    <t>We thank the University of York (RRP) and the EPSRC (computational equipment used in this study, grants EP/H011455/1 and EP/K031589/1) for funding, Johnson Matthey for generous loans of gold salts, the Royal Society and the National Natural Science Foundation of China (51911530197, 51773021) for an International Exchange Award (DWB &amp; YW), Rebecca Howarth for the preparation of some precursor ligands and Alice McEllin for recording some cyclic voltammetry data.</t>
  </si>
  <si>
    <t>APC paid according to data from RSC, but not paid from YOAF. Reported in Jisc ALM report Jul 2023 as covered by our deal.</t>
  </si>
  <si>
    <t>A Class of Surfactants via PEG Modification of the Oleate Moiety of Lactonic Sophorolipids: Synthesis, Characterisation and Application</t>
  </si>
  <si>
    <t>10.1039/D1GC02247D</t>
  </si>
  <si>
    <t>Report: 145_University of York.csv</t>
  </si>
  <si>
    <t>Authors appreciate all other funding bodies (TETfund, Nigeria and Dr Wild fund, UK) that contributed to the success of this research. Authors would like to thank Unilever PLC, UK for providing funds to support the research.</t>
  </si>
  <si>
    <t>Aromaticity reversals and their effect on bonding in the low-lying electronic states of cyclooctatetraene</t>
  </si>
  <si>
    <t>10.1039/D1CP04394C</t>
  </si>
  <si>
    <t>Mapping the protonation states of the histidine brace in an AA10 lytic polysaccharide monooxygenase using CW-EPR spectroscopy and DFT calculations</t>
  </si>
  <si>
    <t>10.1039/D1FD00068C</t>
  </si>
  <si>
    <t>Report: 145_University of York 2021</t>
  </si>
  <si>
    <t>We acknowledge the University of York for the support of PJL’s PhD studentship. We thank Z. Forsberg, G. Courtade, V. G. H. Eijsink and F. L. Aachmann for providing the clone/cell colonies and purification protocol for the BlAA10 enzyme. GJD thanks the Royal Society for the Ken Murray Research Professorship.</t>
  </si>
  <si>
    <t>In-situ visualisation and analysis of dynamic single atom processes in heterogeneous catalysts</t>
  </si>
  <si>
    <t>10.1039/D1TA08307D</t>
  </si>
  <si>
    <t>Engineering and Physical Sciences Research Council; UK Research and Innovation</t>
  </si>
  <si>
    <t>Synthesis of Broad-Specificity Activity-Based Probes for Exo-?-Mannosidases</t>
  </si>
  <si>
    <t>10.1039/D1OB02287C</t>
  </si>
  <si>
    <t>Biotechnology and Biological Sciences Research Council; Diamond Light Source; H2020 European Research Council; Nederlandse Organisatie voor Wetenschappelijk Onderzoek; Royal Society</t>
  </si>
  <si>
    <t>An integrated process for the valorization of corn stover promoted by NaCl in GVL/H2O system</t>
  </si>
  <si>
    <t>10.1039/D1GC03999G</t>
  </si>
  <si>
    <t>Royal Society of Chemistry TA 2022</t>
  </si>
  <si>
    <t>Report: 123_University of York</t>
  </si>
  <si>
    <t>This work is financially supported by the National Key R&amp;D Program of China (2019YFD1100603) and the Chengdu University of Technology Teachers Development Research Fund (10912-KYQD2019_08215).</t>
  </si>
  <si>
    <t>Enantioselective “clip-cycle” synthesis of di-, tri- and spiro-substituted tetrahydropyrans</t>
  </si>
  <si>
    <t>10.1039/D2OB00023G</t>
  </si>
  <si>
    <t>We thank Jazan University (KA), ERASMUS+ (BD), the Leverhulme Trust and Isaac Newton Trust (KE) for financial support. The computational work has been performed using resources provided by the Cambridge Tier-2 system operated by the University of Cambridge Research Computing Service (http://www.hpc.cam.ac.uk) funded by EPSRC Tier-2 capital grant EP/P020259/1.</t>
  </si>
  <si>
    <t>Single-molecule FRET combined with electrokinetic trapping reveals real-time enzyme kinetics of individual F-ATP synthases</t>
  </si>
  <si>
    <t>10.1039/D1NR05754E</t>
  </si>
  <si>
    <t>Nanoscale</t>
  </si>
  <si>
    <t>Reported in Jisc ALM report Jul 2023 as OA but isn't.</t>
  </si>
  <si>
    <t>2040-3372</t>
  </si>
  <si>
    <t>Synthesis, Characterisation and Carbon Dioxide Capture Capacities of Hierarchically Porous Starbons®</t>
  </si>
  <si>
    <t>10.1039/D1GC03715C</t>
  </si>
  <si>
    <t>The authors thank the Chinese Scholarship Council for a scholarship (to HL).</t>
  </si>
  <si>
    <t>Engineering Mesophase Stability and Structure via Incorporation of Cyclic Terminal Groups</t>
  </si>
  <si>
    <t>10.1039/D1TC05954H</t>
  </si>
  <si>
    <t>The authors wish to thank the EPSRC for funding through grants EP/M020584/1 and EP/K039660/1. LF acknowledges funding by the Coordenação de Aperfeiçoamento de Pessoal de Nível Superior, Brazil (CAPES), finance code 001. We thank Dr Chris Rhodes of the University of York for designing and constructing the LED photoreactor used in the synthesis of compound 2. We thank the referees for suggestions regarding the detection of segregation effects in X-ray scattering data.</t>
  </si>
  <si>
    <t>Paid by APC. Was this ever refunded? Reported in Jisc ALM report Jul 2023</t>
  </si>
  <si>
    <t>MicroED characterization of a robust cationic σ-alkane complex stabilized by the [B(3,5-(SF5)2C6H3)4]− anion, via on-grid solid/gas single-crystal to single-crystal reactivity</t>
  </si>
  <si>
    <t>10.1039/D2DT00335J</t>
  </si>
  <si>
    <t>Professor S. Mecking for the generous gift of an initial sample of [NBu4][S-BArF4]. EPSRC (EP/M024210/2, DTP studentship to EAT and ALB), The Wellcome Trust (206161/Z/17/Z), SCG Chemicals. This work used the ARCHER2 UK National Supercomputing Service (http://www.archer2.ac.uk).</t>
  </si>
  <si>
    <t>Chirality-directed hydrogel assembly and interactions with enantiomers of an active pharmaceutical ingredient</t>
  </si>
  <si>
    <t>10.1039/D1CC06942J</t>
  </si>
  <si>
    <t>Report: 186_University of York</t>
  </si>
  <si>
    <t>Plant biosynthetic gene clusters in the context of metabolic evolution</t>
  </si>
  <si>
    <t>10.1039/D2NP00005A</t>
  </si>
  <si>
    <t>Biotechnology and Biological Sciences Research Council; UK Research and Innovation</t>
  </si>
  <si>
    <t>Simple, quick and green isolation of cannabinoids from complex natural product extracts using sustainable mesoporous materials (Starbon®)</t>
  </si>
  <si>
    <t>10.1039/D2QM00028H</t>
  </si>
  <si>
    <t>Materials Chemistry Frontiers</t>
  </si>
  <si>
    <t>2052-1537</t>
  </si>
  <si>
    <t>Oxidative cleavage of polysaccharides by a termite-derived superoxide dismutase boosts the degradation of biomass by glycoside hydrolases</t>
  </si>
  <si>
    <t>10.1039/D1GC04519A</t>
  </si>
  <si>
    <t>Biotechnology and Biological Sciences Research Council; Conselho Nacional de Desenvolvimento Científico e Tecnológico; Coordenação de Aperfeiçoamento de Pessoal de Nível Superior; Danmarks Frie Forskningsfond; Fundação de Amparo à Pesquisa do Estado de São Paulo; Royal Society</t>
  </si>
  <si>
    <t>Photochemistry of transition metal carbonyls</t>
  </si>
  <si>
    <t>10.1039/D1CS00826A</t>
  </si>
  <si>
    <t>Chemical Society Reviews</t>
  </si>
  <si>
    <t>1460-4744</t>
  </si>
  <si>
    <t>Photostability of the Deprotonated Forms of the UV Filters Homosalate and Octyl Salicylate: Molecular Dissociation versus Electron Detachment Following UV Excitation</t>
  </si>
  <si>
    <t>10.1039/D2CP01612E</t>
  </si>
  <si>
    <t>Biotechnology and Biological Sciences Research Council; Engineering and Physical Sciences Research Council; Leverhulme Trust; Newcastle University; University of York</t>
  </si>
  <si>
    <t>Small-angle Neutron Scattering from Mixtures of Long- and Short-chain 3-Alkyl-1-methyl Imidazolium Bistriflimides</t>
  </si>
  <si>
    <t>10.1039/D2CP01528E</t>
  </si>
  <si>
    <t>Engineering and Physical Sciences Research Council; Science and Technology Facilities Council; University of York; Università degli Studi di Palermo</t>
  </si>
  <si>
    <t>A hemicellulose and lignin-first process for corn stover valorization catalyzed by aluminum sulfate in ?-butyrolactone/water co-solvent</t>
  </si>
  <si>
    <t>10.1039/D2GC01692C</t>
  </si>
  <si>
    <t>Chengdu University of Technology; National Key Research and Development Program of China; Natural Science Foundation of Sichuan Province</t>
  </si>
  <si>
    <t>Book Review: Bobbie Oliver, A Natural Background: The Fight To Establish A Rail Heritage Centre At Western Australia&amp;Rsquo;S Midland Railway Workshops</t>
  </si>
  <si>
    <t>10.1177/0022526620916869</t>
  </si>
  <si>
    <t>Journal Of Transport History</t>
  </si>
  <si>
    <t>Sage</t>
  </si>
  <si>
    <t>Not OA on publisher's site. Reported as OA in Jisc ALM report Jul 2023, but isn't.</t>
  </si>
  <si>
    <t>1759-3999</t>
  </si>
  <si>
    <t>0022-5266</t>
  </si>
  <si>
    <t>Book Review Of: Martin Pring, "Luxury Railway Travel"</t>
  </si>
  <si>
    <t>10.1177/0022526620967557</t>
  </si>
  <si>
    <t>Sage TA 2020</t>
  </si>
  <si>
    <t>Book Review Of Tramway Renaissance In Western Europe By Dejan Petkov.</t>
  </si>
  <si>
    <t>10.1177/0022526620967793</t>
  </si>
  <si>
    <t>Public Reason, Partisanship, And The Containment Of The Populist Radical Right</t>
  </si>
  <si>
    <t>10.1177/00323217211005917</t>
  </si>
  <si>
    <t>Political Studies</t>
  </si>
  <si>
    <t>Sage TA 2021</t>
  </si>
  <si>
    <t>The author(s) received no financial support for the research, authorship, and/or publication of this article.</t>
  </si>
  <si>
    <t>1467-9248</t>
  </si>
  <si>
    <t>0032-3217</t>
  </si>
  <si>
    <t>Neoliberal Feminism: Legitimising The Gendered Moral Project Of Austerity</t>
  </si>
  <si>
    <t>10.1177/0038026120938289</t>
  </si>
  <si>
    <t>Sociological Review</t>
  </si>
  <si>
    <t>This work was supported by the London Social Science Doctoral Training Scheme funded by Economic and Social Research Council.</t>
  </si>
  <si>
    <t>2754-1371</t>
  </si>
  <si>
    <t>Fixing The Future? How Architects Make Time In Buildings For Later Life Care</t>
  </si>
  <si>
    <t>10.1177/0038026120952743</t>
  </si>
  <si>
    <t>The research reported here was undertaken as part of a larger study called Buildings in the Making: A Sociological Exploration of Architecture in the Context of Health and Social Care funded by the Economic and Social Research Council – grant reference: ES/M008398/1</t>
  </si>
  <si>
    <t>(Re)Connecting The Food Chain: Entangling Cattle, Farmers And Consumers In The Sale Of Raw Milk</t>
  </si>
  <si>
    <t>10.1177/0038026121990975</t>
  </si>
  <si>
    <t>The authors received no financial support for the research, authorship, and/or publication of this article</t>
  </si>
  <si>
    <t>Embodiment, Relationality And Epistemics: Observations From Alexander Technique Training In Music Master Classes</t>
  </si>
  <si>
    <t>10.1177/00380385211007761</t>
  </si>
  <si>
    <t>Sociology</t>
  </si>
  <si>
    <t>The authors received no financial support for the research, authorship and/or publication of this article.</t>
  </si>
  <si>
    <t>1469-8684</t>
  </si>
  <si>
    <t>0038-0385</t>
  </si>
  <si>
    <t>National Images, Trust And International Friendship: Evidence From China.</t>
  </si>
  <si>
    <t>10.1177/0047117820904091</t>
  </si>
  <si>
    <t>International Relations</t>
  </si>
  <si>
    <t>1741-2862</t>
  </si>
  <si>
    <t>0047-1178</t>
  </si>
  <si>
    <t>Democracy, Enlightenment, And Revolution</t>
  </si>
  <si>
    <t>10.1177/0097700420954771</t>
  </si>
  <si>
    <t>Modern China</t>
  </si>
  <si>
    <t>The author disclosed receipt of the following financial support for the research, authorship, and/or publication of this article: This work was supported by the UCCL (Universities’ China Committee in London) Grants offered by Great Britain-China Centre and Global Scholarship Programme for Research Excellence offered by the Chinese University of Hong Kong and WUN (World Universities Network).</t>
  </si>
  <si>
    <t>1552-6836</t>
  </si>
  <si>
    <t>0097-7004</t>
  </si>
  <si>
    <t>Structures Of Issue Competition On Climate Policy: A Comparative Study Of The Uk And Ireland</t>
  </si>
  <si>
    <t>10.1177/0192512120972582</t>
  </si>
  <si>
    <t>International Political Science Review / Revue Internationale De Science Politique</t>
  </si>
  <si>
    <t>The author(s) disclosed receipt of the following financial support for the research, authorship, and/or publication of this article: This research was supported by the Economic and Social Research Council (Research Number ES/K00042X/1). Project: Climate Policy and Political Parties.</t>
  </si>
  <si>
    <t>1460-373X</t>
  </si>
  <si>
    <t>0192-5121</t>
  </si>
  <si>
    <t>Disciplinary And Pastoral Power, Food And Poverty In Late-modernity</t>
  </si>
  <si>
    <t>10.1177/0261018321999799</t>
  </si>
  <si>
    <t>Critical Social Policy</t>
  </si>
  <si>
    <t>The author(s) disclosed receipt of the following financial support for the research, authorship, and/or publication of this article: This work was supported by funding from the Economic and Social Research Council (grant number: ES/T006897/1). The funders had no influence over data collection, analysis, interpretation of results or the writing of this article. All views represented here are those of the authors.</t>
  </si>
  <si>
    <t>1461-703X</t>
  </si>
  <si>
    <t>0261-0183</t>
  </si>
  <si>
    <t>Explorations In The Indeterminacy Of Computation: An Interview With M. Beatrice Fazi</t>
  </si>
  <si>
    <t>10.1177/0263276420957054</t>
  </si>
  <si>
    <t>Theory, Culture &amp; Society</t>
  </si>
  <si>
    <t>Reported in Jisc ALM report Jul 2023 as OA but not OA</t>
  </si>
  <si>
    <t>Not OA on publisher's site. Interview.</t>
  </si>
  <si>
    <t>1460-3616</t>
  </si>
  <si>
    <t>0263-2764</t>
  </si>
  <si>
    <t>Seeing Films Through Sound: Sound Design, Spatial Audio And Accessibility For Visually Impaired Audiences</t>
  </si>
  <si>
    <t>10.1177/0264619620935935</t>
  </si>
  <si>
    <t>British Journal Of Visual Impairment</t>
  </si>
  <si>
    <t>This project was funded by the Arts and Humanities Research Council (AH/N003713/1) and was a collaboration between the University of York and Anglia Ruskin University.</t>
  </si>
  <si>
    <t>1744-5809</t>
  </si>
  <si>
    <t>0264-6196</t>
  </si>
  <si>
    <t>Specialist Paediatric Palliative Care For Children And Young People With Cancer: A Mixed Methods Systematic Review</t>
  </si>
  <si>
    <t>10.1177/0269216320908490</t>
  </si>
  <si>
    <t>Palliative Medicine</t>
  </si>
  <si>
    <t>The author(s) disclosed receipt of the following financial support for the research, authorship and/or publication of this article: This article presents independent research partly funded by the Wellcome Trust (Ref. No. 204829) through the Centre for Future Health at the University of York, and the Martin House Research Centre which is a partnership between the University of York and Martin House Hospice Care for Children and Young People. The views expressed are those of the authors and not necessarily those of the Wellcome Trust, the University of York or Martin House Hospice.</t>
  </si>
  <si>
    <t>1477-030X</t>
  </si>
  <si>
    <t>0269-2163</t>
  </si>
  <si>
    <t>The Experiences Of, And Need For, Palliative Care For People With Motor Neurone Disease And Their Informal Caregivers: A Qualitative Systematic Review</t>
  </si>
  <si>
    <t>10.1177/0269216320908775</t>
  </si>
  <si>
    <t>The author(s) disclosed receipt of the following financial support for the research, authorship and/or publication of this article: This research was supported by the Marie Curie Research Grants Scheme (MCRGS 07-16-16) jointly funded by Marie Curie and the MND Association.</t>
  </si>
  <si>
    <t>Estimating The Current And Future Prevalence Of Life-limiting Conditions In Children In England</t>
  </si>
  <si>
    <t>10.1177/0269216320975308</t>
  </si>
  <si>
    <t>The author(s) disclosed receipt of the following financial support for the research, authorship, and/or publication of this article: This research was funded by The True Colours Trust. Stuart Jarvis is funded by a National Institute for Health Research (NIHR) Doctoral Research Fellowship (award DRF-2018-11-ST2-013) for this research project. This publication presents independent research funded by the National Institute for Health Research (NIHR). The views expressed are those of the authors and not necessarily those of the NHS, the NIHR or the Department of Health and Social Care. Lorna Fraser is funded by a National Institute for Health Research (NIHR) Career Development Fellowship (award CDF-2018-11-ST2-002) for this research project. This publication presents independent research funded by the National Institute for Health Research (NIHR). The views expressed are those of the authors and not necessarily those of the NHS, the NIHR or the Department of Health and Social Care.</t>
  </si>
  <si>
    <t>&amp;Ldquo;Cold Bedrooms&amp;Rdquo; And Other Cooling Facilities In Uk Children&amp;Rsquo;S Hospices, How They Are Used And Why They Are Offered: A Mixed Methods Study</t>
  </si>
  <si>
    <t>10.1177/0269216320984335</t>
  </si>
  <si>
    <t>The author(s) disclosed receipt of the following financial support for the research, authorship and/or publication of this article: This study was funded by the Martin House Research Centre: a partnership between the University of York and Martin House Hospice Care for Children and Young People.</t>
  </si>
  <si>
    <t>The Experience Of Delirium In Palliative Care Settings For Patients, Family, Clinicians And Volunteers: A Qualitative Systematic Review And Thematic Synthesis</t>
  </si>
  <si>
    <t>10.1177/02692163211006313</t>
  </si>
  <si>
    <t>The author(s) disclosed receipt of the following financial support for the research, authorship and/or publication of this article: Imogen Featherstone is funded by a National Institute for Health Research (NIHR) Doctoral Fellowship [DRF-2017-10-063]for this research. This paper presents independent research funded by the National Institute for Health Research. The views expressed are those of the authors and not necessarily those of the NHS, the NIHR or the Department of Health and Social Care.</t>
  </si>
  <si>
    <t>Estimating Social Variation In The Health Effects Of Changes In Healthcare Expenditure</t>
  </si>
  <si>
    <t>10.1177/0272989X20904360</t>
  </si>
  <si>
    <t>Medical Decision Making</t>
  </si>
  <si>
    <t>The authors disclosed receipt of the following financial support for the research, authorship, and/or publication of this article: This research was funded by the UK Department of Health and Social Care Policy Research Programme through its Policy Research Unit in Economic Evaluation of Health &amp; Care Interventions (EEPRU). EEPRU is a collaboration between researchers from 2 institutions (the Centre for Health Economics, University of York, and the School of Health and Related Studies, University of Sheffield). Richard Cookson is supported by the UK National Institute for Health Research (SRF-2013-06-015). The views expressed in this publication are those of the authors and not necessarily those of the National Health Service, the National Institute for Health Research, or the Department of Health and Social Care. Any errors are the responsibility of the authors.</t>
  </si>
  <si>
    <t>1552-681X</t>
  </si>
  <si>
    <t>0272-989X</t>
  </si>
  <si>
    <t>Health Opportunity Costs</t>
  </si>
  <si>
    <t>10.1177/0272989X20916450</t>
  </si>
  <si>
    <t>The authors disclosed receipt of the following financial support for the research, authorship, and/or publication of this article: This research is funded by the National Institute for Health Research (NIHR) Policy Research Programme, conducted through the Policy Research Unit in Economic Methods of Evaluation in Health and Social Care Interventions, PR-PRU-104/0001. The views expressed are those of the authors and not necessarily those of the NIHR or the Department of Health and Social Care. Any errors are the responsibility of the authors.</t>
  </si>
  <si>
    <t>Using Eq-5d Data To Measure Hospital Performance</t>
  </si>
  <si>
    <t>10.1177/0272989X20927705</t>
  </si>
  <si>
    <t>The authors disclosed receipt of the following financial support for the research, authorship, and/or publication of this article: Financial support for this study was provided entirely by a grant from the EuroQol Research Foundation. The funding agreement ensured the authors’ independence in designing the study, interpreting the data, writing, and publishing the report.</t>
  </si>
  <si>
    <t>Impact Of Socioeconomic Differences On Distributional Cost-effectiveness Analysis</t>
  </si>
  <si>
    <t>10.1177/0272989X20935883</t>
  </si>
  <si>
    <t>The authors disclosed receipt of the following financial support for the research, authorship, and/or publication of this article: Financial support for this study was provided entirely by a grant from Public Health Research Consortium (PHRC). The funding agreement ensured the authors’ independence in designing the study, interpreting the data, writing, and publishing the report.</t>
  </si>
  <si>
    <t>Exploring Heterogeneity In Histology-independent Technologies And The Implications For Cost-effectiveness</t>
  </si>
  <si>
    <t>10.1177/0272989X20980327</t>
  </si>
  <si>
    <t>The authors disclosed receipt of the following financial support for the research, authorship, and/or publication of this article: Financial support for this study was provided entirely by a contract with the National Institute for Health Research (NIHR). The funding agreement ensured the authors’ independence in designing the study, interpreting the data, writing, and publishing the report. This article presents independent research funded by the NIHR. The views expressed are those of the authors and not necessarily those of the NHS, the NIHR, or the Department of Health and Social Care. This article is based on work completed for the Single Technology Assessments of Entrectinib and Larotrectinib commission by the NIHR Systematic Reviews Programme, project numbers 12/87/63 and 12/78/95. This work is also based on ongoing work carried out for the NIHR Systematic Reviews Programme commissioned project: modeling approaches for site-agnostic cancer drugs to inform NICE appraisals, project number 127582.</t>
  </si>
  <si>
    <t>Uncertainty Analysis In Intervention Impact On Health Inequality For Resource Allocation Decisions</t>
  </si>
  <si>
    <t>10.1177/0272989X211009883</t>
  </si>
  <si>
    <t>The author(s) disclosed receipt of the following financial support for the research, authorship, and/or publication of this article: Financial support for this study was provided entirely by a grant from Public Health Research Consortium (PHRC). The funding agreement ensured the authors’ independence in designing the study, interpreting the data, writing, and publishing the report.</t>
  </si>
  <si>
    <t>Temperament Systems Influence Emotion Induction But Not Makam Recognition Performance In Turkish Makam Music</t>
  </si>
  <si>
    <t>10.1177/0305735620922892</t>
  </si>
  <si>
    <t>Psychology Of Music</t>
  </si>
  <si>
    <t>1741-3087</t>
  </si>
  <si>
    <t>0305-7356</t>
  </si>
  <si>
    <t>The Role Of The Medical School Training On Physician Opioid Prescribing Practices</t>
  </si>
  <si>
    <t>10.1177/0706743720931240</t>
  </si>
  <si>
    <t>Canadian Journal Of Psychiatry</t>
  </si>
  <si>
    <t>1497-0015</t>
  </si>
  <si>
    <t>0706-7437</t>
  </si>
  <si>
    <t>Looking Beyond Administrative Health Care Data: The Role Of Socioeconomic Status In Predicting Future High-cost Patients With Mental Health And Addiction</t>
  </si>
  <si>
    <t>10.1177/07067437211004882</t>
  </si>
  <si>
    <t>The author(s) disclosed receipt of the following financial support for the research, authorship, and/or publication of this article: This research was supported by a grant from the Ontario Ministry of Health and Long-Term Care (Ontario Ministry of Health) to the Health System Performance Research Network (HSPRN: fund #06034, recipient WPW), and by ICES, which is also funded by an annual grant from the Ontario MOHLTC.</t>
  </si>
  <si>
    <t>Not Collateral Damage: Trends In Violence And Hate Crimes Experienced By Sex Workers In The Republic Of Ireland</t>
  </si>
  <si>
    <t>10.1177/0791603520939794</t>
  </si>
  <si>
    <t>Irish Journal Of Sociology</t>
  </si>
  <si>
    <t>2050-5280</t>
  </si>
  <si>
    <t>0791-6035</t>
  </si>
  <si>
    <t>That's My Job</t>
  </si>
  <si>
    <t>10.1177/0899764020908329</t>
  </si>
  <si>
    <t>Nonprofit And Voluntary Sector Quarterly</t>
  </si>
  <si>
    <t>The author(s) disclosed receipt of the following financial support for the research, authorship, and/or publication of this article: This study was funded by the Economic and Social Research Council Impact Acceleration Account (ESRC IAA) grant no ES/M500574/1.</t>
  </si>
  <si>
    <t>Not OA on publisher's site. UKRI funded. Reported in Jisc ALM report Jul 2023 as OA, but isn't.</t>
  </si>
  <si>
    <t>1552-7395</t>
  </si>
  <si>
    <t>0899-7640</t>
  </si>
  <si>
    <t>Mcstrike! Collective Action Frames And (Political) Opportunity: Mcdonald's And The Uk Fast-food Rights Campaign</t>
  </si>
  <si>
    <t>10.1177/0950017020959264</t>
  </si>
  <si>
    <t>Work, Employment &amp; Society</t>
  </si>
  <si>
    <t>1469-8722</t>
  </si>
  <si>
    <t>0950-0170</t>
  </si>
  <si>
    <t>University Or Degree Apprenticeship? Stratification And Uncertainty In Routes To The Solicitors' Profession</t>
  </si>
  <si>
    <t>10.1177/0950017020977001</t>
  </si>
  <si>
    <t>The authors received no financial support for the research, authorship, and/or publication of this article.</t>
  </si>
  <si>
    <t>A History Of The Data Present</t>
  </si>
  <si>
    <t>10.1177/0952695120959254</t>
  </si>
  <si>
    <t>History Of The Human Sciences</t>
  </si>
  <si>
    <t>Not OA on publisher's site. Book review. Reported in Jisc ALM report Jul 2023 as OA, but isn't.</t>
  </si>
  <si>
    <t>1461-720X</t>
  </si>
  <si>
    <t>0952-6951</t>
  </si>
  <si>
    <t>Rapid Prototyping Of Custom Radiocontrast Agent Markers For Ct-guided Procedures</t>
  </si>
  <si>
    <t>10.1177/0954411920940840</t>
  </si>
  <si>
    <t>Proceedings Of The Institution Of Mechanical Engineers, Part H: Journal Of Engineering In Medicine</t>
  </si>
  <si>
    <t>The author(s) disclosed receipt of the following financial support for the research, authorship, and/or publication of this article: This study was supported in part by the Royal Society Wolfson Fellowship, National Institutes of Health (NIH) Bench-to-Bedside Award, the NIH Center for Interventional Oncology Grant, the National Science Foundation (NSF) I-Corps Team Grant (1617340), NSF REU site program 1359095, the AU-UGA Inter-Institutional Seed Funding, the American Society for Quality Dr. Richard J. Schlesinger Grant, and the PHS Grant UL1TR000454 from the Clinical and Translational Science Award Program of the NIH National Center for Advancing Translational Sciences.</t>
  </si>
  <si>
    <t>Not OA on publisher's site. Reported in Jisc ALM report Jul 2023 as OA, but isn't.</t>
  </si>
  <si>
    <t>2041-3033</t>
  </si>
  <si>
    <t>0954-4119</t>
  </si>
  <si>
    <t>Hypothermia &amp;Ndash; An Unusual Initial Presentation Of Human Immunodeficiency Virus Infection</t>
  </si>
  <si>
    <t>10.1177/0956462420939409</t>
  </si>
  <si>
    <t>International Journal Of Std &amp; Aids</t>
  </si>
  <si>
    <t>1758-1052</t>
  </si>
  <si>
    <t>0956-4624</t>
  </si>
  <si>
    <t>Trauma, Womens Mental Health, And Social Justice: Pitfalls And Possibilities.</t>
  </si>
  <si>
    <t>10.1177/0959353520963965</t>
  </si>
  <si>
    <t>Feminism &amp; Psychology</t>
  </si>
  <si>
    <t>1461-7161</t>
  </si>
  <si>
    <t>0959-3535</t>
  </si>
  <si>
    <t>Neoliberalism As Corporate Power</t>
  </si>
  <si>
    <t>10.1177/1024529420910382</t>
  </si>
  <si>
    <t>Competition And Change</t>
  </si>
  <si>
    <t>1477-2221</t>
  </si>
  <si>
    <t>1024-5294</t>
  </si>
  <si>
    <t>Induced Empathy Moderates Emotional Responses To Expressive Qualities In Music</t>
  </si>
  <si>
    <t>10.1177/1029864920974729</t>
  </si>
  <si>
    <t>Musicae Scientiae</t>
  </si>
  <si>
    <t>2045-4147</t>
  </si>
  <si>
    <t>1029-8649</t>
  </si>
  <si>
    <t>Upon The Gears And Upon The Wheels: Terror Convergence And Total Administration In The Neoliberal University</t>
  </si>
  <si>
    <t>10.1177/1350507620924162</t>
  </si>
  <si>
    <t>Management Learning</t>
  </si>
  <si>
    <t>1461-7307</t>
  </si>
  <si>
    <t>1350-5076</t>
  </si>
  <si>
    <t>Sculpting Digital Voids: The Politics Of Forgetting On Facebook</t>
  </si>
  <si>
    <t>10.1177/1354856520907390</t>
  </si>
  <si>
    <t>Convergence</t>
  </si>
  <si>
    <t>1748-7382</t>
  </si>
  <si>
    <t>1354-8565</t>
  </si>
  <si>
    <t>Evaluating Integrated Care For People With Complex Needs</t>
  </si>
  <si>
    <t>10.1177/1355819620931872</t>
  </si>
  <si>
    <t>Journal Of Health Services Research &amp; Policy</t>
  </si>
  <si>
    <t>The author(s) disclosed receipt of the following financial support for the research, authorship, and/or publication of this article: This work was funded by NHS England as part of their national evaluation strategy, via the Symphony Project board and Yeovil District Hospital NHS Foundation Trust.</t>
  </si>
  <si>
    <t>1758-1060</t>
  </si>
  <si>
    <t>1355-8196</t>
  </si>
  <si>
    <t>Drawing Atmosphere: A Case Study Of Architectural Design For Care In Later Life</t>
  </si>
  <si>
    <t>10.1177/1357034X20949934</t>
  </si>
  <si>
    <t>Body &amp; Society</t>
  </si>
  <si>
    <t>The author(s) disclosed receipt of the following financial support for the research, authorship and/or publication of this article: This research was supported by the Economic and Social Research Council, as part of the ‘Buildings in the Making: A Sociological Exploration of Architecture in the Context of Health and Social Care’ project (reference ES/M008398/1).</t>
  </si>
  <si>
    <t>1460-3632</t>
  </si>
  <si>
    <t>1357-034X</t>
  </si>
  <si>
    <t>A Large Population Based Study Of The Mental Health And Wellbeing Of Children And Young People In The North Of England</t>
  </si>
  <si>
    <t>10.1177/1359104520925873</t>
  </si>
  <si>
    <t>Clinical Child Psychology And Psychiatry</t>
  </si>
  <si>
    <t>The author(s) received no financial support for the research, authorship and/or publication of this article.</t>
  </si>
  <si>
    <t>1461-7021</t>
  </si>
  <si>
    <t>1359-1045</t>
  </si>
  <si>
    <t>21st Century Welfare In Historical Perspective: Disciplinary Welfare In The Depression Of The 1930s And Its Implications For Today.</t>
  </si>
  <si>
    <t>10.1177/1360780420937741</t>
  </si>
  <si>
    <t>Sociological Research Online</t>
  </si>
  <si>
    <t>The authors disclosed receipt of the following financial support for the research, authorship, and/or publication of this article: This work was funded by an ESRC Grant (ES/M500600604/1).</t>
  </si>
  <si>
    <t>1360-7804</t>
  </si>
  <si>
    <t>How Much Freedom Do We Have?'</t>
  </si>
  <si>
    <t>10.1177/13621688211007472</t>
  </si>
  <si>
    <t>Language Teaching Research</t>
  </si>
  <si>
    <t>1477-0954</t>
  </si>
  <si>
    <t>1362-1688</t>
  </si>
  <si>
    <t>Continuing To Look In The Mirror: A Review Of Neuroscientific Evidence For The Broken Mirror Hypothesis, Ep-m Model And Storm Model Of Autism Spectrum Conditions</t>
  </si>
  <si>
    <t>10.1177/1362361320936945</t>
  </si>
  <si>
    <t>Autism</t>
  </si>
  <si>
    <t>1461-7005</t>
  </si>
  <si>
    <t>1362-3613</t>
  </si>
  <si>
    <t>Intensive Behavioural Interventions Based On Applied Behaviour Analysis (Aba) For Young Children With Autism: An International Collaborative Independent Participant Data (Ipd) Meta-analysis</t>
  </si>
  <si>
    <t>10.1177/1362361320985680</t>
  </si>
  <si>
    <t>The author(s) disclosed receipt of the following financial support for the research, authorship and/or publication of this article: This report was commissioned by the NIHR HTA Programme (Project No. 16/104/15).</t>
  </si>
  <si>
    <t>Crosslinguistic Influence On English And Chinese L2 Speakers&amp;Rsquo; Conceptualization Of Event Serialization Patterns</t>
  </si>
  <si>
    <t>10.1177/1367006920947174</t>
  </si>
  <si>
    <t>International Journal Of Bilingualism</t>
  </si>
  <si>
    <t>The author(s) disclosed receipt of the following financial support for the research, authorship, and/or publication of this article: This study received support from the China Ministry of Education, its Humanities and Social Sciences Youth Fund, for the project “Acquisition and processing of multi-verb constructions: A bidirectional study of English L2 and Chinese L2 learners” (project and grant number 15YJC740075), and from the Fundamental Research Funds for the Central Universities for the project “The influence of L1 finiteness on L2 acquisition” (project and grant number ZX20190052). Both grants were awarded to Mengmeng Tang.</t>
  </si>
  <si>
    <t>1756-6878</t>
  </si>
  <si>
    <t>1367-0069</t>
  </si>
  <si>
    <t>Adventures In The Anti-humanist Dialectic: Towards The Re-appropriation Of Humanism</t>
  </si>
  <si>
    <t>10.1177/1368431021991775</t>
  </si>
  <si>
    <t>European Journal Of Social Theory</t>
  </si>
  <si>
    <t>The author(s) disclosed receipt of the following financial support for the research, authorship, and/or publication of this article: This work was supported by European Union’s Horizon 2020 research and innovation programme under the Marie Skłodowska-Curie grant agreement No 794656.</t>
  </si>
  <si>
    <t>1461-7137</t>
  </si>
  <si>
    <t>1368-4310</t>
  </si>
  <si>
    <t>&amp;Lsquo;Breakthrough&amp;Rsquo; Political Science: Multi-level Governance &amp;Ndash; Reconceptualising Europe&amp;Rsquo;S Modernised Polity</t>
  </si>
  <si>
    <t>10.1177/1369148120959588</t>
  </si>
  <si>
    <t>British Journal Of Politics And International Relations</t>
  </si>
  <si>
    <t>1467-856X</t>
  </si>
  <si>
    <t>1369-1481</t>
  </si>
  <si>
    <t>Anti-populism During The Yellow Vest Protests: From Combatting The Rassemblement National To Dealing With Street Populists</t>
  </si>
  <si>
    <t>10.1177/1369148120974014</t>
  </si>
  <si>
    <t>Taking One For The Team: Partisan Alignment And Planning Outcomes In England</t>
  </si>
  <si>
    <t>10.1177/1369148120985409</t>
  </si>
  <si>
    <t>Posting Of Workers</t>
  </si>
  <si>
    <t>10.1177/1388262720931658</t>
  </si>
  <si>
    <t>European Journal Of Social Security</t>
  </si>
  <si>
    <t>2399-2948</t>
  </si>
  <si>
    <t>1388-2627</t>
  </si>
  <si>
    <t>Strengths, Assets And Place The Emergence Local Area Coordination Initiatives In England And Wales</t>
  </si>
  <si>
    <t>10.1177/1468017320918174</t>
  </si>
  <si>
    <t>Journal Of Social Work</t>
  </si>
  <si>
    <t>The author(s) disclosed receipt of the following financial support for the research, authorship, and/or publication of this article: This work was supported by the University of York Economic and Social Research Council Impact Acceleration Account, Co-Production Call.</t>
  </si>
  <si>
    <t>UKRI funded and not CC BY</t>
  </si>
  <si>
    <t>1741-296X</t>
  </si>
  <si>
    <t>1468-0173</t>
  </si>
  <si>
    <t>Bodies In The Field; Methodological Reflections On Tai Chi And Pregnancy In An Ethnographic Study At A Chinese Community Centre In The Nw Of England.</t>
  </si>
  <si>
    <t>10.1177/1468794120918812</t>
  </si>
  <si>
    <t>Qualitative Research</t>
  </si>
  <si>
    <t>The author(s) disclosed receipt of the following financial support for the research, authorship, and/or publication of this article: This paper presents findings from Naomi Wood’s doctoral research, which was funded by a University of Manchester scholarship.</t>
  </si>
  <si>
    <t>1741-3109</t>
  </si>
  <si>
    <t>1468-7941</t>
  </si>
  <si>
    <t>Cufflinks, Photos And Youtube: The Benefits Of Third Object Prompts When Researching Race And Discrimination In Elite Higher Education</t>
  </si>
  <si>
    <t>10.1177/1468794120972607</t>
  </si>
  <si>
    <t>The author disclosed receipt of the following financial support for the research, authorship, and/or publication of this article: This publication is based on research funded by the Economic and Social Research Council, ES/I019537/1, in fulfilment of a PhD in Sociology of Education. The research explored the narratives of British African Caribbean men at elite UK Universities, supervised by Prof. David James and Dr. Katy Greenland, Cardiff University, School of Social Sciences.</t>
  </si>
  <si>
    <t>From Goods-dominant Logic To Service-dominant Logic? Service, Service Capitalism And Service Socialism</t>
  </si>
  <si>
    <t>10.1177/1470593120966768</t>
  </si>
  <si>
    <t>Marketing Theory</t>
  </si>
  <si>
    <t>1741-301X</t>
  </si>
  <si>
    <t>1470-5931</t>
  </si>
  <si>
    <t>Circle Of Light' And 'This'</t>
  </si>
  <si>
    <t>10.1177/1473325020973215</t>
  </si>
  <si>
    <t>Qualitative Social Work</t>
  </si>
  <si>
    <t>1741-3117</t>
  </si>
  <si>
    <t>1473-3250</t>
  </si>
  <si>
    <t>Social Work And Sociology/Sociology And Social Work: Peering Back And Forth</t>
  </si>
  <si>
    <t>10.1177/1473325020973300</t>
  </si>
  <si>
    <t>Activist Parties And Hybrid Party Behaviours: A Typological Reassessment Of Partisan Mobilisation</t>
  </si>
  <si>
    <t>10.1177/1478929920952000</t>
  </si>
  <si>
    <t>Political Studies Review</t>
  </si>
  <si>
    <t>1478-9302</t>
  </si>
  <si>
    <t>1478-9299</t>
  </si>
  <si>
    <t>Populism And New Patterns Of Political Competition In Western Europe</t>
  </si>
  <si>
    <t>10.1177/14789299211007984</t>
  </si>
  <si>
    <t>Qualitative Evidence Synthesis: Where Are We At?</t>
  </si>
  <si>
    <t>10.1177/1609406921993276</t>
  </si>
  <si>
    <t>International Journal Of Qualitative Methods</t>
  </si>
  <si>
    <t>1609-4069</t>
  </si>
  <si>
    <t>Leadership Lessons Untold: A New History Of Robert Mcnamaras World Bank</t>
  </si>
  <si>
    <t>10.1177/17427150211010600</t>
  </si>
  <si>
    <t>Leadership</t>
  </si>
  <si>
    <t>The author(s) disclosed receipt of the following financial support for the research, authorship and/or publication of this article: Funding from the British Academy/Leverhulme Small Research Grants Scheme is gratefully acknowledged. Project title: ‘Trust in Numbers Revisited: A Career-Based History of Performance Metrics’, award reference: SRG\170583.</t>
  </si>
  <si>
    <t>1742-7169</t>
  </si>
  <si>
    <t>1742-7150</t>
  </si>
  <si>
    <t>Seven Challenges For The Dehumanization Hypothesis</t>
  </si>
  <si>
    <t>10.1177/1745691620902133</t>
  </si>
  <si>
    <t>Perspectives On Psychological Science</t>
  </si>
  <si>
    <t>This research was supported by European Research Council Grant ERC-STG-755719 under the European Union’s Horizon 2020 Programme.</t>
  </si>
  <si>
    <t>1745-6924</t>
  </si>
  <si>
    <t>1745-6916</t>
  </si>
  <si>
    <t>Falsifying The Dehumanisation Hypothesis</t>
  </si>
  <si>
    <t>10.1177/1745691620969657</t>
  </si>
  <si>
    <t>This research was supported by European Research Council Grant ERC-STG-755719 under European Union’s Horizon 2020 Programme.</t>
  </si>
  <si>
    <t>From Genome-wide To Environment-wide: Capturing The Environome</t>
  </si>
  <si>
    <t>10.1177/1745691620979803</t>
  </si>
  <si>
    <t>This work was supported by Jacobs Foundation Fellowship 2017-2019 (to S. von Stumm).</t>
  </si>
  <si>
    <t>The Influence Of Perceived Vocal Traits On Trusting Behaviours In An Economic Game</t>
  </si>
  <si>
    <t>10.1177/17470218211010144</t>
  </si>
  <si>
    <t>Quarterly Journal Of Experimental Psychology</t>
  </si>
  <si>
    <t>The author(s) disclosed receipt of the following financial support for the research, authorship, and/or publication of this article: This work was funded by a Research Leadership Award from The Leverhulme Trust, awarded to Carolyn McGettigan (grant no. RL-2016-013).</t>
  </si>
  <si>
    <t>1747-0226</t>
  </si>
  <si>
    <t>1747-0218</t>
  </si>
  <si>
    <t>Social Networking In Mental Health Interventions For Adolescents</t>
  </si>
  <si>
    <t>10.1177/1757913920924431</t>
  </si>
  <si>
    <t>Perspectives In Public Health</t>
  </si>
  <si>
    <t>1757-9147</t>
  </si>
  <si>
    <t>1757-9139</t>
  </si>
  <si>
    <t>Augmentation Of The Insufficient Tissue Bed For Surgical Repair Of Hypospadias Using Acellular Matrix Grafts: A Proof Of Concept Study.</t>
  </si>
  <si>
    <t>10.1177/2041731421998840</t>
  </si>
  <si>
    <t>Journal Of Tissue Engineering</t>
  </si>
  <si>
    <t>The author(s) disclosed receipt of the following financial support for the research, authorship, and/or publication of this article: The research work described here was funded through the Medical Technologies Innovation and Knowledge Centre (phase 2 – Regenerative Devices), funded by the EPSRC under grant number EP/N00941X/1 as Proof of Concept awards: PoC023 and PoC045 and partially by Grow MedTech’s Proof of Feasibility programme supported by UKRI Research England’s Connecting Capability Fund [project code: CCF11-7795]. AR was supported by the European Society of Paediatric Urology. AR and DM were registered as PhD students with the Hull York Medical School. JS is supported by a programme grant from York Against Cancer. The work leading to the development of PABM was originally funded by the Biotechnology and Biological Sciences Research Council (BBSRC) on grants E20352 and BB/E527220/1.</t>
  </si>
  <si>
    <t>Paid by invoice</t>
  </si>
  <si>
    <t>2041-7314</t>
  </si>
  <si>
    <t>Quantifying The Impact Of Delayed Delivery Of Cardiac Rehabilitation On Patients</t>
  </si>
  <si>
    <t>10.1177/2047487320912625</t>
  </si>
  <si>
    <t>European Journal Of Preventive Cardiology</t>
  </si>
  <si>
    <t>The author(s) disclosed receipt of the following financial support for the research, authorship, and/or publication of this article: The research was co-funded by the NIHR Collaborations for Leadership in Applied Health Research and Care (CLAHRC) and Applied Research Collaboration (ARC) Yorkshire and Humber. The views expressed are those of the author(s), and not necessarily those of the NIHR or the Department of Health and Social Care. AH, PD and the NACR data are funded by British Heart Foundation grant (040/PSS/17/18/NACR).</t>
  </si>
  <si>
    <t>Journal moved to OUP in 2021. Not sure which deal to count this under</t>
  </si>
  <si>
    <t>2047-4873</t>
  </si>
  <si>
    <t>2047-4881</t>
  </si>
  <si>
    <t>What Are The Implications For Patient Safety And Experience Of A Major Healthcare It Breakdown? A Qualitative Study</t>
  </si>
  <si>
    <t>10.1177/20552076211010033</t>
  </si>
  <si>
    <t>Digital Health</t>
  </si>
  <si>
    <t>This work was supported by the National Institute for Health Research (NIHR) Yorkshire and Humber Patient Safety Translational Research Centre (NIHR Yorkshire and Humber PSTRC). The work was also supported by the NIHR CLAHRC Yorkshire and Humber (www.clahrc-yh.nihr.ac.uk).</t>
  </si>
  <si>
    <t>2055-2076</t>
  </si>
  <si>
    <t>Quantified Nostalgia: Social Media, Metrics And Memory</t>
  </si>
  <si>
    <t>10.1177/20563051211008822</t>
  </si>
  <si>
    <t>Social Media + Society</t>
  </si>
  <si>
    <t>2056-3051</t>
  </si>
  <si>
    <t>Losing Control: Sleep Deprivation Impairs The Suppression Of Unwanted Thoughts</t>
  </si>
  <si>
    <t>10.1177/2167702620951511</t>
  </si>
  <si>
    <t>Clinical Psychological Science</t>
  </si>
  <si>
    <t>This work was supported by Medical Research Council Career Development Award MR-P020208-1 (to S. A. Cairney) and Medical Research Council Grant MC-A060-5PR00 (to M. C. Anderson).</t>
  </si>
  <si>
    <t>2167-7034</t>
  </si>
  <si>
    <t>2167-7026</t>
  </si>
  <si>
    <t>Reporting Of Placebo Medication Descriptors In Randomised Controlled Trials: A Review Of Four Medical Journals</t>
  </si>
  <si>
    <t>10.1177/2632084320932757</t>
  </si>
  <si>
    <t>Research Methods In Medicine &amp; Health Sciences</t>
  </si>
  <si>
    <t>2632-0843</t>
  </si>
  <si>
    <t>Envelope Use And Reporting In Randomised Controlled Trials: A Guide For Researchers</t>
  </si>
  <si>
    <t>10.1177/2632084320957204</t>
  </si>
  <si>
    <t>A Meta-Analysis of the Effects of Teacher Personality on Teacher Effectiveness and Burnout</t>
  </si>
  <si>
    <t>10.1007/s10648-018-9458-2</t>
  </si>
  <si>
    <t>Educational Psychology Review</t>
  </si>
  <si>
    <t>Springer</t>
  </si>
  <si>
    <t>Springer Compact 2018</t>
  </si>
  <si>
    <t>Report downloaded from SN dashboard 03/11/2021: Springer articles approved 1 Jan 2016-3 Nov 2021.xlsx</t>
  </si>
  <si>
    <t>1573-336X</t>
  </si>
  <si>
    <t>Arbuscular Mycorrhizal Fungi and Plant Chemical Defence: Effects of Colonisation on Aboveground and Belowground Metabolomes</t>
  </si>
  <si>
    <t>10.1007/s10886-017-0921-1</t>
  </si>
  <si>
    <t>Journal of Chemical Ecology</t>
  </si>
  <si>
    <t>1573-1561</t>
  </si>
  <si>
    <t>Psychometric Properties of Parent Outcome Measures Used in RCTs of Antenatal and Early Years Parent Programs: A Systematic Review</t>
  </si>
  <si>
    <t>10.1007/s10567-019-00276-2</t>
  </si>
  <si>
    <t>Clinical Child and Family Psychology Review</t>
  </si>
  <si>
    <t>Springer Compact 2019</t>
  </si>
  <si>
    <t>Public Health Research Programme</t>
  </si>
  <si>
    <t>1573-2827</t>
  </si>
  <si>
    <t>Evolving graphs with semantic neutral drift</t>
  </si>
  <si>
    <t>10.1007/s11047-019-09772-4</t>
  </si>
  <si>
    <t>Natural Computing</t>
  </si>
  <si>
    <t>1572-9796</t>
  </si>
  <si>
    <t>Symmetry, Reference Frames, and Relational Quantities in Quantum Mechanics</t>
  </si>
  <si>
    <t>10.1007/s10701-018-0138-3</t>
  </si>
  <si>
    <t>Foundations of Physics</t>
  </si>
  <si>
    <t>1572-9516</t>
  </si>
  <si>
    <t>Psychometric Properties of Child (0–5 Years) Outcome Measures as used in Randomized Controlled Trials of Parent Programs: A Systematic Review</t>
  </si>
  <si>
    <t>10.1007/s10567-019-00277-1</t>
  </si>
  <si>
    <t>Environmental Justice as Scalar Parity: Lessons From Nuclear Waste Management</t>
  </si>
  <si>
    <t>10.1007/s11211-018-0311-z</t>
  </si>
  <si>
    <t>Social Justice Research</t>
  </si>
  <si>
    <t>1573-6725</t>
  </si>
  <si>
    <t>Introduction</t>
  </si>
  <si>
    <t>10.1007/s10583-018-9372-8</t>
  </si>
  <si>
    <t>Children's Literature in Education</t>
  </si>
  <si>
    <t>1573-1693</t>
  </si>
  <si>
    <t>Economic and socio-cultural consequences of changing political rule on human and faunal diets in medieval Valencia (c. fifth–fifteenth century AD) as evidenced by stable isotopes</t>
  </si>
  <si>
    <t>10.1007/s12520-019-00810-x</t>
  </si>
  <si>
    <t>Archaeological and Anthropological Sciences</t>
  </si>
  <si>
    <t>1866-9565</t>
  </si>
  <si>
    <t>Psychometric Properties of Parent–Child (0–5 years) Interaction Outcome Measures as Used in Randomized Controlled Trials of Parent Programs: A Systematic Review</t>
  </si>
  <si>
    <t>10.1007/s10567-019-00275-3</t>
  </si>
  <si>
    <t>Uncovering Hidden Curricula: Use of Dark Humor in Anatomy Labs and its Implications for Basic Sciences Education</t>
  </si>
  <si>
    <t>10.1007/s40670-019-00912-0</t>
  </si>
  <si>
    <t>Medical Science Educator</t>
  </si>
  <si>
    <t>Springer Compact 2020</t>
  </si>
  <si>
    <t>2156-8650</t>
  </si>
  <si>
    <t>‘I’m sorry to hear that’—Empathy and Empathic Dissonance: the Perspectives of PA Students</t>
  </si>
  <si>
    <t>10.1007/s40670-020-00979-0</t>
  </si>
  <si>
    <t>“Educate, Agitate, Organize”: Inequality and Ethics in the Writings of Dr. Bhimrao Ramji Ambedkar</t>
  </si>
  <si>
    <t>10.1007/s10551-021-04770-y</t>
  </si>
  <si>
    <t>Journal of Business Ethics</t>
  </si>
  <si>
    <t>Springer Compact 2021</t>
  </si>
  <si>
    <t>1573-0697</t>
  </si>
  <si>
    <t>‘Who’s a good boy?!’ Dogs prefer naturalistic dog-directed speech</t>
  </si>
  <si>
    <t>10.1007/s10071-018-1172-4</t>
  </si>
  <si>
    <t>Animal Cognition</t>
  </si>
  <si>
    <t>1435-9456</t>
  </si>
  <si>
    <t>Environmental Injustice in Mexico City: A Spatial Quantile Approach</t>
  </si>
  <si>
    <t>10.1007/s12403-019-00310-2</t>
  </si>
  <si>
    <t>Exposure and Health</t>
  </si>
  <si>
    <t>2451-9685</t>
  </si>
  <si>
    <t>Relating Nets and Factorization Algebras of Observables: Free Field Theories</t>
  </si>
  <si>
    <t>10.1007/s00220-019-03652-9</t>
  </si>
  <si>
    <t>Communications in Mathematical Physics</t>
  </si>
  <si>
    <t>1432-0916</t>
  </si>
  <si>
    <t>Deep reinforcement learning for drone navigation using sensor data</t>
  </si>
  <si>
    <t>10.1007/s00521-020-05097-x</t>
  </si>
  <si>
    <t>Neural Computing and Applications</t>
  </si>
  <si>
    <t>1433-3058</t>
  </si>
  <si>
    <t>Contingency in Political Philosophy</t>
  </si>
  <si>
    <t>10.1007/s11406-016-9802-z</t>
  </si>
  <si>
    <t>Philosophia</t>
  </si>
  <si>
    <t>Springer Compact 2017</t>
  </si>
  <si>
    <t>1574-9274</t>
  </si>
  <si>
    <t>An Exploration of Problematic Smartphone Use among Chinese University Students: Associations with Academic Anxiety, Academic Procrastination, Self-Regulation and Subjective Wellbeing</t>
  </si>
  <si>
    <t>10.1007/s11469-018-9961-1</t>
  </si>
  <si>
    <t>International Journal of Mental Health and Addiction</t>
  </si>
  <si>
    <t>1557-1882</t>
  </si>
  <si>
    <t>The Matter-Gravity Entanglement Hypothesis</t>
  </si>
  <si>
    <t>10.1007/s10701-018-0150-7</t>
  </si>
  <si>
    <t>Gleason-Type Theorems from Cauchy’s Functional Equation</t>
  </si>
  <si>
    <t>10.1007/s10701-019-00275-x</t>
  </si>
  <si>
    <t>WW Smith Fund, York Centre for Quantum Technologies</t>
  </si>
  <si>
    <t>The Cultural Project: Formal Chronological Modelling of the Early and Middle Neolithic Sequence in Lower Alsace</t>
  </si>
  <si>
    <t>10.1007/s10816-016-9307-x</t>
  </si>
  <si>
    <t>Journal of Archaeological Method and Theory</t>
  </si>
  <si>
    <t>Springer Compact 2016</t>
  </si>
  <si>
    <t>1573-7764</t>
  </si>
  <si>
    <t>Oral Interactions in Secondary Science Classrooms: a Grounded Approach to Identifying Oral Feedback Types and Practices</t>
  </si>
  <si>
    <t>10.1007/s11165-019-9843-y</t>
  </si>
  <si>
    <t>Research in Science Education</t>
  </si>
  <si>
    <t>1573-1898</t>
  </si>
  <si>
    <t>The role of managed natural spaces in connecting people with urban nature: a comparison of local user, researcher, and provider views</t>
  </si>
  <si>
    <t>10.1007/s11252-018-0762-x</t>
  </si>
  <si>
    <t>Urban Ecosystems</t>
  </si>
  <si>
    <t>1573-1642</t>
  </si>
  <si>
    <t>Co-designing Urban Living Solutions to Improve Older People’s Mobility and Well-Being</t>
  </si>
  <si>
    <t>10.1007/s11524-018-0232-z</t>
  </si>
  <si>
    <t>Journal of Urban Health</t>
  </si>
  <si>
    <t>1468-2869</t>
  </si>
  <si>
    <t>How is COVID-19 Affecting the Mental Health of Children with Special Educational Needs and Disabilities and Their Families?</t>
  </si>
  <si>
    <t>10.1007/s10803-020-04577-2</t>
  </si>
  <si>
    <t>Journal of Autism and Developmental Disorders</t>
  </si>
  <si>
    <t>1573-3432</t>
  </si>
  <si>
    <t>Uniformly de Bruijn Sequences and Symbolic Diophantine Approximation on Fractals</t>
  </si>
  <si>
    <t>10.1007/s00026-018-0384-2</t>
  </si>
  <si>
    <t>Annals of Combinatorics</t>
  </si>
  <si>
    <t>0219-3094</t>
  </si>
  <si>
    <t>Response-time analysis for fixed-priority systems with a write-back cache</t>
  </si>
  <si>
    <t>10.1007/s11241-018-9305-z</t>
  </si>
  <si>
    <t>Real-Time Systems</t>
  </si>
  <si>
    <t>1573-1383</t>
  </si>
  <si>
    <t>Fundamental Theorem of Asset Pricing under fixed and proportional transaction costs</t>
  </si>
  <si>
    <t>10.1007/s10436-020-00367-z</t>
  </si>
  <si>
    <t>Annals of Finance</t>
  </si>
  <si>
    <t>1614-2454</t>
  </si>
  <si>
    <t>Who does better for the economy? Presidents versus parliamentary democracies</t>
  </si>
  <si>
    <t>10.1007/s11127-018-0552-2</t>
  </si>
  <si>
    <t>Public Choice</t>
  </si>
  <si>
    <t>1573-7101</t>
  </si>
  <si>
    <t>How Do Undiagnosed Symptoms of Maternal Psychological Distress During the Postnatal Period Affect Child Developmental Outcomes?</t>
  </si>
  <si>
    <t>10.1007/s10995-019-02749-w</t>
  </si>
  <si>
    <t>Maternal and Child Health Journal</t>
  </si>
  <si>
    <t>1573-6628</t>
  </si>
  <si>
    <t>The market, utilitarianism and the corruption argument</t>
  </si>
  <si>
    <t>10.1007/s12232-018-0302-2</t>
  </si>
  <si>
    <t>International Review of Economics</t>
  </si>
  <si>
    <t>1863-4613</t>
  </si>
  <si>
    <t>Synthesis of probabilistic models for quality-of-service software engineering</t>
  </si>
  <si>
    <t>10.1007/s10515-018-0235-8</t>
  </si>
  <si>
    <t>Automated Software Engineering</t>
  </si>
  <si>
    <t>1573-7535</t>
  </si>
  <si>
    <t>Striking the balance with epistemic injustice in healthcare: the case of Chronic Fatigue Syndrome/Myalgic Encephalomyelitis</t>
  </si>
  <si>
    <t>10.1007/s11019-020-09945-4</t>
  </si>
  <si>
    <t>Medicine, Health Care and Philosophy</t>
  </si>
  <si>
    <t>1572-8633</t>
  </si>
  <si>
    <t>What Does 2D Geometric Information Really Tell Us About 3D Face Shape?</t>
  </si>
  <si>
    <t>10.1007/s11263-019-01197-x</t>
  </si>
  <si>
    <t>International Journal of Computer Vision</t>
  </si>
  <si>
    <t>1573-1405</t>
  </si>
  <si>
    <t>Towards an Explicit Construction of Local Observables in Integrable Quantum Field Theories</t>
  </si>
  <si>
    <t>10.1007/s00023-019-00847-7</t>
  </si>
  <si>
    <t>Annales Henri Poincaré</t>
  </si>
  <si>
    <t>1424-0661</t>
  </si>
  <si>
    <t>Case-finding for common mental disorders in primary care using routinely collected data: a systematic review</t>
  </si>
  <si>
    <t>10.1007/s00127-019-01744-4</t>
  </si>
  <si>
    <t>Social Psychiatry and Psychiatric Epidemiology</t>
  </si>
  <si>
    <t>1433-9285</t>
  </si>
  <si>
    <t>A singularity theorem for Einstein–Klein–Gordon theory</t>
  </si>
  <si>
    <t>10.1007/s10714-018-2446-5</t>
  </si>
  <si>
    <t>General Relativity and Gravitation</t>
  </si>
  <si>
    <t>1572-9532</t>
  </si>
  <si>
    <t>Statistical Modeling of Craniofacial Shape and Texture</t>
  </si>
  <si>
    <t>10.1007/s11263-019-01260-7</t>
  </si>
  <si>
    <t>Utility elicitation in adults and children for allergic rhinoconjunctivitis and associated health states</t>
  </si>
  <si>
    <t>10.1007/s11136-018-1910-8</t>
  </si>
  <si>
    <t>Quality of Life Research</t>
  </si>
  <si>
    <t>1573-2649</t>
  </si>
  <si>
    <t>Impact of mapped EQ-5D utilities on cost-effectiveness analysis: in the case of dialysis treatments</t>
  </si>
  <si>
    <t>10.1007/s10198-018-0987-x</t>
  </si>
  <si>
    <t>The European Journal of Health Economics</t>
  </si>
  <si>
    <t>EuroQol Research Foundation</t>
  </si>
  <si>
    <t>1618-7601</t>
  </si>
  <si>
    <t>An Examination of Tensions in a Hybrid Collaboration: A Longitudinal Study of an Empty Homes Project</t>
  </si>
  <si>
    <t>10.1007/s10551-018-3962-7</t>
  </si>
  <si>
    <t>Living Mesolithic Time: Narratives, Chronologies and Organic Material Culture</t>
  </si>
  <si>
    <t>10.1007/s10963-018-9119-x</t>
  </si>
  <si>
    <t>Journal of World Prehistory</t>
  </si>
  <si>
    <t>1573-7802</t>
  </si>
  <si>
    <t>ℵ0-categoricity of semigroups</t>
  </si>
  <si>
    <t>10.1007/s00233-019-10002-7</t>
  </si>
  <si>
    <t>Semigroup Forum</t>
  </si>
  <si>
    <t>1432-2137</t>
  </si>
  <si>
    <t>Is There a Text in This Child? Childness and the Child-Authored Text</t>
  </si>
  <si>
    <t>10.1007/s10583-018-9376-4</t>
  </si>
  <si>
    <t>Improving the lower bound to the secret-key capacity of the thermal ampliﬁer channel</t>
  </si>
  <si>
    <t>10.1140/epjd/e2018-90351-0</t>
  </si>
  <si>
    <t>The European Physical Journal D</t>
  </si>
  <si>
    <t>EPSRC via the ‘Quantum Communications HUB’</t>
  </si>
  <si>
    <t>1434-6079</t>
  </si>
  <si>
    <t>On the firm’s option values of short-time work policies</t>
  </si>
  <si>
    <t>10.1007/s11579-020-00258-x</t>
  </si>
  <si>
    <t>Mathematics and Financial Economics</t>
  </si>
  <si>
    <t>1862-9660</t>
  </si>
  <si>
    <t>The preliminary measurement properties of the person-centred community care inventory (PERCCI)</t>
  </si>
  <si>
    <t>10.1007/s11136-018-1917-1</t>
  </si>
  <si>
    <t>Bridging proprietary modelling and open-source model management tools: the case of PTC Integrity Modeller and Epsilon</t>
  </si>
  <si>
    <t>10.1007/s10270-019-00732-1</t>
  </si>
  <si>
    <t>Software and Systems Modeling</t>
  </si>
  <si>
    <t>1619-1374</t>
  </si>
  <si>
    <t>Scientific Discovery Through Fictionally Modelling Reality</t>
  </si>
  <si>
    <t>10.1007/s11245-018-9582-0</t>
  </si>
  <si>
    <t>Topoi</t>
  </si>
  <si>
    <t>1572-8749</t>
  </si>
  <si>
    <t>Stochastic synthesis of recursive functions made easy with bananas, lenses, envelopes and barbed wire</t>
  </si>
  <si>
    <t>10.1007/s10710-019-09347-3</t>
  </si>
  <si>
    <t>Genetic Programming and Evolvable Machines</t>
  </si>
  <si>
    <t>1573-7632</t>
  </si>
  <si>
    <t>Orbit closures and invariants</t>
  </si>
  <si>
    <t>10.1007/s00209-019-02228-6</t>
  </si>
  <si>
    <t>Mathematische Zeitschrift</t>
  </si>
  <si>
    <t>1432-1823</t>
  </si>
  <si>
    <t>RoboChart: modelling and verification of the functional behaviour of robotic applications</t>
  </si>
  <si>
    <t>10.1007/s10270-018-00710-z</t>
  </si>
  <si>
    <t>EPSRC, Royal Academy of Engineering</t>
  </si>
  <si>
    <t>Drug discovery in leishmaniasis using protein lipidation as a target</t>
  </si>
  <si>
    <t>10.1007/s12551-021-00855-0</t>
  </si>
  <si>
    <t>Biophysical Reviews</t>
  </si>
  <si>
    <t>medical research council, wellcome trust</t>
  </si>
  <si>
    <t>1867-2469</t>
  </si>
  <si>
    <t>Special Issue on Cognitive Load Theory: Editorial</t>
  </si>
  <si>
    <t>10.1007/s10648-019-09474-4</t>
  </si>
  <si>
    <t>The transparent failure of norms to keep up standards of belief</t>
  </si>
  <si>
    <t>10.1007/s11098-019-01242-y</t>
  </si>
  <si>
    <t>Philosophical Studies</t>
  </si>
  <si>
    <t>1573-0883</t>
  </si>
  <si>
    <t>Why do people prefer randomisation? An experimental investigation</t>
  </si>
  <si>
    <t>10.1007/s11238-019-09719-2</t>
  </si>
  <si>
    <t>Theory and Decision</t>
  </si>
  <si>
    <t>1573-7187</t>
  </si>
  <si>
    <t>Mapping between HAQ-DI and EQ-5D-5L in a Chinese patient population</t>
  </si>
  <si>
    <t>10.1007/s11136-018-1925-1</t>
  </si>
  <si>
    <t>“We ought to eat in order to work, not vice versa”: MacIntyre, practices, and the best work for humankind</t>
  </si>
  <si>
    <t>10.1007/s10551-020-04603-4</t>
  </si>
  <si>
    <t>The impact of public health insurance on healthcare utilisation in Indonesia: evidence from panel data</t>
  </si>
  <si>
    <t>10.1007/s00038-019-01215-2</t>
  </si>
  <si>
    <t>International Journal of Public Health</t>
  </si>
  <si>
    <t>Indonesian Endowment Fund for Education</t>
  </si>
  <si>
    <t>1661-8564</t>
  </si>
  <si>
    <t>1661-8556</t>
  </si>
  <si>
    <t>The Decarbonisation Challenge of Southeast Europe: A Case Study of Romania</t>
  </si>
  <si>
    <t>10.1007/s10272-019-0851-y</t>
  </si>
  <si>
    <t>Intereconomics</t>
  </si>
  <si>
    <t>1613-964X</t>
  </si>
  <si>
    <t>0020-5346</t>
  </si>
  <si>
    <t>Diet, cuisine and consumption practices of the first farmers in the southeastern Baltic</t>
  </si>
  <si>
    <t>10.1007/s12520-019-00804-9</t>
  </si>
  <si>
    <t>Research Council of Lithuania, European Research Council</t>
  </si>
  <si>
    <t>The Missing Step of Pottery chaîne opératoire: Considering Post-firing Treatments on Ceramic Vessels Using Macro- and Microscopic Observation and Molecular Analysis</t>
  </si>
  <si>
    <t>10.1007/s10816-019-09428-8</t>
  </si>
  <si>
    <t>Semigroups with finitely generated universal left congruence</t>
  </si>
  <si>
    <t>10.1007/s00605-019-01274-w</t>
  </si>
  <si>
    <t>Monatshefte für Mathematik</t>
  </si>
  <si>
    <t>1436-5081</t>
  </si>
  <si>
    <t>Estimating heterogeneous policy impacts using causal machine learning: a case study of health insurance reform in Indonesia</t>
  </si>
  <si>
    <t>10.1007/s10742-021-00259-3</t>
  </si>
  <si>
    <t>Health Services and Outcomes Research Methodology</t>
  </si>
  <si>
    <t>1572-9400</t>
  </si>
  <si>
    <t>The representational entity in physical computing</t>
  </si>
  <si>
    <t>10.1007/s11047-020-09805-3</t>
  </si>
  <si>
    <t>Relative Entropy of Coherent States on General CCR Algebras</t>
  </si>
  <si>
    <t>10.1007/s00220-021-04249-x</t>
  </si>
  <si>
    <t>High status diet and health in Medieval Lisbon: a combined isotopic and osteological analysis of the Islamic population from São Jorge Castle, Portugal</t>
  </si>
  <si>
    <t>10.1007/s12520-019-00822-7</t>
  </si>
  <si>
    <t>AHRC PhD Network Studentship awarded (White Rose College of the Arts and Humanities at the University of York), Santander International Connection award 2014, Barakat Trust, Archaeological Institute of America, BioArCh Department of Archaeology, University of York</t>
  </si>
  <si>
    <t>Asymptotic Symmetries in the BV-BFV Formalism</t>
  </si>
  <si>
    <t>10.1007/s00220-021-04061-7</t>
  </si>
  <si>
    <t>This research was (partly) supported by the NCCR SwissMAP, funded by the Swiss National Science Foundation. MS acknowledges partial support from Swiss National Science Foundation grants P2ZHP2_164999 and P300P2_177862. KR acknowledges the support of EPSRC through the Grant EP/P021204/1. Both authors would like to thank the Perimeter Institute, where part of this research was completed, for hospitality and the opportunity to work in such an inspiring research environment. We would also like to thank A. Ashtekar, M. Campiglia, A.S. Cattaneo, L. Freidel and A. Herdegen for enlightening discussions, as well as the anonymous referees for their suggestions on improvements.</t>
  </si>
  <si>
    <t>Household food insecurity is associated with depressive symptoms: results from a Mexican population-based survey</t>
  </si>
  <si>
    <t>10.1007/s12571-020-01014-1</t>
  </si>
  <si>
    <t>Food Security</t>
  </si>
  <si>
    <t>1876-4525</t>
  </si>
  <si>
    <t>Grand challenges in model-driven engineering: an analysis of the state of the research</t>
  </si>
  <si>
    <t>10.1007/s10270-019-00773-6</t>
  </si>
  <si>
    <t>Cannabis and Psychosis: Are We any Closer to Understanding the Relationship?</t>
  </si>
  <si>
    <t>10.1007/s11920-019-1044-x</t>
  </si>
  <si>
    <t>Current Psychiatry Reports</t>
  </si>
  <si>
    <t>1535-1645</t>
  </si>
  <si>
    <t>A Medical Science Educator’s Guide to Selecting a Research Paradigm: Building a Basis for Better Research</t>
  </si>
  <si>
    <t>10.1007/s40670-019-00898-9</t>
  </si>
  <si>
    <t>Metal Fluorides: Tools for Structural and Computational Analysis of Phosphoryl Transfer Enzymes</t>
  </si>
  <si>
    <t>10.1007/s41061-017-0130-y</t>
  </si>
  <si>
    <t>Topics in Current Chemistry</t>
  </si>
  <si>
    <t>2364-8961</t>
  </si>
  <si>
    <t>The alchemy of computation: designing with the unknown</t>
  </si>
  <si>
    <t>10.1007/s11047-019-09738-6</t>
  </si>
  <si>
    <t>Social Perceptions of Forest Ecosystem Services in the Democratic Republic of Congo</t>
  </si>
  <si>
    <t>10.1007/s10745-019-00115-6</t>
  </si>
  <si>
    <t>Human Ecology</t>
  </si>
  <si>
    <t>1572-9915</t>
  </si>
  <si>
    <t>Mapping the kidney disease quality of life 36-item short form survey (KDQOL-36) to the EQ-5D-3L and the EQ-5D-5L in patients undergoing dialysis</t>
  </si>
  <si>
    <t>10.1007/s10198-019-01088-5</t>
  </si>
  <si>
    <t>Death-Free Dairy? The Ethics of Clean Milk</t>
  </si>
  <si>
    <t>10.1007/s10806-018-9723-x</t>
  </si>
  <si>
    <t>Journal of Agricultural and Environmental Ethics</t>
  </si>
  <si>
    <t>1573-322X</t>
  </si>
  <si>
    <t>‘Refugees Not Welcome Here’: State, Church and Civil Society Responses to the Refugee Crisis in Poland</t>
  </si>
  <si>
    <t>10.1007/s10767-018-9287-9</t>
  </si>
  <si>
    <t>International Journal of Politics, Culture, and Society</t>
  </si>
  <si>
    <t>1573-3416</t>
  </si>
  <si>
    <t>A tribute to John B. Fountain</t>
  </si>
  <si>
    <t>10.1007/s00233-019-10033-0</t>
  </si>
  <si>
    <t>The essential indexical research program</t>
  </si>
  <si>
    <t>10.1007/s11229-020-02925-4</t>
  </si>
  <si>
    <t>Synthese</t>
  </si>
  <si>
    <t>1573-0964</t>
  </si>
  <si>
    <t>Measuring the Activity of Mental Health Services in England: Variation in Categorising Activity for Payment Purposes</t>
  </si>
  <si>
    <t>10.1007/s10488-019-00958-7</t>
  </si>
  <si>
    <t>Administration and Policy in Mental Health and Mental Health Services Research</t>
  </si>
  <si>
    <t>1573-3289</t>
  </si>
  <si>
    <t>A Cohomological Perspective on Algebraic Quantum Field Theory</t>
  </si>
  <si>
    <t>10.1007/s00220-018-3098-8</t>
  </si>
  <si>
    <t>Child mental health and resilience in the context of socioeconomic disadvantage: results from the Born in Bradford cohort study</t>
  </si>
  <si>
    <t>10.1007/s00787-019-01348-y</t>
  </si>
  <si>
    <t>European Child &amp; Adolescent Psychiatry</t>
  </si>
  <si>
    <t>1435-165X</t>
  </si>
  <si>
    <t>Bone diagenesis in a Mycenaean secondary burial (Kastrouli, Greece)</t>
  </si>
  <si>
    <t>10.1007/s12520-019-00853-0</t>
  </si>
  <si>
    <t>Linguistic features of fragrances: The role of grammatical gender and gender associations</t>
  </si>
  <si>
    <t>10.3758/s13414-019-01729-0</t>
  </si>
  <si>
    <t>Attention, Perception, &amp; Psychophysics</t>
  </si>
  <si>
    <t>The Netherlands Organization for Scientific Research (NWO)</t>
  </si>
  <si>
    <t>1943-393X</t>
  </si>
  <si>
    <t>Bog breathing: the extent of peat shrinkage and expansion on blanket bogs in relation to water table, heather management and dominant vegetation and its implications for carbon stock assessments</t>
  </si>
  <si>
    <t>10.1007/s11273-019-09672-5</t>
  </si>
  <si>
    <t>Wetlands Ecology and Management</t>
  </si>
  <si>
    <t>Department for Environment, Food and Rural Affairs</t>
  </si>
  <si>
    <t>1572-9834</t>
  </si>
  <si>
    <t>The Burden of Proof in Philosophical Persuasion Dialogue</t>
  </si>
  <si>
    <t>10.1007/s10503-017-9432-z</t>
  </si>
  <si>
    <t>Argumentation</t>
  </si>
  <si>
    <t>1572-8374</t>
  </si>
  <si>
    <t>Computing expectations and marginal likelihoods for permutations</t>
  </si>
  <si>
    <t>10.1007/s00180-019-00901-2</t>
  </si>
  <si>
    <t>Computational Statistics</t>
  </si>
  <si>
    <t>1613-9658</t>
  </si>
  <si>
    <t>The ‘Great Divide’: How the Arts Contribute to Science and Science Education</t>
  </si>
  <si>
    <t>10.1007/s42330-019-00057-7</t>
  </si>
  <si>
    <t>Canadian Journal of Science, Mathematics and Technology Education</t>
  </si>
  <si>
    <t>1942-4051</t>
  </si>
  <si>
    <t>Dynamics of of single- and multicontact external cavity semiconductor lasers under intracavity frequency sweeping: effects of material and laser parameters.</t>
  </si>
  <si>
    <t>10.1140/epjb/e2019-90639-3</t>
  </si>
  <si>
    <t>The European Physical Journal B</t>
  </si>
  <si>
    <t>1434-6036</t>
  </si>
  <si>
    <t>Sheldon spectrum and the plankton paradox: two sides of the same coin—a trait-based plankton size-spectrum model</t>
  </si>
  <si>
    <t>10.1007/s00285-017-1132-7</t>
  </si>
  <si>
    <t>Journal of Mathematical Biology</t>
  </si>
  <si>
    <t>1432-1416</t>
  </si>
  <si>
    <t>Algebraic properties of Zappa–Szép products of semigroups and monoids</t>
  </si>
  <si>
    <t>10.1007/s00233-017-9878-1</t>
  </si>
  <si>
    <t>Health-related quality of life of a conflict-affected population in Colombia</t>
  </si>
  <si>
    <t>10.1007/s11136-021-02805-5</t>
  </si>
  <si>
    <t>This research was conducted as part of the “War and Peace” project (Ref: MR/R013667/1), funded by the Medical Research Council (MRC) jointly with ESRC/DFID/Wellcome Trust, through the Joint Health Systems Research Initiative (HSRI).</t>
  </si>
  <si>
    <t>Does the use of health technology assessment have an impact on the utilisation of health care resources? Evidence from two European countries</t>
  </si>
  <si>
    <t>10.1007/s10198-020-01160-5</t>
  </si>
  <si>
    <t>Analysing the genetic architecture of clubroot resistance variation in Brassica napus by associative transcriptomics</t>
  </si>
  <si>
    <t>10.1007/s11032-019-1021-4</t>
  </si>
  <si>
    <t>Molecular Breeding</t>
  </si>
  <si>
    <t>1572-9788</t>
  </si>
  <si>
    <t>Making intrinsic values work; integrating intrinsic values of the more-than-human world through the Life Framework of Values</t>
  </si>
  <si>
    <t>10.1007/s11625-019-00715-7</t>
  </si>
  <si>
    <t>Sustainability Science</t>
  </si>
  <si>
    <t>1862-4057</t>
  </si>
  <si>
    <t>Informed preference consequentialism, contractarianism and libertarian paternalism: on Harsanyi, Rawls and Robert Sugden’s The Community of Advantage</t>
  </si>
  <si>
    <t>10.1007/s12232-020-00361-x</t>
  </si>
  <si>
    <t>Sibling Bullying in Middle Childhood is Associated with Psychosocial Difficulties in Early Adolescence: The Case of Individuals with Autism Spectrum Disorder</t>
  </si>
  <si>
    <t>10.1007/s10803-019-04116-8</t>
  </si>
  <si>
    <t>Attention and binding in visual working memory: Two forms of attention and two kinds of buffer storage</t>
  </si>
  <si>
    <t>10.3758/s13414-019-01837-x</t>
  </si>
  <si>
    <t>Combined analysis of the low-energy enhancement of the gamma-strength function and the giant dipole resonance</t>
  </si>
  <si>
    <t>10.1007/s10751-019-1618-3</t>
  </si>
  <si>
    <t>Hyperfine Interactions</t>
  </si>
  <si>
    <t>3005-0731</t>
  </si>
  <si>
    <t>The Prevalence and Psychopathological Correlates of Sibling Bullying in Children with and without Autism Spectrum Disorder</t>
  </si>
  <si>
    <t>10.1007/s10803-018-3484-2</t>
  </si>
  <si>
    <t>Late Holocene wetland transgression and 500 years of vegetation and fire variability in the semi-arid Amboseli landscape, southern Kenya</t>
  </si>
  <si>
    <t>10.1007/s13280-018-1014-2</t>
  </si>
  <si>
    <t>Ambio</t>
  </si>
  <si>
    <t>1654-7209</t>
  </si>
  <si>
    <t>Investigating Mirror System (MS) Activity in Adults with ASD When Inferring Others’ Intentions Using Both TMS and EEG</t>
  </si>
  <si>
    <t>10.1007/s10803-018-3492-2</t>
  </si>
  <si>
    <t>The intuitive cooperation hypothesis revisited: a meta-analytic examination of effect size and between-study heterogeneity</t>
  </si>
  <si>
    <t>10.1007/s40881-020-00084-3</t>
  </si>
  <si>
    <t>Journal of the Economic Science Association</t>
  </si>
  <si>
    <t>2199-6776</t>
  </si>
  <si>
    <t>Sustainability and the common good: Catholic Social Teaching and ‘Integral Ecology’ as contributions to a framework of social values for sustainability transitions</t>
  </si>
  <si>
    <t>10.1007/s11625-019-00691-y</t>
  </si>
  <si>
    <t>Impact of different earthworm ecotypes on water stable aggregates and soil water holding capacity</t>
  </si>
  <si>
    <t>10.1007/s00374-020-01432-5</t>
  </si>
  <si>
    <t>Biology and Fertility of Soils</t>
  </si>
  <si>
    <t>1432-0789</t>
  </si>
  <si>
    <t>The Hausdorff and dynamical dimensions of self-affine sponges: a dimension gap result</t>
  </si>
  <si>
    <t>10.1007/s00222-017-0725-5</t>
  </si>
  <si>
    <t>Inventiones mathematicae</t>
  </si>
  <si>
    <t>1432-1297</t>
  </si>
  <si>
    <t>When and how to satisfice: an experimental investigation</t>
  </si>
  <si>
    <t>10.1007/s11238-017-9600-5</t>
  </si>
  <si>
    <t>Livestock Disease Management for Trading Across Different Regulatory Regimes</t>
  </si>
  <si>
    <t>10.1007/s10393-018-1312-y</t>
  </si>
  <si>
    <t>EcoHealth</t>
  </si>
  <si>
    <t>1612-9210</t>
  </si>
  <si>
    <t>Long-term care provision, hospital bed blocking, and discharge destination for hip fracture and stroke patients</t>
  </si>
  <si>
    <t>10.1007/s10754-017-9214-z</t>
  </si>
  <si>
    <t>International Journal of Health Economics and Management</t>
  </si>
  <si>
    <t>2199-9031</t>
  </si>
  <si>
    <t>Through thick and thin: dual regulation of insect flight muscle and cardiac muscle compared</t>
  </si>
  <si>
    <t>10.1007/s10974-019-09536-8</t>
  </si>
  <si>
    <t>Journal of Muscle Research and Cell Motility</t>
  </si>
  <si>
    <t>1573-2657</t>
  </si>
  <si>
    <t>Do Chinese and British University Students Use Smartphones Differently? A Cross-cultural Mixed Methods Study</t>
  </si>
  <si>
    <t>10.1007/s11469-018-0024-4</t>
  </si>
  <si>
    <t>Cartesian genetic programming: its status and future</t>
  </si>
  <si>
    <t>10.1007/s10710-019-09360-6</t>
  </si>
  <si>
    <t>Dissecting the complex regulation of lodging resistance in Brassica napus</t>
  </si>
  <si>
    <t>10.1007/s11032-018-0781-6</t>
  </si>
  <si>
    <t>Sensitivity of EQ-5D-3L, HUI2, HUI3, and SF-6D to changes in speech reception and tinnitus associated with cochlear implantation</t>
  </si>
  <si>
    <t>10.1007/s11136-018-2070-6</t>
  </si>
  <si>
    <t>Medical Research Council, Deafness Research UK</t>
  </si>
  <si>
    <t>Transition of children with life-limiting conditions to adult care and healthcare use: a systematic review</t>
  </si>
  <si>
    <t>10.1038/s41390-021-01396-8</t>
  </si>
  <si>
    <t>Pediatric Research</t>
  </si>
  <si>
    <t>Dr. Su Golder (Department of Health Sciences, University of York) advised on search strategy development and Dr. Deborah Gibson-Smith (Martin House Research Centre, Department of Health Sciences, University of York) acted as second data extractor and quality assessor. S.W.J. is funded by a National Institute for Health Research Doctoral Research Fellowship (award DRF-2018-11-ST2-013) for this research project. L.K.F. is funded by a National Institute for Health Research Career Development Fellowship (award: CDF-2018-11-ST2-002) for this research project. This publication presents independent research funded by the National Institute for Health Research. The views expressed are those of the authors and not necessarily those of the NHS, the National Institute for Health Research or the Department of Health and Social Care.</t>
  </si>
  <si>
    <t>1530-0447</t>
  </si>
  <si>
    <t>A future in the knowledge economy? Analysing the career strategies of doctoral scientists through the principles of game theory</t>
  </si>
  <si>
    <t>10.1007/s10734-018-0329-z</t>
  </si>
  <si>
    <t>Higher Education</t>
  </si>
  <si>
    <t>1573-174X</t>
  </si>
  <si>
    <t>What Can We Weave? Authority, Reconstructing, and Negotiating Heritages Through Archaeological Open-Air Museums</t>
  </si>
  <si>
    <t>10.1007/s11759-020-09390-y</t>
  </si>
  <si>
    <t>Archaeologies</t>
  </si>
  <si>
    <t>1935-3987</t>
  </si>
  <si>
    <t>Green and Sustainable Separation of Natural Products from Agro-Industrial Waste: Challenges, Potentialities, and Perspectives on Emerging Approaches</t>
  </si>
  <si>
    <t>10.1007/s41061-017-0182-z</t>
  </si>
  <si>
    <t>The zooarchaeological identification of a ‘Morisco’ community after the Christian conquest of Granada (Spain, early 16th century): sociocultural continuities and economic innovations</t>
  </si>
  <si>
    <t>10.1007/s12520-021-01288-2</t>
  </si>
  <si>
    <t>This research was developed in the framework of the ‘Landscapes of (Re)Conquest’ Project funded by the Arts and Humanities Research Council (grant number AH/R013861/1). The archaeological excavation was funded by the Vicerretorado de Infraestructuras of the University of Granada. It was directed by G. García-Contreras Ruiz from September 2013 to August 2014, and by A. S. Moreno Pérez from September 2014 to July 2015.</t>
  </si>
  <si>
    <t>Does 2 + 3 = 5? In Defence of a Near Absurdity</t>
  </si>
  <si>
    <t>10.1007/s00283-017-9752-8</t>
  </si>
  <si>
    <t>The Mathematical Intelligencer</t>
  </si>
  <si>
    <t>1866-7414</t>
  </si>
  <si>
    <t>Harvesting fodder trees in montane forests in Kenya: species, techniques used and impacts</t>
  </si>
  <si>
    <t>10.1007/s11056-018-9632-x</t>
  </si>
  <si>
    <t>New Forests</t>
  </si>
  <si>
    <t>1573-5095</t>
  </si>
  <si>
    <t>Nocardioides astragali sp. nov., isolated from a nodule of wild Astragalus chrysopterus in northwestern China</t>
  </si>
  <si>
    <t>10.1007/s10482-018-1020-1</t>
  </si>
  <si>
    <t>Antonie van Leeuwenhoek</t>
  </si>
  <si>
    <t>1572-9699</t>
  </si>
  <si>
    <t>Associations of Pregnancy Physical Activity with Maternal Cardiometabolic Health, Neonatal Delivery Outcomes and Body Composition in a Biethnic Cohort of 7305 Mother–Child Pairs: The Born in Bradford Study</t>
  </si>
  <si>
    <t>10.1007/s40279-019-01193-8</t>
  </si>
  <si>
    <t>Sports Medicine</t>
  </si>
  <si>
    <t>The Born in Bradford (BiB) study receives core infrastructure funding from the Wellcome Trust (WT101597MA), a joint grant from the UK Medical Research Council (MRC) and UK Economic and Social Science Research Council (ESRC) (MR/N024397/1), the British Heart Foundation (BHF) (CS/16/4/32482), and the National Institute for Health Research (NIHR) under its Collaboration for Applied Health Research and Care (CLAHRC) for Yorkshire and Humber. Authors are part of the Healthy Children, Healthy Families Theme of the NIHR CLAHRC for Yorkshire and Humber. JWe is supported by a MRC Population Health Scientist Postdoctoral Award (MR/K021656/1) and PJC is funded by a BHF Immediate Postdoctoral Basic Science Research Fellowship (FS/17/37/32937).</t>
  </si>
  <si>
    <t>1179-2035</t>
  </si>
  <si>
    <t>On the 2D Ericksen–Leslie equations with anisotropic energy and external forces</t>
  </si>
  <si>
    <t>10.1007/s00028-021-00710-5</t>
  </si>
  <si>
    <t>Journal of Evolution Equations</t>
  </si>
  <si>
    <t>This article is part of a project that is currently funded by the European Union’s Horizon 2020 research and innovation programme under the Marie Skłodowska-Curie Grant Agreement No. 791735 “SELEs”.</t>
  </si>
  <si>
    <t>1424-3202</t>
  </si>
  <si>
    <t>Prescribers’ views and experiences of assessing the appropriateness of prescribed medications in a specialist addiction service</t>
  </si>
  <si>
    <t>10.1007/s11096-017-0541-4</t>
  </si>
  <si>
    <t>International Journal of Clinical Pharmacy</t>
  </si>
  <si>
    <t>2210-7711</t>
  </si>
  <si>
    <t>Stochastic evolution equations in Banach spaces and applications to the Heath–Jarrow–Morton–Musiela equations</t>
  </si>
  <si>
    <t>10.1007/s00780-018-0374-6</t>
  </si>
  <si>
    <t>Finance and Stochastics</t>
  </si>
  <si>
    <t>1432-1122</t>
  </si>
  <si>
    <t>CHEREDNIK ALGEBRAS AND ZHELOBENKO OPERATORS</t>
  </si>
  <si>
    <t>10.1007/s00031-017-9438-5</t>
  </si>
  <si>
    <t>Transformation Groups</t>
  </si>
  <si>
    <t>1531-586X</t>
  </si>
  <si>
    <t>Teleportation simulation of bosonic Gaussian channels: Strong and uniform convergence</t>
  </si>
  <si>
    <t>10.1140/epjd/e2018-90253-1</t>
  </si>
  <si>
    <t>EPSRC via the ‘UK Quantum Communications HUB’</t>
  </si>
  <si>
    <t>The star product in interacting quantum field theory</t>
  </si>
  <si>
    <t>10.1007/s11005-020-01262-4</t>
  </si>
  <si>
    <t>Letters in Mathematical Physics</t>
  </si>
  <si>
    <t>1573-0530</t>
  </si>
  <si>
    <t>Energy Efficient Spectrum Auction Process with Utility Functions</t>
  </si>
  <si>
    <t>10.1007/s11277-017-3966-0</t>
  </si>
  <si>
    <t>Wireless Personal Communications</t>
  </si>
  <si>
    <t>1572-834X</t>
  </si>
  <si>
    <t>Government fragmentation and fiscal deficits: a regression discontinuity approach</t>
  </si>
  <si>
    <t>10.1007/s11127-018-0548-y</t>
  </si>
  <si>
    <t>Multi-level Governance in Refugee Housing and Integration Policy: a Model of Best Practice in Leverkusen</t>
  </si>
  <si>
    <t>10.1007/s12134-021-00876-4</t>
  </si>
  <si>
    <t>Journal of International Migration and Integration</t>
  </si>
  <si>
    <t>The author received partial financial support from the University of York.</t>
  </si>
  <si>
    <t>1874-6365</t>
  </si>
  <si>
    <t>A review of social participation interventions for people with mental health problems</t>
  </si>
  <si>
    <t>10.1007/s00127-017-1372-2</t>
  </si>
  <si>
    <t>Now More Than Ever: Considering Health System Reforms in the Post-COVID 19 Scenario</t>
  </si>
  <si>
    <t>10.1007/s41027-020-00272-z</t>
  </si>
  <si>
    <t>The Indian Journal of Labour Economics</t>
  </si>
  <si>
    <t>0019-5308</t>
  </si>
  <si>
    <t>Random Attractors for the Stochastic Navier–Stokes Equations on the 2D Unit Sphere</t>
  </si>
  <si>
    <t>10.1007/s00021-017-0351-4</t>
  </si>
  <si>
    <t>Journal of Mathematical Fluid Mechanics</t>
  </si>
  <si>
    <t>1422-6952</t>
  </si>
  <si>
    <t>On redistributive taxation under the threat of high-skill emigration</t>
  </si>
  <si>
    <t>10.1007/s00355-017-1038-8</t>
  </si>
  <si>
    <t>Social Choice and Welfare</t>
  </si>
  <si>
    <t>1432-217X</t>
  </si>
  <si>
    <t>Transforming urban planning processes and outcomes through creative methods</t>
  </si>
  <si>
    <t>10.1007/s13280-020-01436-3</t>
  </si>
  <si>
    <t>The moduli spaces of equivariant minimal surfaces in RH3 and RH4 via Higgs bundles</t>
  </si>
  <si>
    <t>10.1007/s10711-018-0395-5</t>
  </si>
  <si>
    <t>Geometriae Dedicata</t>
  </si>
  <si>
    <t>1572-9168</t>
  </si>
  <si>
    <t>The automaticity of face perception is influenced by familiarity</t>
  </si>
  <si>
    <t>10.3758/s13414-017-1362-1</t>
  </si>
  <si>
    <t>Non-branching personal persistence</t>
  </si>
  <si>
    <t>10.1007/s11098-018-1127-2</t>
  </si>
  <si>
    <t>Acoustic–phonetic and auditory mechanisms of adaptation in the perception of sibilant fricatives</t>
  </si>
  <si>
    <t>10.3758/s13414-019-01894-2</t>
  </si>
  <si>
    <t>In situ TEM oxidation study of Fe thin-film transformation to single-crystal magnetite nanoparticles</t>
  </si>
  <si>
    <t>10.1007/s10853-020-04917-8</t>
  </si>
  <si>
    <t>Journal of Materials Science</t>
  </si>
  <si>
    <t>1573-4803</t>
  </si>
  <si>
    <t>The Scientific Perspective on Moral Objectivity</t>
  </si>
  <si>
    <t>10.1007/s10677-017-9798-x</t>
  </si>
  <si>
    <t>Ethical Theory and Moral Practice</t>
  </si>
  <si>
    <t>1572-8447</t>
  </si>
  <si>
    <t>The Acceptability of Accountability</t>
  </si>
  <si>
    <t>10.1007/s10602-021-09331-z</t>
  </si>
  <si>
    <t>Constitutional Political Economy</t>
  </si>
  <si>
    <t>1572-9966</t>
  </si>
  <si>
    <t>Why are there long waits at English emergency departments?</t>
  </si>
  <si>
    <t>10.1007/s10198-019-01121-7</t>
  </si>
  <si>
    <t>Two kinds of distributivity</t>
  </si>
  <si>
    <t>10.1007/s11050-017-9133-z</t>
  </si>
  <si>
    <t>Natural Language Semantics</t>
  </si>
  <si>
    <t>1572-865X</t>
  </si>
  <si>
    <t>Genetic Programming ++</t>
  </si>
  <si>
    <t>10.1007/s10817-017-9409-5</t>
  </si>
  <si>
    <t>Journal of Automated Reasoning</t>
  </si>
  <si>
    <t>1573-0670</t>
  </si>
  <si>
    <t>Proof Search ==</t>
  </si>
  <si>
    <t>10.1007/s11625-018-0622-x</t>
  </si>
  <si>
    <t>Ministry for Foreign Affairs of Finland</t>
  </si>
  <si>
    <t>Automatic Improvement</t>
  </si>
  <si>
    <t>10.1007/s11098-017-0890-9</t>
  </si>
  <si>
    <t>Introduction: A Social History of the Irish and British Mesolithic</t>
  </si>
  <si>
    <t>10.1007/s10963-018-9122-2</t>
  </si>
  <si>
    <t>Martingale solutions for the stochastic nonlinear Schrödinger equation in the energy space</t>
  </si>
  <si>
    <t>10.1007/s00440-018-0882-5</t>
  </si>
  <si>
    <t>Probability Theory and Related Fields</t>
  </si>
  <si>
    <t>1432-2064</t>
  </si>
  <si>
    <t>A Policy Perspective on the Global Use of Smokeless Tobacco</t>
  </si>
  <si>
    <t>10.1007/s40429-017-0166-7</t>
  </si>
  <si>
    <t>Current Addiction Reports</t>
  </si>
  <si>
    <t>2196-2952</t>
  </si>
  <si>
    <t>Saltmarsh archives of vegetation and land use change from Big River Marsh, SW Newfoundland, Canada</t>
  </si>
  <si>
    <t>10.1007/s00334-021-00845-y</t>
  </si>
  <si>
    <t>Vegetation History and Archaeobotany</t>
  </si>
  <si>
    <t>The Foraminifera-derived sea-level research associated with this study (published by Kemp et al. 2018) was supported by a grant from the Netherlands to OvdP and is gratefully acknowledged.</t>
  </si>
  <si>
    <t>1617-6278</t>
  </si>
  <si>
    <t>Melting a Hubbard dimer: benchmarks of ‘ALDA’ for quantum thermodynamics</t>
  </si>
  <si>
    <t>10.1140/epjb/e2018-90186-5</t>
  </si>
  <si>
    <t>FAPESP</t>
  </si>
  <si>
    <t>On the self-calibration capabilities of γ-ray energy tracking arrays</t>
  </si>
  <si>
    <t>10.1140/epja/i2018-12609-0</t>
  </si>
  <si>
    <t>The European Physical Journal A</t>
  </si>
  <si>
    <t>Royal Society (UF150476) UK STFC (ST/P003885/1 and ST/POO1831/1) Deutsche Forschungsgemeinschaft (SFB 1245) Helmholtz International Center for FAIR</t>
  </si>
  <si>
    <t>1434-601X</t>
  </si>
  <si>
    <t>Long-term dietary change in Atlantic and Mediterranean Iberia with the introduction of agriculture: a stable isotope perspective</t>
  </si>
  <si>
    <t>10.1007/s12520-018-0752-1</t>
  </si>
  <si>
    <t>Public perceptions of shale gas in the UK: framing effects and decision heuristics</t>
  </si>
  <si>
    <t>10.1007/s40974-018-0102-2</t>
  </si>
  <si>
    <t>Energy, Ecology and Environment</t>
  </si>
  <si>
    <t>2363-8338</t>
  </si>
  <si>
    <t>Integrating transcriptomic techniques and k-means clustering in metabolomics to identify markers of abiotic and biotic stress in Medicago truncatula</t>
  </si>
  <si>
    <t>10.1007/s11306-018-1424-y</t>
  </si>
  <si>
    <t>Metabolomics</t>
  </si>
  <si>
    <t>1573-3890</t>
  </si>
  <si>
    <t>Evidence gaps and biodiversity threats facing the marine environment of the United Kingdom’s Overseas Territories</t>
  </si>
  <si>
    <t>10.1007/s10531-018-1660-5</t>
  </si>
  <si>
    <t>Biodiversity and Conservation</t>
  </si>
  <si>
    <t>John Ellerman Foundation</t>
  </si>
  <si>
    <t>1572-9710</t>
  </si>
  <si>
    <t>Probability distributions for the stress tensor in conformal field theories</t>
  </si>
  <si>
    <t>10.1007/s11005-018-1124-6</t>
  </si>
  <si>
    <t>On the Analogy Between Business and Sport: Towards an Aristotelian Response to The Market Failures Approach to Business Ethics</t>
  </si>
  <si>
    <t>10.1007/s10551-021-04749-9</t>
  </si>
  <si>
    <t>The Logical Problem of the Trinity and the Strong Theory of Relative Identity</t>
  </si>
  <si>
    <t>10.1007/s11841-017-0612-y</t>
  </si>
  <si>
    <t>Sophia</t>
  </si>
  <si>
    <t>1873-930X</t>
  </si>
  <si>
    <t>An Analogue of the Coleman–Mandula Theorem for Quantum Field Theory in Curved Spacetimes</t>
  </si>
  <si>
    <t>10.1007/s00220-017-2951-5</t>
  </si>
  <si>
    <t>Revenue comparison of discrete private-value auctions via weak dominance</t>
  </si>
  <si>
    <t>10.1007/s10058-017-0202-z</t>
  </si>
  <si>
    <t>Review of Economic Design</t>
  </si>
  <si>
    <t>1434-4750</t>
  </si>
  <si>
    <t>Microbial changes linked to the accelerated degradation of the herbicide atrazine in a range of temperate soils</t>
  </si>
  <si>
    <t>10.1007/s11356-017-8377-y</t>
  </si>
  <si>
    <t>Environmental Science and Pollution Research</t>
  </si>
  <si>
    <t>1614-7499</t>
  </si>
  <si>
    <t>The Prenective View of propositional content</t>
  </si>
  <si>
    <t>10.1007/s11229-016-1309-4</t>
  </si>
  <si>
    <t>The Quantum Sine-Gordon Model in Perturbative AQFT</t>
  </si>
  <si>
    <t>10.1007/s00220-017-2944-4</t>
  </si>
  <si>
    <t>Productive Resistance within the Korean Public Sector: Exploring Organisational Culture</t>
  </si>
  <si>
    <t>10.1007/s11115-017-0381-7</t>
  </si>
  <si>
    <t>Public Organization Review</t>
  </si>
  <si>
    <t>1573-7098</t>
  </si>
  <si>
    <t>The self-concept life cycle and brand perceptions: An interdisciplinary perspective</t>
  </si>
  <si>
    <t>10.1007/s13162-017-0092-9</t>
  </si>
  <si>
    <t>AMS Review</t>
  </si>
  <si>
    <t>1869-8182</t>
  </si>
  <si>
    <t>The ageing urban brain: Analysing outdoor physical activity using the Emotiv Affectiv suite in older people</t>
  </si>
  <si>
    <t>10.1007/s11524-017-0191-9</t>
  </si>
  <si>
    <t>Valorisation of Biowastes for the Production of Green Materials Using Chemical Methods</t>
  </si>
  <si>
    <t>10.1007/s41061-017-0133-8</t>
  </si>
  <si>
    <t>How does exposure to pesticides vary in space and time for residents living near to treated orchards?</t>
  </si>
  <si>
    <t>10.1007/s11356-017-0064-5</t>
  </si>
  <si>
    <t>Are Happiness and Life Satisfaction Different Across Religious Groups? Exploring Determinants of Happiness and Life Satisfaction</t>
  </si>
  <si>
    <t>10.1007/s10943-017-0481-2</t>
  </si>
  <si>
    <t>Journal of Religion and Health</t>
  </si>
  <si>
    <t>1573-6571</t>
  </si>
  <si>
    <t>Elicitation of preferences under ambiguity</t>
  </si>
  <si>
    <t>10.1007/s11166-017-9256-0</t>
  </si>
  <si>
    <t>Journal of Risk and Uncertainty</t>
  </si>
  <si>
    <t>1573-0476</t>
  </si>
  <si>
    <t>Substitution in a sense</t>
  </si>
  <si>
    <t>10.1007/s11098-017-0995-1</t>
  </si>
  <si>
    <t>Exact speedup factors and sub-optimality for non-preemptive scheduling</t>
  </si>
  <si>
    <t>10.1007/s11241-017-9294-3</t>
  </si>
  <si>
    <t>Context matters</t>
  </si>
  <si>
    <t>10.1007/s10683-017-9546-z</t>
  </si>
  <si>
    <t>Experimental Economics</t>
  </si>
  <si>
    <t>1573-6938</t>
  </si>
  <si>
    <t>Relationship between health-related quality of life and respiratory health status among coal-based sponge iron plant workers in Barjora, India</t>
  </si>
  <si>
    <t>10.1007/s10389-017-0861-9</t>
  </si>
  <si>
    <t>Journal of Public Health</t>
  </si>
  <si>
    <t>Blacksmith Institute</t>
  </si>
  <si>
    <t>1741-3850</t>
  </si>
  <si>
    <t>Variation in perception of environmental change in nine Solomon Islands communities: implications for securing fairness in community-based adaptation</t>
  </si>
  <si>
    <t>10.1007/s10113-017-1242-1</t>
  </si>
  <si>
    <t>Regional Environmental Change</t>
  </si>
  <si>
    <t>1436-378X</t>
  </si>
  <si>
    <t>Abilities to Explicitly and Implicitly Infer Intentions from Actions in Adults with Autism Spectrum Disorder</t>
  </si>
  <si>
    <t>10.1007/s10803-017-3425-5</t>
  </si>
  <si>
    <t>Why do consumers not switch? An experimental investigation of a search and switch model</t>
  </si>
  <si>
    <t>10.1007/s11238-021-09818-z</t>
  </si>
  <si>
    <t>This work was funded by the University of York, Risk Evidence and Decision Making Priming Fund. The authors have no conflicts of interest to declare.</t>
  </si>
  <si>
    <t>A unifying 2D action for integrable σ-models from 4D Chern–Simons theory</t>
  </si>
  <si>
    <t>10.1007/s11005-020-01268-y</t>
  </si>
  <si>
    <t>Pseudodifferential Weyl Calculus on (Pseudo-)Riemannian Manifolds</t>
  </si>
  <si>
    <t>10.1007/s00023-020-00890-9</t>
  </si>
  <si>
    <t>The Caregiver Health Effects of Caring for Young Children with Developmental Disabilities: A Meta-analysis</t>
  </si>
  <si>
    <t>10.1007/s10995-020-02896-5</t>
  </si>
  <si>
    <t>1H, 13C, 15N backbone and IVL methyl group resonance assignment of the fungal β-glucosidase from Trichoderma reesei</t>
  </si>
  <si>
    <t>10.1007/s12104-020-09959-2</t>
  </si>
  <si>
    <t>Biomolecular NMR Assignments</t>
  </si>
  <si>
    <t>1874-270X</t>
  </si>
  <si>
    <t>Type inference in flexible model-driven engineering using classification algorithms</t>
  </si>
  <si>
    <t>10.1007/s10270-018-0658-5</t>
  </si>
  <si>
    <t>European Union Seventh Framework Programme, Engineering and Physical Sciences Research Council</t>
  </si>
  <si>
    <t>Single-World Theory of the Extended Wigner’s Friend Experiment</t>
  </si>
  <si>
    <t>10.1007/s10701-017-0082-7</t>
  </si>
  <si>
    <t>Factors associated with regular physical activity participation among people with severe mental ill health</t>
  </si>
  <si>
    <t>10.1007/s00127-018-1639-2</t>
  </si>
  <si>
    <t>Survival rates and prognostic predictors of high grade brain stem gliomas in childhood: a systematic review and meta-analysis</t>
  </si>
  <si>
    <t>10.1007/s11060-017-2546-1</t>
  </si>
  <si>
    <t>Journal of Neuro-Oncology</t>
  </si>
  <si>
    <t>1573-7373</t>
  </si>
  <si>
    <t>Seeing through eyes, mirrors, shadows and pictures</t>
  </si>
  <si>
    <t>10.1007/s11098-017-0948-8</t>
  </si>
  <si>
    <t>Mental Health and School Functioning for Girls in the Child Welfare System: the Mediating Role of Future Orientation and School Engagement</t>
  </si>
  <si>
    <t>10.1007/s12310-017-9207-6</t>
  </si>
  <si>
    <t>School Mental Health</t>
  </si>
  <si>
    <t>1866-2633</t>
  </si>
  <si>
    <t>An application of partial least squares for identifying dietary patterns in bone health</t>
  </si>
  <si>
    <t>10.1007/s11657-017-0355-y</t>
  </si>
  <si>
    <t>Archives of Osteoporosis</t>
  </si>
  <si>
    <t>1862-3514</t>
  </si>
  <si>
    <t>Determination of glucose exchange rates and permeability of erythrocyte membrane in preeclampsia and subsequent oxidative stress-related protein damage using dynamic-19F-NMR</t>
  </si>
  <si>
    <t>10.1007/s10858-017-0092-y</t>
  </si>
  <si>
    <t>Journal of Biomolecular NMR</t>
  </si>
  <si>
    <t>1573-5001</t>
  </si>
  <si>
    <t>Dynamic modelling of electrooptically modulated vertical compound cavity surface emitting semiconductor lasers</t>
  </si>
  <si>
    <t>10.1007/s11082-017-1115-3</t>
  </si>
  <si>
    <t>Optical and Quantum Electronics</t>
  </si>
  <si>
    <t>1572-817X</t>
  </si>
  <si>
    <t>The cost-effectiveness of population Health Checks: have the NHS Health Checks been unfairly maligned?</t>
  </si>
  <si>
    <t>10.1007/s10389-017-0801-8</t>
  </si>
  <si>
    <t>Extremality and dynamically defined measures, part I: Diophantine properties of quasi-decaying measures</t>
  </si>
  <si>
    <t>10.1007/s00029-017-0324-8</t>
  </si>
  <si>
    <t>Selecta Mathematica</t>
  </si>
  <si>
    <t>1420-9020</t>
  </si>
  <si>
    <t>Use of large-scale HRQoL datasets to generate individualised predictions and inform patients about the likely benefit of surgery</t>
  </si>
  <si>
    <t>10.1007/s11136-017-1599-0</t>
  </si>
  <si>
    <t>Pulse Generation in the Quorum Machinery of Pseudomonas aeruginosa</t>
  </si>
  <si>
    <t>10.1007/s11538-017-0288-z</t>
  </si>
  <si>
    <t>Bulletin of Mathematical Biology</t>
  </si>
  <si>
    <t>1522-9602</t>
  </si>
  <si>
    <t>Evaluating the cost-effectiveness of biologic treatments for psoriatic arthritis: can we make better use of patient data registries?</t>
  </si>
  <si>
    <t>10.1007/s10067-017-3703-9</t>
  </si>
  <si>
    <t>Clinical Rheumatology</t>
  </si>
  <si>
    <t>1434-9949</t>
  </si>
  <si>
    <t>Devosia nitraria sp. nov., a novel species isolated from the roots of Nitraria sibirica in China</t>
  </si>
  <si>
    <t>10.1007/s10482-017-0901-z</t>
  </si>
  <si>
    <t>Loving the mess: navigating diversity and conflict in social values for sustainability</t>
  </si>
  <si>
    <t>10.1007/s11625-019-00726-4</t>
  </si>
  <si>
    <t>A systematic review of maternal antidepressant use in pregnancy and short- and long-term offspring’s outcomes</t>
  </si>
  <si>
    <t>10.1007/s00737-017-0780-3</t>
  </si>
  <si>
    <t>Archives of Women's Mental Health</t>
  </si>
  <si>
    <t>1435-1102</t>
  </si>
  <si>
    <t>Income inequality and subjective well-being: a systematic review and meta-analysis</t>
  </si>
  <si>
    <t>10.1007/s11136-017-1719-x</t>
  </si>
  <si>
    <t>Are cost differences between specialist and general hospitals compensated by the prospective payment system?</t>
  </si>
  <si>
    <t>10.1007/s10198-017-0935-1</t>
  </si>
  <si>
    <t>Economics and Social Research Council</t>
  </si>
  <si>
    <t>Is the superior verbal memory span of Mandarin speakers due to faster rehearsal?</t>
  </si>
  <si>
    <t>10.3758/s13421-017-0770-8</t>
  </si>
  <si>
    <t>Memory &amp; Cognition</t>
  </si>
  <si>
    <t>1532-5946</t>
  </si>
  <si>
    <t>Impact of specialist rehabilitation services on hospital length of stay and associated costs</t>
  </si>
  <si>
    <t>10.1007/s10198-017-0952-0</t>
  </si>
  <si>
    <t>On the analysis of random replacement caches using static probabilistic timing methods for multi-path programs</t>
  </si>
  <si>
    <t>10.1007/s11241-017-9295-2</t>
  </si>
  <si>
    <t>Interventions aiming to reduce time to antibiotics (TTA) in patients with fever and neutropenia during chemotherapy for cancer (FN), a systematic review</t>
  </si>
  <si>
    <t>10.1007/s00520-019-05056-w</t>
  </si>
  <si>
    <t>Supportive Care in Cancer</t>
  </si>
  <si>
    <t>1433-7339</t>
  </si>
  <si>
    <t>Non-native speech recognition sentences: A new materials set for non-native speech perception research</t>
  </si>
  <si>
    <t>10.3758/s13428-019-01251-z</t>
  </si>
  <si>
    <t>Behavior Research Methods</t>
  </si>
  <si>
    <t>1554-3528</t>
  </si>
  <si>
    <t>Context-related problems and university students’ dropout intentions—the buffering effect of personal best goals</t>
  </si>
  <si>
    <t>10.1007/s10212-019-00433-9</t>
  </si>
  <si>
    <t>European Journal of Psychology of Education</t>
  </si>
  <si>
    <t>1878-5174</t>
  </si>
  <si>
    <t>A Rapid Review of Prescribing Education Interventions</t>
  </si>
  <si>
    <t>10.1007/s40670-020-01131-8</t>
  </si>
  <si>
    <t>Horizontal gene transfer for recombining graphs</t>
  </si>
  <si>
    <t>10.1007/s10710-020-09378-1</t>
  </si>
  <si>
    <t>Land-use change and propagule pressure promote plant invasions in tropical rainforest remnants</t>
  </si>
  <si>
    <t>10.1007/s10980-020-01067-9</t>
  </si>
  <si>
    <t>Landscape Ecology</t>
  </si>
  <si>
    <t>1572-9761</t>
  </si>
  <si>
    <t>The item/order account of word frequency effects: Evidence from serial order tests</t>
  </si>
  <si>
    <t>10.3758/s13421-021-01144-7</t>
  </si>
  <si>
    <t>This work was supported, in part, by a grant from the Natural Sciences and Engineering Research Council to IN. Portions of this work were presented at the 60th Annual Meeting of the Psychonomic Society, Montréal, Québec, Canada, November 2019. Order of authorship is alphabetical. Correspondence may be addressed to either author at ineath@mun.ca or philip.quinlan@york.ac.uk.</t>
  </si>
  <si>
    <t>Further insights into the operation of the Chinese number system: Competing effects of Arabic and Mandarin number formats</t>
  </si>
  <si>
    <t>10.3758/s13421-020-01065-x</t>
  </si>
  <si>
    <t>Exploring socioeconomic inequalities and access to elite postgraduate education among English graduates</t>
  </si>
  <si>
    <t>10.1007/s10734-021-00693-9</t>
  </si>
  <si>
    <t>The Rotten Core of Presentism</t>
  </si>
  <si>
    <t>10.1007/s11229-020-02965-w</t>
  </si>
  <si>
    <t>An Assessment of the Psychometric Properties of the GHQ-12 in an English Population of Autistic Adults Without Learning Difficulties</t>
  </si>
  <si>
    <t>10.1007/s10803-020-04604-2</t>
  </si>
  <si>
    <t>Quantum Fields and Local Measurements</t>
  </si>
  <si>
    <t>10.1007/s00220-020-03800-6</t>
  </si>
  <si>
    <t>A longitudinal study of nest occupancy, trail networks and foraging in a polydomous wood ant population</t>
  </si>
  <si>
    <t>10.1007/s00040-020-00777-2</t>
  </si>
  <si>
    <t>Insectes Sociaux</t>
  </si>
  <si>
    <t>1420-9098</t>
  </si>
  <si>
    <t>Cellulose dissolution and regeneration using a non-aqueous, non-stoichiometric protic ionic liquid system</t>
  </si>
  <si>
    <t>10.1007/s10570-020-03444-8</t>
  </si>
  <si>
    <t>Cellulose</t>
  </si>
  <si>
    <t>1572-882X</t>
  </si>
  <si>
    <t>Climate change, crops and commodity traders: subnational trade analysis highlights differentiated risk exposure</t>
  </si>
  <si>
    <t>10.1007/s10584-020-02857-5</t>
  </si>
  <si>
    <t>Climatic Change</t>
  </si>
  <si>
    <t>1573-1480</t>
  </si>
  <si>
    <t>The Importance of Realism, Character, and Genre: How Theatre Can Support the Creation of Likeable Sociable Robots</t>
  </si>
  <si>
    <t>10.1007/s12369-020-00637-w</t>
  </si>
  <si>
    <t>International Journal of Social Robotics</t>
  </si>
  <si>
    <t>1875-4805</t>
  </si>
  <si>
    <t>Automatic generation of UML profile graphical editors for Papyrus</t>
  </si>
  <si>
    <t>10.1007/s10270-020-00813-6</t>
  </si>
  <si>
    <t>Critical STEM Literacy and the COVID-19 Pandemic</t>
  </si>
  <si>
    <t>10.1007/s42330-021-00150-w</t>
  </si>
  <si>
    <t>Formal methods in dependable systems engineering: a survey of professionals from Europe and North America</t>
  </si>
  <si>
    <t>10.1007/s10664-020-09836-5</t>
  </si>
  <si>
    <t>Empirical Software Engineering</t>
  </si>
  <si>
    <t>1573-7616</t>
  </si>
  <si>
    <t>Nothing else matters: Video games create sustained attentional selection away from task-irrelevant features</t>
  </si>
  <si>
    <t>10.3758/s13414-020-02122-y</t>
  </si>
  <si>
    <t>The super-disadvantaged in higher education: barriers to access for refugee background students in England</t>
  </si>
  <si>
    <t>10.1007/s10734-020-00515-4</t>
  </si>
  <si>
    <t>A Critical Review of the IUCN UK Peatland Programme’s “Burning and Peatlands” Position Statement</t>
  </si>
  <si>
    <t>10.1007/s13157-021-01400-1</t>
  </si>
  <si>
    <t>Wetlands</t>
  </si>
  <si>
    <t>MA received no funding for this work. AH received no direct outside funding for this work, which was supported from internal publication funding from the Stockholm Environment Institute for writing a direct response to the IUCN UK PP publication.</t>
  </si>
  <si>
    <t>1943-6246</t>
  </si>
  <si>
    <t>Robust estimation and inference for general varying coefficient models with missing observations</t>
  </si>
  <si>
    <t>10.1007/s11749-019-00692-0</t>
  </si>
  <si>
    <t>TEST</t>
  </si>
  <si>
    <t>1863-8260</t>
  </si>
  <si>
    <t>The Balanced Threat Agreement for Individual Externality Negotiation Problems</t>
  </si>
  <si>
    <t>10.1007/s41412-020-00097-7</t>
  </si>
  <si>
    <t>Homo Oeconomicus</t>
  </si>
  <si>
    <t>2366-6161</t>
  </si>
  <si>
    <t>Agent-Relativity and the Status of Deontological Restrictions</t>
  </si>
  <si>
    <t>10.1007/s10790-021-09823-z</t>
  </si>
  <si>
    <t>The Journal of Value Inquiry</t>
  </si>
  <si>
    <t>1573-0492</t>
  </si>
  <si>
    <t>The environment and politics in science education: the case of teaching fracking</t>
  </si>
  <si>
    <t>10.1007/s11422-021-10017-z</t>
  </si>
  <si>
    <t>Cultural Studies of Science Education</t>
  </si>
  <si>
    <t>Funding was provided by University of York (Education Department Small Grant).</t>
  </si>
  <si>
    <t>1871-1510</t>
  </si>
  <si>
    <t>The discontinuity between value and price form: tracking the subtraction of the qualitative</t>
  </si>
  <si>
    <t>10.1007/s40844-021-00210-8</t>
  </si>
  <si>
    <t>Evolutionary and Institutional Economics Review</t>
  </si>
  <si>
    <t>This project has received funding from the European Union’s Horizon 2020 research and innovation programme under the Marie Sklodowska-Curie Grant Agreement No. 893027.</t>
  </si>
  <si>
    <t>2188-2096</t>
  </si>
  <si>
    <t>“We Need Other Human Beings in Order to be Human”: Examining the Indigenous Philosophy of Umunthu and Strengthening Mental Health Interventions</t>
  </si>
  <si>
    <t>10.1007/s11013-020-09692-4</t>
  </si>
  <si>
    <t>Culture, Medicine, and Psychiatry</t>
  </si>
  <si>
    <t>1573-076X</t>
  </si>
  <si>
    <t>Smallholder perceptions of land restoration activities: rewetting tropical peatland oil palm areas in Sumatra, Indonesia</t>
  </si>
  <si>
    <t>10.1007/s10113-020-01737-z</t>
  </si>
  <si>
    <t>“A Cancer in the Minds of Youth?” A Qualitative Study of Problematic Smartphone Use among Undergraduate Students</t>
  </si>
  <si>
    <t>10.1007/s11469-019-00204-z</t>
  </si>
  <si>
    <t>Generation and robustness of quantum entanglement in spin graphs</t>
  </si>
  <si>
    <t>10.1007/s11128-020-02943-8</t>
  </si>
  <si>
    <t>Quantum Information Processing</t>
  </si>
  <si>
    <t>1573-1332</t>
  </si>
  <si>
    <t>Trauma: phenomenological causality and implication</t>
  </si>
  <si>
    <t>10.1007/s11097-020-09725-8</t>
  </si>
  <si>
    <t>Phenomenology and the Cognitive Sciences</t>
  </si>
  <si>
    <t>No funding was received to assist with the preparation of this manuscript.</t>
  </si>
  <si>
    <t>1572-8676</t>
  </si>
  <si>
    <t>Quaker Business Ethics as MacIntyrean Tradition</t>
  </si>
  <si>
    <t>10.1007/s10551-020-04706-y</t>
  </si>
  <si>
    <t>Distributed model validation with epsilon</t>
  </si>
  <si>
    <t>10.1007/s10270-021-00878-x</t>
  </si>
  <si>
    <t>The work in this paper was supported by the European Commission via the CROSSMINER H2020 Project (Grant #732223).</t>
  </si>
  <si>
    <t>Theoretical and Methodological Approaches to Ecological Changes, Social Behaviour and Human Intergroup Tolerance 300,000 to 30,000 BP</t>
  </si>
  <si>
    <t>10.1007/s10816-020-09503-5</t>
  </si>
  <si>
    <t>We acknowledge the support of the YCCSA (York Cross-disciplinary Centre for Systems Analysis) Internship Programme for the support for Seren John-Wood (summer internship 2019, no grant number), the John Templeton Foundation Figuring the Roots of Gratitude Project (grant reference 61389) for the support for part of Penny Spikins time and the Hunt Postdoctoral Fellowship from the Wenner Gren Foundation (grant number: 9862) for support for Jennifer C. French</t>
  </si>
  <si>
    <t>Pharmacological interventions for drug-using offenders: an update to a systematic review and meta-analysis</t>
  </si>
  <si>
    <t>10.1007/s11292-020-09453-8</t>
  </si>
  <si>
    <t>Journal of Experimental Criminology</t>
  </si>
  <si>
    <t>1572-8315</t>
  </si>
  <si>
    <t>Mind-Mindedness and Stress in Parents of Children with Developmental Disorders</t>
  </si>
  <si>
    <t>10.1007/s10803-020-04570-9</t>
  </si>
  <si>
    <t>Gravity models of interprovincial migration flows in Canada with hierarchical multifactor structure</t>
  </si>
  <si>
    <t>10.1007/s00181-020-01938-9</t>
  </si>
  <si>
    <t>Empirical Economics</t>
  </si>
  <si>
    <t>1435-8921</t>
  </si>
  <si>
    <t>Exploring the Hidden Curriculum’s Impact on Medical Students: Professionalism, Identity Formation and the Need for Transparency</t>
  </si>
  <si>
    <t>10.1007/s40670-020-01021-z</t>
  </si>
  <si>
    <t>Neolithic farmers or Neolithic foragers? Organic residue analysis of early pottery from Rakushechny Yar on the Lower Don (Russia)</t>
  </si>
  <si>
    <t>10.1007/s12520-021-01412-2</t>
  </si>
  <si>
    <t>H2020 Marie Skłodowska-Curie Actions, European Research Council</t>
  </si>
  <si>
    <t>Ascariasis, Amebiasis and Giardiasis in Mexican children: distribution and geographical, environmental and socioeconomic risk factors</t>
  </si>
  <si>
    <t>10.1007/s12639-020-01260-2</t>
  </si>
  <si>
    <t>Journal of Parasitic Diseases</t>
  </si>
  <si>
    <t>0975-0703</t>
  </si>
  <si>
    <t>Reservoir computing quality: connectivity and topology</t>
  </si>
  <si>
    <t>10.1007/s11047-020-09823-1</t>
  </si>
  <si>
    <t>Adapting and validating the Autism Diagnostic Observation Schedule Version 2 for use with deaf children and young people</t>
  </si>
  <si>
    <t>10.1007/s10803-021-04931-y</t>
  </si>
  <si>
    <t>This research is funded by Medical Research Council as part of the Diagnostic Instruments for Screening Deaf Children Study (DIADS)—MR/K015435/1.</t>
  </si>
  <si>
    <t>Teaching Professionalism to Medical Students Using Dissection-Based Anatomy Education: a Practical Guide</t>
  </si>
  <si>
    <t>10.1007/s40670-020-01137-2</t>
  </si>
  <si>
    <t>Residential Context and Voting for the Far Right: The Impact of Immigration and Unemployment on the 2017 French Presidential Election</t>
  </si>
  <si>
    <t>10.1007/s11109-021-09676-z</t>
  </si>
  <si>
    <t>Political Behavior</t>
  </si>
  <si>
    <t>The authors would like to thank Mike Medeiros, Ognjen Obućina, Sofia Vasilopoulou, the participants of the seminar in Comparative Politics of the University of York, the three anonymous reviewers and the editor for their valuable comments and suggestions. We are also very grateful for the financial support provided by the INEQ AT WORK project (French state grant ANR-17-CE41-0009), which allowed us to access French census data via the Centre d’accès sécurisé aux données (CASD).</t>
  </si>
  <si>
    <t>1573-6687</t>
  </si>
  <si>
    <t>Right ideal Howson semigroups</t>
  </si>
  <si>
    <t>10.1007/s00233-020-10115-4</t>
  </si>
  <si>
    <t>Philosophical empathy (in the Style of Merleau-Ponty)</t>
  </si>
  <si>
    <t>10.1007/s11007-021-09533-0</t>
  </si>
  <si>
    <t>Continental Philosophy Review</t>
  </si>
  <si>
    <t>1573-1103</t>
  </si>
  <si>
    <t>The Cosmological Semiclassical Einstein Equation as an Infinite-Dimensional Dynamical System</t>
  </si>
  <si>
    <t>10.1007/s00023-021-01060-1</t>
  </si>
  <si>
    <t>4D Chern–Simons theory and affine Gaudin models</t>
  </si>
  <si>
    <t>10.1007/s11005-021-01354-9</t>
  </si>
  <si>
    <t>RiskStructures: A design algebra for risk-aware machines</t>
  </si>
  <si>
    <t>10.1007/s00165-021-00545-4</t>
  </si>
  <si>
    <t>Formal Aspects of Computing</t>
  </si>
  <si>
    <t>Mario Gleirscher was supported in part by the German Research Foundation (DFG) under the Fellowship Grant no. 381212925. Work by Radu Calinescu and Mario Gleirscher was partially supported by the Lloyd’s Register Foundation under the Autonomy Assurance International Programme (AAIP) Grant CSI:Cobot. Radu Calinescu was additionally supported by the UKRI Project EP/V026747/1 “Trustworthy Autonomous Systems Node in Resilience”. We would like to thank Simon Foster for inspiring discussions on the use of relational specification; Ana Cavalcanti and Cliff Jones for insightful questions about the abstraction, composition, and methodology underlying RiskStructures; James Baxter, Alvaro Miyazawa, and Pedro Ribeiro for enlightening conversations about CSP. We are also thankful to Sam Clark for helpful feedback on an early version of the introductory and closing sections</t>
  </si>
  <si>
    <t>1433-299X</t>
  </si>
  <si>
    <t>The Effects of Caring for Young Children with Developmental Disabilities on Mothers’ Health and Healthcare Use: Analysis of Primary Care Data in the Born in Bradford Cohort</t>
  </si>
  <si>
    <t>10.1007/s10882-021-09789-7</t>
  </si>
  <si>
    <t>Journal of Developmental and Physical Disabilities</t>
  </si>
  <si>
    <t>Sarah Masefield was supported by a match funded studentship from the University of York and the Health e-Research Centre ref. PhD2016PP2. The remaining authors received no specific funding for this study.</t>
  </si>
  <si>
    <t>1573-3580</t>
  </si>
  <si>
    <t>A phenomenological study of new doctors’ transition to practice, utilising participant-voiced poetry</t>
  </si>
  <si>
    <t>10.1007/s10459-021-10046-x</t>
  </si>
  <si>
    <t>Advances in Health Sciences Education</t>
  </si>
  <si>
    <t>None.</t>
  </si>
  <si>
    <t>1573-1677</t>
  </si>
  <si>
    <t>Sound reasoning in tock-CSP</t>
  </si>
  <si>
    <t>10.1007/s00236-020-00394-3</t>
  </si>
  <si>
    <t>Acta Informatica</t>
  </si>
  <si>
    <t>This work is funded by EPSRC Grants EP/M025756/1 and EP/R025479/1, and by the Royal Academy of Engineering. No new primary data was created as part of the study reported here.</t>
  </si>
  <si>
    <t>1432-0525</t>
  </si>
  <si>
    <t xml:space="preserve">A mixed-method feasibility study of a novel transitional regime of incremental haemodialysis: study design and protocol
</t>
  </si>
  <si>
    <t>10.1007/s10157-021-02072-1</t>
  </si>
  <si>
    <t>Clinical and Experimental Nephrology</t>
  </si>
  <si>
    <t>This study is funded by a grant from Hull University Teaching Hospitals NHS Trust R&amp;D department and the Renal Unit Charitable fund.</t>
  </si>
  <si>
    <t>1437-7799</t>
  </si>
  <si>
    <t>Coping and Adaptation in Response to Environmental and Climatic Stressors in Caribbean Coastal Communities</t>
  </si>
  <si>
    <t>10.1007/s00267-021-01500-y</t>
  </si>
  <si>
    <t>Environmental Management</t>
  </si>
  <si>
    <t>This work was supported by the Natural Environment Research Council (NERC) and the Department for International Development (DFID) Understanding the Impacts of the Current El Niño Event programme (Grant no. NE/P003974/1). We are grateful to the communities from La Boquilla and CGSM, to Carlos Villamil, Laura Perdomo, Dominic Molloy and Viviana Mourra for assistance with the focus groups, and to Patricia Zaldaña from the Via Parque Isla de Salamanca, Luis Alejandro Bastidas from the Santuario de Fauna y Flora Complejo de Pajarales and Ecoprogreso and Parques Nacionales for sharing their local knowledge and their support during field work.</t>
  </si>
  <si>
    <t>1432-1009</t>
  </si>
  <si>
    <t>Integration of Formal Proof into Unified Assurance Cases with Isabelle/SACM</t>
  </si>
  <si>
    <t>10.1007/s00165-021-00537-4</t>
  </si>
  <si>
    <t>This work is funded by EPSRC projects CyPhyAssure (CyPhyAssure Project: https://www.cs.york.ac.uk/ circus/CyPhyAssure/) (grant reference EP/S001190/1) and RoboCalc (grant reference EP/M025756/1), the German Science Foundation (DFG; grant 381212925), and the Assuring Autonomy International Programme (AAIP; grant CSI:Cobot).</t>
  </si>
  <si>
    <t>Ideological polarization and government debt</t>
  </si>
  <si>
    <t>10.1007/s10797-021-09690-1</t>
  </si>
  <si>
    <t>International Tax and Public Finance</t>
  </si>
  <si>
    <t>We are grateful to the University of York Department of Economics for supporting this research and to an anonymous reviewer and Kimberley Scharf for constructive comments on a previous version. We also thank seminar participants at the Lancaster Political Economy Workshop, the Econometric Society European Meeting, the European Public Choice Society Conference and the University of York. Any errors are our own.</t>
  </si>
  <si>
    <t>1573-6970</t>
  </si>
  <si>
    <t>Runtime translation of OCL-like statements on Simulink models: expanding domains and optimising queries</t>
  </si>
  <si>
    <t>10.1007/s10270-021-00910-0</t>
  </si>
  <si>
    <t>Canadian Network for Research and Innovation in Machining Technology, Natural Sciences and Engineering Research Council of Canada, Engineering and Physical Sciences Research Council, Innovate UK</t>
  </si>
  <si>
    <t>From unavoidable food waste to advanced biomaterials: microfibrilated lignocellulose production by microwave-assisted hydrothermal treatment of cassava peel and almond hull</t>
  </si>
  <si>
    <t>10.1007/s10570-021-03986-5</t>
  </si>
  <si>
    <t>APS would like to thank Lembaga Pengelola Dana Pendidikan (LPDP) scholarship, Ministry of Finance, Indonesia, for financial support for PhD study under the guidance of ASM. JR would like to express his gratitude to the Spanish Ministry of Science, Innovation and Universities for the Juan de la Cierva fellowships (FJCI-2016-30847 and IJC2018-037110-I) awarded. ASM acknowledges the EPSRC (Whole systems understanding of unavoidable food supply chain wastes for re-nutrition EP/P008771/1) for funding TD for Postdoctoral study.</t>
  </si>
  <si>
    <t>Sounding It Out: Auditory Stimulation and Overnight Memory Processing</t>
  </si>
  <si>
    <t>10.1007/s40675-021-00207-0</t>
  </si>
  <si>
    <t>Current Sleep Medicine Reports</t>
  </si>
  <si>
    <t>2198-6401</t>
  </si>
  <si>
    <t>Models, structures, and the explanatory role of mathematics in empirical science</t>
  </si>
  <si>
    <t>10.1007/s11229-021-03253-x</t>
  </si>
  <si>
    <t>Adapting services for autism: Recommendations from a specialist multidisciplinary perspective using freelisting</t>
  </si>
  <si>
    <t>10.1007/s12144-021-02061-3</t>
  </si>
  <si>
    <t>Current Psychology</t>
  </si>
  <si>
    <t>The authors did not receive support from any organization for the submitted work.</t>
  </si>
  <si>
    <t>1936-4733</t>
  </si>
  <si>
    <t>Enhancing Social-Emotional Outcomes in Early Years (E-SEE): Randomized Pilot Study of Incredible Years Infant and Toddler Programs</t>
  </si>
  <si>
    <t>10.1007/s10826-021-01991-7</t>
  </si>
  <si>
    <t>Journal of Child and Family Studies</t>
  </si>
  <si>
    <t>This study was funded by the National Institute for Health Research’s Public Health Research Program (NIHR PHR 13/93/10).</t>
  </si>
  <si>
    <t>1573-2843</t>
  </si>
  <si>
    <t>Aesthetic sense and social cognition: a story from the Early Stone Age</t>
  </si>
  <si>
    <t>10.1007/s11229-019-02476-3</t>
  </si>
  <si>
    <t>Clifford Spinors and Root System Induction: $$H_4$$ H 4 and the Grand Antiprism</t>
  </si>
  <si>
    <t>10.1007/s00006-021-01139-2</t>
  </si>
  <si>
    <t>Advances in Applied Clifford Algebras</t>
  </si>
  <si>
    <t>1661-4909</t>
  </si>
  <si>
    <t>Sensed presence without sensory qualities: a phenomenological study of bereavement hallucinations</t>
  </si>
  <si>
    <t>10.1007/s11097-020-09666-2</t>
  </si>
  <si>
    <t>Delayed Capital Injections for a Risk Process with Markovian Arrivals</t>
  </si>
  <si>
    <t>10.1007/s11009-020-09796-9</t>
  </si>
  <si>
    <t>Methodology and Computing in Applied Probability</t>
  </si>
  <si>
    <t>1573-7713</t>
  </si>
  <si>
    <t xml:space="preserve">Variables Influencing Differences in Sequence Conservation in the Fission Yeast Schizosaccharomyces pombe
         </t>
  </si>
  <si>
    <t>10.1007/s00239-021-10028-y</t>
  </si>
  <si>
    <t>Journal of Molecular Evolution</t>
  </si>
  <si>
    <t>medical research council</t>
  </si>
  <si>
    <t>1432-1432</t>
  </si>
  <si>
    <t>Grief’s impact on sensorimotor expectations: an account of non-veridical bereavement experiences</t>
  </si>
  <si>
    <t>10.1007/s11097-021-09759-6</t>
  </si>
  <si>
    <t>Benchmarking and optimization of robot motion planning with motion planning pipeline</t>
  </si>
  <si>
    <t>10.1007/s00170-021-07985-5</t>
  </si>
  <si>
    <t>The International Journal of Advanced Manufacturing Technology</t>
  </si>
  <si>
    <t>1433-3015</t>
  </si>
  <si>
    <t>The sensitivity of hospital coding to prices: evidence from Indonesia</t>
  </si>
  <si>
    <t>10.1007/s10754-021-09312-7</t>
  </si>
  <si>
    <t>A tale of two gradients: differences between the left and right hemispheres predict semantic cognition</t>
  </si>
  <si>
    <t>10.1007/s00429-021-02374-w</t>
  </si>
  <si>
    <t>Brain Structure and Function</t>
  </si>
  <si>
    <t>H2020 European Research Council</t>
  </si>
  <si>
    <t>1863-2661</t>
  </si>
  <si>
    <t>Probabilistic modelling and verification using RoboChart and PRISM</t>
  </si>
  <si>
    <t>10.1007/s10270-021-00916-8</t>
  </si>
  <si>
    <t>Engineering and Physical Sciences Research Council, Royal Academy of Engineering</t>
  </si>
  <si>
    <t>Audience facial expressions detected by automated face analysis software reflect emotions in music</t>
  </si>
  <si>
    <t>10.3758/s13428-021-01678-3</t>
  </si>
  <si>
    <t>The experiment was carried out in collaboration with the BBC3 Music Matters radio program and the authors received funding from the British Broadcasting Company.</t>
  </si>
  <si>
    <t>Improving cold-start recommendations using item-based stereotypes</t>
  </si>
  <si>
    <t>10.1007/s11257-021-09293-9</t>
  </si>
  <si>
    <t>User Modeling and User-Adapted Interaction</t>
  </si>
  <si>
    <t>1573-1391</t>
  </si>
  <si>
    <t>Assessing functional reorganization in visual cortex with simulated retinal lesions</t>
  </si>
  <si>
    <t>10.1007/s00429-021-02366-w</t>
  </si>
  <si>
    <t>Fight for Sight UK, Biotechnology and Biological Sciences Research Council</t>
  </si>
  <si>
    <t>A computerized facial approximation method for archaic humans based on dense facial soft tissue thickness depths</t>
  </si>
  <si>
    <t>10.1007/s12520-021-01450-w</t>
  </si>
  <si>
    <t>Strategic Priority Research Program</t>
  </si>
  <si>
    <t>Sibling Bullying: A Prospective Longitudinal Study of Associations with Positive and Negative Mental Health during Adolescence</t>
  </si>
  <si>
    <t>10.1007/s10964-021-01495-z</t>
  </si>
  <si>
    <t>Journal of Youth and Adolescence</t>
  </si>
  <si>
    <t>1573-6601</t>
  </si>
  <si>
    <t>On the ‘Specialness’ of the Criminal Law</t>
  </si>
  <si>
    <t>10.1007/s11572-021-09611-7</t>
  </si>
  <si>
    <t>Criminal Law and Philosophy</t>
  </si>
  <si>
    <t>1871-9805</t>
  </si>
  <si>
    <t>Path combinatorics and light leaves for quiver Hecke algebras</t>
  </si>
  <si>
    <t>10.1007/s00209-021-02829-0</t>
  </si>
  <si>
    <t>The first and third authors thank the Institut Henri Poincaré for hosting us during the thematic trimester on representation theory. The first author was funded by EPSRC grant EP/V00090X/1 and the third author was funded by the Royal Commission for the Exhibition of 1851. The authors would like to express their gratitude to the referee for their incredibly helpful comments and careful reading of the paper.</t>
  </si>
  <si>
    <t>Empathy in Medical Education: Its Nature and Nurture — a Qualitative Study of the Views of Students and Tutors</t>
  </si>
  <si>
    <t>10.1007/s40670-021-01430-8</t>
  </si>
  <si>
    <t>Inter-species interactions alter antibiotic efficacy in bacterial communities</t>
  </si>
  <si>
    <t>10.1038/s41396-021-01130-6</t>
  </si>
  <si>
    <t>The ISME Journal</t>
  </si>
  <si>
    <t>Wellcome Trust (Wellcome)</t>
  </si>
  <si>
    <t>1751-7370</t>
  </si>
  <si>
    <t>Bayesian persuasion in unlinked games</t>
  </si>
  <si>
    <t>10.1007/s00182-021-00800-1</t>
  </si>
  <si>
    <t>International Journal of Game Theory</t>
  </si>
  <si>
    <t>Department of Economics and Related Studies, University of York</t>
  </si>
  <si>
    <t>1432-1270</t>
  </si>
  <si>
    <t>Predatory Monetisation? A Categorisation of Unfair, Misleading and Aggressive Monetisation Techniques in Digital Games from the Player Perspective</t>
  </si>
  <si>
    <t>10.1007/s10551-021-04970-6</t>
  </si>
  <si>
    <t>This work was supported by the EPSRC Centre for Doctoral Training in Intelligent Games and Game Intelligence (IGGI) [EP/L015846/1].</t>
  </si>
  <si>
    <t>Speeding up to keep up: exploring the use of AI in the research process</t>
  </si>
  <si>
    <t>10.1007/s00146-021-01259-0</t>
  </si>
  <si>
    <t>AI &amp; SOCIETY</t>
  </si>
  <si>
    <t>This work was supported by the Digital Creativity Labs (www.digitalcreativity.ac.uk), jointly funded by EPSRC/AHRC/InnovateUK under Grant No. EP/M023265/1.</t>
  </si>
  <si>
    <t>1435-5655</t>
  </si>
  <si>
    <t>Trust and The Acquisition and Use of Public Health Information</t>
  </si>
  <si>
    <t>10.1007/s10728-021-00436-y</t>
  </si>
  <si>
    <t>Health Care Analysis</t>
  </si>
  <si>
    <t>This research was funded by the York-Maastricht Partnership between the University of York and Maastricht University</t>
  </si>
  <si>
    <t>1573-3394</t>
  </si>
  <si>
    <t>The Puppy in the Pit: Osteobiography of an Eighteenth-Century dog at the Three Cranes Tavern, Massachusetts</t>
  </si>
  <si>
    <t>10.1007/s10761-021-00636-1</t>
  </si>
  <si>
    <t>International Journal of Historical Archaeology</t>
  </si>
  <si>
    <t>No funding was received for conducting this study or to assist with the preparation of this manuscript.</t>
  </si>
  <si>
    <t>1573-7748</t>
  </si>
  <si>
    <t>Soziale Herkunft, Lebensverlaufsereignisse und die verspätete Aufnahme einer beruflichen Ausbildung formal Geringqualifizierter</t>
  </si>
  <si>
    <t>10.1007/s11577-019-00637-3</t>
  </si>
  <si>
    <t>KZfSS Kölner Zeitschrift für Soziologie und Sozialpsychologie</t>
  </si>
  <si>
    <t>Report downloaded from SN dashboard 03/11/2021: Springer articles rejected 1 Jan 2016-3 Nov 2021.xlsx</t>
  </si>
  <si>
    <t>Author not affiliated</t>
  </si>
  <si>
    <t>1861-891X</t>
  </si>
  <si>
    <t>10.1007/s12104-020-09949-4</t>
  </si>
  <si>
    <t>European Union’s Horizon2020 MSCA Programme, BBSRC, Wellcome Trust, EPSRC</t>
  </si>
  <si>
    <t>Forward Interest Rates as Predictors of Future US Spot Rates Before and Ffter the 2008 Financial Crisis</t>
  </si>
  <si>
    <t>10.1007/s11079-021-09637-3</t>
  </si>
  <si>
    <t>Open Economies Review</t>
  </si>
  <si>
    <t>1573-708X</t>
  </si>
  <si>
    <t>Why Report? Sex Workers who Use NUM Opt out of Sharing Victimisation with Police</t>
  </si>
  <si>
    <t>10.1007/s13178-021-00627-1</t>
  </si>
  <si>
    <t>Sexuality Research and Social Policy</t>
  </si>
  <si>
    <t>Author no longer affiliated</t>
  </si>
  <si>
    <t>1553-6610</t>
  </si>
  <si>
    <t>Spontaneous and deliberate future thinking: a dual process account</t>
  </si>
  <si>
    <t>10.1007/s00426-019-01262-7</t>
  </si>
  <si>
    <t>Psychological Research</t>
  </si>
  <si>
    <t>1430-2772</t>
  </si>
  <si>
    <t>Trauma and intersubjectivity: the phenomenology of empathy in PTSD</t>
  </si>
  <si>
    <t>10.1007/s11019-018-9854-x</t>
  </si>
  <si>
    <t>Submitted before author was affiliated?</t>
  </si>
  <si>
    <t>Efficient and Secure Delegation of Exponentiation in General Groups to a Single Malicious Server</t>
  </si>
  <si>
    <t>10.1007/s11786-020-00462-4</t>
  </si>
  <si>
    <t>Mathematics in Computer Science</t>
  </si>
  <si>
    <t>1661-8289</t>
  </si>
  <si>
    <t>Random walks on homogeneous spaces and Diophantine approximation on fractals</t>
  </si>
  <si>
    <t>10.1007/s00222-019-00856-7</t>
  </si>
  <si>
    <t>The use of electrochemotherapy (ECT) in the management of malignant melanoma in the clinically frail patient: a case report</t>
  </si>
  <si>
    <t>10.1007/s00238-020-01641-z</t>
  </si>
  <si>
    <t>European Journal of Plastic Surgery</t>
  </si>
  <si>
    <t>Clinical fellow at HYMS - NHS email provided. Not on People Database.</t>
  </si>
  <si>
    <t>1435-0130</t>
  </si>
  <si>
    <t>A Natural Partial Order on Certain Semigroups of Transformations Restricted by an Equivalence</t>
  </si>
  <si>
    <t>10.1007/s41980-018-0108-8</t>
  </si>
  <si>
    <t>Bulletin of the Iranian Mathematical Society</t>
  </si>
  <si>
    <t>Author visited York for 1 year</t>
  </si>
  <si>
    <t>1735-8515</t>
  </si>
  <si>
    <t>A Comparison of Children Aged 4–5 Years Learning to Read Through Instructional Texts Containing Either a High or a Low Proportion of Phonically-Decodable Words</t>
  </si>
  <si>
    <t>10.1007/s10643-019-00970-4</t>
  </si>
  <si>
    <t>Early Childhood Education Journal</t>
  </si>
  <si>
    <t>1573-1707</t>
  </si>
  <si>
    <t>Trade Mark Functions in Business Practice: Mapping the Law Through the Search for Economic Content</t>
  </si>
  <si>
    <t>10.1007/s40319-021-01113-2</t>
  </si>
  <si>
    <t>IIC - International Review of Intellectual Property and Competition Law</t>
  </si>
  <si>
    <t>2195-0237</t>
  </si>
  <si>
    <t>Citizen science breathes new life into participatory agricultural research. A review</t>
  </si>
  <si>
    <t>10.1007/s13593-020-00636-1</t>
  </si>
  <si>
    <t>Agronomy for Sustainable Development</t>
  </si>
  <si>
    <t>1773-0155</t>
  </si>
  <si>
    <t>Estimating Social Gradients in Health for UK Mothers and Infants of Pakistani Origin: Do Latent Class Measures of Socioeconomic Position Help?</t>
  </si>
  <si>
    <t>10.1007/s10903-020-00977-9</t>
  </si>
  <si>
    <t>Journal of Immigrant and Minority Health</t>
  </si>
  <si>
    <t>1557-1920</t>
  </si>
  <si>
    <t>Does Volunteering Make Us Happier, or Are Happier People More Likely to Volunteer? Addressing the Problem of Reverse Causality When Estimating the Wellbeing Impacts of Volunteering</t>
  </si>
  <si>
    <t>10.1007/s10902-020-00242-8</t>
  </si>
  <si>
    <t>Journal of Happiness Studies</t>
  </si>
  <si>
    <t>1573-7780</t>
  </si>
  <si>
    <t>Calculating semantic relatedness of lists of nouns using WordNet path length</t>
  </si>
  <si>
    <t>10.3758/s13428-021-01570-0</t>
  </si>
  <si>
    <t>Distinguished limits and drifts: between nonuniqueness and universality</t>
  </si>
  <si>
    <t>10.1007/s40316-021-00177-3</t>
  </si>
  <si>
    <t>Annales mathématiques du Québec</t>
  </si>
  <si>
    <t>2195-4763</t>
  </si>
  <si>
    <t>Quantum Electrostatics, Gauss’s Law, and a Product Picture for Quantum Electrodynamics; or, the Temporal Gauge Revised</t>
  </si>
  <si>
    <t>10.1007/s10701-021-00512-2</t>
  </si>
  <si>
    <t>Low temperature plasmas as emerging cancer therapeutics: the state of play and thoughts for the future</t>
  </si>
  <si>
    <t>10.1007/s13277-016-4911-7</t>
  </si>
  <si>
    <t>Tumor Biology</t>
  </si>
  <si>
    <t>1/22/2016</t>
  </si>
  <si>
    <t>Email report: December 2016 Springer Compact Report for UK Institutions</t>
  </si>
  <si>
    <t>Engineering and Physical Sciences Research Council, Wellcome Trust, Yorkshire Cancer Research</t>
  </si>
  <si>
    <t>1423-0380</t>
  </si>
  <si>
    <t>1010-4283</t>
  </si>
  <si>
    <t>A batch correction method for liquid chromatography–mass spectrometry data that does not depend on quality control samples</t>
  </si>
  <si>
    <t>10.1007/s11306-016-0972-2</t>
  </si>
  <si>
    <t>Engineering and Physical Sciences Research Council, Seventh Framework Programme</t>
  </si>
  <si>
    <t>Treatment cost and life expectancy of diffuse large B-cell lymphoma (DLBCL): a discrete event simulation model on a UK population-based observational cohort</t>
  </si>
  <si>
    <t>10.1007/s10198-016-0775-4</t>
  </si>
  <si>
    <t>2/18/2016</t>
  </si>
  <si>
    <t>Re-evaluating the Neolithic: The Impact and the Consolidation of Farming Practices in the Cantabrian Region (Northern Spain)</t>
  </si>
  <si>
    <t>10.1007/s10963-016-9091-2</t>
  </si>
  <si>
    <t>The eurozone financial crisis: debt, credit ratings and monetary and fiscal policy</t>
  </si>
  <si>
    <t>10.1007/s10663-016-9335-5</t>
  </si>
  <si>
    <t>Empirica</t>
  </si>
  <si>
    <t>1573-6911</t>
  </si>
  <si>
    <t>The &lt;Emphasis Type="Italic"&gt;E&lt;/Emphasis&gt;&lt;Subscript&gt;8&lt;/Subscript&gt; Geometry from a Clifford Perspective</t>
  </si>
  <si>
    <t>10.1007/s00006-016-0675-9</t>
  </si>
  <si>
    <t>Energy Efficient Short Term Spectrum Auction Using the Concept of Green Payments</t>
  </si>
  <si>
    <t>10.1007/s11277-016-3341-6</t>
  </si>
  <si>
    <t>Risk-based prioritization of pharmaceuticals in the natural environment in Iraq</t>
  </si>
  <si>
    <t>10.1007/s11356-016-6679-0</t>
  </si>
  <si>
    <t>Restriction semigroups and &lt;InlineEquation ID="IEq1"&gt;&lt;EquationSource Format="TEX"&gt;&lt;![CDATA[$$\lambda $$]]&gt;&lt;/EquationSource&gt;&lt;EquationSource Format="MATHML"&gt;&lt;math&gt;&lt;mi mathvariant="italic"&gt;λ&lt;/mi&gt;&lt;/math&gt;&lt;/EquationSource&gt;&lt;/InlineEquation&gt;-Zappa-Szép products</t>
  </si>
  <si>
    <t>10.1007/s10998-016-0134-3</t>
  </si>
  <si>
    <t>Periodica Mathematica Hungarica</t>
  </si>
  <si>
    <t>1588-2829</t>
  </si>
  <si>
    <t>Sonification and music as support to the communication of alcohol-related health risks to young people</t>
  </si>
  <si>
    <t>10.1007/s12193-016-0220-0</t>
  </si>
  <si>
    <t>Journal on Multimodal User Interfaces</t>
  </si>
  <si>
    <t>4/20/2016</t>
  </si>
  <si>
    <t>1783-8738</t>
  </si>
  <si>
    <t>Physiological Evidence for a Midline Spatial Channel in Human Auditory Cortex</t>
  </si>
  <si>
    <t>10.1007/s10162-016-0571-y</t>
  </si>
  <si>
    <t>Journal of the Association for Research in Otolaryngology</t>
  </si>
  <si>
    <t>4/26/2016</t>
  </si>
  <si>
    <t>Deafness Research UK</t>
  </si>
  <si>
    <t>1438-7573</t>
  </si>
  <si>
    <t>Free idempotent generated semigroups and endomorphism monoids of independence algebras</t>
  </si>
  <si>
    <t>10.1007/s00233-016-9802-0</t>
  </si>
  <si>
    <t>Quantum Gravity from the Point of View of Locally Covariant Quantum Field Theory</t>
  </si>
  <si>
    <t>10.1007/s00220-016-2676-x</t>
  </si>
  <si>
    <t>9/30/2015</t>
  </si>
  <si>
    <t>Prediction of pest pressure on corn root nodes: the POPP-Corn model</t>
  </si>
  <si>
    <t>10.1007/s10340-016-0788-x</t>
  </si>
  <si>
    <t>Journal of Pest Science</t>
  </si>
  <si>
    <t>6/15/2016</t>
  </si>
  <si>
    <t>1612-4766</t>
  </si>
  <si>
    <t>Estimating the prevalence of hematological malignancies and precursor conditions using data from Haematological Malignancy Research Network (HMRN)</t>
  </si>
  <si>
    <t>10.1007/s10552-016-0780-z</t>
  </si>
  <si>
    <t>Cancer Causes &amp; Control</t>
  </si>
  <si>
    <t>6/13/2016</t>
  </si>
  <si>
    <t>Lymphoma and Leukaemia Research</t>
  </si>
  <si>
    <t>1573-7225</t>
  </si>
  <si>
    <t>Evaluation of a Novel Approach for Reducing Emissions of Pharmaceuticals to the Environment</t>
  </si>
  <si>
    <t>10.1007/s00267-016-0728-9</t>
  </si>
  <si>
    <t>Innovate UK (formerly the Technology Board)</t>
  </si>
  <si>
    <t>The logic of the future in quantum theory</t>
  </si>
  <si>
    <t>10.1007/s11229-016-1142-9</t>
  </si>
  <si>
    <t>How do we decide what to do? Resting-state connectivity patterns and components of self-generated thought linked to the development of more concrete personal goals</t>
  </si>
  <si>
    <t>10.1007/s00221-016-4729-y</t>
  </si>
  <si>
    <t>Experimental Brain Research</t>
  </si>
  <si>
    <t>Biotechnology and Biological Sciences Research Council; John Templeton Foundation (US); Office of Education (US); European Research Council; Wellcome Trust (GB); Institute of Neurosciences, Mental Health and Addiction; Canadian Institutes of Health Research (CA); Canadian Institute for Health Research</t>
  </si>
  <si>
    <t>1432-1106</t>
  </si>
  <si>
    <t>Gender Differences in Early Reading Strategies: A Comparison of Synthetic Phonics Only with a Mixed Approach to Teaching Reading to 4–5 Year-Old Children</t>
  </si>
  <si>
    <t>10.1007/s10643-016-0813-y</t>
  </si>
  <si>
    <t>Does Uptake of Pharmaceuticals Vary Across Earthworm Species?</t>
  </si>
  <si>
    <t>10.1007/s00128-016-1875-7</t>
  </si>
  <si>
    <t>Bulletin of Environmental Contamination and Toxicology</t>
  </si>
  <si>
    <t>6/28/2016</t>
  </si>
  <si>
    <t>1432-0800</t>
  </si>
  <si>
    <t>Cognitive-Behavioural Therapy for Inflammatory Bowel Disease: 24-Month Data from a Randomised Controlled Trial</t>
  </si>
  <si>
    <t>10.1007/s12529-016-9580-9</t>
  </si>
  <si>
    <t>International Journal of Behavioral Medicine</t>
  </si>
  <si>
    <t>the Crohn’s and Colitis of Australia; Abbott Australia, MSD Australia and Janssen</t>
  </si>
  <si>
    <t>1532-7558</t>
  </si>
  <si>
    <t>Open Problems and Conjectures Related to the Theory of Mathematical Quasicrystals</t>
  </si>
  <si>
    <t>10.1007/s40598-016-0046-6</t>
  </si>
  <si>
    <t>Arnold Mathematical Journal</t>
  </si>
  <si>
    <t>Engineering and Physical Sciences Research Council (GB)</t>
  </si>
  <si>
    <t>2199-6806</t>
  </si>
  <si>
    <t>Effects of Antibiotics on the Growth and Physiology of Chlorophytes, Cyanobacteria, and a Diatom</t>
  </si>
  <si>
    <t>10.1007/s00244-016-0305-5</t>
  </si>
  <si>
    <t>Archives of Environmental Contamination and Toxicology</t>
  </si>
  <si>
    <t>7/20/2016</t>
  </si>
  <si>
    <t>China Scholarship Council (CN)</t>
  </si>
  <si>
    <t>1432-0703</t>
  </si>
  <si>
    <t>Disrupted autophagy undermines skeletal muscle adaptation and integrity</t>
  </si>
  <si>
    <t>10.1007/s00335-016-9659-2</t>
  </si>
  <si>
    <t>Mammalian Genome</t>
  </si>
  <si>
    <t>1432-1777</t>
  </si>
  <si>
    <t>Recurrent Cartesian Genetic Programming of Artificial Neural Networks</t>
  </si>
  <si>
    <t>10.1007/s10710-016-9276-6</t>
  </si>
  <si>
    <t>Visual adaptation enhances action sound discrimination</t>
  </si>
  <si>
    <t>10.3758/s13414-016-1199-z</t>
  </si>
  <si>
    <t>Economic and Social Research Council</t>
  </si>
  <si>
    <t>Earliest Evidence for the Ivory Trade in Southern Africa: Isotopic and ZooMS Analysis of Seventh–Tenth Century ad Ivory from KwaZulu-Natal</t>
  </si>
  <si>
    <t>10.1007/s10437-016-9232-0</t>
  </si>
  <si>
    <t>African Archaeological Review</t>
  </si>
  <si>
    <t>Seventh Framework Programme, Claude Leon Foundation, South African Research Chairs Initiative of the Department of Science and Technology and the National Research Foundation</t>
  </si>
  <si>
    <t>1572-9842</t>
  </si>
  <si>
    <t>Early literacy and comprehension skills in children learning English as an additional language and monolingual children with language weaknesses</t>
  </si>
  <si>
    <t>10.1007/s11145-016-9699-8</t>
  </si>
  <si>
    <t>Reading and Writing</t>
  </si>
  <si>
    <t>Nuffield Foundation</t>
  </si>
  <si>
    <t>1573-0905</t>
  </si>
  <si>
    <t>The fictive reflex: a fresh look at reflexiveness and narrative representation</t>
  </si>
  <si>
    <t>10.1007/s11059-016-0351-z</t>
  </si>
  <si>
    <t>Neohelicon</t>
  </si>
  <si>
    <t>1588-2810</t>
  </si>
  <si>
    <t>A discrete choice experiment to explore patients’ willingness to risk disease relapse from treatment withdrawal in psoriatic arthritis</t>
  </si>
  <si>
    <t>10.1007/s10067-016-3452-1</t>
  </si>
  <si>
    <t>Arthritis Research United Kingdom</t>
  </si>
  <si>
    <t>Unconventional height functions in simultaneous Diophantine approximation</t>
  </si>
  <si>
    <t>10.1007/s00605-016-0983-0</t>
  </si>
  <si>
    <t>Simons Foundation (US), ESPRC programme grant</t>
  </si>
  <si>
    <t>Coherence and strictification for self-similarity</t>
  </si>
  <si>
    <t>10.1007/s40062-016-0154-y</t>
  </si>
  <si>
    <t>Journal of Homotopy and Related Structures</t>
  </si>
  <si>
    <t>4/22/2015</t>
  </si>
  <si>
    <t>1512-2891</t>
  </si>
  <si>
    <t>Inferring polydomy: a review of functional, spatial and genetic methods for identifying colony boundaries</t>
  </si>
  <si>
    <t>10.1007/s00040-016-0534-7</t>
  </si>
  <si>
    <t>Variations in Performance of Mental Health Providers in the English NHS: An Analysis of the Relationship Between Readmission Rates and Length-of-Stay</t>
  </si>
  <si>
    <t>10.1007/s10488-015-0711-4</t>
  </si>
  <si>
    <t>Author opt-out</t>
  </si>
  <si>
    <t>Executive control of stimulus-driven and goal-directed attention in visual working memory</t>
  </si>
  <si>
    <t>10.3758/s13414-016-1106-7</t>
  </si>
  <si>
    <t>Exploring Accumulation Rates of Shell Deposits Through Seasonality Data</t>
  </si>
  <si>
    <t>10.1007/s10816-016-9287-x</t>
  </si>
  <si>
    <t>Venous thromboembolism after lower limb arthroplasty: is chemical prophylaxis still needed?</t>
  </si>
  <si>
    <t>10.1007/s00590-016-1820-9</t>
  </si>
  <si>
    <t>European Journal of Orthopaedic Surgery &amp; Traumatology</t>
  </si>
  <si>
    <t>1432-1068</t>
  </si>
  <si>
    <t>The rise of the machines in commodities markets: new evidence obtained using Strongly Typed Genetic Programming</t>
  </si>
  <si>
    <t>10.1007/s10479-016-2286-1</t>
  </si>
  <si>
    <t>Annals of Operations Research</t>
  </si>
  <si>
    <t>1572-9338</t>
  </si>
  <si>
    <t>Biosynthesis of &lt;Emphasis Type="Italic"&gt;Salmonella enterica&lt;/Emphasis&gt; [NiFe]-hydrogenase-5: probing the roles of system-specific accessory proteins</t>
  </si>
  <si>
    <t>10.1007/s00775-016-1385-4</t>
  </si>
  <si>
    <t>JBIC Journal of Biological Inorganic Chemistry</t>
  </si>
  <si>
    <t>1432-1327</t>
  </si>
  <si>
    <t>Predictive Value of C-Reactive Protein for Complications Post-Laparoscopic Roux-En-Y Gastric Bypass</t>
  </si>
  <si>
    <t>10.1007/s11695-016-2349-z</t>
  </si>
  <si>
    <t>Obesity Surgery</t>
  </si>
  <si>
    <t>1708-0428</t>
  </si>
  <si>
    <t>Exploring Low Subjective Well-Being Among Children Aged 11 in the UK: an Analysis Using Data Reported by Parents and by Children</t>
  </si>
  <si>
    <t>10.1007/s12187-016-9421-z</t>
  </si>
  <si>
    <t>Child Indicators Research</t>
  </si>
  <si>
    <t>1874-8988</t>
  </si>
  <si>
    <t>The marine fishes of St. Eustatius, Dutch Caribbean</t>
  </si>
  <si>
    <t>10.1007/s12526-016-0575-1</t>
  </si>
  <si>
    <t>Marine Biodiversity</t>
  </si>
  <si>
    <t>1867-1624</t>
  </si>
  <si>
    <t>Diffusion of novel foraging behaviour in Amazon parrots through social learning</t>
  </si>
  <si>
    <t>10.1007/s10071-016-1049-3</t>
  </si>
  <si>
    <t>InterFace: A software package for face image warping, averaging, and principal components analysis</t>
  </si>
  <si>
    <t>10.3758/s13428-016-0837-7</t>
  </si>
  <si>
    <t>Sandy Green: his impact on semigroup theory</t>
  </si>
  <si>
    <t>10.1007/s00233-016-9840-7</t>
  </si>
  <si>
    <t>The impact of viral RNA on the association free energies of capsid protein assembly: bacteriophage MS2 as a case study</t>
  </si>
  <si>
    <t>10.1007/s00894-017-3224-0</t>
  </si>
  <si>
    <t>Journal of Molecular Modeling</t>
  </si>
  <si>
    <t>Email report: December 2017 Springer Compact Report for UK Institutions</t>
  </si>
  <si>
    <t>0948-5023</t>
  </si>
  <si>
    <t>Identification of an Ancient Birch Bark Quiver from a Tang Dynasty (A.D. 618–907) Tomb in Xinjiang, Northwest China</t>
  </si>
  <si>
    <t>10.1007/s12231-017-9369-z</t>
  </si>
  <si>
    <t>Economic Botany</t>
  </si>
  <si>
    <t>1874-9364</t>
  </si>
  <si>
    <t>Serial reconstruction of order and serial recall in verbal short-term memory</t>
  </si>
  <si>
    <t>10.3758/s13421-017-0719-y</t>
  </si>
  <si>
    <t>Inequality and the composition of taxes</t>
  </si>
  <si>
    <t>10.1007/s10797-017-9476-x</t>
  </si>
  <si>
    <t>Steady-state behavior of the improved normalized subband adaptive filter algorithm and its improvement in under-modeling</t>
  </si>
  <si>
    <t>10.1007/s11760-017-1199-z</t>
  </si>
  <si>
    <t>Signal, Image and Video Processing</t>
  </si>
  <si>
    <t>10/19/2017</t>
  </si>
  <si>
    <t>1863-1711</t>
  </si>
  <si>
    <t>The veil of duty: can dutiful forms of citizenship mask feelings of political dissatisfaction?</t>
  </si>
  <si>
    <t>10.1057/s41293-017-0060-x</t>
  </si>
  <si>
    <t>British Politics</t>
  </si>
  <si>
    <t>1746-9198</t>
  </si>
  <si>
    <t>The effect of digital technology on prisoner behavior and reoffending: a natural stepped-wedge design</t>
  </si>
  <si>
    <t>10.1007/s11292-017-9303-5</t>
  </si>
  <si>
    <t>“It’s Us, You Know, There’s a Feeling of Community”: Exploring Notions of Community in a Consumer Co-operative</t>
  </si>
  <si>
    <t>10.1007/s10551-017-3747-4</t>
  </si>
  <si>
    <t>Shared subjectivities: enigmatic moments and mundane intimacies</t>
  </si>
  <si>
    <t>10.1057/s41286-017-0041-y</t>
  </si>
  <si>
    <t>Subjectivity</t>
  </si>
  <si>
    <t>1755-635X</t>
  </si>
  <si>
    <t>First records of testate amoebae from the Novaya Zemlya archipelago (Russian Arctic)</t>
  </si>
  <si>
    <t>10.1007/s00300-018-2273-x</t>
  </si>
  <si>
    <t>Polar Biology</t>
  </si>
  <si>
    <t>Email report: December 2018 Springer Compact Report for UK Institutions</t>
  </si>
  <si>
    <t>1432-2056</t>
  </si>
  <si>
    <t>Comparing Live and Video Observation to Assess Early Parent-child Interactions in the Home</t>
  </si>
  <si>
    <t>10.1007/s10826-018-1039-y</t>
  </si>
  <si>
    <t>Pre and post effects of Brexit polling on United Kingdom economy: an econometrics analysis of transactional change</t>
  </si>
  <si>
    <t>10.1007/s11135-018-0746-1</t>
  </si>
  <si>
    <t>Quality &amp; Quantity</t>
  </si>
  <si>
    <t>1573-7845</t>
  </si>
  <si>
    <t>The copper complexation ability of a synthetic humic-like acid formed by an abiotic humification process and the effect of experimental factors on its copper complexation ability</t>
  </si>
  <si>
    <t>10.1007/s11356-018-1836-2</t>
  </si>
  <si>
    <t>3/19/2018</t>
  </si>
  <si>
    <t>Incremental execution of model-to-text transformations using property access traces</t>
  </si>
  <si>
    <t>10.1007/s10270-018-0666-5</t>
  </si>
  <si>
    <t>Software &amp; Systems Modeling</t>
  </si>
  <si>
    <t>1619-1366</t>
  </si>
  <si>
    <t>Development dynamics: Pre and Post Brexit analysis of United Kingdom</t>
  </si>
  <si>
    <t>10.1007/s11135-018-0789-3</t>
  </si>
  <si>
    <t>Metrics for Two Electron Random Potential Systems</t>
  </si>
  <si>
    <t>10.1007/s13538-018-0589-1</t>
  </si>
  <si>
    <t>Brazilian Journal of Physics</t>
  </si>
  <si>
    <t>1678-4448</t>
  </si>
  <si>
    <t>Compatibility on naturally ordered transformation semigroups preserving an equivalence</t>
  </si>
  <si>
    <t>10.1007/s00233-018-9965-y</t>
  </si>
  <si>
    <t>Determinants of industrial development: a panel analysis of South Asian economies</t>
  </si>
  <si>
    <t>10.1007/s11135-018-0820-8</t>
  </si>
  <si>
    <t>Assessment of occupational exposure to pesticide mixtures with endocrine-disrupting activity</t>
  </si>
  <si>
    <t>10.1007/s11356-018-3676-5</t>
  </si>
  <si>
    <t>From short-term store to multicomponent working memory: The role of the modal model</t>
  </si>
  <si>
    <t>10.3758/s13421-018-0878-5</t>
  </si>
  <si>
    <t>Preytaxis and Travelling Waves in an Eco-epidemiological Model</t>
  </si>
  <si>
    <t>10.1007/s11538-018-00546-0</t>
  </si>
  <si>
    <t>Biodegradation of malachite green by an endophytic bacterium Klebsiella aerogenes S27 involving a novel oxidoreductase</t>
  </si>
  <si>
    <t>10.1007/s00253-018-09583-0</t>
  </si>
  <si>
    <t>Applied Microbiology and Biotechnology</t>
  </si>
  <si>
    <t>Email report: December 2019 Springer Compact Report for UK Institutions</t>
  </si>
  <si>
    <t>1432-0614</t>
  </si>
  <si>
    <t>Transition of the BMI distribution in India: evidence from a distributional decomposition analysis</t>
  </si>
  <si>
    <t>10.1007/s10818-019-09283-3</t>
  </si>
  <si>
    <t>Journal of Bioeconomics</t>
  </si>
  <si>
    <t>1573-6989</t>
  </si>
  <si>
    <t>1387-6996</t>
  </si>
  <si>
    <t>Metabolic fingerprints reveal how an insect metabolome is affected by different larval host plant species</t>
  </si>
  <si>
    <t>10.1007/s11829-019-09671-6</t>
  </si>
  <si>
    <t>Arthropod-Plant Interactions</t>
  </si>
  <si>
    <t>1872-8847</t>
  </si>
  <si>
    <t>Equity, opportunity and health</t>
  </si>
  <si>
    <t>10.1007/s10663-019-09440-x</t>
  </si>
  <si>
    <t>Controversies in Science</t>
  </si>
  <si>
    <t>10.1007/s11191-019-00048-y</t>
  </si>
  <si>
    <t>Science &amp; Education</t>
  </si>
  <si>
    <t>1573-1901</t>
  </si>
  <si>
    <t>Association of time to antibiotics and clinical outcomes in patients with fever and neutropenia during chemotherapy for cancer: a systematic review</t>
  </si>
  <si>
    <t>10.1007/s00520-019-04961-4</t>
  </si>
  <si>
    <t>6/19/2019</t>
  </si>
  <si>
    <t>Speciation and sorption structure of diphenylarsinic acid in soil clay mineral fractions using sequential extraction and EXAFS spectroscopy</t>
  </si>
  <si>
    <t>10.1007/s11368-019-02431-2</t>
  </si>
  <si>
    <t>Journal of Soils and Sediments</t>
  </si>
  <si>
    <t>1614-7480</t>
  </si>
  <si>
    <t>Unjust History and Its New Reproductionâ€”A Reply to My Critics</t>
  </si>
  <si>
    <t>10.1007/s10677-021-10262-9</t>
  </si>
  <si>
    <t>Report downloaded from SN dashboard: Springer approved articles 1 Nov 2021 to 22 Feb 2022.csv</t>
  </si>
  <si>
    <t>Stronger Associations Between Sleep and Mental Health in Adults with Autism: A UK Biobank Study</t>
  </si>
  <si>
    <t>10.1007/s10803-021-05382-1</t>
  </si>
  <si>
    <t>University autonomy under democratic backsliding: a case study of a plagiarism investigation against Serbian Minister of Finance (2014â€“2019)</t>
  </si>
  <si>
    <t>10.1007/s10734-021-00811-7</t>
  </si>
  <si>
    <t>Springer Compact 2022</t>
  </si>
  <si>
    <t>The social dynamics in establishing complex community climate change initiatives: the case of a community fridge in Scotland</t>
  </si>
  <si>
    <t>10.1007/s11625-021-01075-x</t>
  </si>
  <si>
    <t>UK Economic and social research council</t>
  </si>
  <si>
    <t>Multi-taxa spatial conservation planning reveals similar priorities between taxa and improved protected area representation with climate change</t>
  </si>
  <si>
    <t>10.1007/s10531-022-02357-1</t>
  </si>
  <si>
    <t>natural environment research council, natural england</t>
  </si>
  <si>
    <t>Induction of APOBEC3-mediated genomic damage in urothelium implicates BK polyomavirus (BKPyV) as a hit-and-run driver for bladder cancer</t>
  </si>
  <si>
    <t>10.1038/s41388-022-02235-8</t>
  </si>
  <si>
    <t>Oncogene</t>
  </si>
  <si>
    <t>York Against Cancer</t>
  </si>
  <si>
    <t>1476-5594</t>
  </si>
  <si>
    <t>Interactions Between Plastic, Microbial Biofilms and Gammarus pulex: An Initial Investigation</t>
  </si>
  <si>
    <t>10.1007/s00128-021-03448-5</t>
  </si>
  <si>
    <t>natural environment research council</t>
  </si>
  <si>
    <t>Joint User-Centric Clustering and Multi-cell Radio Resource Management in Coordinated Multipoint Joint Transmission</t>
  </si>
  <si>
    <t>10.1007/s11277-022-09499-z</t>
  </si>
  <si>
    <t>H2020 Marie SkÅ‚odowska-Curie Actions (5GAURA)</t>
  </si>
  <si>
    <t>Sibling Bullying in Turkish Adolescents: Translation and Cross-Cultural Validation of the Sibling Bullying Questionnaire</t>
  </si>
  <si>
    <t>10.1007/s10896-022-00360-2</t>
  </si>
  <si>
    <t>Journal of Family Violence</t>
  </si>
  <si>
    <t>Turkey Ministry of National Education, Directorate-General for Higher and Foreign Education.</t>
  </si>
  <si>
    <t>1573-2851</t>
  </si>
  <si>
    <t>Kalman filter approach to real options with active learning</t>
  </si>
  <si>
    <t>10.1007/s10287-022-00423-1</t>
  </si>
  <si>
    <t>Computational Management Science</t>
  </si>
  <si>
    <t>norges forskningsrÃ¥d</t>
  </si>
  <si>
    <t>1619-6988</t>
  </si>
  <si>
    <t>A framework for multi-core schedulability analysis accounting for resource stress and sensitivity</t>
  </si>
  <si>
    <t>10.1007/s11241-022-09377-8</t>
  </si>
  <si>
    <t>Innovate UK, Engineering and Physical Sciences Research Council</t>
  </si>
  <si>
    <t>Building community resilience in a context of climate change: The role of social capital</t>
  </si>
  <si>
    <t>10.1007/s13280-021-01678-9</t>
  </si>
  <si>
    <t>Organochlorine contamination enriches virus-encoded metabolism and pesticide degradation associated auxiliary genes in soil microbiomes</t>
  </si>
  <si>
    <t>10.1038/s41396-022-01188-w</t>
  </si>
  <si>
    <t>Royal Society, This work was funded by the National Natural Science Foundation of China (41771350 and 42077106), the Young Elite Scientists Sponsors Hip Program by cst(2018QNRC001), and the Royal Society (grant nos. RSG\R1\180213 and CHL\R1\180031; V-PF) and jointly by a grant from UKRI, Defra, and the Scottish Government, under the Strategic Priorities Fund Plant Bacterial Diseases programme (BB/T010606/1; V-PF).</t>
  </si>
  <si>
    <t>The Brexit deal and UK fisheriesâ€”has reality matched the rhetoric?</t>
  </si>
  <si>
    <t>10.1007/s40152-022-00259-0</t>
  </si>
  <si>
    <t>Maritime Studies</t>
  </si>
  <si>
    <t>2212-9790</t>
  </si>
  <si>
    <t>The presence of moral hazard regarding flood insurance and German private businesses</t>
  </si>
  <si>
    <t>10.1007/s11069-022-05227-9</t>
  </si>
  <si>
    <t>Natural Hazards</t>
  </si>
  <si>
    <t>german ministry of education and research</t>
  </si>
  <si>
    <t>1573-0840</t>
  </si>
  <si>
    <t>Adult healthcare is associated with more emergency healthcare for young people with life-limiting conditions</t>
  </si>
  <si>
    <t>10.1038/s41390-022-01975-3</t>
  </si>
  <si>
    <t>S.J. is funded by a National Institute for Health Research Doctoral Research Fellowship (award DRF-2018-11-ST2-013) for this research project. L.F. is funded by a National Institute for Health Research Career Development Fellowship (award: CDF-2018-11-ST2-002) for this research project. This publication presents independent research funded by the National Institute for Health Research. The views expressed are those of the authors and not necessarily those of the NHS, the National Institute for Health Research or the Department of Health and Social Care.</t>
  </si>
  <si>
    <t>Implementing a â€˜Vegetables Firstâ€™ Approach to Complementary Feeding</t>
  </si>
  <si>
    <t>10.1007/s13668-022-00399-z</t>
  </si>
  <si>
    <t>Current Nutrition Reports</t>
  </si>
  <si>
    <t>2161-3311</t>
  </si>
  <si>
    <t>Severe and Fatal Cycling Crash Injury in Britain: Time to Make Urban Cycling Safer</t>
  </si>
  <si>
    <t>10.1007/s11524-022-00617-7</t>
  </si>
  <si>
    <t>Uniqueness of martingale solutions for the stochastic nonlinear SchrÃ¶dinger equation on 3d compact manifolds</t>
  </si>
  <si>
    <t>10.1007/s40072-022-00238-w</t>
  </si>
  <si>
    <t>Stochastics and Partial Differential Equations: Analysis and Computations</t>
  </si>
  <si>
    <t>2194-041X</t>
  </si>
  <si>
    <t>The challenges of a food sovereignty perspective: an analysis of the foodways of the Rama Indigenous Group, Nicaragua</t>
  </si>
  <si>
    <t>10.1007/s12571-022-01268-x</t>
  </si>
  <si>
    <t>This project was jointly funded by the Economic and Social Research Council (ESRC) and the Natural Environmental Research Council (NERC).</t>
  </si>
  <si>
    <t>A comparison of flood-protective decision-making between German households and businesses</t>
  </si>
  <si>
    <t>10.1007/s11027-021-09982-1</t>
  </si>
  <si>
    <t>Mitigation and Adaptation Strategies for Global Change</t>
  </si>
  <si>
    <t>Report downloaded from SN dashboard: Springer refused 1 Nov 2021 to 22 Feb 2022.csv</t>
  </si>
  <si>
    <t>The presented work was partly developed within the framework of the research training group “Natural Hazards and Risks in a Changing World” (NatRiskChange) funded by the Deutsche Forschungsgemeinschaft (DFG; GRK2043/1 and GRK2043/2). The survey data were collected within the framework of the project “Hochwasser 2013” funded by the German Ministry of Education and Research (BMBF; funding contract 13N13017).</t>
  </si>
  <si>
    <t>Author not affiliated with York on submission date</t>
  </si>
  <si>
    <t>1573-1596</t>
  </si>
  <si>
    <t>Histories Without Collapse</t>
  </si>
  <si>
    <t>10.1007/s10773-022-05046-5</t>
  </si>
  <si>
    <t>International Journal of Theoretical Physics</t>
  </si>
  <si>
    <t>This research was not supported by any funding.</t>
  </si>
  <si>
    <t>1572-9575</t>
  </si>
  <si>
    <t>Seller experimentation and trade</t>
  </si>
  <si>
    <t>10.1007/s10058-022-00294-7</t>
  </si>
  <si>
    <t>Report downloaded from SN dashboard: Springer articles approved 23 Feb 2022 to 16 May 2022</t>
  </si>
  <si>
    <t>No funding reported by Springer</t>
  </si>
  <si>
    <t>Lorentzian 2D CFT from the pAQFT Perspective</t>
  </si>
  <si>
    <t>10.1007/s00023-022-01167-z</t>
  </si>
  <si>
    <t>1424-0637</t>
  </si>
  <si>
    <t>Sodium accumulation in breast cancer predicts malignancy and treatment response</t>
  </si>
  <si>
    <t>10.1038/s41416-022-01802-w</t>
  </si>
  <si>
    <t>British Journal of Cancer</t>
  </si>
  <si>
    <t>Cancer Research UK (CRUK), Breast Cancer Now (BCN), RCUK | Biotechnology and Biological Sciences Research Council (BBSRC), RCUK | Engineering and Physical Sciences Research Council (EPSRC)</t>
  </si>
  <si>
    <t>1532-1827</t>
  </si>
  <si>
    <t>The association between bed occupancy rates and hospital quality in the English National Health Service</t>
  </si>
  <si>
    <t>10.1007/s10198-022-01464-8</t>
  </si>
  <si>
    <t xml:space="preserve">Laia Bosque Mercader acknowledges support by the Department of Economics and Related Studies at the University of York (Departmental Studentship funding). </t>
  </si>
  <si>
    <t>Investing in AI for social good: an analysis of European national strategies</t>
  </si>
  <si>
    <t>10.1007/s00146-022-01445-8</t>
  </si>
  <si>
    <t>Optimally ordering IDK classifiers subject to deadlines</t>
  </si>
  <si>
    <t>10.1007/s11241-022-09383-w</t>
  </si>
  <si>
    <t>National Science Foundation</t>
  </si>
  <si>
    <t>The Chronology of Kilwa Kisiwani, AD 800â€“1500</t>
  </si>
  <si>
    <t>10.1007/s10437-022-09476-8</t>
  </si>
  <si>
    <t>Report downloaded from SN dashboard: Springer rejected articles 23 Feb 2022 to 16 May 2022</t>
  </si>
  <si>
    <t>The corresponding author is not affiliated to the University of York. In order for this article to be approved, the co-author who is affiliated to York would need to submit the request as corresponding author.</t>
  </si>
  <si>
    <t>The Life Framework of Values and living as nature; towards a full recognition of holistic and relational ontologies</t>
  </si>
  <si>
    <t>10.1007/s11625-022-01159-2</t>
  </si>
  <si>
    <t>Human and animal subsistence in northern Iberia during the Late Chalcolithic-Bronze Age: biomolecular insights from Muela de Borja, Ebro Valley</t>
  </si>
  <si>
    <t>10.1007/s12520-022-01550-1</t>
  </si>
  <si>
    <t>H2020 European Research Council, Erasmus+, MINECO/FEDER</t>
  </si>
  <si>
    <t>Corresponding author not affiliated to the University of York when article was submitted for publication.</t>
  </si>
  <si>
    <t>Mapping lesion, structural disconnection, and functional disconnection to symptoms in semantic aphasia</t>
  </si>
  <si>
    <t>10.1007/s00429-022-02526-6</t>
  </si>
  <si>
    <t>Springer_dashboard_approved_ytd_1_Nov_2022</t>
  </si>
  <si>
    <t>H2020 European Research Council, Rosetrees Trust</t>
  </si>
  <si>
    <t>3-Dimensional mixed BF theory and Hitchin’s integrable system</t>
  </si>
  <si>
    <t>10.1007/s11005-022-01567-6</t>
  </si>
  <si>
    <t>Phenomenological reflections on grief during the COVID-19 pandemic</t>
  </si>
  <si>
    <t>10.1007/s11097-022-09840-8</t>
  </si>
  <si>
    <t>Climate Resilient Development Pathways in Global Drylands</t>
  </si>
  <si>
    <t>10.1007/s44177-022-00027-z</t>
  </si>
  <si>
    <t>Anthropocene Science</t>
  </si>
  <si>
    <t>2731-3980</t>
  </si>
  <si>
    <t>Approximating the Manifold Structure of Attributed Incentive Salience from Large-scale Behavioural Data</t>
  </si>
  <si>
    <t>10.1007/s42113-022-00147-0</t>
  </si>
  <si>
    <t>Computational Brain &amp; Behavior</t>
  </si>
  <si>
    <t>2522-087X</t>
  </si>
  <si>
    <t>Semigroups of straight left inverse quotients</t>
  </si>
  <si>
    <t>10.1007/s00233-022-10301-6</t>
  </si>
  <si>
    <t>The Unitary Master Ward Identity: Time Slice Axiom, Noether’s Theorem and Anomalies</t>
  </si>
  <si>
    <t>10.1007/s00023-022-01218-5</t>
  </si>
  <si>
    <t>The modular Weyl–Kac character formula</t>
  </si>
  <si>
    <t>10.1007/s00209-022-03084-7</t>
  </si>
  <si>
    <t>EEG evidence that morally relevant autobiographical memories can be suppressed</t>
  </si>
  <si>
    <t>10.3758/s13415-022-01029-5</t>
  </si>
  <si>
    <t>Cognitive, Affective, &amp; Behavioral Neuroscience</t>
  </si>
  <si>
    <t>1531-135X</t>
  </si>
  <si>
    <t>Heusler alloys for metal spintronics</t>
  </si>
  <si>
    <t>10.1557/s43577-022-00350-1</t>
  </si>
  <si>
    <t>MRS Bulletin</t>
  </si>
  <si>
    <t>Engineering and Physical Sciences Research Council, Core Research for Evolutional Science and Technology, FP7 Research Potential of Convergence Regions</t>
  </si>
  <si>
    <t>1938-1425</t>
  </si>
  <si>
    <t>Problem drinking recognition among UK military personnel: prevalence and associations</t>
  </si>
  <si>
    <t>10.1007/s00127-022-02306-x</t>
  </si>
  <si>
    <t>ministry of defence, forces in mind trust</t>
  </si>
  <si>
    <t>Open Science: Recommendations for Research on School Bullying</t>
  </si>
  <si>
    <t>10.1007/s42380-022-00130-0</t>
  </si>
  <si>
    <t>International Journal of Bullying Prevention</t>
  </si>
  <si>
    <t>2523-3661</t>
  </si>
  <si>
    <t>A Qualitative Study to Explore the Employment Experiences and Perspectives of Women Living with Multiple Sclerosis in the UK</t>
  </si>
  <si>
    <t>10.1007/s10672-022-09413-6</t>
  </si>
  <si>
    <t>Employee Responsibilities and Rights Journal</t>
  </si>
  <si>
    <t>1573-3378</t>
  </si>
  <si>
    <t>Climate change and non-migration — exploring the role of place relations in rural and coastal Bangladesh</t>
  </si>
  <si>
    <t>10.1007/s11111-022-00402-3</t>
  </si>
  <si>
    <t>Population and Environment</t>
  </si>
  <si>
    <t>1573-7810</t>
  </si>
  <si>
    <t>Benatar’s Anti-Natalism: Philosophically Flawed, Morally Dubious</t>
  </si>
  <si>
    <t>10.1007/s11406-022-00560-6</t>
  </si>
  <si>
    <t>Identification of genetic loci in lettuce mediating quantitative resistance to fungal pathogens</t>
  </si>
  <si>
    <t>10.1007/s00122-022-04129-5</t>
  </si>
  <si>
    <t>Theoretical and Applied Genetics</t>
  </si>
  <si>
    <t>1432-2242</t>
  </si>
  <si>
    <t>Measuring When a Music Generation Algorithm Copies Too Much: The Originality Report, Cardinality Score, and Symbolic Fingerprinting by Geometric Hashing</t>
  </si>
  <si>
    <t>10.1007/s42979-022-01220-y</t>
  </si>
  <si>
    <t>SN Computer Science</t>
  </si>
  <si>
    <t>2661-8907</t>
  </si>
  <si>
    <t>Single candidate optimizer: a novel optimization algorithm</t>
  </si>
  <si>
    <t>10.1007/s12065-022-00762-7</t>
  </si>
  <si>
    <t>Evolutionary Intelligence</t>
  </si>
  <si>
    <t>1864-5917</t>
  </si>
  <si>
    <t>Sheaf homology of hyperplane arrangements, Boolean covers and exterior powers</t>
  </si>
  <si>
    <t>10.1007/s00209-022-03106-4</t>
  </si>
  <si>
    <t>Model-driven design space exploration for multi-robot systems in simulation</t>
  </si>
  <si>
    <t>10.1007/s10270-022-01041-w</t>
  </si>
  <si>
    <t>Horizon 2020 Framework Programme</t>
  </si>
  <si>
    <t>Expert views about missing AI narratives: is there an AI story crisis?</t>
  </si>
  <si>
    <t>10.1007/s00146-022-01548-2</t>
  </si>
  <si>
    <t>Exploring the benefits and dis-benefits of climate migration as an adaptive strategy along the rural-peri-urban continuum in Namibia</t>
  </si>
  <si>
    <t>10.1007/s10113-022-01973-5</t>
  </si>
  <si>
    <t>ukri economic social research council, climate research 4 development, african women in climate change science, ukri gcrf, African Research and Initiative for Scientific Excellence</t>
  </si>
  <si>
    <t>Structural perturbations of substrate binding and oxidation state changes in a lytic polysaccharide monooxygenase</t>
  </si>
  <si>
    <t>10.1007/s00775-022-01966-z</t>
  </si>
  <si>
    <t>Asymptotic Measurement Schemes for Every Observable of a Quantum Field Theory</t>
  </si>
  <si>
    <t>10.1007/s00023-022-01239-0</t>
  </si>
  <si>
    <t>University of York, Dublin Institute for Advanced Studies</t>
  </si>
  <si>
    <t>Higher-power harmonic maps and sections</t>
  </si>
  <si>
    <t>10.1007/s10455-022-09875-9</t>
  </si>
  <si>
    <t>Annals of Global Analysis and Geometry</t>
  </si>
  <si>
    <t>1572-9060</t>
  </si>
  <si>
    <t>The underwood project: A virtual environment for eliciting ambiguous threat</t>
  </si>
  <si>
    <t>10.3758/s13428-022-02002-3</t>
  </si>
  <si>
    <t>Timescales and contribution of heating and helicity effect in helicity-dependent all-optical switching</t>
  </si>
  <si>
    <t>10.1007/s12598-022-02117-8</t>
  </si>
  <si>
    <t>Rare Metals</t>
  </si>
  <si>
    <t>National Key R&amp;D Program of China, National Natural Science Foundation of China, Research and Development Program of China, EPSRC, Natural Science Foundation of Jiangsu Province</t>
  </si>
  <si>
    <t>1867-7185</t>
  </si>
  <si>
    <t>The experiences of non-religious children in religious education</t>
  </si>
  <si>
    <t>10.1007/s40839-022-00180-y</t>
  </si>
  <si>
    <t>Journal of Religious Education</t>
  </si>
  <si>
    <t>2199-4625</t>
  </si>
  <si>
    <t>C*-algebraic approach to interacting quantum field theory: inclusion of Fermi fields</t>
  </si>
  <si>
    <t>10.1007/s11005-022-01590-7</t>
  </si>
  <si>
    <t>From Pluralistic Normative Principles to Autonomous-Agent Rules</t>
  </si>
  <si>
    <t>10.1007/s11023-022-09614-w</t>
  </si>
  <si>
    <t>Minds and Machines</t>
  </si>
  <si>
    <t>UK Research and Innovation, Royal Academy of Engineering, UK Research and Innovation</t>
  </si>
  <si>
    <t>1572-8641</t>
  </si>
  <si>
    <t>‘Brecht in Practice’: Critical Reflections on Staging Drama Dialectically</t>
  </si>
  <si>
    <t>10.1080/10486801.2021.1928653</t>
  </si>
  <si>
    <t>Contemporary Theatre Review</t>
  </si>
  <si>
    <t>Taylor &amp; Francis</t>
  </si>
  <si>
    <t>Taylor &amp; Francis TA 2021</t>
  </si>
  <si>
    <t>Dashboard report 3/11/21: Taylor and Francis, Transactions, 2021-11-03.csv</t>
  </si>
  <si>
    <t>This Arts and Humanities Research Council-funded project carries the serial number AH/N003047/1</t>
  </si>
  <si>
    <t>Q4 2021</t>
  </si>
  <si>
    <t>0000-0003-3129-0816</t>
  </si>
  <si>
    <t>1477-2264</t>
  </si>
  <si>
    <t>1048-6801</t>
  </si>
  <si>
    <t>Records as records: excavating the DJ’s sonic archive</t>
  </si>
  <si>
    <t>10.1080/23257962.2021.2001319</t>
  </si>
  <si>
    <t>Archives and Records</t>
  </si>
  <si>
    <t>Funded by the Finzi Trust</t>
  </si>
  <si>
    <t>Liam Maloney</t>
  </si>
  <si>
    <t>liam.maloney@york.ac.uk</t>
  </si>
  <si>
    <t>0000-0001-9202-8104</t>
  </si>
  <si>
    <t>2325-7989</t>
  </si>
  <si>
    <t>2325-7962</t>
  </si>
  <si>
    <t>The Museum of European Normality: colonial violence, community museums, and practices of display</t>
  </si>
  <si>
    <t>10.1080/09647775.2021.2001361</t>
  </si>
  <si>
    <t>Museum Management and Curatorship</t>
  </si>
  <si>
    <t>Ana Bilbao</t>
  </si>
  <si>
    <t>ana.bilbao@york.ac.uk</t>
  </si>
  <si>
    <t>1872-9185</t>
  </si>
  <si>
    <t>0964-7775</t>
  </si>
  <si>
    <t>Vaccines against leishmaniasis: using controlled human infection models to accelerate development</t>
  </si>
  <si>
    <t>10.1080/14760584.2021.1991795</t>
  </si>
  <si>
    <t>Expert Review of Vaccines</t>
  </si>
  <si>
    <t xml:space="preserve">Charles Lacey </t>
  </si>
  <si>
    <t>charles.lacey@hyms.ac.uk</t>
  </si>
  <si>
    <t>1744-8395</t>
  </si>
  <si>
    <t>1476-0584</t>
  </si>
  <si>
    <t>Overcoming roadblocks in the development of vaccines for leishmaniasis</t>
  </si>
  <si>
    <t>10.1080/14760584.2021.1990043</t>
  </si>
  <si>
    <t>Paul Kaye</t>
  </si>
  <si>
    <t>paul.kaye@york.ac.uk</t>
  </si>
  <si>
    <t>Second order expansions of estimators in nonparametric moment conditions models with weakly dependent data</t>
  </si>
  <si>
    <t>10.1080/07474938.2021.1991140</t>
  </si>
  <si>
    <t>Econometric Reviews</t>
  </si>
  <si>
    <t>F Bravo</t>
  </si>
  <si>
    <t>francesco.bravo@york.ac.uk</t>
  </si>
  <si>
    <t>0000-0002-8034-334X</t>
  </si>
  <si>
    <t>1532-4168</t>
  </si>
  <si>
    <t>0747-4938</t>
  </si>
  <si>
    <t>Observation of a frustrated nematic phase in amphiphilic, disc-like complexes of gold(III) containing hydrocarbon and semiperfluorocarbon terminal chains</t>
  </si>
  <si>
    <t>10.1080/02678292.2021.1991017</t>
  </si>
  <si>
    <t>Liquid Crystals</t>
  </si>
  <si>
    <t>We thank the University of York for funding (RRP and AJM), Johnson Matthey for generous loans of gold salts and Dr Stephen Cowling for recording some SAXS data</t>
  </si>
  <si>
    <t>0000-0002-1365-2222</t>
  </si>
  <si>
    <t>1366-5855</t>
  </si>
  <si>
    <t>0267-8292</t>
  </si>
  <si>
    <t>The Resilience of Popular National Cinemas in Europe (Part Two)</t>
  </si>
  <si>
    <t>10.1080/25785273.2021.1989166</t>
  </si>
  <si>
    <t>Transnational Screens</t>
  </si>
  <si>
    <t>Andrew Higson</t>
  </si>
  <si>
    <t>andrew.higson@york.ac.uk</t>
  </si>
  <si>
    <t>2578-5265</t>
  </si>
  <si>
    <t>2578-5273</t>
  </si>
  <si>
    <t>The resilience of popular national cinemas in Europe (Part one)</t>
  </si>
  <si>
    <t>10.1080/25785273.2021.1989165</t>
  </si>
  <si>
    <t>Bilingual language use is context dependent: using the Language and Social Background Questionnaire to assess language experiences and test-rest reliability</t>
  </si>
  <si>
    <t>10.1080/13670050.2021.1988049</t>
  </si>
  <si>
    <t>International Journal of Bilingual Education and Bilingualism</t>
  </si>
  <si>
    <t>The first author and this research were funded by a Laidlaw Scholarship, provided by the Laidlaw Foundation, at the University of York.</t>
  </si>
  <si>
    <t>1747-7522</t>
  </si>
  <si>
    <t>1367-0050</t>
  </si>
  <si>
    <t>What makes a great teacher during a pandemic?</t>
  </si>
  <si>
    <t>10.1080/02607476.2021.1988826</t>
  </si>
  <si>
    <t>Journal of Education for Teaching</t>
  </si>
  <si>
    <t>Lisa Kim</t>
  </si>
  <si>
    <t>lisa.kim@york.ac.uk</t>
  </si>
  <si>
    <t>1360-0540</t>
  </si>
  <si>
    <t>0260-7476</t>
  </si>
  <si>
    <t>Reconciling the liberal tradition in normative economics with the findings of behavioural economics: on J.S. Mill, libertarian paternalism and Robert Sugden’s The Community of Advantage</t>
  </si>
  <si>
    <t>10.1080/1350178X.2021.1988131</t>
  </si>
  <si>
    <t>Journal of Economic Methodology</t>
  </si>
  <si>
    <t>Mozaffar Qizilbash</t>
  </si>
  <si>
    <t>mozaffar.qizilbash@york.ac.uk</t>
  </si>
  <si>
    <t>1469-9427</t>
  </si>
  <si>
    <t>1350-178X</t>
  </si>
  <si>
    <t>New development: Management control for emergent risks in the public sector—a levers of control perspective</t>
  </si>
  <si>
    <t>10.1080/09540962.2021.1986301</t>
  </si>
  <si>
    <t>Public Money &amp; Management</t>
  </si>
  <si>
    <t>Vasileios Georgiou</t>
  </si>
  <si>
    <t>Vasileios.Georgiou@york.ac.uk</t>
  </si>
  <si>
    <t>1467-9302</t>
  </si>
  <si>
    <t>0954-0962</t>
  </si>
  <si>
    <t>Drawing and Knowledge Construction in Archaeology: The Aide Mémoire Project</t>
  </si>
  <si>
    <t>10.1080/00934690.2021.1985304</t>
  </si>
  <si>
    <t>Journal of Field Archaeology</t>
  </si>
  <si>
    <t>This research was funded by the University of York Creativity and Culture and Communication Priming Fund.</t>
  </si>
  <si>
    <t>Colleen Morgan</t>
  </si>
  <si>
    <t>colleen.morgan@york.ac.uk</t>
  </si>
  <si>
    <t>0000-0001-6907-5535</t>
  </si>
  <si>
    <t>2042-4582</t>
  </si>
  <si>
    <t>0093-4690</t>
  </si>
  <si>
    <t>‘I think it’s been difficult for the ones that haven’t got as many resources in their homes’: teacher concerns about the impact of COVID-19 on pupil learning and wellbeing</t>
  </si>
  <si>
    <t>10.1080/13540602.2021.1982690</t>
  </si>
  <si>
    <t>Teachers and Teaching</t>
  </si>
  <si>
    <t>1470-1278</t>
  </si>
  <si>
    <t>1354-0602</t>
  </si>
  <si>
    <t>The notorious Dr. Middleton: David Hume and the Ninewells years</t>
  </si>
  <si>
    <t>10.1080/01916599.2021.1975152</t>
  </si>
  <si>
    <t>History of European Ideas</t>
  </si>
  <si>
    <t>This work was supported by The Leverhulme Trust [Grant RL–2016–044].</t>
  </si>
  <si>
    <t>Tim Stuart-Buttle</t>
  </si>
  <si>
    <t>tim.stuart-buttle@york.ac.uk</t>
  </si>
  <si>
    <t>1873-541X</t>
  </si>
  <si>
    <t>0191-6599</t>
  </si>
  <si>
    <t>Sonic Heritage, Identity and Music-making in Sheffield, “Steel City”</t>
  </si>
  <si>
    <t>10.1080/2159032X.2021.1968227</t>
  </si>
  <si>
    <t>Heritage &amp; Society</t>
  </si>
  <si>
    <t>John Schofield,Ron Wright</t>
  </si>
  <si>
    <t>john.schofield@york.ac.uk,R.P.Wright@shu.ac.uk</t>
  </si>
  <si>
    <t>0000-0001-6903-7395,0000-0001-6466-1340</t>
  </si>
  <si>
    <t>2159-032X</t>
  </si>
  <si>
    <t>2159-0338</t>
  </si>
  <si>
    <t>Physical and mental well-being, risk and protective factors among older lesbians /gay women in the United Kingdom during the initial COVID-19 2020 lockdown</t>
  </si>
  <si>
    <t>10.1080/08952841.2021.1965456</t>
  </si>
  <si>
    <t>Journal of Women &amp; Aging</t>
  </si>
  <si>
    <t>Sue Westwood</t>
  </si>
  <si>
    <t>sue.westwood@york.ac.uk</t>
  </si>
  <si>
    <t>0000-0003-3875-9584</t>
  </si>
  <si>
    <t>1540-7322</t>
  </si>
  <si>
    <t>0895-2841</t>
  </si>
  <si>
    <t>A Synthetic Regression Model for Large Portfolio Allocation</t>
  </si>
  <si>
    <t>10.1080/07350015.2021.1961787</t>
  </si>
  <si>
    <t>Journal of Business &amp; Economic Statistics</t>
  </si>
  <si>
    <t>This research is supported by National Natural Science Foundation of China (Grant Numbers 11931014, 11871001, 11901315, 72033002), the Beijing Natural Science Foundation (Grant Number 1182003) and the Fundamental Research Funds for the Central Universities (Grant Numbers 2019NTSS18, 2682020ZT113).</t>
  </si>
  <si>
    <t>Wenyang Zhang</t>
  </si>
  <si>
    <t>wenyang.zhang@york.ac.uk</t>
  </si>
  <si>
    <t>Not Provided</t>
  </si>
  <si>
    <t>1537-2707</t>
  </si>
  <si>
    <t>0735-0015</t>
  </si>
  <si>
    <t>The Politics of Fiscal Legitimacy in Developmental States: Emergency Taxes in Argentina Under Kirchnerism</t>
  </si>
  <si>
    <t>10.1080/13563467.2021.1961215</t>
  </si>
  <si>
    <t>New Political Economy</t>
  </si>
  <si>
    <t>Matt Barlow</t>
  </si>
  <si>
    <t>matt.barlow@york.ac.uk</t>
  </si>
  <si>
    <t>1469-9923</t>
  </si>
  <si>
    <t>1356-3467</t>
  </si>
  <si>
    <t>‘I lost the faith in humanity.’ Using William Golding’s Lord of the Flies to Explore Ethical and Moral Issues Through Transnational, Online Literary Exchange</t>
  </si>
  <si>
    <t>10.1080/0305764X.2021.1959519</t>
  </si>
  <si>
    <t>Cambridge Journal of Education</t>
  </si>
  <si>
    <t>Amanda Naylor</t>
  </si>
  <si>
    <t>amanda.naylor@york.ac.uk</t>
  </si>
  <si>
    <t>1469-3577</t>
  </si>
  <si>
    <t>0305-764X</t>
  </si>
  <si>
    <t>Local peace governance in post-war Timor-Leste: reconceiving governance ambiguity as a formalised political unsettlement</t>
  </si>
  <si>
    <t>10.1080/21647259.2021.1955516</t>
  </si>
  <si>
    <t>Peacebuilding</t>
  </si>
  <si>
    <t>Field research for this article was funded by the ESRC Centre for Public Authority and International Development (Grant Code: ES/P008038/1), at the London School of Economics</t>
  </si>
  <si>
    <t>Claire Smith</t>
  </si>
  <si>
    <t>claire.smith@york.ac.uk</t>
  </si>
  <si>
    <t>0000-0002-7479-4312</t>
  </si>
  <si>
    <t>2164-7267</t>
  </si>
  <si>
    <t>2164-7259</t>
  </si>
  <si>
    <t>On the Notions of Police/State (of Situation): An Economic Perspective in Light of Hegel's Philosophy of Right</t>
  </si>
  <si>
    <t>10.1080/14409917.2021.1953751</t>
  </si>
  <si>
    <t>Critical Horizons</t>
  </si>
  <si>
    <t>This project has received funding from the European Union's Horizon 2020 research and innovation programme under the Marie Skłodowska-Curie Grant Agreement No. 893027</t>
  </si>
  <si>
    <t>Uros Kranjc</t>
  </si>
  <si>
    <t>uros.kranjc@york.ac.uk</t>
  </si>
  <si>
    <t>0000-0002-8778-2169</t>
  </si>
  <si>
    <t>1568-5160</t>
  </si>
  <si>
    <t>1440-9917</t>
  </si>
  <si>
    <t>Incorporating health inequality impact into economic evaluation in low- and middle-income countries: a systematic review</t>
  </si>
  <si>
    <t>10.1080/14737167.2021.1954505</t>
  </si>
  <si>
    <t>Expert Review of Pharmacoeconomics &amp; Outcomes Research</t>
  </si>
  <si>
    <t>This study was not funded.</t>
  </si>
  <si>
    <t>Fan Yang</t>
  </si>
  <si>
    <t>fan.bella.yang@york.ac.uk</t>
  </si>
  <si>
    <t>1744-8379</t>
  </si>
  <si>
    <t>1473-7167</t>
  </si>
  <si>
    <t>The ‘snowball effect’: short and long-term consequences of early career alcohol industry research funding</t>
  </si>
  <si>
    <t>10.1080/16066359.2021.1952190</t>
  </si>
  <si>
    <t>Addiction Research &amp; Theory</t>
  </si>
  <si>
    <t>Gemma Mitchell</t>
  </si>
  <si>
    <t>gemma.mitchell@york.ac.uk</t>
  </si>
  <si>
    <t>0000-0003-0199-859X</t>
  </si>
  <si>
    <t>1476-7392</t>
  </si>
  <si>
    <t>1606-6359</t>
  </si>
  <si>
    <t>On “Consequentialism” and the Capability Approach</t>
  </si>
  <si>
    <t>10.1080/19452829.2021.1951185</t>
  </si>
  <si>
    <t>Journal of Human Development and Capabilities</t>
  </si>
  <si>
    <t>1945-2837</t>
  </si>
  <si>
    <t>1945-2829</t>
  </si>
  <si>
    <t>Nonparametric homogeneity pursuit in functional-coefficient models</t>
  </si>
  <si>
    <t>10.1080/10485252.2021.1951265</t>
  </si>
  <si>
    <t>Journal of Nonparametric Statistics</t>
  </si>
  <si>
    <t>Degui Li</t>
  </si>
  <si>
    <t>degui.li@york.ac.uk</t>
  </si>
  <si>
    <t>1029-0311</t>
  </si>
  <si>
    <t>1048-5252</t>
  </si>
  <si>
    <t>Crisis, uncertainty and urgency: processes of learning and emulation in tax policy making</t>
  </si>
  <si>
    <t>10.1080/01402382.2021.1949681</t>
  </si>
  <si>
    <t>West European Politics</t>
  </si>
  <si>
    <t>Matthew Lesch</t>
  </si>
  <si>
    <t>matt.lesch@york.ac.uk</t>
  </si>
  <si>
    <t>0000-0002-3015-0937</t>
  </si>
  <si>
    <t>1743-9655</t>
  </si>
  <si>
    <t>0140-2382</t>
  </si>
  <si>
    <t>Striking a balance between supply chain resilience and supply chain vulnerability in the cross-border e-commerce supply chain</t>
  </si>
  <si>
    <t>10.1080/13675567.2021.1948978</t>
  </si>
  <si>
    <t>International Journal of Logistics Research and Applications</t>
  </si>
  <si>
    <t>This research was supported by the National Social Science Fund of China under the grant number 18BGL105.</t>
  </si>
  <si>
    <t>Fu Jia,Fu Jia</t>
  </si>
  <si>
    <t>jeff_fujia@hotmail.com,fu.jia@york.ac.uk</t>
  </si>
  <si>
    <t>0000-0002-9830-121X,0000-0002-9830-121X</t>
  </si>
  <si>
    <t>1469-848X</t>
  </si>
  <si>
    <t>1367-5567</t>
  </si>
  <si>
    <t>OnabotulinumtoxinA for the prophylactic treatment of headaches in adult patients with chronic migraine: a safety evaluation</t>
  </si>
  <si>
    <t>10.1080/14740338.2021.1948531</t>
  </si>
  <si>
    <t>Expert Opinion on Drug Safety</t>
  </si>
  <si>
    <t>This paper was not funded.</t>
  </si>
  <si>
    <t>Fayyaz Ahmed</t>
  </si>
  <si>
    <t>hyfa1@hyms.ac.uk</t>
  </si>
  <si>
    <t>1744-764X</t>
  </si>
  <si>
    <t>1474-0338</t>
  </si>
  <si>
    <t>Building supply chain resilience through ambidexterity: an information processing perspective</t>
  </si>
  <si>
    <t>10.1080/13675567.2021.1944070</t>
  </si>
  <si>
    <t>This research was funded by the National Social Science Fund of China (grant number 18BGL105).</t>
  </si>
  <si>
    <t>fu.jia@york.ac.uk,jeff_fujia@hotmail.com</t>
  </si>
  <si>
    <t>Cutting Deals: Transnational Advocacy Networks and the European Union Timber Regulation at the Eastern Border</t>
  </si>
  <si>
    <t>10.1080/03932729.2021.1935680</t>
  </si>
  <si>
    <t>The International Spectator</t>
  </si>
  <si>
    <t>The Jean Monnet Network ‘Governing the EU’s climate and energy transition in turbulent times’ (GOVTRAN: www.govtran.eu), which is funded by the Erasmus+ programme of the European Union, deserves credit for additional support.</t>
  </si>
  <si>
    <t>Simona Davidescu</t>
  </si>
  <si>
    <t>simona.davidescu@york.ac.uk</t>
  </si>
  <si>
    <t>1751-9721</t>
  </si>
  <si>
    <t>0393-2729</t>
  </si>
  <si>
    <t>Conflict and conciliation: industrial relations in an industrialising Hong Kong, ca. 1946-1960</t>
  </si>
  <si>
    <t>10.1080/0023656X.2021.1934424</t>
  </si>
  <si>
    <t>Labor History</t>
  </si>
  <si>
    <t>The Leverhulme Trust, Research Fellowship: ‘Industry and Institutions: Hong Kong’, 2002-04.</t>
  </si>
  <si>
    <t>David Clayton</t>
  </si>
  <si>
    <t>david.clayton@york.ac.uk</t>
  </si>
  <si>
    <t>1469-9702</t>
  </si>
  <si>
    <t>0023-656X</t>
  </si>
  <si>
    <t>Policy communities, devolution and policy transfer: The case of alcohol pricing in Wales</t>
  </si>
  <si>
    <t>10.1080/13597566.2021.1934454</t>
  </si>
  <si>
    <t>Regional &amp; Federal Studies</t>
  </si>
  <si>
    <t>1743-9434</t>
  </si>
  <si>
    <t>1359-7566</t>
  </si>
  <si>
    <t>International students, 1860-2010: policy and practice round the world</t>
  </si>
  <si>
    <t>10.1080/00071005.2021.1903192</t>
  </si>
  <si>
    <t>British Journal of Educational Studies</t>
  </si>
  <si>
    <t>Miles Taylor</t>
  </si>
  <si>
    <t>miles.taylor@york.ac.uk</t>
  </si>
  <si>
    <t>1467-8527</t>
  </si>
  <si>
    <t>0007-1005</t>
  </si>
  <si>
    <t>The diplomacy of spectacle: Abie Nathan and the limits of Israeli peace activism, 1966–1993</t>
  </si>
  <si>
    <t>10.1080/14725886.2021.1929394</t>
  </si>
  <si>
    <t>Journal of Modern Jewish Studies</t>
  </si>
  <si>
    <t>1472-5894</t>
  </si>
  <si>
    <t>1472-5886</t>
  </si>
  <si>
    <t>J M Coetzee and African Studies</t>
  </si>
  <si>
    <t>10.1080/02690055.2021.1918421</t>
  </si>
  <si>
    <t>Wasafiri</t>
  </si>
  <si>
    <t>David Attwell</t>
  </si>
  <si>
    <t>david.attwell@york.ac.uk</t>
  </si>
  <si>
    <t>0000-0002-8849-8362</t>
  </si>
  <si>
    <t>1747-1508</t>
  </si>
  <si>
    <t>0269-0055</t>
  </si>
  <si>
    <t>Cold War: a Transnational Approach to a Global Heritage</t>
  </si>
  <si>
    <t>10.1080/00794236.2021.1896211</t>
  </si>
  <si>
    <t>Post-Medieval Archaeology</t>
  </si>
  <si>
    <t>1745-8137</t>
  </si>
  <si>
    <t>0079-4236</t>
  </si>
  <si>
    <t>Linguistic predictors of academic achievement amongst international students and home students in higher education: introduction</t>
  </si>
  <si>
    <t>10.1080/13670050.2021.1909452</t>
  </si>
  <si>
    <t>Danijela Trenkic</t>
  </si>
  <si>
    <t>danijela.trenkic@york.ac.uk</t>
  </si>
  <si>
    <t>0000-0001-6340-6030</t>
  </si>
  <si>
    <t>Reimagining Nashville: The Changing Place of Country</t>
  </si>
  <si>
    <t>10.1080/17567505.2021.1889090</t>
  </si>
  <si>
    <t>The Historic Environment: Policy &amp; Practice</t>
  </si>
  <si>
    <t>Js1032@york.ac.uk</t>
  </si>
  <si>
    <t>1756-7513</t>
  </si>
  <si>
    <t>1756-7505</t>
  </si>
  <si>
    <t>‘Home’ as an essentially contested concept and why this matters</t>
  </si>
  <si>
    <t>10.1080/02673037.2021.1893281</t>
  </si>
  <si>
    <t>Housing Studies</t>
  </si>
  <si>
    <t>1466-1810</t>
  </si>
  <si>
    <t>0267-3037</t>
  </si>
  <si>
    <t>The Conservative Party, Concerted Action and the West German economic model 1975-1981</t>
  </si>
  <si>
    <t>10.1080/13619462.2021.1899913</t>
  </si>
  <si>
    <t>Contemporary British History</t>
  </si>
  <si>
    <t>Ben Whisker</t>
  </si>
  <si>
    <t>blw501@york.ac.uk</t>
  </si>
  <si>
    <t>1743-7997</t>
  </si>
  <si>
    <t>1361-9462</t>
  </si>
  <si>
    <t>Multiple multi-tier sustainable supply chain management: a social system theory perspective</t>
  </si>
  <si>
    <t>10.1080/00207543.2021.1930238</t>
  </si>
  <si>
    <t>International Journal of Production Research</t>
  </si>
  <si>
    <t>Fu Jia</t>
  </si>
  <si>
    <t>jeff_fujia@hotmail.com</t>
  </si>
  <si>
    <t>0000-0002-9830-121X</t>
  </si>
  <si>
    <t>1366-588X</t>
  </si>
  <si>
    <t>0020-7543</t>
  </si>
  <si>
    <t>The Context of Vertical Filmmaking Literature</t>
  </si>
  <si>
    <t>10.1080/10509208.2021.1874853</t>
  </si>
  <si>
    <t>Quarterly Review of Film and Video</t>
  </si>
  <si>
    <t>Rafe Clayton</t>
  </si>
  <si>
    <t>rc1628@york.ac.uk</t>
  </si>
  <si>
    <t>0000-0001-5451-1234</t>
  </si>
  <si>
    <t>1543-5326</t>
  </si>
  <si>
    <t>1050-9208</t>
  </si>
  <si>
    <t>Performance-based risk-sharing agreements in renal care: current experience and future prospects</t>
  </si>
  <si>
    <t>10.1080/14737167.2021.1876566</t>
  </si>
  <si>
    <t>This research was funded by an unrestricted research grant from Fresenius Medical Care.</t>
  </si>
  <si>
    <t>Michael Drummond</t>
  </si>
  <si>
    <t>mike.drummond@york.ac.uk</t>
  </si>
  <si>
    <t>0000-0002-6968-4610</t>
  </si>
  <si>
    <t>Tied to a star: the Green Party of Aotearoa New Zealand and the 2020 election</t>
  </si>
  <si>
    <t>10.1080/09644016.2021.1877477</t>
  </si>
  <si>
    <t>Environmental Politics</t>
  </si>
  <si>
    <t>Thomas O?Brien</t>
  </si>
  <si>
    <t>t.obrien@york.ac.uk;thomas.obrien1@gmail.com</t>
  </si>
  <si>
    <t>0000-0002-5031-736X</t>
  </si>
  <si>
    <t>1743-8934</t>
  </si>
  <si>
    <t>0964-4016</t>
  </si>
  <si>
    <t>A “stylistic anti-populism”: an analysis of the Sardine movement’s opposition to Matteo Salvini in Italy</t>
  </si>
  <si>
    <t>10.1080/14742837.2021.1899910</t>
  </si>
  <si>
    <t>Social Movement Studies</t>
  </si>
  <si>
    <t>Not funded</t>
  </si>
  <si>
    <t>Soraya Hamdaoui</t>
  </si>
  <si>
    <t>sh1812@york.ac.uk</t>
  </si>
  <si>
    <t>1474-2829</t>
  </si>
  <si>
    <t>1474-2837</t>
  </si>
  <si>
    <t>(Im)material culture: towards an archaeology of cybercrime</t>
  </si>
  <si>
    <t>10.1080/00438243.2021.1882333</t>
  </si>
  <si>
    <t>World Archaeology</t>
  </si>
  <si>
    <t>John.Schofield@york.ac.uk</t>
  </si>
  <si>
    <t>1470-1375</t>
  </si>
  <si>
    <t>0043-8243</t>
  </si>
  <si>
    <t>Are efforts to recruit to psychiatry closing the stable door after the horse has bolted? Knowledge and attitudes towards a career in psychiatry amongst secondary (high) school students: a UK-based cross-sectional survey</t>
  </si>
  <si>
    <t>10.1080/09638237.2021.1922638</t>
  </si>
  <si>
    <t>Journal of Mental Health</t>
  </si>
  <si>
    <t>PAT is supported in his research by a National Institute for Health Research (NIHR) Career Development Fellowship (CDF 2018-08-011). This paper presents independent research partly funded by the National Institute for Health Research (NIHR).</t>
  </si>
  <si>
    <t>Paul Tiffin</t>
  </si>
  <si>
    <t>paul.tiffin@york.ac.uk</t>
  </si>
  <si>
    <t>0000-0003-1770-5034</t>
  </si>
  <si>
    <t>1360-0567</t>
  </si>
  <si>
    <t>0963-8237</t>
  </si>
  <si>
    <t>COVID-19 lockdown and remote attendance teaching in developing countries: A review of some online pedagogical resources</t>
  </si>
  <si>
    <t>10.1080/20421338.2021.1889768</t>
  </si>
  <si>
    <t>African Journal of Science, Technology, Innovation and Development</t>
  </si>
  <si>
    <t>Abdulkarim Oloyede</t>
  </si>
  <si>
    <t>olouss@yahoo.com</t>
  </si>
  <si>
    <t>2042-1346</t>
  </si>
  <si>
    <t>2042-1338</t>
  </si>
  <si>
    <t>Translating risk: how social workers’ epistemological assumptions shape the way they share knowledge</t>
  </si>
  <si>
    <t>10.1080/13698575.2021.1888892</t>
  </si>
  <si>
    <t>Health, Risk &amp; Society</t>
  </si>
  <si>
    <t>1469-8331</t>
  </si>
  <si>
    <t>1369-8575</t>
  </si>
  <si>
    <t>Peacebuilding, Structural Violence and Spatial Reparations in Post-Colonial South Africa</t>
  </si>
  <si>
    <t>10.1080/17502977.2021.1909297</t>
  </si>
  <si>
    <t>Journal of Intervention and Statebuilding</t>
  </si>
  <si>
    <t>This work was supported by FORMAS [grant number FR-2016/0004] and Vetenskapsrådet [grant number 201641060].</t>
  </si>
  <si>
    <t>Susan Forde</t>
  </si>
  <si>
    <t>susan.forde@york.ac.uk</t>
  </si>
  <si>
    <t>1750-2985</t>
  </si>
  <si>
    <t>1750-2977</t>
  </si>
  <si>
    <t>An early cost analysis of magnetic bone growth stimulation in England</t>
  </si>
  <si>
    <t>10.1080/14737167.2021.1920402</t>
  </si>
  <si>
    <t>DJO Global</t>
  </si>
  <si>
    <t>Joel Russell</t>
  </si>
  <si>
    <t>joel.russell@york.ac.uk</t>
  </si>
  <si>
    <t>The Missing Voices: Carers’ Experiences of Section 17 Leave (Mental Health Act 1983) in England</t>
  </si>
  <si>
    <t>10.1080/09503153.2021.1928620</t>
  </si>
  <si>
    <t>Practice</t>
  </si>
  <si>
    <t>The research was unfunded.</t>
  </si>
  <si>
    <t>Nicola Moran</t>
  </si>
  <si>
    <t>1742-4909</t>
  </si>
  <si>
    <t>0950-3153</t>
  </si>
  <si>
    <t>A Model of Coastal Wetland Palaeogeography and Archaeological Narratives: Loch Spynie, Northern Scotland</t>
  </si>
  <si>
    <t>10.1080/14732971.2021.1930775</t>
  </si>
  <si>
    <t>Journal of Wetland Archaeology</t>
  </si>
  <si>
    <t>This work was instigated in collaboration with Ian Armit and Lindsey Büster to contextualise their work at Sculptor’s Cave funded by Historic Environment Scotland</t>
  </si>
  <si>
    <t>Michael Stratigos</t>
  </si>
  <si>
    <t>michael.stratigos@york.ac.uk</t>
  </si>
  <si>
    <t>0000-0001-9284-9041</t>
  </si>
  <si>
    <t>2051-6231</t>
  </si>
  <si>
    <t>1473-2971</t>
  </si>
  <si>
    <t>‘Nature-enhanced learning’ and geography education</t>
  </si>
  <si>
    <t>10.1080/03098265.2021.1926938</t>
  </si>
  <si>
    <t>Journal of Geography in Higher Education</t>
  </si>
  <si>
    <t>K Brookfield</t>
  </si>
  <si>
    <t>k.brookfield@york.ac.uk</t>
  </si>
  <si>
    <t>1466-1845</t>
  </si>
  <si>
    <t>0309-8265</t>
  </si>
  <si>
    <t>Magic Circles: Tabletop role-playing games as queer utopian method</t>
  </si>
  <si>
    <t>10.1080/13528165.2020.1930786</t>
  </si>
  <si>
    <t>Performance Research</t>
  </si>
  <si>
    <t xml:space="preserve">Felix Kawitzky </t>
  </si>
  <si>
    <t>felixkawitzky@gmail.com</t>
  </si>
  <si>
    <t>1469-9990</t>
  </si>
  <si>
    <t>1352-8165</t>
  </si>
  <si>
    <t>Making home or making do: a critical look at homemaking without a home</t>
  </si>
  <si>
    <t>10.1080/02673037.2021.1929859</t>
  </si>
  <si>
    <t xml:space="preserve">Nicholas Pleace </t>
  </si>
  <si>
    <t>nicholas.pleace@york.ac.uk</t>
  </si>
  <si>
    <t>“We stand in the Luddite legacy”: tracking patterns of anti-GM protest and crop-trashing in the United Kingdom</t>
  </si>
  <si>
    <t>10.1080/08873631.2021.1928828</t>
  </si>
  <si>
    <t>Journal of Cultural Geography</t>
  </si>
  <si>
    <t>Thomas O?Brien,Thomas O?Brien</t>
  </si>
  <si>
    <t>t.obrien@york.ac.uk,thomas.obrien1@gmail.com</t>
  </si>
  <si>
    <t>0000-0002-5031-736X,0000-0002-5031-736X</t>
  </si>
  <si>
    <t>1940-6320</t>
  </si>
  <si>
    <t>0887-3631</t>
  </si>
  <si>
    <t>Training flexible conceptual retrieval in post-stroke aphasia</t>
  </si>
  <si>
    <t>10.1080/09602011.2021.1895847</t>
  </si>
  <si>
    <t>Neuropsychological Rehabilitation</t>
  </si>
  <si>
    <t>Beth Jefferies</t>
  </si>
  <si>
    <t>0000-0002-3826-4330</t>
  </si>
  <si>
    <t>1464-0694</t>
  </si>
  <si>
    <t>0960-2011</t>
  </si>
  <si>
    <t>Teachers’ narratives during COVID-19 partial school reopenings: an exploratory study</t>
  </si>
  <si>
    <t>10.1080/00131881.2021.1918014</t>
  </si>
  <si>
    <t>Educational Research</t>
  </si>
  <si>
    <t>2637-8965</t>
  </si>
  <si>
    <t>The thrombopoietin receptor: revisiting the master regulator of platelet production</t>
  </si>
  <si>
    <t>10.1080/09537104.2021.1925102</t>
  </si>
  <si>
    <t>Platelets</t>
  </si>
  <si>
    <t>This work was supported by Cancer Research UK [A24593]; German Research Foundation (Deutsche Forschungsgemeinschaft) [PI 405/15]; National Institutes of Health National Institute of Diabetes and Digestive and Kidney Diseases [K01DK127004].</t>
  </si>
  <si>
    <t xml:space="preserve">Ian Hitchcock </t>
  </si>
  <si>
    <t>ian.hitchcock@york.ac.uk</t>
  </si>
  <si>
    <t>1369-1635</t>
  </si>
  <si>
    <t>0953-7104</t>
  </si>
  <si>
    <t>Attracting prospective STEM teachers using realistic job previews: a mixed methods study</t>
  </si>
  <si>
    <t>10.1080/02619768.2021.1931110</t>
  </si>
  <si>
    <t>European Journal of Teacher Education</t>
  </si>
  <si>
    <t>Dashboard report 5/1/22: Taylor and Francis, Transactions, 2022-01-05.csv</t>
  </si>
  <si>
    <t>This research project received funding from the European Research Council (ERC) under the European Union’s Horizon 2020 research and innovation programme (Consolidator grant 647234).</t>
  </si>
  <si>
    <t>Q1 2022</t>
  </si>
  <si>
    <t>Robert Klassen</t>
  </si>
  <si>
    <t>robert.klassen@york.ac.uk</t>
  </si>
  <si>
    <t>1469-5928</t>
  </si>
  <si>
    <t>0261-9768</t>
  </si>
  <si>
    <t>Protecting the perpetrator: value judgements in US and English university sexual violence cases</t>
  </si>
  <si>
    <t>10.1080/09540253.2021.1955093</t>
  </si>
  <si>
    <t>Gender and Education</t>
  </si>
  <si>
    <t>Author note says "Erin R. Shannon is a senior research associate on the ESRC-funded project, Examining institutional responses to sexual misconduct: Higher education after #MeToo".</t>
  </si>
  <si>
    <t>Erin Shannon</t>
  </si>
  <si>
    <t>erin.shannon@york.ac.uk</t>
  </si>
  <si>
    <t>0000-0002-4765-4576</t>
  </si>
  <si>
    <t>1360-0516</t>
  </si>
  <si>
    <t>0954-0253</t>
  </si>
  <si>
    <t>Do We Need to Close the Door on Threshold Concepts?</t>
  </si>
  <si>
    <t>10.1080/10401334.2021.1897598</t>
  </si>
  <si>
    <t>Teaching and Learning in Medicine</t>
  </si>
  <si>
    <t>No funding reported</t>
  </si>
  <si>
    <t>Megan Brown</t>
  </si>
  <si>
    <t>hymb2@hyms.ac.uk</t>
  </si>
  <si>
    <t>0000-0002-9334-0922</t>
  </si>
  <si>
    <t>1532-8015</t>
  </si>
  <si>
    <t>1040-1334</t>
  </si>
  <si>
    <t>Configuring the digital farmer: A nudge world in the making?</t>
  </si>
  <si>
    <t>10.1080/03085147.2021.1876984</t>
  </si>
  <si>
    <t>Economy and Society</t>
  </si>
  <si>
    <t>Sally Brooks</t>
  </si>
  <si>
    <t>sally.brooks@york.ac.uk</t>
  </si>
  <si>
    <t>0000-0002-1005-1245</t>
  </si>
  <si>
    <t>1469-5766</t>
  </si>
  <si>
    <t>0308-5147</t>
  </si>
  <si>
    <t>‘Labour class’ children in Indian classrooms: theorizing urban poverty and schooling</t>
  </si>
  <si>
    <t>10.1080/01425692.2021.2003181</t>
  </si>
  <si>
    <t>British Journal of Sociology of Education</t>
  </si>
  <si>
    <t>This paper is based on the author’s PhD fieldwork which was funded by the University of Warwick, UK, through the award of the Chancellor’s International Scholarship (2013–2017).</t>
  </si>
  <si>
    <t>Reva Yunus</t>
  </si>
  <si>
    <t>yreva2011@gmail.com</t>
  </si>
  <si>
    <t>0000-0002-3266-2047</t>
  </si>
  <si>
    <t>1465-3346</t>
  </si>
  <si>
    <t>0142-5692</t>
  </si>
  <si>
    <t>“Creative Non-compliance”: Complying with the “Spirit of the Law” Not the “Letter of the Law” under the Covid-19 Lockdown Restrictions</t>
  </si>
  <si>
    <t>10.1080/01639625.2021.2014286</t>
  </si>
  <si>
    <t>Deviant Behavior</t>
  </si>
  <si>
    <t>This work was supported by the Nuffield Foundation [JUS/FR-000022588]</t>
  </si>
  <si>
    <t>1521-0456</t>
  </si>
  <si>
    <t>0163-9625</t>
  </si>
  <si>
    <t>“Professionals only please”: discrimination against housing benefit recipients on online rental platforms</t>
  </si>
  <si>
    <t>10.1080/02673037.2021.2014416</t>
  </si>
  <si>
    <t>‘Blind alley’ to ‘steppingstone’? Insecure transitions and policy responses in the downturns of the 1930s and post 2008 in the UK</t>
  </si>
  <si>
    <t>10.1080/13676261.2021.2010689</t>
  </si>
  <si>
    <t>Journal of Youth Studies</t>
  </si>
  <si>
    <t>Matthew Cooper</t>
  </si>
  <si>
    <t>matthew.cooper@york.ac.uk</t>
  </si>
  <si>
    <t>1469-9680</t>
  </si>
  <si>
    <t>1367-6261</t>
  </si>
  <si>
    <t>PAL in a pandemic</t>
  </si>
  <si>
    <t>10.1080/0020739X.2021.2008036</t>
  </si>
  <si>
    <t>International Journal of Mathematical Education in Science and Technology</t>
  </si>
  <si>
    <t>0000-0002-7173-7902</t>
  </si>
  <si>
    <t>1464-5211</t>
  </si>
  <si>
    <t>0020-739X</t>
  </si>
  <si>
    <t>Happy objects at work: the circulation of happiness</t>
  </si>
  <si>
    <t>10.1080/14759551.2021.2001818</t>
  </si>
  <si>
    <t>Culture and Organization</t>
  </si>
  <si>
    <t>Finally I would like to thank Melissa Tyler for her supervision of my thesis which generated the data for this article and Loughborough Business School for providing the scholarship funding that made it possible.</t>
  </si>
  <si>
    <t xml:space="preserve">Carolyn Hunter </t>
  </si>
  <si>
    <t>carolyn.hunter@york.ac.uk</t>
  </si>
  <si>
    <t>1477-2760</t>
  </si>
  <si>
    <t>1475-9551</t>
  </si>
  <si>
    <t>Upper Palaeolithic Art as a Perceptual Search for Magical Images</t>
  </si>
  <si>
    <t>10.1080/1751696X.2021.1961048</t>
  </si>
  <si>
    <t>Time and Mind</t>
  </si>
  <si>
    <t>Dashboard report: Taylor and Francis, Declined Articles, 2022-01-10.csv</t>
  </si>
  <si>
    <t>No longer affiliated with University of York</t>
  </si>
  <si>
    <t>1751-6978</t>
  </si>
  <si>
    <t>1751-696X</t>
  </si>
  <si>
    <t>The deresidualisation of social housing in England</t>
  </si>
  <si>
    <t>10.1080/02673037.2021.1902952</t>
  </si>
  <si>
    <t>Not eligible to be covered under the University of York's OA deal because author was not employed by the University at the point of submission for publication.</t>
  </si>
  <si>
    <t>Virtuous spirits and vicious demons: ghost stories of organizational change</t>
  </si>
  <si>
    <t>10.1080/14759551.2021.1921776</t>
  </si>
  <si>
    <t>Not eligible to be covered by the University of York's OA deal with T&amp;F because author was not employed by the University at the point of submission for publication.</t>
  </si>
  <si>
    <t>Is the study of memory unduly preoccupied with its sins?</t>
  </si>
  <si>
    <t>10.1080/09658211.2021.1896739</t>
  </si>
  <si>
    <t>Memory</t>
  </si>
  <si>
    <t>Emeritus Professor</t>
  </si>
  <si>
    <t>Alan Baddeley</t>
  </si>
  <si>
    <t>1464-0686</t>
  </si>
  <si>
    <t>0965-8211</t>
  </si>
  <si>
    <t>Cost-Effectiveness of High Dose versus Adjuvanted Trivalent Influenza Vaccines in England and Wales.</t>
  </si>
  <si>
    <t>10.1080/13696998.2021.2000780</t>
  </si>
  <si>
    <t>Journal of Medical Economics</t>
  </si>
  <si>
    <t>1941-837X</t>
  </si>
  <si>
    <t>1369-6998</t>
  </si>
  <si>
    <t>Universalising the TPNW: Challenges and Opportunities</t>
  </si>
  <si>
    <t>10.1080/25751654.2021.1935673</t>
  </si>
  <si>
    <t>Journal for Peace and Nuclear Disarmament</t>
  </si>
  <si>
    <t>2575-1654</t>
  </si>
  <si>
    <t>Social relationships within university undergraduate accommodation: A qualitative study</t>
  </si>
  <si>
    <t>10.1080/0309877X.2021.1879745</t>
  </si>
  <si>
    <t>Journal of Further and Higher Education</t>
  </si>
  <si>
    <t xml:space="preserve"> Author not affiliated to University of York at point of submission for publication.</t>
  </si>
  <si>
    <t>1469-9486</t>
  </si>
  <si>
    <t>0309-877X</t>
  </si>
  <si>
    <t>Opioid-Preferring Participants in Drug Court: Examining Participant Characteristics and During-Program Factors Associated with Program Completion</t>
  </si>
  <si>
    <t>10.1080/1533256X.2021.1890903</t>
  </si>
  <si>
    <t>Journal of Social Work Practice in the Addictions</t>
  </si>
  <si>
    <t>Author not affiliated to University of York</t>
  </si>
  <si>
    <t>1533-2578</t>
  </si>
  <si>
    <t>1533-256X</t>
  </si>
  <si>
    <t>Digital activism and the state</t>
  </si>
  <si>
    <t>10.1080/25729861.2021.1973291</t>
  </si>
  <si>
    <t>Tapuya: Latin American Science, Technology and Society</t>
  </si>
  <si>
    <t>2572-9861</t>
  </si>
  <si>
    <t>Remembering the Indian Mutiny: Colonial Nostalgia in Zadie Smith’s White Teeth</t>
  </si>
  <si>
    <t>10.1080/17449855.2021.1931943</t>
  </si>
  <si>
    <t>Journal of Postcolonial Writing</t>
  </si>
  <si>
    <t xml:space="preserve"> No longer affiliated with University of York</t>
  </si>
  <si>
    <t>1744-9863</t>
  </si>
  <si>
    <t>1744-9855</t>
  </si>
  <si>
    <t>Postnatal Exercise Partners Study (PEEPS): A Pilot Randomised Trial of a Dyadic Physical Activity Intervention for Postpartum Mothers and a Significant Other</t>
  </si>
  <si>
    <t>10.1080/21642850.2021.1902815</t>
  </si>
  <si>
    <t>Health Psychology and Behavioral Medicine</t>
  </si>
  <si>
    <t>2164-2850</t>
  </si>
  <si>
    <t>Humphry Repton: Landscape Design in an Age of Revolution</t>
  </si>
  <si>
    <t>10.1080/01433768.2021.1928901</t>
  </si>
  <si>
    <t>Landscape History</t>
  </si>
  <si>
    <t>Not sure why denied - author was current prof (not emeritus)</t>
  </si>
  <si>
    <t>2160-2506</t>
  </si>
  <si>
    <t>0143-3768</t>
  </si>
  <si>
    <t>Killing with prejudice: Institutionalized Racism in American Capital Punishment by R J Maratea, New York, New York University Press, 2019, 224pp., $26.00 (Hardback), ISBN: 9781479888603.</t>
  </si>
  <si>
    <t>10.1080/13576275.2021.1904864</t>
  </si>
  <si>
    <t>Mortality</t>
  </si>
  <si>
    <t>Book review not covered by deal</t>
  </si>
  <si>
    <t>1469-9885</t>
  </si>
  <si>
    <t>1357-6275</t>
  </si>
  <si>
    <t>?What?s in a Name??: Barton Booth, Billy Booth and some Theatrical Roots in Fielding?s Amelia</t>
  </si>
  <si>
    <t>10.1080/0895769X.2021.1929809</t>
  </si>
  <si>
    <t>ANQ: A Quarterly Journal of Short Articles, Notes and Reviews</t>
  </si>
  <si>
    <t>1940-3364</t>
  </si>
  <si>
    <t>0895-769X</t>
  </si>
  <si>
    <t>Flânerie as a methodological practice for explorative re‐search in digital worlds</t>
  </si>
  <si>
    <t>10.1080/14759551.2022.2042538</t>
  </si>
  <si>
    <t>Taylor &amp; Francis TA 2022</t>
  </si>
  <si>
    <t>T&amp;F VAT invoice 2022 Q1</t>
  </si>
  <si>
    <t>Jeremy Aroles</t>
  </si>
  <si>
    <t>jeremy.aroles@york.ac.uk</t>
  </si>
  <si>
    <t>0000-0003-3328-214X</t>
  </si>
  <si>
    <t>Gendered repertoires of contention: women’s resistance, authoritarian state formation, and land grabbing in Cambodia</t>
  </si>
  <si>
    <t>10.1080/14616742.2022.2053295</t>
  </si>
  <si>
    <t>International Feminist Journal of Politics</t>
  </si>
  <si>
    <t>Research leading to this publication has been supported by a grant from the Swiss Programme for Research on Global Issues for Development, co-funded by the Swiss Agency for Development and Cooperation and the Swiss National Science Foundation [grant number 400540].</t>
  </si>
  <si>
    <t>Saba Joshi</t>
  </si>
  <si>
    <t>saba.joshi@york.ac.uk</t>
  </si>
  <si>
    <t>1468-4470</t>
  </si>
  <si>
    <t>1461-6742</t>
  </si>
  <si>
    <t>Understanding the Ambition in the EU’s Strategic Compass: A Case for Optimism at Last?</t>
  </si>
  <si>
    <t>10.1080/14702436.2022.2036608</t>
  </si>
  <si>
    <t>Defence Studies</t>
  </si>
  <si>
    <t>Simon Sweeney</t>
  </si>
  <si>
    <t>simon.sweeney@york.ac.uk</t>
  </si>
  <si>
    <t>1743-9698</t>
  </si>
  <si>
    <t>1470-2436</t>
  </si>
  <si>
    <t>Mining the ambient commons: building interdisciplinary connections between environmental knowledge, AI and creative practice research</t>
  </si>
  <si>
    <t>10.1080/03080188.2022.2036408</t>
  </si>
  <si>
    <t>Interdisciplinary Science Reviews</t>
  </si>
  <si>
    <t>Ambrose Field</t>
  </si>
  <si>
    <t>ambrose.field@york.ac.uk</t>
  </si>
  <si>
    <t>1743-2790</t>
  </si>
  <si>
    <t>0308-0188</t>
  </si>
  <si>
    <t>Planned out: The discriminatory effects of planning’s regulation of small Houses in Multiple Occupation in England</t>
  </si>
  <si>
    <t>10.1080/14649357.2022.2036800</t>
  </si>
  <si>
    <t>Planning Theory &amp; Practice</t>
  </si>
  <si>
    <t>1470-000X</t>
  </si>
  <si>
    <t>1464-9357</t>
  </si>
  <si>
    <t>Certainty at all costs? A critical analysis of the proposed introduction of fixed recoverable costs in immigration judicial reviews</t>
  </si>
  <si>
    <t>10.1080/10854681.2021.2037277</t>
  </si>
  <si>
    <t>Judicial Review</t>
  </si>
  <si>
    <t>1757-8434</t>
  </si>
  <si>
    <t>1085-4681</t>
  </si>
  <si>
    <t>Constructing the ‘national ideal’: the ‘inclusive’ and ‘exclusive’ representations of Syrian refugees in Turkish print media</t>
  </si>
  <si>
    <t>10.1080/19448953.2022.2037859</t>
  </si>
  <si>
    <t>Journal of Balkan and Near Eastern Studies</t>
  </si>
  <si>
    <t>Nuray Aridici</t>
  </si>
  <si>
    <t>nuray.aridici@york.ac.uk</t>
  </si>
  <si>
    <t>1944-8961</t>
  </si>
  <si>
    <t>1944-8953</t>
  </si>
  <si>
    <t>Two studies of the perceptions of risk, benefits and likelihood of undertaking password management behaviours</t>
  </si>
  <si>
    <t>10.1080/0144929X.2021.2019832</t>
  </si>
  <si>
    <t>Behaviour &amp; Information Technology</t>
  </si>
  <si>
    <t>Helen Petrie</t>
  </si>
  <si>
    <t>helen.petrie@york.ac.uk</t>
  </si>
  <si>
    <t>0000-0002-0100-9846</t>
  </si>
  <si>
    <t>1362-3001</t>
  </si>
  <si>
    <t>0144-929X</t>
  </si>
  <si>
    <t>Fame and Recognition in Historic and Contemporary Graffiti: Examples from New York City (US), Richmond Castle and Bristol (UK)</t>
  </si>
  <si>
    <t>10.1080/00438243.2022.2035802</t>
  </si>
  <si>
    <t>Emma Bryning’s PhD research is funded by the AHRC through a Collaborative Doctoral Award between English Heritage and the University of York, under the supervision of Megan Leyland and John Schofield. Charlie Kendall’s PhD research is internally funded through York St John University. He is supervised by Matthew Spokes and Tyson Mitman. The Richmond Castle Cell Block project was made possible thanks to a generous grant from the National Lottery Heritage Fund and through the work of a dedicated team of English Heritage staff and volunteers among others.</t>
  </si>
  <si>
    <t>The last ghetto: an everyday history of Theresienstadt</t>
  </si>
  <si>
    <t>10.1080/00085006.2022.2027134</t>
  </si>
  <si>
    <t>Canadian Slavonic Papers</t>
  </si>
  <si>
    <t>Lisa Peschel</t>
  </si>
  <si>
    <t>lisa.peschel@york.ac.uk</t>
  </si>
  <si>
    <t>0000-0001-9474-1683</t>
  </si>
  <si>
    <t>2375-2475</t>
  </si>
  <si>
    <t>0008-5006</t>
  </si>
  <si>
    <t>Unbundling the Brand: Differentiation and the Law in the Brazilian South American Tea Industry</t>
  </si>
  <si>
    <t>10.1080/00076791.2022.2036130</t>
  </si>
  <si>
    <t>Business History</t>
  </si>
  <si>
    <t>British Academy</t>
  </si>
  <si>
    <t>1743-7938</t>
  </si>
  <si>
    <t>0007-6791</t>
  </si>
  <si>
    <t>Internal and external collaboration and supply chain performance: A fit approach</t>
  </si>
  <si>
    <t>10.1080/13675567.2022.2042226</t>
  </si>
  <si>
    <t>This work is supported by the National Natural Science Foundation of China (No. 71801049) and the Ministry of Education, Humanities and Social Science Project 'Construction Strategy of “Human-land Symbiosis” in Rural Communities from the Perspective of Three-industry Convergence' (21YJAZH007).</t>
  </si>
  <si>
    <t>Colonial legacies and contemporary urban planning practices in Dhaka, Bangladesh</t>
  </si>
  <si>
    <t>10.1080/02665433.2022.2041468</t>
  </si>
  <si>
    <t>Planning Perspectives</t>
  </si>
  <si>
    <t>This research was conducted as part of the GCRF Centre for Sustainable, Healthy and Learning Cities and Neighbourhoods (SHLC) activities. SHLC is funded via UK Research and Innovation as part of the UK Government's Global Challenges Research Fund (Ref: ES/P011020/1).</t>
  </si>
  <si>
    <t xml:space="preserve">Gideon Baffoe </t>
  </si>
  <si>
    <t>papagideon@ymail.com</t>
  </si>
  <si>
    <t>1466-4518</t>
  </si>
  <si>
    <t>0266-5433</t>
  </si>
  <si>
    <t>Are community health programmes always benign? Community health worker perceptions and the social construction of users in Brazil’s primary healthcare policy</t>
  </si>
  <si>
    <t>10.1080/17441692.2022.2043923</t>
  </si>
  <si>
    <t>Global Public Health</t>
  </si>
  <si>
    <t>This work was supported by São Paulo Research Foundation (FAPESP) [grant number 17/24750-0, 2019/13439-7, 2019/24495-5, CEPID CEM]; CNPq [grant number 305180/2018-5].</t>
  </si>
  <si>
    <t>João Nunes</t>
  </si>
  <si>
    <t>joao.nunes@york.ac.uk</t>
  </si>
  <si>
    <t>0000-0002-0118-0993</t>
  </si>
  <si>
    <t>1744-1706</t>
  </si>
  <si>
    <t>1744-1692</t>
  </si>
  <si>
    <t>The Task‐Attention Theory of Game Learning: A Theory and Research Agenda</t>
  </si>
  <si>
    <t>10.1080/07370024.2022.2047971</t>
  </si>
  <si>
    <t>Human-Computer interaction</t>
  </si>
  <si>
    <t>This work was supported by EPSRC/AHRC/InnovateUK which jointly funded Digital Creativity Labs (Grant no EP/M023265/1).</t>
  </si>
  <si>
    <t xml:space="preserve">Joe Cutting </t>
  </si>
  <si>
    <t>joe.cutting@york.ac.uk</t>
  </si>
  <si>
    <t>1532-7051</t>
  </si>
  <si>
    <t>0737-0024</t>
  </si>
  <si>
    <t>Can we design language education policy and curricula for a motivated learner? Self Determination Theory and the UK language crisis</t>
  </si>
  <si>
    <t>10.1080/09571736.2022.2046353</t>
  </si>
  <si>
    <t>The Language Learning Journal</t>
  </si>
  <si>
    <t>Ursula Lanvers</t>
  </si>
  <si>
    <t>ursula.lanvers@york.ac.uk</t>
  </si>
  <si>
    <t>1753-2167</t>
  </si>
  <si>
    <t>0957-1736</t>
  </si>
  <si>
    <t>Disrupting peace at home? Narrating connections between sexual violence perpetrated by armed men and intimate partner violence in (post‐)conflict settings</t>
  </si>
  <si>
    <t>10.1080/14616742.2022.2050933</t>
  </si>
  <si>
    <t>This work was supported by Riksbankens jubileumsfond: [Grant Number P14-0795:1]; Vetenskapsrådet: [Grant Number 2014-3519].</t>
  </si>
  <si>
    <t xml:space="preserve">Harriet Gray </t>
  </si>
  <si>
    <t>harriet.gray@york.ac.uk</t>
  </si>
  <si>
    <t>Segregated Brotherhood: The Military Masculinities of Afghan Interpreters and other Locally Employed Civilians</t>
  </si>
  <si>
    <t>10.1080/14616742.2022.2053296</t>
  </si>
  <si>
    <t xml:space="preserve">Sara de Jong </t>
  </si>
  <si>
    <t>sara.dejong@york.ac.uk</t>
  </si>
  <si>
    <t>Risk Sharing, Benefit Distribution and Cooperation longevity: Sustainable Development of Dairy Farmer Cooperatives in China</t>
  </si>
  <si>
    <t>10.1080/14735903.2022.2041229</t>
  </si>
  <si>
    <t>International Journal of Agricultural Sustainability</t>
  </si>
  <si>
    <t>This work was supported by National Natural Science Foundation of China [grant number 71773134]; National Natural Science Foundation of China [grant number 72073135]; the special developing and guiding fund for building world-class universities (disciplines) of Renmin University of China [grant number 15XNL004]; Social Science Foundation of Beijing [grant number 19GLB023].</t>
  </si>
  <si>
    <t>coopruc@126.com;fu.jia@york.ac.uk</t>
  </si>
  <si>
    <t>1747-762X</t>
  </si>
  <si>
    <t>1473-5903</t>
  </si>
  <si>
    <t>Youth co‐authorship as public engagement with geoengineering</t>
  </si>
  <si>
    <t>10.1080/21548455.2022.2027043</t>
  </si>
  <si>
    <t>International Journal of Science Education, Part B</t>
  </si>
  <si>
    <t>This work was supported by University of York ESRC Impact Acceleration Account.</t>
  </si>
  <si>
    <t>Lynda Dunlop</t>
  </si>
  <si>
    <t>lynda.dunlop@york.ac.uk</t>
  </si>
  <si>
    <t>0000-0002-0936-8149</t>
  </si>
  <si>
    <t>2154-8463</t>
  </si>
  <si>
    <t>2154-8455</t>
  </si>
  <si>
    <t>Leaving the Nest in Immigrant Neighborhoods: Gender and Origin Differences in France</t>
  </si>
  <si>
    <t>10.1080/1369183X.2021.2020628</t>
  </si>
  <si>
    <t>Journal of Ethnic and Migration Studies</t>
  </si>
  <si>
    <t>This work has been funded by the French National Research Agency (grant ANR-16-CE41-0007-01).</t>
  </si>
  <si>
    <t>Haley McAvay</t>
  </si>
  <si>
    <t>haley.mcavay@sciencespo.fr</t>
  </si>
  <si>
    <t>1469-9451</t>
  </si>
  <si>
    <t>1369-183X</t>
  </si>
  <si>
    <t>Climate change and hunter‐gatherers in montane eastern DR Congo</t>
  </si>
  <si>
    <t>10.1080/17565529.2021.1930987</t>
  </si>
  <si>
    <t>Climate and Development</t>
  </si>
  <si>
    <t>This study received partial funding from the European Research Council (ERC) [grant agreement No 771056-LICCI-ERC-2017-COG]. ACS was funded by H2020 Marie Skłodowska-Curie Actions Global Fellowships [Number 743569].</t>
  </si>
  <si>
    <t>Aida Cuni-Sanchez</t>
  </si>
  <si>
    <t>aidacuni@hotmail.com</t>
  </si>
  <si>
    <t>0000-0001-8619-1095</t>
  </si>
  <si>
    <t>1756-5537</t>
  </si>
  <si>
    <t>1756-5529</t>
  </si>
  <si>
    <t>Durban–Cape Town–Abeokuta–Austin</t>
  </si>
  <si>
    <t>10.1080/17533171.2021.2013598</t>
  </si>
  <si>
    <t>Safundi</t>
  </si>
  <si>
    <t>1543-1304</t>
  </si>
  <si>
    <t>1753-3171</t>
  </si>
  <si>
    <t>Sometimes it helps to be taken out of context: Memory for objects in scenes</t>
  </si>
  <si>
    <t>10.1080/13506285.2021.2023245</t>
  </si>
  <si>
    <t>Visual Cognition</t>
  </si>
  <si>
    <t>Karla Evans</t>
  </si>
  <si>
    <t>karla.evans@york.ac.uk</t>
  </si>
  <si>
    <t>1464-0716</t>
  </si>
  <si>
    <t>1350-6285</t>
  </si>
  <si>
    <t>Collaborative Experimentation in the Urban Process: Activism and Everyday Heritage in Krasnoyarsk (Siberia, Russia)</t>
  </si>
  <si>
    <t>10.1080/13527258.2021.2020878</t>
  </si>
  <si>
    <t>International Journal of Heritage Studies</t>
  </si>
  <si>
    <t>Daria Belova would like to take this opportunity to thank all of the participants of this project, for their time and commitment. Special gratitude is given to Pyotr Ivanov, Maria Bystrova and Vadim Pirogov for their cooperation in organising the event, and to the Mikhail Prokhorov Foundation for their financial support.</t>
  </si>
  <si>
    <t>0000-0001-6903-7395</t>
  </si>
  <si>
    <t>1470-3610</t>
  </si>
  <si>
    <t>1352-7258</t>
  </si>
  <si>
    <t>‘A New Career’: Nostalgia, Mortality, and David Bowie’s ‘I Can’t Give Everything Away’</t>
  </si>
  <si>
    <t>10.1080/14797585.2021.2024057</t>
  </si>
  <si>
    <t>Journal for Cultural Research</t>
  </si>
  <si>
    <t>Alice Masterson</t>
  </si>
  <si>
    <t>alice.masterson@york.ac.uk</t>
  </si>
  <si>
    <t>1740-1666</t>
  </si>
  <si>
    <t>1479-7585</t>
  </si>
  <si>
    <t>The “cumulative impact” problem in social welfare: Some legal, policy and theoretical solutions</t>
  </si>
  <si>
    <t>10.1080/09649069.2022.2028408</t>
  </si>
  <si>
    <t>Journal of Social Welfare and Family Law</t>
  </si>
  <si>
    <t xml:space="preserve">Jed Meers </t>
  </si>
  <si>
    <t>1469-9621</t>
  </si>
  <si>
    <t>0964-9069</t>
  </si>
  <si>
    <t>Permission to discriminate – EU nationals, pre‐settled status and access to social assistance</t>
  </si>
  <si>
    <t>10.1080/09649069.2022.2029140</t>
  </si>
  <si>
    <t>This work was supported by the Economic and Social Research Council [ES/S007385/1].</t>
  </si>
  <si>
    <t>Alice Welsh</t>
  </si>
  <si>
    <t>Alice.welsh@york.ac.uk</t>
  </si>
  <si>
    <t>Writing Rights: Suturing Spivak’s Postcolonial and de Sousa Santos’ Decolonial Thought</t>
  </si>
  <si>
    <t>10.1080/13688790.2022.2030596</t>
  </si>
  <si>
    <t>Postcolonial Studies</t>
  </si>
  <si>
    <t>Sara de Jong</t>
  </si>
  <si>
    <t>1466-1888</t>
  </si>
  <si>
    <t>1368-8790</t>
  </si>
  <si>
    <t>Augustine Investments and Weapons Systems</t>
  </si>
  <si>
    <t>10.1080/10242694.2022.2031691</t>
  </si>
  <si>
    <t>Defence and Peace Economics</t>
  </si>
  <si>
    <t>Keith Hartley</t>
  </si>
  <si>
    <t>kh2@york.ac.uk</t>
  </si>
  <si>
    <t>1476-8267</t>
  </si>
  <si>
    <t>1024-2694</t>
  </si>
  <si>
    <t>The Power of Love: How love obscures domestic labour and shuts down space for critique of militarism in the autobiographical accounts of British military wives</t>
  </si>
  <si>
    <t>10.1080/23337486.2022.2033915</t>
  </si>
  <si>
    <t>Critical Military Studies</t>
  </si>
  <si>
    <t>Harriet Gray</t>
  </si>
  <si>
    <t>0000-0001-7702-1959</t>
  </si>
  <si>
    <t>2333-7494</t>
  </si>
  <si>
    <t>2333-7486</t>
  </si>
  <si>
    <t>Infection rebellion in Bina Shah’s Before She Sleeps</t>
  </si>
  <si>
    <t>10.1080/17449855.2022.2035910</t>
  </si>
  <si>
    <t>Claire Chambers</t>
  </si>
  <si>
    <t>claire.chambers@york.ac.uk</t>
  </si>
  <si>
    <t>Analysing Emerging Market Returns with High‐Frequency Data During the Global Financial Crisis of 2007‐2009</t>
  </si>
  <si>
    <t>10.1080/1351847X.2021.1957698</t>
  </si>
  <si>
    <t>The European Journal of Finance</t>
  </si>
  <si>
    <t>Abdullah Yalaman acknowledge supports from an Eskisehir Osmangazi University Research Grant (2019, No: 201917026).</t>
  </si>
  <si>
    <t>Viktor Manahov</t>
  </si>
  <si>
    <t>viktor.manahov@york.ac.uk</t>
  </si>
  <si>
    <t>1466-4364</t>
  </si>
  <si>
    <t>1351-847X</t>
  </si>
  <si>
    <t>Detection of Multiple Structural Breaks in Large Covariance Matrices</t>
  </si>
  <si>
    <t>10.1080/07350015.2022.2076686</t>
  </si>
  <si>
    <t>Report downloaded from T&amp;F dashboard: Taylor and Francis, Transactions, 2022-05-16.csv</t>
  </si>
  <si>
    <t>The second author’s research was partly supported by the BA/Leverhulme Small Research Grant funded by the Leverhulme Trust (No. SRG1920/100603). The third author’s research was supported by the Engineering and Physical Sciences Research Council (No. EP/L014246/1).</t>
  </si>
  <si>
    <t>Q2 2022</t>
  </si>
  <si>
    <t>A robust approach to heteroskedasticity, error serial correlation and slope heterogeneity in linear models with interactive effects for large panel data</t>
  </si>
  <si>
    <t>10.1080/07350015.2022.2077349</t>
  </si>
  <si>
    <t>This work was supported by JSPS KAKENHI (grant numbers 20H01484, 20H05631, 20K20760, 21H00700 and 21H04397)</t>
  </si>
  <si>
    <t>Not OA, but AAM only posted</t>
  </si>
  <si>
    <t>Takashi Yamagata</t>
  </si>
  <si>
    <t>takashi.yamagata@york.ac.uk</t>
  </si>
  <si>
    <t>Paradoxes in a prism: Reflections on the omnipotent passivity and omniscient oblivion of schizophrenia</t>
  </si>
  <si>
    <t>10.1080/09515089.2022.2078187</t>
  </si>
  <si>
    <t>Philosophical Psychology</t>
  </si>
  <si>
    <t xml:space="preserve">Clara Humpston </t>
  </si>
  <si>
    <t>clara.humpston@york.ac.uk</t>
  </si>
  <si>
    <t>1465-394X</t>
  </si>
  <si>
    <t>0951-5089</t>
  </si>
  <si>
    <t>“People with faith-based objections might display homophobic behaviour or transphobic behaviour”: older LGBTQ people’s fears about religious organisations and staff providing long-term care</t>
  </si>
  <si>
    <t>10.1080/15528030.2022.2070820</t>
  </si>
  <si>
    <t>Journal of Religion, Spirituality &amp; Aging</t>
  </si>
  <si>
    <t>This article is funded by a small pump-priming research grant from C &amp; JB Morrell Trust Priming Funds (2019/2020), via the University of York.</t>
  </si>
  <si>
    <t>1552-8049</t>
  </si>
  <si>
    <t>1552-8030</t>
  </si>
  <si>
    <t>Grief, self and narrative</t>
  </si>
  <si>
    <t>10.1080/13869795.2022.2070241</t>
  </si>
  <si>
    <t>Philosophical Explorations</t>
  </si>
  <si>
    <t>This work was supported by Arts and Humanities Research Council [grant number AH/T000066/1].</t>
  </si>
  <si>
    <t xml:space="preserve">Matthew Ratcliffe </t>
  </si>
  <si>
    <t>1741-5918</t>
  </si>
  <si>
    <t>1386-9795</t>
  </si>
  <si>
    <t>Interventions that support unpaid carers of adult mental health inpatients: a scoping review</t>
  </si>
  <si>
    <t>10.1080/09638237.2022.2069702</t>
  </si>
  <si>
    <t>This research was funded by the National Institute for Health Research School for Social Care Research (grant no. P154).</t>
  </si>
  <si>
    <t xml:space="preserve">Martin Webber </t>
  </si>
  <si>
    <t>martin.webber@york.ac.uk</t>
  </si>
  <si>
    <t>Mental health promotion and protection relating to key life events and transitions in adulthood: a rapid systematic review of systematic reviews</t>
  </si>
  <si>
    <t>10.1080/09638237.2022.2069724</t>
  </si>
  <si>
    <t>Funding to support the University of York staff time dedicated to the completion of this review and its associated policy outputs was provided by the Mental Health Foundation, UK. General support and oversight was also provided by the Cochrane Common Mental Disorders Group as part of its strategic partnership with the Mental Health Foundation. The National Institute for Health Research (NIHR) is the largest single funder of the Cochrane Common Mental Disorders Group via the NIHR Evidence Synthesis Programme's Cochrane Infrastructure Funding.</t>
  </si>
  <si>
    <t xml:space="preserve">Eleonora Uphoff </t>
  </si>
  <si>
    <t>noortje.uphoff@york.ac.uk</t>
  </si>
  <si>
    <t>Can religious social workers practice affirmatively with LGBTQ service recipients? An exploration within the regulatory context</t>
  </si>
  <si>
    <t>10.1080/09649069.2022.2067652</t>
  </si>
  <si>
    <t>This article is funded by a small research grant from C &amp; JB Morrell Trust Priming Funds (2019/2020), via the University of York.</t>
  </si>
  <si>
    <t>‘Legacy benefits’ and the Universal Credit uplift: justified discrimination in the COVID-19 social security response</t>
  </si>
  <si>
    <t>10.1080/09649069.2022.2067653</t>
  </si>
  <si>
    <t>Far-right intellectual discourse about populism: the case of the German Institut für Staatspolitik</t>
  </si>
  <si>
    <t>10.1080/13569317.2022.2066154</t>
  </si>
  <si>
    <t>Journal of Political Ideologies</t>
  </si>
  <si>
    <t xml:space="preserve">Omran Shroufi </t>
  </si>
  <si>
    <t>omran.shroufi@york.ac.uk</t>
  </si>
  <si>
    <t>1469-9613</t>
  </si>
  <si>
    <t>1356-9317</t>
  </si>
  <si>
    <t>History and theory in Gregory Conti's Parliament Mirror of the Nation</t>
  </si>
  <si>
    <t>10.1080/01916599.2022.2064679</t>
  </si>
  <si>
    <t>Mónica Brito Vieira</t>
  </si>
  <si>
    <t>monica.britovieira@york.ac.uk</t>
  </si>
  <si>
    <t>Byland Revisited, or, Spectres of Inheritance</t>
  </si>
  <si>
    <t>10.1080/03044181.2022.2060486</t>
  </si>
  <si>
    <t>Journal of Medieval History</t>
  </si>
  <si>
    <t>Tom Johnson</t>
  </si>
  <si>
    <t>Tom.Johnson@york.ac.uk</t>
  </si>
  <si>
    <t>1873-1279</t>
  </si>
  <si>
    <t>0304-4181</t>
  </si>
  <si>
    <t>Late Colonial Women in a Welfare World</t>
  </si>
  <si>
    <t>10.1080/02185385.2022.2077817</t>
  </si>
  <si>
    <t>Asia Pacific Journal of Social Work and Development</t>
  </si>
  <si>
    <t>Report downloaded from T&amp;F dashboard: Taylor and Francis, Declined Articles, 2022-05-16.csv</t>
  </si>
  <si>
    <t>Rejected on dashboard. Emeritus Professor at University of York, not eligible for deal.</t>
  </si>
  <si>
    <t>2165-0993</t>
  </si>
  <si>
    <t>2994-9769</t>
  </si>
  <si>
    <t>Rhetoric of a Terrorist: A Metafunctional Thematic Analysis of the Unabomber Manifesto</t>
  </si>
  <si>
    <t>10.1080/10350330.2022.2060550</t>
  </si>
  <si>
    <t>Social Semiotics</t>
  </si>
  <si>
    <t>Rejected on dashboard. Not affiliated to the University of York</t>
  </si>
  <si>
    <t>1470-1219</t>
  </si>
  <si>
    <t>1035-0330</t>
  </si>
  <si>
    <t>Occupational Structure and Literacy in Almondbury in 1866</t>
  </si>
  <si>
    <t>10.1080/00844276.2022.2069741</t>
  </si>
  <si>
    <t>Yorkshire Archaeological Journal</t>
  </si>
  <si>
    <t>Emeritus prof</t>
  </si>
  <si>
    <t>2045-0664</t>
  </si>
  <si>
    <t>0084-4276</t>
  </si>
  <si>
    <t>How to achieve an institutional change towards Circular Economy? A comparative case study on the EU and China</t>
  </si>
  <si>
    <t>10.1080/14747731.2022.2068235</t>
  </si>
  <si>
    <t>Globalizations</t>
  </si>
  <si>
    <t>Rejected on dashboard. Not currently affiliated to the University of York</t>
  </si>
  <si>
    <t>1474-774X</t>
  </si>
  <si>
    <t>1474-7731</t>
  </si>
  <si>
    <t>Defining reflective practice from the Indonesian novice EFL teachersâ€™ perspective</t>
  </si>
  <si>
    <t>10.1080/14623943.2022.2064445</t>
  </si>
  <si>
    <t>Reflective Practice</t>
  </si>
  <si>
    <t>Rejected on dashboard. Author not affiliated to University of York at point of submission.</t>
  </si>
  <si>
    <t>1470-1103</t>
  </si>
  <si>
    <t>1462-3943</t>
  </si>
  <si>
    <t>HNN extensions with lower bounded inverse monoids</t>
  </si>
  <si>
    <t>10.1080/00927872.2022.2059493</t>
  </si>
  <si>
    <t>Communications in Algebra</t>
  </si>
  <si>
    <t>Slovak Research and Development Agency</t>
  </si>
  <si>
    <t>Rejected on dashboard. Not eligible to be covered under the University of York's OA deal because author was not affiliated to the University of York when the paper was submitted.</t>
  </si>
  <si>
    <t>1532-4125</t>
  </si>
  <si>
    <t>0092-7872</t>
  </si>
  <si>
    <t>Massacre of the Innocents</t>
  </si>
  <si>
    <t>10.1080/17504902.2022.2057145</t>
  </si>
  <si>
    <t>Holocaust Studies</t>
  </si>
  <si>
    <t xml:space="preserve">Rejected on dashboard. Emeritus professor
</t>
  </si>
  <si>
    <t>Judith Woolf</t>
  </si>
  <si>
    <t>2048-4887</t>
  </si>
  <si>
    <t>1750-4902</t>
  </si>
  <si>
    <t>Costs and Prices of UK Military Aircraft in War and Peace</t>
  </si>
  <si>
    <t>10.1080/10242694.2022.2051953</t>
  </si>
  <si>
    <t xml:space="preserve">Rejected on dashboard. Emeritus Professor
</t>
  </si>
  <si>
    <t>‘A New Career’: nostalgia, mortality, and David Bowie’s ‘I Can’t Give Everything Away’</t>
  </si>
  <si>
    <t>10.1080/14797585.2022.2040337</t>
  </si>
  <si>
    <t>Rejected on dashboard. Not clear why. Author was PhD student at time of submission.</t>
  </si>
  <si>
    <t>Jews Court, Lincoln â€“ An Evaluation of Cecil Rothâ€™s Medieval Synagogue and the Discourse on the English Medieval Synagogue Taking a Buildings Archaeology Approach</t>
  </si>
  <si>
    <t>10.1080/1462169X.2022.2025661</t>
  </si>
  <si>
    <t>Jewish Culture and History</t>
  </si>
  <si>
    <t>Honorary Research Associate</t>
  </si>
  <si>
    <t>Esther Robinson Wild</t>
  </si>
  <si>
    <t>2167-9428</t>
  </si>
  <si>
    <t>1462-169X</t>
  </si>
  <si>
    <t>Human rights leadership in challenging times: an agenda for research and practice</t>
  </si>
  <si>
    <t>10.1080/13642987.2022.2142212</t>
  </si>
  <si>
    <t>The International Journal of Human Rights</t>
  </si>
  <si>
    <t>Report downloaded from T&amp;F dashboard: Taylor and Francis, Transactions, 2022-11-01</t>
  </si>
  <si>
    <t>This article was funded by the Open Society Foundations (grant no. OR2017 - 40044) through the Human Rights Defender Hub, Centre for Applied Human Rights, Department of Politics, University of York.</t>
  </si>
  <si>
    <t>Q4 2022</t>
  </si>
  <si>
    <t>Eric Hoddy</t>
  </si>
  <si>
    <t>eric.hoddy@york.ac.uk</t>
  </si>
  <si>
    <t>0000-0003-0549-8285</t>
  </si>
  <si>
    <t>1744-053X</t>
  </si>
  <si>
    <t>1364-2987</t>
  </si>
  <si>
    <t>Risk factors for initial appointment non-attendance at Improving Access to Psychological Therapy (IAPT) services: A retrospective analysis</t>
  </si>
  <si>
    <t>10.1080/10503307.2022.2140616</t>
  </si>
  <si>
    <t>Psychotherapy Research</t>
  </si>
  <si>
    <t>This study was undertaken as part of PhD research supported by Economic and Social Research Council studentship awarded to JS [grant number ES/J500215/1].</t>
  </si>
  <si>
    <t>Jenny Sweetman</t>
  </si>
  <si>
    <t>jennifer.sweetman@york.ac.uk</t>
  </si>
  <si>
    <t>1468-4381</t>
  </si>
  <si>
    <t>1050-3307</t>
  </si>
  <si>
    <t>“And Breathes a Spirit Through the Finish’d Whole”: Empiricism, Poetry and Devotion in Anna Letitia Barbauld’s Poetic Epistemology</t>
  </si>
  <si>
    <t>10.1080/10509585.2022.2138370</t>
  </si>
  <si>
    <t>European Romantic Review</t>
  </si>
  <si>
    <t>This work was supported by the Arts and Humanities Research Council [grant number AH/L503848/1].</t>
  </si>
  <si>
    <t>Millie Schurch</t>
  </si>
  <si>
    <t>millie.schurch@idehist.uu.se</t>
  </si>
  <si>
    <t>0000-0002-3166-1923</t>
  </si>
  <si>
    <t>1740-4657</t>
  </si>
  <si>
    <t>1050-9585</t>
  </si>
  <si>
    <t>Feeling like a citizen: hope amid social exclusion in São Paulo during the Covid-19 pandemics</t>
  </si>
  <si>
    <t>10.1080/13621025.2022.2131075</t>
  </si>
  <si>
    <t>Citizenship Studies</t>
  </si>
  <si>
    <t>Indrajit Roy</t>
  </si>
  <si>
    <t>indrajit.roy@york.ac.uk</t>
  </si>
  <si>
    <t>1469-3593</t>
  </si>
  <si>
    <t>1362-1025</t>
  </si>
  <si>
    <t>A tripartite relationship theory of voice hearing: a grounded theory study</t>
  </si>
  <si>
    <t>10.1080/17522439.2022.2134443</t>
  </si>
  <si>
    <t>Psychosis</t>
  </si>
  <si>
    <t>No funding was received for this study. This research was part of the author’s doctorate.</t>
  </si>
  <si>
    <t>Rob Allison</t>
  </si>
  <si>
    <t>rob.allison@york.ac.uk</t>
  </si>
  <si>
    <t>0000-0001-8271-4282</t>
  </si>
  <si>
    <t>1752-2447</t>
  </si>
  <si>
    <t>1752-2439</t>
  </si>
  <si>
    <t>Realizing Gender Diversity on Corporate Boards</t>
  </si>
  <si>
    <t>10.1080/13571516.2022.2133337</t>
  </si>
  <si>
    <t>International Journal of the Economics of Business</t>
  </si>
  <si>
    <t>John Ashton</t>
  </si>
  <si>
    <t>john.ashton@york.ac.uk</t>
  </si>
  <si>
    <t>0000-0002-1132-0857</t>
  </si>
  <si>
    <t>1466-1829</t>
  </si>
  <si>
    <t>1357-1516</t>
  </si>
  <si>
    <t>Young people’s citizenship activities at and beyond school – exploring a new theoretical framework with empirical data from a rural community in Germany</t>
  </si>
  <si>
    <t>10.1080/13676261.2022.2131381</t>
  </si>
  <si>
    <t>Janina Suppers</t>
  </si>
  <si>
    <t>js3087@york.ac.uk</t>
  </si>
  <si>
    <t>0000-0002-9018-8793</t>
  </si>
  <si>
    <t>Sustainable management practices do not reduce oil palm yields on smallholder farms on Borneo</t>
  </si>
  <si>
    <t>10.1080/21683565.2022.2131691</t>
  </si>
  <si>
    <t>Agroecology and Sustainable Food Systems</t>
  </si>
  <si>
    <t>This study was funded by a Natural Environment Research Council iCase studentship [NE/R007624/1] between the University of York and Proforest.</t>
  </si>
  <si>
    <t>Selene Gutierrez Al-Khudhairy</t>
  </si>
  <si>
    <t>sgak500@york.ac.uk</t>
  </si>
  <si>
    <t>0000-0002-3841-5864</t>
  </si>
  <si>
    <t>2168-3573</t>
  </si>
  <si>
    <t>2168-3565</t>
  </si>
  <si>
    <t>“Linton had a Very Restless Night”: Sleeplessness in the Sickroom, 1783</t>
  </si>
  <si>
    <t>10.1080/09699082.2022.2122322</t>
  </si>
  <si>
    <t>Women's Writing</t>
  </si>
  <si>
    <t>Frances Long</t>
  </si>
  <si>
    <t>fal501@york.ac.uk</t>
  </si>
  <si>
    <t>1747-5848</t>
  </si>
  <si>
    <t>0969-9082</t>
  </si>
  <si>
    <t>Emotional sinking in</t>
  </si>
  <si>
    <t>10.1080/0020174X.2022.2126149</t>
  </si>
  <si>
    <t>Inquiry</t>
  </si>
  <si>
    <t>This article was written as part of the project ‘Grief: A Study of Human Emotional Experience’. I am very grateful to the UK Arts and Humanities Research Council for funding the project (grant ref AH/T000066/1). I also thank Louise Richardson and an anonymous referee for helpful comments and suggestions.</t>
  </si>
  <si>
    <t>0000-0003-4519-4833</t>
  </si>
  <si>
    <t>1502-3923</t>
  </si>
  <si>
    <t>0020-174X</t>
  </si>
  <si>
    <t>Service design of green and low-carbon intracity logistics: an AHP approach</t>
  </si>
  <si>
    <t>10.1080/13675567.2022.2129045</t>
  </si>
  <si>
    <t>We appreciate the financial support from National Social Science Foundation of Art [grant number 20BG126].</t>
  </si>
  <si>
    <t>‘Vaccine passports equal Apartheid’: Covid-19 and parliamentary occupation in Aotearoa New Zealand</t>
  </si>
  <si>
    <t>10.1080/14742837.2022.2123316</t>
  </si>
  <si>
    <t>Thomas O'Brien</t>
  </si>
  <si>
    <t>thomas.obrien1@gmail.com</t>
  </si>
  <si>
    <t>Integration of Short-Lived Climate Pollutant and air pollutant mitigation in nationally determined contributions</t>
  </si>
  <si>
    <t>10.1080/14693062.2022.2125928</t>
  </si>
  <si>
    <t>Climate Policy</t>
  </si>
  <si>
    <t>This work was supported by Climate and Clean Air Coalition: [Supporting National Action &amp; Planning (SNAP) initiative]; Stockholm Environment Institute: [Integrated Climate and Development Planning initiative].</t>
  </si>
  <si>
    <t>Christopher Malley</t>
  </si>
  <si>
    <t>chris.malley@york.ac.uk</t>
  </si>
  <si>
    <t>0000-0001-5897-9977</t>
  </si>
  <si>
    <t>1752-7457</t>
  </si>
  <si>
    <t>1469-3062</t>
  </si>
  <si>
    <t>Proglacial lake expansion and glacier retreat in Arctic Sweden</t>
  </si>
  <si>
    <t>10.1080/04353676.2022.2121999</t>
  </si>
  <si>
    <t>Geografiska Annaler: Series A, Physical Geography</t>
  </si>
  <si>
    <t>This work was supported by the Natural Environment Research Council under the ACCE Doctoral Training Programme.</t>
  </si>
  <si>
    <t xml:space="preserve">Adrian Dye </t>
  </si>
  <si>
    <t>ardye@hotmail.co.uk</t>
  </si>
  <si>
    <t>1468-0459</t>
  </si>
  <si>
    <t>0435-3676</t>
  </si>
  <si>
    <t>An anchored matching-adjusted indirect comparison of fixed-dose combination calcipotriol and betamethasone dipropionate (Cal/BDP) cream versus Cal/BDP foam for the treatment of psoriasis</t>
  </si>
  <si>
    <t>10.1080/09546634.2022.2116924</t>
  </si>
  <si>
    <t>Journal of Dermatological Treatment</t>
  </si>
  <si>
    <t>This study was funded by Almirall and MC2 Therapeutics.</t>
  </si>
  <si>
    <t>William Green</t>
  </si>
  <si>
    <t>william.green@york.ac.uk</t>
  </si>
  <si>
    <t>1471-1753</t>
  </si>
  <si>
    <t>0954-6634</t>
  </si>
  <si>
    <t>The impact of sexual orientation on how men experience disordered eating and drive for muscularity</t>
  </si>
  <si>
    <t>10.1080/19359705.2022.2118921</t>
  </si>
  <si>
    <t>Journal of Gay &amp; Lesbian Mental Health</t>
  </si>
  <si>
    <t>The work was not funded by any specific grant.</t>
  </si>
  <si>
    <t>Q3 2022</t>
  </si>
  <si>
    <t>Ruth Knight</t>
  </si>
  <si>
    <t>r.knight1@yorksj.ac.uk</t>
  </si>
  <si>
    <t>1935-9713</t>
  </si>
  <si>
    <t>1935-9705</t>
  </si>
  <si>
    <t>Modern slavery in supply chains: a systematic literature review</t>
  </si>
  <si>
    <t>10.1080/13675567.2022.2118696</t>
  </si>
  <si>
    <t>This work was supported by National Natural Science Foundation of China: [Grant Number 71902159].</t>
  </si>
  <si>
    <t>Fu Jia,Lujie Chen</t>
  </si>
  <si>
    <t>jeff_fujia@hotmail.com,Lujie.Chen@xjtlu.edu.cn</t>
  </si>
  <si>
    <t>How do platforms improve social capital within sharing economy-based service triads: an information processing perspective</t>
  </si>
  <si>
    <t>10.1080/09537287.2022.2101959</t>
  </si>
  <si>
    <t>Production Planning &amp; Control</t>
  </si>
  <si>
    <t>1366-5871</t>
  </si>
  <si>
    <t>0953-7287</t>
  </si>
  <si>
    <t>Sustainable supply chain management in the leather industry: a systematic literature review</t>
  </si>
  <si>
    <t>10.1080/13675567.2022.2104233</t>
  </si>
  <si>
    <t>This research was supported by The Ministry of Education of Humanities and Social Science Project “Construction Strategy of ‘Human-land Symbiosis' in Rural Communities from the Perspective of Three-industry Convergence” (21YJAZH007), the Scientific Research Foundation of Zhejiang Sci-tech University (21052320-Y) and the National Natural Science Foundation of China (51908498).</t>
  </si>
  <si>
    <t>Internal migration and stigmatization in the rural Banat region of Romania</t>
  </si>
  <si>
    <t>10.1080/1070289X.2022.2109276</t>
  </si>
  <si>
    <t>Identities</t>
  </si>
  <si>
    <t>1547-3384</t>
  </si>
  <si>
    <t>1070-289X</t>
  </si>
  <si>
    <t>“A woman left lonely”: pariah femininity and the posthumous career of Janis Joplin</t>
  </si>
  <si>
    <t>10.1080/14680777.2022.2110605</t>
  </si>
  <si>
    <t>Feminist Media Studies</t>
  </si>
  <si>
    <t>This research was supported by the Sir Jack Lyons Research Scholarship at the University of York to pursue a PhD.</t>
  </si>
  <si>
    <t>1471-5902</t>
  </si>
  <si>
    <t>1468-0777</t>
  </si>
  <si>
    <t>How Public is Public Law? The Current State of Open Access to Administrative Court Judgments</t>
  </si>
  <si>
    <t>10.1080/10854681.2022.2111966</t>
  </si>
  <si>
    <t>The research was funded by an ESRC IAA grant.</t>
  </si>
  <si>
    <t>Development and evaluation of interventions in social work practice research</t>
  </si>
  <si>
    <t>10.1080/17525098.2022.2114137</t>
  </si>
  <si>
    <t>China Journal of Social Work</t>
  </si>
  <si>
    <t>The development and evaluation of Connecting People were funded by the National Institute for Health and Care Research (NIHR) School for Social Care Research (SSCR). The views expressed are those of the author and not necessarily those of the NIHR SSCR, the NIHR or the Department of Health and Social Care. The author would like to sincerely thank all the participants of the studies discussed in this paper and the researchers who have collaborated with him.</t>
  </si>
  <si>
    <t>Martin Webber</t>
  </si>
  <si>
    <t>1752-5101</t>
  </si>
  <si>
    <t>1752-5098</t>
  </si>
  <si>
    <t>Framing the interplay mechanisms between structural and dynamic complexity in supply chains</t>
  </si>
  <si>
    <t>10.1080/09537287.2022.2114959</t>
  </si>
  <si>
    <t>Luisa Huaccho Huatuco</t>
  </si>
  <si>
    <t>luisa.huatuco@york.ac.uk</t>
  </si>
  <si>
    <t>Complexity in a platform-based servitization: a complex adaptability theory perspective</t>
  </si>
  <si>
    <t>10.1080/13675567.2022.2112159</t>
  </si>
  <si>
    <t>This work was supported by National Science foundation of China [grant number 71902159].</t>
  </si>
  <si>
    <t>Shiyuan Yin</t>
  </si>
  <si>
    <t>shiyuan.yin@outlook.com</t>
  </si>
  <si>
    <t>Why the UK Complied with COVID-19 Lockdown Law</t>
  </si>
  <si>
    <t>10.1080/09615768.2022.2109233</t>
  </si>
  <si>
    <t>King's Law Journal</t>
  </si>
  <si>
    <t>This work was supported by the Nuffield Foundation [JUS /FR-000022588]; and a University of York ESRC’s Impact Accelerator Award [G0066501].</t>
  </si>
  <si>
    <t>Simon Halliday</t>
  </si>
  <si>
    <t>simon.halliday@york.ac.uk</t>
  </si>
  <si>
    <t>1757-8442</t>
  </si>
  <si>
    <t>0961-5768</t>
  </si>
  <si>
    <t>What Wetland are We Protecting and Restoring? Quantifying the Human Creation of Protected Areas in Scotland</t>
  </si>
  <si>
    <t>10.1080/14732971.2022.2101190</t>
  </si>
  <si>
    <t>This work was supported by a Leverhulme Trust Research Centre – the Leverhulme Centre for Anthropocene Biodiversity.</t>
  </si>
  <si>
    <t>Johnson Publishing Company and the Search for a White Audience</t>
  </si>
  <si>
    <t>10.1080/08821127.2022.2098206</t>
  </si>
  <si>
    <t>American Journalism</t>
  </si>
  <si>
    <t>E. James West</t>
  </si>
  <si>
    <t>ejwestuk@gmail.com</t>
  </si>
  <si>
    <t>2326-2486</t>
  </si>
  <si>
    <t>0882-1127</t>
  </si>
  <si>
    <t>The Ethics of Price Variation</t>
  </si>
  <si>
    <t>10.1080/07360932.2022.2080753</t>
  </si>
  <si>
    <t>Forum for Social Economics</t>
  </si>
  <si>
    <t>William Jackson</t>
  </si>
  <si>
    <t>william.jackson@york.ac.uk</t>
  </si>
  <si>
    <t>1874-6381</t>
  </si>
  <si>
    <t>0736-0932</t>
  </si>
  <si>
    <t>Spreading rebellion?: The rise of extinction rebellion chapters across the world</t>
  </si>
  <si>
    <t>10.1080/23251042.2022.2094995</t>
  </si>
  <si>
    <t>Environmental Sociology</t>
  </si>
  <si>
    <t>Peter Gardner</t>
  </si>
  <si>
    <t>peter.gardner@york.ac.uk</t>
  </si>
  <si>
    <t>2325-1042</t>
  </si>
  <si>
    <t>Applying digital twins for inventory and cash management in supply chains under physical and financial disruptions</t>
  </si>
  <si>
    <t>10.1080/00207543.2022.2093682</t>
  </si>
  <si>
    <t>This work has been funded by the UK Research and Innovation (UKRI) research body, EPSRC through grant EP/T024844/1 “A Multiscale Digital Twin-Driven Smart Manufacturing System for High Value-Added Products”.</t>
  </si>
  <si>
    <t>Ehsan Badakhshan</t>
  </si>
  <si>
    <t>ehsan.badakhshan@york.ac.uk</t>
  </si>
  <si>
    <t>0000-0002-5298-764X</t>
  </si>
  <si>
    <t>‘Constituencies of Control’ – Collective Punishments in Kenya’s Mau Mau Emergency, 1952–55</t>
  </si>
  <si>
    <t>10.1080/03086534.2022.2093475</t>
  </si>
  <si>
    <t>The Journal of Imperial and Commonwealth History</t>
  </si>
  <si>
    <t>Thomas J. Wright</t>
  </si>
  <si>
    <t>thomas.j.wright@york.ac.uk</t>
  </si>
  <si>
    <t>0000-0003-4336-7884</t>
  </si>
  <si>
    <t>1743-9329</t>
  </si>
  <si>
    <t>0308-6534</t>
  </si>
  <si>
    <t>Janus mesophases of matter</t>
  </si>
  <si>
    <t>10.1080/02678292.2021.2002445</t>
  </si>
  <si>
    <t>This work was supported by the Engineering and Physical Sciences Research Council [EP/J007714/1, EP/K039660/1, EP/M020584/1].</t>
  </si>
  <si>
    <t>John Goodby</t>
  </si>
  <si>
    <t>john.goodby@york.ac.uk</t>
  </si>
  <si>
    <t>Casting Cultural Identity in Early Viking-Age Northumbria</t>
  </si>
  <si>
    <t>10.1080/00844276.2022.2090716</t>
  </si>
  <si>
    <t xml:space="preserve">Julian Richards </t>
  </si>
  <si>
    <t>julian.richards@york.ac.uk</t>
  </si>
  <si>
    <t>Turning DDT into ‘Didimac’: Making insecticide products and consumers in British farming after 1945</t>
  </si>
  <si>
    <t>10.1080/07341512.2022.2085492</t>
  </si>
  <si>
    <t>History and Technology</t>
  </si>
  <si>
    <t>This work was supported by the Wellcome Trust [Ref: 214895/Z/18/Z] .</t>
  </si>
  <si>
    <t>Not on PMC. Emailed T&amp;F about it and they said they've now deposited, but not yet visible on PMC 7/11/22.</t>
  </si>
  <si>
    <t>Sabine Clarke</t>
  </si>
  <si>
    <t>Sabine.clarke@york.ac.uk</t>
  </si>
  <si>
    <t>0000-0001-6268-8830</t>
  </si>
  <si>
    <t>1477-2620</t>
  </si>
  <si>
    <t>0734-1512</t>
  </si>
  <si>
    <t>‘It was the worst possible timing’: the response of UK Longitudinal Integrated Clerkships to Covid-19</t>
  </si>
  <si>
    <t>10.1080/14739879.2022.2079428</t>
  </si>
  <si>
    <t>Education for Primary Care</t>
  </si>
  <si>
    <t>This article presents independent research commissioned by the National Institute for Health Research (NIHR) under the Applied Health Research (ARC) programme for Northwest London. The views expressed in this publication are those of the author(s) and not necessarily those of the NHS, the NIHR or the Department of Health.</t>
  </si>
  <si>
    <t>megan.brown@imperial.ac.uk</t>
  </si>
  <si>
    <t>1475-990X</t>
  </si>
  <si>
    <t>1473-9879</t>
  </si>
  <si>
    <t>Using Journalism for Self-Protection: Profession-Specific and Journalistic Measures and Strategies for Countering Violence and Impunity in Mexico and Honduras</t>
  </si>
  <si>
    <t>10.1080/1461670X.2022.2080754</t>
  </si>
  <si>
    <t>Journalism Studies</t>
  </si>
  <si>
    <t>This study was supported by the Economic and Social Research Council (ESRC).</t>
  </si>
  <si>
    <t>Tamsin Mitchell</t>
  </si>
  <si>
    <t>tamsin.s.mitchell@gmail.com</t>
  </si>
  <si>
    <t>1469-9699</t>
  </si>
  <si>
    <t>1461-670X</t>
  </si>
  <si>
    <t>Experiencing Indeterminacy in Performance</t>
  </si>
  <si>
    <t>10.1080/07494467.2022.2080452</t>
  </si>
  <si>
    <t>Contemporary Music Review</t>
  </si>
  <si>
    <t>Catherine Laws</t>
  </si>
  <si>
    <t>catherine.laws@york.ac.uk</t>
  </si>
  <si>
    <t>1477-2256</t>
  </si>
  <si>
    <t>0749-4467</t>
  </si>
  <si>
    <t>The impact of surgical site infection on hospitalisation, treatment costs, and health-related quality of life after vascular surgery</t>
  </si>
  <si>
    <t>10.1111/iwj.13526</t>
  </si>
  <si>
    <t>INTERNATIONAL WOUND JOURNAL</t>
  </si>
  <si>
    <t>Wiley</t>
  </si>
  <si>
    <t>Report from Wiley rep: Wiley APC spend to 18th March 2022</t>
  </si>
  <si>
    <t>Other</t>
  </si>
  <si>
    <t>Has York corresponding author but paid from Cardiff's credit account for some reason.</t>
  </si>
  <si>
    <t>1742-481X</t>
  </si>
  <si>
    <t>Selectivity of Rh···H–C Binding in a σ-Alkane Complex Controlled by the Secondary Microenvironment in the Solid-State.</t>
  </si>
  <si>
    <t>10.1002/chem.202004585</t>
  </si>
  <si>
    <t>CHEMISTRY - A EUROPEAN JOURNAL</t>
  </si>
  <si>
    <t>Paid from credit account - using up offset credit after start of read and publish deal</t>
  </si>
  <si>
    <t>Andrew  S. Weller</t>
  </si>
  <si>
    <t>0000-0003-1646-8081</t>
  </si>
  <si>
    <t>Alexander Bukvic (ab2159@york.ac.uk), Arron Burnage (alb10@hw.ac.uk), Bengt Tegner (b.tegner@hw.ac.uk), Samantha Furfari (sam.furfari@york.ac.uk), Stuart Macgregor (S.A.Macgregor@hw.ac.uk), Laurence Doyle (laurence.doyle@york.ac.uk)</t>
  </si>
  <si>
    <t>1521-3765</t>
  </si>
  <si>
    <t>Shift-field refinement of macromolecular atomic models</t>
  </si>
  <si>
    <t>10.1107/S2059798320013170</t>
  </si>
  <si>
    <t>ACTA CRYSTALLOGRAPHICA SECTION D: STRUCTURAL BIOLOGY</t>
  </si>
  <si>
    <t>Kevin Cowtan</t>
  </si>
  <si>
    <t>kevin.cowtan@york.ac.uk</t>
  </si>
  <si>
    <t>0000-0002-0189-1437</t>
  </si>
  <si>
    <t>2059-7983</t>
  </si>
  <si>
    <t>Quality-Adjusted Life Years Based on Health and Consumption: A Summary Wellbeing Measure for Cross-Sectoral Economic Evaluation</t>
  </si>
  <si>
    <t>10.1002/hec.4177</t>
  </si>
  <si>
    <t>HEALTH ECONOMICS</t>
  </si>
  <si>
    <t>Ieva Skarda</t>
  </si>
  <si>
    <t>ieva.skarda@york.ac.uk</t>
  </si>
  <si>
    <t>0000-0002-0866-2936</t>
  </si>
  <si>
    <t>Owen Cotton-Barratt (owen.cotton-barratt@st-hughs.ox.ac.uk), Toby Ord (toby.ord@philosophy.ox.ac.uk), Miqdad Asaria (M.ASARIA@LSE.AC.UK; ORCID ID: 0000-0002-3538-4417), Richard Cookson (richard.cookson@york.ac.uk), Matthew Adler (adler@law.duke.edu)</t>
  </si>
  <si>
    <t>1099-1050</t>
  </si>
  <si>
    <t>Comparing predictive accuracy in small samples using fixed-smoothing asymptotics</t>
  </si>
  <si>
    <t>10.1002/jae.2756</t>
  </si>
  <si>
    <t>JOURNAL OF APPLIED ECONOMETRICS</t>
  </si>
  <si>
    <t>LAURA CORONEO</t>
  </si>
  <si>
    <t>laura.coroneo@york.ac.uk</t>
  </si>
  <si>
    <t>FABRIZIO IACONE</t>
  </si>
  <si>
    <t>1099-1255</t>
  </si>
  <si>
    <t>Overcoming the trade-off between grain weight and number in wheat by the ectopic expression of expansin in developing seeds leads to increased yield potential</t>
  </si>
  <si>
    <t>10.1111/nph.17048</t>
  </si>
  <si>
    <t>NEW PHYTOLOGIST</t>
  </si>
  <si>
    <t>Simon McQueen-Mason</t>
  </si>
  <si>
    <t>sjmm1@york.ac.uk</t>
  </si>
  <si>
    <t>0000-0002-6781-4768</t>
  </si>
  <si>
    <t>Matthew Milner (matthew.milner@niab.com), Francisca Castillo (francisca.castillo@alumnos.uach.cl), LEONARDO DARIO GOMEZ (leonardo.gomez@york.ac.uk), Anita Arenas (anitamaribel@gmail.com), Melanie Craze (melanie.craze@niab.com), Matthew Reynolds (m.reynolds@cgiar.org), Emma Wallington (emma.wallington@niab.com; ORCID ID: 0000-0003-3715-7901), Sarah Bowden (sarah.bowden@niab.com), Gemma Molero (G.MOLERO@CGIAR.ORG; ORCID ID: 0000-0002-6431-7563), Daniel Calderini (danielcalderini@uach.cl), Adam Dowle (adam.dowle@york.ac.uk)</t>
  </si>
  <si>
    <t>1469-8137</t>
  </si>
  <si>
    <t>Exploiting Unique Alignment of Cobalt Ferrite Nanoparticles, Mild Hyperthermia, and Controlled Intrinsic Cobalt Toxicity for Cancer Therapy</t>
  </si>
  <si>
    <t>10.1002/adma.202003712</t>
  </si>
  <si>
    <t>ADVANCED MATERIALS</t>
  </si>
  <si>
    <t>APC paid from YOAF. Corresponding author not at York.</t>
  </si>
  <si>
    <t>1521-4095</t>
  </si>
  <si>
    <t>A new classification system for the anatomical variations of the human circle of Willis: A systematic review</t>
  </si>
  <si>
    <t>10.1111/joa.13616</t>
  </si>
  <si>
    <t>JOURNAL OF ANATOMY</t>
  </si>
  <si>
    <t>Corresponding author at Hull (HYMS). Reported by Wiley rep. Not sure if any co-authors are based at York.</t>
  </si>
  <si>
    <t>1469-7580</t>
  </si>
  <si>
    <t>A systematic review of behavioural smoking cessation interventions for people with severe mental ill health—what works?</t>
  </si>
  <si>
    <t>10.1111/add.15724</t>
  </si>
  <si>
    <t>ADDICTION</t>
  </si>
  <si>
    <t>1360-0443</t>
  </si>
  <si>
    <t>Estimating the shares of the value of branded pharmaceuticals accruing to manufacturers and to patients served by health systems</t>
  </si>
  <si>
    <t>10.1002/hec.4393</t>
  </si>
  <si>
    <t>Wiley TA 2021</t>
  </si>
  <si>
    <t>Reported in Jisc ALM report Jul 2023 as published OA under out deal. In the Wiley report, it is more ambiguous. Funder account column blank (usually has 'Jisc - University of York')</t>
  </si>
  <si>
    <t>Unexpected Formation of Organic Siloxanes alongside Ethylphenols in the Catalytic Hydrogenation of Waste Enzymatic Lignin</t>
  </si>
  <si>
    <t>10.1002/aesr.202100059</t>
  </si>
  <si>
    <t>ADVANCED ENERGY AND SUSTAINABILITY RESEARCH</t>
  </si>
  <si>
    <t>Reported in Jisc ALM report Jul 2023 as published OA under out deal. In the Wiley report, it is more ambiguous. Funder account column blank (usually has 'Jisc - University of York'). Has two corresponding authors, one at York, one not. Not clear which was 'responsible corresponding author' - maybe the non York one?</t>
  </si>
  <si>
    <t>2699-9412</t>
  </si>
  <si>
    <t>Reversible Hyperpolarization of Ketoisocaproate Using Sulfoxide-containing Polarization Transfer Catalysts</t>
  </si>
  <si>
    <t>10.1002/cphc.202000825</t>
  </si>
  <si>
    <t>CHEMPHYSCHEM</t>
  </si>
  <si>
    <t>Deal cap reached</t>
  </si>
  <si>
    <t>1439-7641</t>
  </si>
  <si>
    <t>The selection gap in teacher education: Adverse effects of ethnicity, gender, and socio-economic status on situational judgement test performance</t>
  </si>
  <si>
    <t>10.1111/bjep.12405</t>
  </si>
  <si>
    <t>BRITISH JOURNAL OF EDUCATIONAL PSYCHOLOGY</t>
  </si>
  <si>
    <t>CC BY-ND</t>
  </si>
  <si>
    <t>Corresponding author not at York. Not sure why included in report from rep. Co-authors are at York.</t>
  </si>
  <si>
    <t>2044-8279</t>
  </si>
  <si>
    <t>Metathesis by partner interchange in ?-bond ligands: expanding applications of the ?-CAM mechanism</t>
  </si>
  <si>
    <t>10.1002/anie.202111462</t>
  </si>
  <si>
    <t>Angewandte Chemie International Edition</t>
  </si>
  <si>
    <t>Wiley dashboard report 25/10/2021</t>
  </si>
  <si>
    <t>Robin N. Perutz</t>
  </si>
  <si>
    <t>rnp1@york.ac.uk</t>
  </si>
  <si>
    <t>0000-0001-6286-0282</t>
  </si>
  <si>
    <t>Sylviane Sabo-Etienne (sabo@lcc-toulouse.fr), Andrew  S. Weller (andrew.weller@york.ac.uk; ORCID ID: 0000-0003-1646-8081)</t>
  </si>
  <si>
    <t>1521-3773</t>
  </si>
  <si>
    <t>Inhalation of VOCs from facial moisturisers and the influence of dose proximity</t>
  </si>
  <si>
    <t>10.1111/ina.12948</t>
  </si>
  <si>
    <t>Indoor Air</t>
  </si>
  <si>
    <t>Amber Yeoman</t>
  </si>
  <si>
    <t>amber.yeoman@york.ac.uk</t>
  </si>
  <si>
    <t>Aiden Heeley-Hill (achh500@york.ac.uk; ORCID ID: 0000-0002-0519-4997), Marvin Shaw (marvin.shaw@york.ac.uk), Stephen Andrews J (stephen.andrews@york.ac.uk), Alastair Lewis (ally.lewis@ncas.ac.uk; ORCID ID: 0000-0002-4075-3651)</t>
  </si>
  <si>
    <t>1600-0668</t>
  </si>
  <si>
    <t>Design, Synthesis and Structural Analysis of Glucocerebrosidase Imaging Agents</t>
  </si>
  <si>
    <t>10.1002/chem.202102359</t>
  </si>
  <si>
    <t>Chemistry - A European Journal</t>
  </si>
  <si>
    <t>Gideon Davies</t>
  </si>
  <si>
    <t>gideon.davies@york.ac.uk</t>
  </si>
  <si>
    <t>0000-0002-7343-776X</t>
  </si>
  <si>
    <t>Adrianus M. C. H. van den Nieuwendijk (nieuwend@chem.leidenuniv.nl), Qin Su (q.su@lic.leidenuniv.nl), Thomas  J M Beenakker (t.j.m.beenakker@chem.leidenuniv.nl), Imogen Breen (imobreen@gmail.com), Rhianna J. Rowland (rjr519@york.ac.uk), Wendy A. Offen (wendy.offen@york.ac.uk), JOHANNES M AERTS (J.M.F.G.AERTS@LIC.LEIDENUNIV.NL), Marta Artola (m.e.artola@lic.leidenuniv.nl; ORCID ID: 0000-0002-3051-3902), Yurong Chen (y.chen@lic.leidenuniv.nl), Herman S. Overkleeft (H.S.OVERKLEEFT@LIC.LEIDENUNIV.NL), Liang Wu (Liang.Wu@rfi.ac.uk)</t>
  </si>
  <si>
    <t>Fur4 mediated uracil‐scavenging to screen for surface protein regulators</t>
  </si>
  <si>
    <t>10.1111/tra.12815</t>
  </si>
  <si>
    <t>Traffic</t>
  </si>
  <si>
    <t>Chris MacDonald</t>
  </si>
  <si>
    <t>chris.macdonald@york.ac.uk</t>
  </si>
  <si>
    <t>0000-0002-7450-600X</t>
  </si>
  <si>
    <t>Gabrielle Ecclestone (ecclestoneg@gmail.com; ORCID ID: 0000-0001-8423-459X), Katherine Paine (kp798@york.ac.uk)</t>
  </si>
  <si>
    <t>1600-0854</t>
  </si>
  <si>
    <t>‘Did I just do that?’: Six-month-olds learn the contingency between their vocalisations and a visual reward in 5 minutes.</t>
  </si>
  <si>
    <t>10.1111/infa.12433</t>
  </si>
  <si>
    <t>Infancy</t>
  </si>
  <si>
    <t>Tamar Keren-Portnoy</t>
  </si>
  <si>
    <t>tkp502@york.ac.uk</t>
  </si>
  <si>
    <t>0000-0002-7258-2404</t>
  </si>
  <si>
    <t>Kenneth Brown (kenneth.brown@york.ac.uk), Rory DePaolis (depaolra@jmu.edu), Florence Oxley (fo507@york.ac.uk), Helena Daffern (helena.daffern@york.ac.uk), Mona Kanaan (MONA.KANAAN@YORK.AC.UK), Christopher Cox (chris.mm.cox@gmail.com; ORCID ID: 0000-0003-4076-581X)</t>
  </si>
  <si>
    <t>1532-7078</t>
  </si>
  <si>
    <t>Scoping the literature on patient travel abroad for cancer screening, diagnosis and treatment</t>
  </si>
  <si>
    <t>10.1002/hpm.3315</t>
  </si>
  <si>
    <t>The International Journal of Health Planning and Management</t>
  </si>
  <si>
    <t>NEIL T. LUNT</t>
  </si>
  <si>
    <t>NEIL.LUNT@YORK.AC.UK</t>
  </si>
  <si>
    <t>0000-0002-4501-1999</t>
  </si>
  <si>
    <t>Ken Fung (kenfung@alumni.york.ac.uk)</t>
  </si>
  <si>
    <t>1099-1751</t>
  </si>
  <si>
    <t>Genetic variation is associated with differences in facilitative and competitive interactions in the Rhizobium leguminosarum species complex</t>
  </si>
  <si>
    <t>10.1111/1462-2920.15720</t>
  </si>
  <si>
    <t>Environmental Microbiology</t>
  </si>
  <si>
    <t>Bryden Fields</t>
  </si>
  <si>
    <t>bryden.fields@york.ac.uk</t>
  </si>
  <si>
    <t>0000-0003-1251-6867</t>
  </si>
  <si>
    <t>Ville-Petri Friman (ville.friman@york.ac.uk)</t>
  </si>
  <si>
    <t>1462-2920</t>
  </si>
  <si>
    <t>Hybrid Self-Assembled Gel Beads for Tunable pH-Controlled Rosuvastatin Delivery</t>
  </si>
  <si>
    <t>10.1002/chem.202101405</t>
  </si>
  <si>
    <t>David K. Smith</t>
  </si>
  <si>
    <t>david.smith@york.ac.uk</t>
  </si>
  <si>
    <t>0000-0002-9881-2714</t>
  </si>
  <si>
    <t>Carmen Piras (carmen.piras@york.ac.uk), Anna Patterson (akp512@york.ac.uk)</t>
  </si>
  <si>
    <t>Self-Propelling Hybrid Gels Incorporating an Active Self-Assembled Low-Molecular-Weight Gelator</t>
  </si>
  <si>
    <t>10.1002/chem.202102472</t>
  </si>
  <si>
    <t>Carmen Piras (carmen.piras@york.ac.uk)</t>
  </si>
  <si>
    <t>Sibling conflict during COVID‐19 in families with special educational needs and disabilities</t>
  </si>
  <si>
    <t>10.1111/bjep.12451</t>
  </si>
  <si>
    <t>British Journal of Educational Psychology</t>
  </si>
  <si>
    <t>0000-0002-7536-2722</t>
  </si>
  <si>
    <t>“My brain feels like a browser with 100 tabs open”: A longitudinal study of teachers’ mental health and wellbeing during the COVID-19 pandemic</t>
  </si>
  <si>
    <t>10.1111/bjep.12450</t>
  </si>
  <si>
    <t>Lisa  E. Kim</t>
  </si>
  <si>
    <t>0000-0001-9724-2396</t>
  </si>
  <si>
    <t>Kathryn Asbury (kathryn.asbury@york.ac.uk), Laura Oxley (lo590@york.ac.uk)</t>
  </si>
  <si>
    <t>Independent associations of sleep timing, duration and quality with adiposity and weight status in a national sample of adolescents: the UK Millennium Cohort Study</t>
  </si>
  <si>
    <t>10.1111/jsr.13436</t>
  </si>
  <si>
    <t>Journal of Sleep Research</t>
  </si>
  <si>
    <t>Paul Collings</t>
  </si>
  <si>
    <t>paul.collings@bthft.nhs.uk</t>
  </si>
  <si>
    <t>0000-0003-2022-5453</t>
  </si>
  <si>
    <t>1365-2869</t>
  </si>
  <si>
    <t>Doing violence to evidence on violence? How the alcohol industry created doubt in order to influence policy</t>
  </si>
  <si>
    <t>10.1111/dar.13354</t>
  </si>
  <si>
    <t>Drug and Alcohol Review</t>
  </si>
  <si>
    <t>ANDREW BARTLETT</t>
  </si>
  <si>
    <t>andrew.bartlett@york.ac.uk</t>
  </si>
  <si>
    <t>0000-0002-6927-0899</t>
  </si>
  <si>
    <t>Jim McCambridge (Jim.McCambridge@york.ac.uk; ORCID ID: 0000-0002-5461-7001)</t>
  </si>
  <si>
    <t>1465-3362</t>
  </si>
  <si>
    <t>Innovating the Product Innovation Process to Enable Co-creation</t>
  </si>
  <si>
    <t>10.1111/radm.12492</t>
  </si>
  <si>
    <t>R&amp;D Management</t>
  </si>
  <si>
    <t>Deborah Roberts</t>
  </si>
  <si>
    <t>deborah.roberts@york.ac.uk</t>
  </si>
  <si>
    <t>0000-0002-5115-3459</t>
  </si>
  <si>
    <t>Roger Palmer (roger.orca@btinternet.com), Mathew Hughes (m.hughes2@lboro.ac.uk; ORCID ID: 0000-0001-6859-558X)</t>
  </si>
  <si>
    <t>1467-9310</t>
  </si>
  <si>
    <t>Recruitment, risks, rewards, and regrets: senior researcher reflections on working with alcohol industry social aspects organisations</t>
  </si>
  <si>
    <t>10.1111/dar.13342</t>
  </si>
  <si>
    <t>ISLAND DWELLINGS AT 60° NORTH: NEW EVIDENCE FOR CRANNOGS IN IRON AGE SHETLAND</t>
  </si>
  <si>
    <t>10.1111/ojoa.12225</t>
  </si>
  <si>
    <t>Oxford Journal of Archaeology</t>
  </si>
  <si>
    <t>MICHAEL J. STRATIGOS</t>
  </si>
  <si>
    <t>1468-0092</t>
  </si>
  <si>
    <t>Arothron: an R package for geometric morphometric methods and virtual anthropology applications</t>
  </si>
  <si>
    <t>10.1002/ajpa.24340</t>
  </si>
  <si>
    <t>American Journal of Biological Anthropology</t>
  </si>
  <si>
    <t>Antonio Profico</t>
  </si>
  <si>
    <t>antonio.profico@york.ac.uk</t>
  </si>
  <si>
    <t>Marina Melchionna (marina.melchionna@unina.it), PASQUALE RAIA (PASQUALE.RAIA@UNINA.IT; ORCID ID: 0000-0002-4593-8006), Alessio Veneziano (VENEZIANO.ALESSIO@GMAIL.COM; ORCID ID: 0000-0002-2543-5188), Paolo Piras (ppiras@uniroma3.it; ORCID ID: 0000-0001-9832-2742), Silvia Castiglione (silvia.castiglione@unina.it; ORCID ID: 0000-0002-6140-1495), COSTANTINO BUZI (costantino.buzi@uniroma1.it; ORCID ID: 0000-0001-8951-2990)</t>
  </si>
  <si>
    <t>2692-7691</t>
  </si>
  <si>
    <t>Implicit statistical learning in naturalistic and instructed morphosyntactic attainment: An aptitude treatment design</t>
  </si>
  <si>
    <t>10.1111/lang.12465</t>
  </si>
  <si>
    <t>Language Learning</t>
  </si>
  <si>
    <t>Wiley TA 2020</t>
  </si>
  <si>
    <t>0000-0001-7500-264X</t>
  </si>
  <si>
    <t>Pauline Foster (pauline.foster.uk@gmail.com)</t>
  </si>
  <si>
    <t>1467-9922</t>
  </si>
  <si>
    <t>Beyond faith: biomolecular evidence for changing urban economies in multi-faith medieval Portugal</t>
  </si>
  <si>
    <t>10.1002/ajpa.24343</t>
  </si>
  <si>
    <t>Alice Toso</t>
  </si>
  <si>
    <t>alice.toso@uab.cat</t>
  </si>
  <si>
    <t>0000-0003-3469-1412</t>
  </si>
  <si>
    <t>Vanessa Filipe (vanessafilipe@cota8086.pt), Maria João Gonçalves (maria.goncalves@cm-silves.pt), Lucy Evangelista (lucyevangelista@era-arqueologia.pt), Charlotte Oxborough (charlotteoxborough@hotmail.co.uk; ORCID ID: 0000-0002-6498-5895), Inês Mendes da Silva (inesamelia@era-arqueologia.pt), Maria João Valente (mvalente@ualg.pt), Raquel Santos (neoepica@gmail.com), Anabela Castro (anabela.nc@gmail.com), Luke Spindler (luke.spindler@arch.ox.ac.uk), MICHELLE M ALEXANDER (MICHELLE.ALEXANDER@YORK.AC.UK; ORCID ID: 0000-0001-8000-3639), Simona Schifano (simonaschifano8@gmail.com; ORCID ID: 0000-0002-8756-7506), Antonio Marques (antonio.a.marques@cm-lisboa.pt), Krista McGrath (krista.mcgrath@uab.cat), Iona McCleery (i.mccleery@leeds.ac.uk)</t>
  </si>
  <si>
    <t>The Effect of Distance on Maternal Institutional Delivery Choice: Evidence from Malawi</t>
  </si>
  <si>
    <t>10.1002/hec.4368</t>
  </si>
  <si>
    <t>Health Economics</t>
  </si>
  <si>
    <t>Finn McGuire</t>
  </si>
  <si>
    <t>fm580@york.ac.uk</t>
  </si>
  <si>
    <t>0000-0003-3298-6268</t>
  </si>
  <si>
    <t>Peter Smith (peter.c.smith@york.ac.uk), Noémi Kreif (noemi.kreif@york.ac.uk; ORCID ID: 0000-0001-9008-5690)</t>
  </si>
  <si>
    <t>Quantifying trade-offs between butterfly abundance and movement in the management of agricultural set-asides</t>
  </si>
  <si>
    <t>10.1111/icad.12511</t>
  </si>
  <si>
    <t>Insect Conservation and Diversity</t>
  </si>
  <si>
    <t>Katie Threadgill</t>
  </si>
  <si>
    <t>krdt500@york.ac.uk</t>
  </si>
  <si>
    <t>0000-0003-3021-7465</t>
  </si>
  <si>
    <t>JANE K. HILL (JANE.HILL@YORK.AC.UK; ORCID ID: 0000-0003-1871-7715), Colin J. McClean (colin.mcclean@york.ac.uk), Naomi Jones (naomi.jones@fera.co.uk), Jenny Hodgson (JENNY.HODGSON@LIVERPOOL.AC.UK; ORCID ID: 0000-0003-2297-3631)</t>
  </si>
  <si>
    <t>1752-4598</t>
  </si>
  <si>
    <t>Evolutionary computation for adaptive quantum device design</t>
  </si>
  <si>
    <t>10.1002/qute.202100013</t>
  </si>
  <si>
    <t>Advanced Quantum Technologies</t>
  </si>
  <si>
    <t>Irene D'Amico</t>
  </si>
  <si>
    <t>irene.damico@york.ac.uk</t>
  </si>
  <si>
    <t>0000-0002-4794-1348</t>
  </si>
  <si>
    <t>Luke Mortimer (lm1484@york.ac.uk), Timothy Spiller (timothy.spiller@york.ac.uk; ORCID ID: 0000-0003-1083-2604), Marta P. Estarellas (mpestarellas@nii.ac.jp)</t>
  </si>
  <si>
    <t>2511-9044</t>
  </si>
  <si>
    <t>Think big about developing the science</t>
  </si>
  <si>
    <t>10.1111/add.15568</t>
  </si>
  <si>
    <t>Addiction</t>
  </si>
  <si>
    <t>Jim McCambridge</t>
  </si>
  <si>
    <t>Jim.McCambridge@york.ac.uk</t>
  </si>
  <si>
    <t>0000-0002-5461-7001</t>
  </si>
  <si>
    <t>Mary Madden (madden.mary@gmail.com; ORCID ID: 0000-0001-5749-2665)</t>
  </si>
  <si>
    <t>The Re-Discovery of Contemplation through Science: Boyle Lecture 2021</t>
  </si>
  <si>
    <t>10.1111/zygo.12719</t>
  </si>
  <si>
    <t>Zygon®</t>
  </si>
  <si>
    <t>Tom McLeish</t>
  </si>
  <si>
    <t>tom.mcleish@york.ac.uk</t>
  </si>
  <si>
    <t>0000-0002-2025-0299</t>
  </si>
  <si>
    <t>1467-9744</t>
  </si>
  <si>
    <t>0591-2385</t>
  </si>
  <si>
    <t>Response to Boyle Lecture 2021 Panel and Participant Discussion</t>
  </si>
  <si>
    <t>10.1111/zygo.12722</t>
  </si>
  <si>
    <t>Youth representations of environmental protest</t>
  </si>
  <si>
    <t>10.1002/berj.3737</t>
  </si>
  <si>
    <t>British Educational Research Journal</t>
  </si>
  <si>
    <t>Lucy Atkinson (lucy.atkinson@york.ac.uk), Denise Mckeown (dmckeown32@gmail.com), Maria Turkenburg-van Diepen (maria.turkenburg@york.ac.uk)</t>
  </si>
  <si>
    <t>1469-3518</t>
  </si>
  <si>
    <t>Introduction to molecular replacement: a time perspective</t>
  </si>
  <si>
    <t>10.1107/S2059798321004368</t>
  </si>
  <si>
    <t>Acta Crystallographica Section D: Structural Biology</t>
  </si>
  <si>
    <t>Eleanor Dodson</t>
  </si>
  <si>
    <t>eleanor.dodson@york.ac.uk</t>
  </si>
  <si>
    <t>A Political Foundation of Public Investment and Welfare Spending</t>
  </si>
  <si>
    <t>10.1111/jpet.12519</t>
  </si>
  <si>
    <t>Journal of Public Economic Theory</t>
  </si>
  <si>
    <t>Ning Xue</t>
  </si>
  <si>
    <t>ning.xue@york.ac.uk</t>
  </si>
  <si>
    <t>0000-0002-3323-6728</t>
  </si>
  <si>
    <t>Anne Villamil (annevillamil@gmail.com), Xiaobing Wang (xiaobing.wang@manchester.ac.uk; ORCID ID: 0000-0003-1927-2383)</t>
  </si>
  <si>
    <t>1467-9779</t>
  </si>
  <si>
    <t>A Long-Brewing Crisis: The Historical Antecedents of Major Alcohol Policy Change in Ireland</t>
  </si>
  <si>
    <t>10.1111/dar.13331</t>
  </si>
  <si>
    <t>Specialist nursing case management support for carers of people with dementia: a qualitative study comparing experiences of carers with and without Admiral Nursing</t>
  </si>
  <si>
    <t>10.1111/hsc.13437</t>
  </si>
  <si>
    <t>Health and Social Care in the Community</t>
  </si>
  <si>
    <t>Kate Gridley</t>
  </si>
  <si>
    <t>kate.gridley@york.ac.uk</t>
  </si>
  <si>
    <t>0000-0003-1488-4516</t>
  </si>
  <si>
    <t>Gillian Parker (gillian.parker@york.ac.uk; ORCID ID: 0000-0002-2221-6748)</t>
  </si>
  <si>
    <t>1365-2524</t>
  </si>
  <si>
    <t>A chromosome-level &lt;i&gt;Amaranthus cruentus&lt;/i&gt; genome assembly highlights gene family evolution and biosynthetic gene clusters that may underpin the nutritional value of this traditional crop</t>
  </si>
  <si>
    <t>10.1111/tpj.15298</t>
  </si>
  <si>
    <t>The Plant Journal</t>
  </si>
  <si>
    <t>Katherine Denby</t>
  </si>
  <si>
    <t>katherine.denby@york.ac.uk</t>
  </si>
  <si>
    <t>0000-0002-7857-6814</t>
  </si>
  <si>
    <t>Fabian Vaistij (fabian.vaistij@york.ac.uk), Zeming Ning (zn1@sanger.ac.uk), Allen Van Deynze (avandeynze@ucdavis.edu; ORCID ID: 0000-0002-2093-0577), Sarah Harvey (sarahharvey488@gmail.com), Michael Bairu (bairum@arc.agric.za), Yves Van de Peer (yvpee@psb.vib-ugent.be), Sonja Venter (sventer@arc.agric.za), Yi Li (YI.LI@YORK.AC.UK), Willem Jansen van Rensburg (wjvrensburg@arc.agric.za), IAN A. GRAHAM (IAN.GRAHAM@YORK.AC.UK; ORCID ID: 0000-0003-4007-1770), Xiao Ma (xiama@psb.vib-ugent.be), Sydney Mavengahama (Sydney.Mavengahama@nwu.ac.za)</t>
  </si>
  <si>
    <t>1365-313X</t>
  </si>
  <si>
    <t>Transnational Networks and Radical Religion: Johannes Rothe and the Construction of Prophetic Charisma</t>
  </si>
  <si>
    <t>10.1111/rest.12744</t>
  </si>
  <si>
    <t>Renaissance Studies</t>
  </si>
  <si>
    <t>FREYA SIERHUIS</t>
  </si>
  <si>
    <t>freya.sierhuis@york.ac.uk</t>
  </si>
  <si>
    <t>1477-4658</t>
  </si>
  <si>
    <t>Understanding Gateway to Medicine Programmes</t>
  </si>
  <si>
    <t>10.1111/tct.13368</t>
  </si>
  <si>
    <t>The Clinical Teacher</t>
  </si>
  <si>
    <t>Angelique Nicole Dueñas</t>
  </si>
  <si>
    <t>hyad29@hyms.ac.uk</t>
  </si>
  <si>
    <t>0000-0003-0906-0934</t>
  </si>
  <si>
    <t>Paul Tiffin (paul.tiffin@york.ac.uk; ORCID ID: 0000-0003-1770-5034), GABRIELLE M. FINN (gabs_finn@hotmail.com; ORCID ID: 0000-0002-0419-694X)</t>
  </si>
  <si>
    <t>1743-498X</t>
  </si>
  <si>
    <t>Nothing About Us Without Us - Towards Genuine Inclusion of Disabled Scientists and Science Students Post Pandemic</t>
  </si>
  <si>
    <t>10.1002/chem.202100268</t>
  </si>
  <si>
    <t>0000-0002-7087-4382</t>
  </si>
  <si>
    <t>What are heritage values? Integrating natural and cultural heritage into environmental valuation</t>
  </si>
  <si>
    <t>10.1002/pan3.10386</t>
  </si>
  <si>
    <t>People and Nature</t>
  </si>
  <si>
    <t>Elaine Azzopardi</t>
  </si>
  <si>
    <t>elaine.azzopardi@york.ac.uk</t>
  </si>
  <si>
    <t>0000-0002-7233-5366</t>
  </si>
  <si>
    <t>Dimitra Mylona (dmylona@hotmail.com), Irène Béguier (irene.beguier@golfe-morbihan.bzh), Maria Pafi (mpafi01@qub.ac.uk), Jasper Kenter (jasper.kenter@york.ac.uk; ORCID ID: 0000-0002-3612-086X), Katia Frangoues (Katia.Frangoudes@univ-brest.fr), Seb O'Connor (seb.oconnor@sruc.ac.uk; ORCID ID: 0000-0001-6962-5322), E. KOUTRAKIS (MANOSK@INALE.GR), Wesley Flannery (w.flannery@qub.ac.uk), Arturo Rey da Silva (a.reydasilva@gmail.com), Lisa Sousa (LISA@UA.PT), Jacob Ainscough (jacob.ainscough@gmail.com), Chris Leakey (chris.leakey@nature.scot; ORCID ID: 0000-0001-7322-6690), Juliette Young (juliette.young@inrae.fr; ORCID ID: 0000-0002-8522-0883), Simone Martino (simone.martino@york.ac.uk), Cristina Pita (c.pita@ua.pt), Margarida Ferreira da Silva (a.silva@ua.pt)</t>
  </si>
  <si>
    <t>2575-8314</t>
  </si>
  <si>
    <t>Living with diabetes alongside a severe mental illness: A qualitative exploration with people with severe mental illness, family members and healthcare staff</t>
  </si>
  <si>
    <t>10.1111/dme.14562</t>
  </si>
  <si>
    <t>Diabetic Medicine</t>
  </si>
  <si>
    <t>Sue Bellass</t>
  </si>
  <si>
    <t>s.bellass@leeds.ac.uk</t>
  </si>
  <si>
    <t>JOHANNA TAYLOR (JO.TAYLOR@YORK.AC.UK), david shiers (DAVID.SHIERS@DOCTORS.ORG.UK; ORCID ID: 0000-0003-2531-5837), Catherine Hewitt (catherine.hewitt@york.ac.uk), Charlotte Kitchen (charlotte.kitchen@york.ac.uk; ORCID ID: 0000-0002-9323-0061), Jennie Lister (jp1023@york.ac.uk), Lyndsey Kramer (lyndsey.kramer@york.ac.uk; ORCID ID: 0000-0002-9633-1466), Lu Han (lu.han@lshtm.ac.uk), NAJMA SIDDIQI (NAJMA.SIDDIQI@YORK.AC.UK), STEPHANIE L PRADY (STEPHANIE.PRADY@YORK.AC.UK), R. I. G HOLT (R.I.G.HOLT@SOTON.AC.UK; ORCID ID: 0000-0001-8911-6744), Sarah Alderson (s.l.alderson@leeds.ac.uk; ORCID ID: 0000-0002-5418-0495), Simon Gilbody (SIMON.GILBODY@YORK.AC.UK), Rowena Jacobs (rowena.jacobs@york.ac.uk; ORCID ID: 0000-0001-5225-6321), Tim Doran (tim.doran@york.ac.uk)</t>
  </si>
  <si>
    <t>1464-5491</t>
  </si>
  <si>
    <t>The Implementation of Advanced Manufacturing Technologies using Set-Based Concurrent Engineering within a Small Medium-sized Enterprise</t>
  </si>
  <si>
    <t>No DOI</t>
  </si>
  <si>
    <t>IET Collaborative Intelligent Manufacturing</t>
  </si>
  <si>
    <t>Withdrawn from publication</t>
  </si>
  <si>
    <t>2516-8398</t>
  </si>
  <si>
    <t>‘Corps a corps’: Martyrs, Models, and Myths in Harriet Hosmer’s Beatrice Cenci</t>
  </si>
  <si>
    <t>10.1111/1467-8365.12589</t>
  </si>
  <si>
    <t>Art History</t>
  </si>
  <si>
    <t>Melissa Gustin</t>
  </si>
  <si>
    <t>mlg519@york.ac.uk</t>
  </si>
  <si>
    <t>0000-0003-0276-1703</t>
  </si>
  <si>
    <t>1467-8365</t>
  </si>
  <si>
    <t>What is it like to be colour-blind? A Case Study in Experimental Philosophy of Experience</t>
  </si>
  <si>
    <t>10.1111/mila.12370</t>
  </si>
  <si>
    <t>Mind &amp; Language</t>
  </si>
  <si>
    <t>Keith Allen</t>
  </si>
  <si>
    <t>keith.allen@york.ac.uk</t>
  </si>
  <si>
    <t>0000-0002-3219-2102</t>
  </si>
  <si>
    <t>James Andow (jamesandow@gmail.com; ORCID ID: 0000-0002-5760-0475), Eugen Fischer (E.Fischer@uea.ac.uk; ORCID ID: 0000-0003-2088-1610), Philip Quinlan (philip.quinlan@york.ac.uk)</t>
  </si>
  <si>
    <t>1468-0017</t>
  </si>
  <si>
    <t>The Importance of Vibrant Materialities in Transforming Affective Dissonance into Affective Solidarity: How the Countess Ablaze Organized the Tits Out Collective</t>
  </si>
  <si>
    <t>10.1111/gwao.12676</t>
  </si>
  <si>
    <t>Gender, Work &amp; Organization</t>
  </si>
  <si>
    <t>Lynne Baxter</t>
  </si>
  <si>
    <t>lynne.baxter@york.ac.uk</t>
  </si>
  <si>
    <t>0000-0003-1202-0204</t>
  </si>
  <si>
    <t>1468-0432</t>
  </si>
  <si>
    <t>Enhanced Delivery of Neuroactive Drugs via Nasal Delivery with a Self-Healing Supramolecular Gel</t>
  </si>
  <si>
    <t>10.1002/advs.202101058</t>
  </si>
  <si>
    <t>Advanced Science</t>
  </si>
  <si>
    <t>Julie Tzu-Wen Wang (julie.tzu-wen.wang@kcl.ac.uk), Ana C. Rodrigo (anacampo.rodrigo@gmail.com), Mazen M. S. Aly (mazen.aly@kcl.ac.uk), Khuloud Al-Jamal (KHULOUD.AL-JAMAL@KCL.AC.UK), Jia Sun (jia.sun@kcl.ac.uk), Kirsten Hawkins (kirsten.hawkins@ucl.ac.uk), Anna K. Patterson (akp512@york.ac.uk)</t>
  </si>
  <si>
    <t>2198-3844</t>
  </si>
  <si>
    <t>Investigating the exposure and impacts of chemical UV-filters in coral reef ecosystems: Review and research gap prioritisation</t>
  </si>
  <si>
    <t>10.1002/ieam.4411</t>
  </si>
  <si>
    <t>Integrated Environmental Assessment and Management</t>
  </si>
  <si>
    <t>J. Brett Sallach</t>
  </si>
  <si>
    <t>brett.sallach@york.ac.uk</t>
  </si>
  <si>
    <t>0000-0003-4588-3364</t>
  </si>
  <si>
    <t>Yasmine Watkins (watkinsyasmine@gmail.com)</t>
  </si>
  <si>
    <t>1551-3793</t>
  </si>
  <si>
    <t>What outcomes are relevant to families with a gastrostomy-fed child? Qualitative findings from the ‘Your Tube' study</t>
  </si>
  <si>
    <t>10.1111/dmcn.14868</t>
  </si>
  <si>
    <t>Developmental Medicine &amp; Child Neurology</t>
  </si>
  <si>
    <t>B. BERESFORD</t>
  </si>
  <si>
    <t>BAB3@YORK.AC.UK</t>
  </si>
  <si>
    <t>0000-0003-0716-2902</t>
  </si>
  <si>
    <t>Catherine Hewitt (catherine.hewitt@york.ac.uk), Janet Cade (J.E.CADE@LEEDS.AC.UK; ORCID ID: 0000-0003-3421-0121), JOHANNA TAYLOR (JO.TAYLOR@YORK.AC.UK), Jane Maddison (jane.maddison@york.ac.uk), Lorna Fraser (lorna.fraser@york.ac.uk; ORCID ID: 0000-0002-1360-4191), Mark O'Neill (mark.oneill@york.ac.uk), Karen Horridge (KAREN.HORRIDGE@MAC.COM; ORCID ID: 0000-0003-1834-5296), Alison McCarter (alison.mccarter@somersetft.nhs.uk)</t>
  </si>
  <si>
    <t>1469-8749</t>
  </si>
  <si>
    <t>Steric and Electronic Effects on the &lt;sup&gt;1&lt;/sup&gt;H Hyperpolarisation of Substituted Pyridazines by Signal Amplification by Reversible Exchange</t>
  </si>
  <si>
    <t>10.1002/mrc.5152</t>
  </si>
  <si>
    <t>Magnetic Resonance in Chemistry</t>
  </si>
  <si>
    <t>sbd3@york.ac.uk</t>
  </si>
  <si>
    <t>0000-0002-9788-6615</t>
  </si>
  <si>
    <t>Elizabeth Fear (elizabeth.fear@york.ac.uk; ORCID ID: 0000-0002-0578-900X), Peter Rayner (peter.rayner@york.ac.uk), Michael Bruns (mjb147@hotmail.co.uk)</t>
  </si>
  <si>
    <t>1097-458X</t>
  </si>
  <si>
    <t>Certified community forests positively impact human wellbeing and conservationeffectiveness and improve the performance of nearby national protected areas</t>
  </si>
  <si>
    <t>10.1111/conl.12831</t>
  </si>
  <si>
    <t>Conservation Letters</t>
  </si>
  <si>
    <t>Robin Loveridge</t>
  </si>
  <si>
    <t>robin.loveridge@gmail.com</t>
  </si>
  <si>
    <t>0000-0002-0691-9363</t>
  </si>
  <si>
    <t>Julia Latham (julialatham@gmail.com), Johan Oldekop (johan.oldekop@manchester.ac.uk), ANDREW R. MARSHALL (ANDY.MARSHALL@YORK.AC.UK), SUSANNAH SALLU (s.sallu@leeds.ac.uk), Philip Platts (PHILIP.PLATTS@YORK.AC.UK; ORCID ID: 0000-0002-0153-0121), Marion Pfeifer (marion.pfeifer@gmail.com), Daniel Augusto da Silva (daneflorestal@gmail.com; ORCID ID: 0000-0002-4454-7142), Mercy Mgaya (mercymgaya30@gmail.com)</t>
  </si>
  <si>
    <t>1755-263X</t>
  </si>
  <si>
    <t>Barter Markets, Indivisibilities, and Markovian Core</t>
  </si>
  <si>
    <t>10.1111/boer.12279</t>
  </si>
  <si>
    <t>Bulletin of Economic Research</t>
  </si>
  <si>
    <t>Zaifu Yang</t>
  </si>
  <si>
    <t>zaifu.yang@york.ac.uk</t>
  </si>
  <si>
    <t>0000-0002-3265-7109</t>
  </si>
  <si>
    <t>1467-8586</t>
  </si>
  <si>
    <t>The case of sales in the automotive industry during the COVID-19 pandemic</t>
  </si>
  <si>
    <t>10.1002/jsc.2395</t>
  </si>
  <si>
    <t>Strategic Change</t>
  </si>
  <si>
    <t>Fabian Hoeft</t>
  </si>
  <si>
    <t>fabian.hoeft@york.ac.uk</t>
  </si>
  <si>
    <t>1099-1697</t>
  </si>
  <si>
    <t>Supporting smoking cessation and preventing relapse following a stay in a smokefree setting: A meta-analysis and investigation of effective behaviour change techniques.</t>
  </si>
  <si>
    <t>10.1111/add.15452</t>
  </si>
  <si>
    <t>Emily Shoesmith</t>
  </si>
  <si>
    <t>0000-0002-2420-4919</t>
  </si>
  <si>
    <t>Lisa Huddlestone (lisa.huddlestone@york.ac.uk), Elena Ratschen (elena.ratschen@york.ac.uk), Lion Shahab (lion.shahab@ucl.ac.uk; ORCID ID: 0000-0003-4033-442X), Simon Gilbody (SIMON.GILBODY@YORK.AC.UK), Fabiana Lorencatto (f.lorencatto@ucl.ac.uk; ORCID ID: 0000-0003-4418-7957)</t>
  </si>
  <si>
    <t>Estimating person-to-person variability in VOC emissions from personal care products used during showering.</t>
  </si>
  <si>
    <t>10.1111/ina.12811</t>
  </si>
  <si>
    <t>amber.yeoman@hotmail.co.uk</t>
  </si>
  <si>
    <t>0000-0003-0442-564X</t>
  </si>
  <si>
    <t>Alastair Lewis (ally.lewis@ncas.ac.uk; ORCID ID: 0000-0002-4075-3651), Marvin Shaw (marvin.shaw@york.ac.uk)</t>
  </si>
  <si>
    <t>People's preferences for self-management support</t>
  </si>
  <si>
    <t>10.1111/1475-6773.13635</t>
  </si>
  <si>
    <t>Health Services Research</t>
  </si>
  <si>
    <t>Cynthia Iglesias</t>
  </si>
  <si>
    <t>cynthia.iglesias@york.ac.uk</t>
  </si>
  <si>
    <t>Yvonne Birks (yvonne.birks@york.ac.uk; ORCID ID: 0000-0002-4235-5307), PETER BOWER (PETER.BOWER@MANCHESTER.AC.UK), Seda Erdem (seda.erdem@stir.ac.uk), Andrea Manca (andrea.manca@york.ac.uk; ORCID ID: 0000-0001-8342-8421), Gerry Richardson (gerry.richardson@york.ac.uk), Bernard van den Berg (bernard.vandenberg73@gmail.com), Steph Taylor (S.J.C.TAYLOR@QMUL.AC.UK; ORCID ID: 0000-0001-7454-6354)</t>
  </si>
  <si>
    <t>1475-6773</t>
  </si>
  <si>
    <t>Partisanship and the Effectiveness of Personal Vote-Seeking</t>
  </si>
  <si>
    <t>10.1111/lsq.12335</t>
  </si>
  <si>
    <t>Legislative Studies Quarterly</t>
  </si>
  <si>
    <t>THOMAS G. FLEMING</t>
  </si>
  <si>
    <t>t.fleming@york.ac.uk</t>
  </si>
  <si>
    <t>0000-0002-6241-5100</t>
  </si>
  <si>
    <t>1939-9162</t>
  </si>
  <si>
    <t>Inclusive citizenship and degenderization: A comparison of state support in 22 European countries</t>
  </si>
  <si>
    <t>10.1111/spol.12716</t>
  </si>
  <si>
    <t>Social Policy &amp; Administration</t>
  </si>
  <si>
    <t>Naomi Finch</t>
  </si>
  <si>
    <t>naomi.finch@york.ac.uk</t>
  </si>
  <si>
    <t>0000-0001-5753-1783</t>
  </si>
  <si>
    <t>1467-9515</t>
  </si>
  <si>
    <t>Executive accountability and national security</t>
  </si>
  <si>
    <t>10.1111/1468-2230.12624</t>
  </si>
  <si>
    <t>The Modern Law Review</t>
  </si>
  <si>
    <t>LAWRENCE MCNAMARA</t>
  </si>
  <si>
    <t>lawrence.mcnamara@york.ac.uk</t>
  </si>
  <si>
    <t>LORNA WOODS, JUDITH TOWNEND</t>
  </si>
  <si>
    <t>1468-2230</t>
  </si>
  <si>
    <t>Cost-Effectiveness Analysis of Public Health Interventions with Impacts on Health and Criminal Justice: An Applied Cross-Sectoral Analysis of an Alcohol Misuse Intervention</t>
  </si>
  <si>
    <t>10.1002/hec.4229</t>
  </si>
  <si>
    <t>Francesco Ramponi</t>
  </si>
  <si>
    <t>francesco.ramponi@york.ac.uk</t>
  </si>
  <si>
    <t>0000-0002-6274-7623</t>
  </si>
  <si>
    <t>Susan Griffin (susan.griffin@york.ac.uk; ORCID ID: 0000-0003-2188-8400), Colin Drummond (colin.drummond@kcl.ac.uk), SIMON COULTON (S.COULTON@KENT.AC.UK), Steve Parrott (steve.parrott@york.ac.uk), Simon Walker (simon.walker@york.ac.uk; ORCID ID: 0000-0002-5750-3691), Paolo Deluca (Paolo.Deluca@kcl.ac.uk; ORCID ID: 0000-0002-9511-7230), Mona Kanaan (MONA.KANAAN@YORK.AC.UK), Gerry Richardson (gerry.richardson@york.ac.uk)</t>
  </si>
  <si>
    <t>In vitro Characterisation of SARS-CoV-2 and Susceptibility of Domestic Ferrets (Mustela putorius furo)</t>
  </si>
  <si>
    <t>10.1111/tbed.13978</t>
  </si>
  <si>
    <t>Transboundary and Emerging Diseases</t>
  </si>
  <si>
    <t>Seshadri Vasan</t>
  </si>
  <si>
    <t>vasan.vasan@csiro.au</t>
  </si>
  <si>
    <t>0000-0002-7326-3210</t>
  </si>
  <si>
    <t>Elizabeth Pharo (Elizabeth.Pharo@CSIRO.au), Willy SUEN (willy.suen@csiro.au; ORCID ID: 0000-0002-4544-6773), GLENN A MARSH (GLENN.MARSH@CSIRO.AU; ORCID ID: 0000-0002-3469-1837), Rachel Layton (Rachel.layton@csiro.au), Matthew Neave (Matthew.Neave@csiro.au), Jennifer Barr (JENNIFER.BARR@CSIRO.AU; ORCID ID: 0000-0001-5266-9142), Sandra Crameri (SANDRA.CRAMERI@CSIRO.AU), Trevor Drew (Trevor.Drew@csiro.au), Michelle Baker (michelle.baker@csiro.au), Vittoria Stevens (vicky.stevens@csiro.au), Brenton Rowe (Brenton.rowe@csiro.au), Timothy Poole (timothy.poole@csiro.au), Sarah Riddell (sarah.riddell@csiro.au), JEMMA BERGFELD (JEMMA.BERGFELD@CSIRO.AU), Elisha Soldani (elisha.soldani@csiro.au), Clare Holmes (clare.holmes@csiro.au), Peter Durr (PETER.DURR@CSIRO.AU; ORCID ID: 0000-0003-0851-5300), Suzanne Lowther (Sue.lowther@csiro.au), Alexander McAuley (alex.mcauley@csiro.au; ORCID ID: 0000-0002-7632-9633), Julian Druce (julian.druce@mh.org.au), Sinéad Williams (sinead.williams@csiro.au), Kathie Burkett (kathie.burkett@csiro.au), Mary Tachedjian (Mary.Tachedjian@csiro.au), Gough Au (Gough.au@csiro.au), Lee Trinidad (lee.trinidad@csiro.au), Matthew Bruce (matthew.bruce@csiro.au), Leonard Izzard (Leonard.izzard@csiro.au), Vinod Sundaramoorthy (Vinod.sundaramoorthy@csiro.au), Shawn Todd (Shawn.Todd@csiro.au)</t>
  </si>
  <si>
    <t>1865-1682</t>
  </si>
  <si>
    <t>Impact of bank regulation on risk of Islamic and Conventional banks</t>
  </si>
  <si>
    <t>10.1002/ijfe.2462</t>
  </si>
  <si>
    <t>International Journal of Finance &amp; Economics</t>
  </si>
  <si>
    <t>Hafiz Hoque</t>
  </si>
  <si>
    <t>hafiz.hoque@york.ac.uk</t>
  </si>
  <si>
    <t>0000-0002-4354-3895</t>
  </si>
  <si>
    <t>HENG LIU (jessica086education@gmail.com; ORCID ID: 0000-0003-1607-8067)</t>
  </si>
  <si>
    <t>1099-1158</t>
  </si>
  <si>
    <t>Coordination, Framing and Innovation: The Political Sophistication of Public Health Advocates in Ireland</t>
  </si>
  <si>
    <t>10.1111/add.15404</t>
  </si>
  <si>
    <t>Does Commuting Mode Choice Impact Health?</t>
  </si>
  <si>
    <t>10.1002/hec.4184</t>
  </si>
  <si>
    <t>Nigel Rice</t>
  </si>
  <si>
    <t>nigel.rice@york.ac.uk</t>
  </si>
  <si>
    <t>Luke Munford (luke.munford@manchester.ac.uk; ORCID ID: 0000-0003-4540-6744), JENNIFER ROBERTS (J.R.ROBERTS@SHEF.AC.UK), Nikita Jacob (nikita.jacob@york.ac.uk; ORCID ID: 0000-0001-5546-4521)</t>
  </si>
  <si>
    <t>Structure of a GH51 α-l-arabinofuranosidase from Meripilus giganteus: conserved substrate recognition from bacteria to fungi</t>
  </si>
  <si>
    <t>10.1107/S205979832001253X</t>
  </si>
  <si>
    <t>Investigating the relationship between social care supply and healthcare utilisation by older people in England</t>
  </si>
  <si>
    <t>10.1002/hec.4175</t>
  </si>
  <si>
    <t>ANNE MASON</t>
  </si>
  <si>
    <t>0000-0002-5823-3064</t>
  </si>
  <si>
    <t>Rowena Jacobs (rowena.jacobs@york.ac.uk; ORCID ID: 0000-0001-5225-6321), RAPHAEL WITTENBERG (R.WITTENBERG@LSE.AC.UK; ORCID ID: 0000-0003-3096-2721), Maria Lucia Pace (marialucia.pace@unicatt.it), Maria Goddard (maria.goddard@york.ac.uk; ORCID ID: 0000-0002-1517-7461), Dan Liu (dan.liu@york.ac.uk; ORCID ID: 0000-0002-1891-9352)</t>
  </si>
  <si>
    <t>Insights into the composition and structural chemistry of gallium(I) triflate</t>
  </si>
  <si>
    <t>10.1002/anie.202010837</t>
  </si>
  <si>
    <t>JOHN M. SLATTERY</t>
  </si>
  <si>
    <t>JOHN.SLATTERY@YORK.AC.UK</t>
  </si>
  <si>
    <t>0000-0001-6491-8302</t>
  </si>
  <si>
    <t>Adrian C Whitwood (adrian.whitwood@york.ac.uk), Matthew Stevens (mattphilste@googlemail.com), Bono van IJzendoorn (bvi500@york.ac.uk), Josef T Boronski (josef.boronski@manchester.ac.uk)</t>
  </si>
  <si>
    <t>A Prosopographical Study of Early Modern English Schoolmasters, c.1480-c.1650</t>
  </si>
  <si>
    <t>10.1111/rest.12710</t>
  </si>
  <si>
    <t>Emily Hansen</t>
  </si>
  <si>
    <t>emilylynnhansen@gmail.com</t>
  </si>
  <si>
    <t>0000-0001-6909-6715</t>
  </si>
  <si>
    <t>Effortful listening under the microscope: examining relations between pupillometric and subjective markers of effort and tiredness from listening</t>
  </si>
  <si>
    <t>10.1111/psyp.13703</t>
  </si>
  <si>
    <t>Psychophysiology</t>
  </si>
  <si>
    <t>Ronan McGarrigle</t>
  </si>
  <si>
    <t>ronanomcg@gmail.com</t>
  </si>
  <si>
    <t>0000-0003-1704-1135</t>
  </si>
  <si>
    <t>Lyndon Rakusen (lyndon.rakusen@york.ac.uk), Sven Mattys (sven.mattys@york.ac.uk; ORCID ID: 0000-0001-6542-585X)</t>
  </si>
  <si>
    <t>1469-8986</t>
  </si>
  <si>
    <t>Developing a Nicotiana benthamiana transgenic platform for high-value diterpene production and candidate gene evaluation.</t>
  </si>
  <si>
    <t>10.1111/pbi.13574</t>
  </si>
  <si>
    <t>Plant Biotechnology Journal</t>
  </si>
  <si>
    <t>IAN A. GRAHAM</t>
  </si>
  <si>
    <t>IAN.GRAHAM@YORK.AC.UK</t>
  </si>
  <si>
    <t>0000-0003-4007-1770</t>
  </si>
  <si>
    <t>Andrew King (aking@gwpharm.com), Tomasz Czechowski (tomasz.czechowski@york.ac.uk), Alison Gilday (alison.gilday@york.ac.uk), Amy Cording (cordingamy@gmail.com), Edith Forestier (edith.forestier@york.ac.uk), Geoffrey Brown (g.d.brown@reading.ac.uk)</t>
  </si>
  <si>
    <t>1467-7652</t>
  </si>
  <si>
    <t>Exploring the potential for ‘Gene Conservation Units’ to conserve genetic diversity in wild populations</t>
  </si>
  <si>
    <t>10.1002/2688-8319.12061</t>
  </si>
  <si>
    <t>Ecological Solutions and Evidence</t>
  </si>
  <si>
    <t>Melissa Minter</t>
  </si>
  <si>
    <t>mm1874@york.ac.uk</t>
  </si>
  <si>
    <t>0000-0003-1580-7176</t>
  </si>
  <si>
    <t>joan cottrell (joan.cottrell@forestresearch.gov.uk; ORCID ID: 0000-0001-6355-1326), JANE K. HILL (JANE.HILL@YORK.AC.UK; ORCID ID: 0000-0003-1871-7715), David O'Brien (david.obrien@nature.scot; ORCID ID: 0000-0001-7901-295X), Jeanette Hall (Jeanette.Hall@nature.scot), R. A. ENNOS (RENNOS@ED.AC.UK; ORCID ID: 0000-0001-5401-297X)</t>
  </si>
  <si>
    <t>2688-8319</t>
  </si>
  <si>
    <t>Speciﬁcationandtestingofhierarchicalordered response models with anchoring vignettes</t>
  </si>
  <si>
    <t>10.1111/rssa.12612</t>
  </si>
  <si>
    <t>Journal of the Royal Statistical Society: Series A (Statistics in Society)</t>
  </si>
  <si>
    <t>WILLIAM H GREENE, MARK N HARRIS, RACHEL KNOTT</t>
  </si>
  <si>
    <t>1467-985X</t>
  </si>
  <si>
    <t>0964-1998</t>
  </si>
  <si>
    <t>Iris: interactive all-in-one graphical validation of 3D protein model iterations</t>
  </si>
  <si>
    <t>10.1002/pro.3955</t>
  </si>
  <si>
    <t>Protein Science</t>
  </si>
  <si>
    <t>Jon Agirre</t>
  </si>
  <si>
    <t>jon.agirre@york.ac.uk</t>
  </si>
  <si>
    <t>0000-0002-1086-0253</t>
  </si>
  <si>
    <t>Will Rochira (wjr510@york.ac.uk)</t>
  </si>
  <si>
    <t>1469-896X</t>
  </si>
  <si>
    <t>The Scandal of M. Alphonse Legros</t>
  </si>
  <si>
    <t>10.1111/1467-8365.12545</t>
  </si>
  <si>
    <t>ELIZABETH PRETTEJOHN</t>
  </si>
  <si>
    <t>liz.prettejohn@york.ac.uk</t>
  </si>
  <si>
    <t>“Like a rug had been pulled from under you”: The impact of COVID-19 on teachers in England during the first six weeks of the UK lockdown</t>
  </si>
  <si>
    <t>10.1111/bjep.12381</t>
  </si>
  <si>
    <t>Kathryn Asbury (kathryn.asbury@york.ac.uk)</t>
  </si>
  <si>
    <t>Photochemical Methods for Peptide Macrocylization</t>
  </si>
  <si>
    <t>10.1002/chem.202003779</t>
  </si>
  <si>
    <t>Christopher Spicer</t>
  </si>
  <si>
    <t>chris.spicer@york.ac.uk</t>
  </si>
  <si>
    <t>0000-0001-8787-578X</t>
  </si>
  <si>
    <t>Nicholas C Rose (ncr512@york.ac.uk), James R Donald (james.donald@york.ac.uk), Laetitia Raynal (lr1078@york.ac.uk)</t>
  </si>
  <si>
    <t>The impact of extended shifts on strain based work-life conflict: a qualitative analysis of the role of context on temporal processes of retroactive and anticipatory spillover</t>
  </si>
  <si>
    <t>10.1111/1748-8583.12321</t>
  </si>
  <si>
    <t>Human Resource Management Journal</t>
  </si>
  <si>
    <t>Jane Suter</t>
  </si>
  <si>
    <t>jane.suter@york.ac.uk</t>
  </si>
  <si>
    <t>0000-0002-3862-0147</t>
  </si>
  <si>
    <t>Tina Kowalski (tina.kowalski@york.ac.uk)</t>
  </si>
  <si>
    <t>1748-8583</t>
  </si>
  <si>
    <t>Fixing a Swamp of Cobras: The Clash between Capital and Water in Shaping Urban Vulnerabilities</t>
  </si>
  <si>
    <t>10.1111/anti.12682</t>
  </si>
  <si>
    <t>Antipode</t>
  </si>
  <si>
    <t>Richard Friend</t>
  </si>
  <si>
    <t>richard.friend@york.ac.uk</t>
  </si>
  <si>
    <t>0000-0001-5861-1523</t>
  </si>
  <si>
    <t>Khanin Hutanuwatr (khutanuw@gmail.com)</t>
  </si>
  <si>
    <t>1467-8330</t>
  </si>
  <si>
    <t>Benign Prostatic Hyperplasia- what do we know?</t>
  </si>
  <si>
    <t>10.1111/bju.15229</t>
  </si>
  <si>
    <t>BJU International</t>
  </si>
  <si>
    <t>Conor Michael Devlin</t>
  </si>
  <si>
    <t>conor.devlin134@doctors.org.uk</t>
  </si>
  <si>
    <t>0000-0002-2031-5750</t>
  </si>
  <si>
    <t>Matthew Simms (matthew.simms@hey.nhs.uk), Norman Maitland (N.J.MAITLAND@YORK.AC.UK; ORCID ID: 0000-0003-1607-9035)</t>
  </si>
  <si>
    <t>1464-410X</t>
  </si>
  <si>
    <t>Developments in mannose-based treatments for Uropathogenic Escherichia coli induced urinary tract infections</t>
  </si>
  <si>
    <t>10.1002/cbic.202000406</t>
  </si>
  <si>
    <t>ChemBioChem</t>
  </si>
  <si>
    <t>Martin  A Fascione</t>
  </si>
  <si>
    <t>martin.fascione@york.ac.uk</t>
  </si>
  <si>
    <t>0000-0002-0066-4419</t>
  </si>
  <si>
    <t>Christoph G. Baumann (christoph.baumann@york.ac.uk; ORCID ID: 0000-0002-8818-972X), Natasha E Hatton (neh517@york.ac.uk)</t>
  </si>
  <si>
    <t>1439-7633</t>
  </si>
  <si>
    <t>Structural barriers to scientific progress</t>
  </si>
  <si>
    <t>10.1107/S2059798320011201</t>
  </si>
  <si>
    <t>Knowledge about the role of anal sex in HIV transmission among Nigerian HIV Positive Men who have sex with Men: a qualitative study</t>
  </si>
  <si>
    <t>Health Expectations</t>
  </si>
  <si>
    <t>Rejected for publication</t>
  </si>
  <si>
    <t>1369-7625</t>
  </si>
  <si>
    <t>morphomap: an R package for long bone landmarking, cortical thickness and cross-sectional geometry mapping</t>
  </si>
  <si>
    <t>10.1002/ajpa.24140</t>
  </si>
  <si>
    <t>ANTONIO.PROFICO@UNIROMA1.IT</t>
  </si>
  <si>
    <t>0000-0003-2884-7118</t>
  </si>
  <si>
    <t>DAMIANO MARCHI (DAMIANO.MARCHI@UNIPI.IT; ORCID ID: 0000-0002-6331-8783), luca bondioli (lucabond@gmail.com), Paul O'Higgins (paul.ohiggins@york.ac.uk), PASQUALE RAIA (PASQUALE.RAIA@UNINA.IT; ORCID ID: 0000-0002-4593-8006)</t>
  </si>
  <si>
    <t>St Thomas Becket and Medieval London</t>
  </si>
  <si>
    <t>10.1111/1468-229X.13030</t>
  </si>
  <si>
    <t>History</t>
  </si>
  <si>
    <t>John Jenkins</t>
  </si>
  <si>
    <t>john.jenkins@york.ac.uk</t>
  </si>
  <si>
    <t>0000-0003-3264-9130</t>
  </si>
  <si>
    <t>1468-229X</t>
  </si>
  <si>
    <t>Molecular fossils as a tool for tracking Holocene sea-level change in the Loch of Stenness, Orkney</t>
  </si>
  <si>
    <t>10.1002/jqs.3238</t>
  </si>
  <si>
    <t>Journal of Quaternary Science</t>
  </si>
  <si>
    <t>Brendan Keely</t>
  </si>
  <si>
    <t>brendan.keely@york.ac.uk</t>
  </si>
  <si>
    <t>Martin Bates (m.bates@uwtsd.ac.uk), Kirsty Penkman (KIRSTY.PENKMAN@YORK.AC.UK; ORCID ID: 0000-0002-6226-9799), Richard Preece (rcp1001@cam.ac.uk), Martina Conti (martina.lgconti@gmail.com; ORCID ID: 0000-0003-1343-1291)</t>
  </si>
  <si>
    <t>1099-1417</t>
  </si>
  <si>
    <t>Pairwise running of automated crystallographic model-building pipelines</t>
  </si>
  <si>
    <t>10.1107/S2059798320010542</t>
  </si>
  <si>
    <t>Emad Alharbi</t>
  </si>
  <si>
    <t>emad.alharbi@york.ac.uk</t>
  </si>
  <si>
    <t>0000-0001-8476-4865</t>
  </si>
  <si>
    <t>Patient choice in the delivery of the NHS Improving Access to Psychological Therapies (IAPT) services</t>
  </si>
  <si>
    <t>10.1111/1467-9566.13182</t>
  </si>
  <si>
    <t>Sociology of Health &amp; Illness</t>
  </si>
  <si>
    <t>Annie Irvine</t>
  </si>
  <si>
    <t>annie.irvine@kcl.ac.uk</t>
  </si>
  <si>
    <t>0000-0002-6082-5675</t>
  </si>
  <si>
    <t>Paul Drew (paul.drew@york.ac.uk), Janice Connell (j.connell@sheffield.ac.uk), Chris Armitage (chris.armitage@manchester.ac.uk; ORCID ID: 0000-0003-2365-1765), CINTIA LIDIA FAIJA (CINTIA.FAIJA@MANCHESTER.AC.UK; ORCID ID: 0000-0002-6497-9196), Penny Bee (penny.e.bee@manchester.ac.uk), PETER BOWER (PETER.BOWER@MANCHESTER.AC.UK), Helen Brooks (helen.brooks@liverpool.ac.uk; ORCID ID: 0000-0002-2157-0200), Judith Gellatly (judith.l.gellatly@manchester.ac.uk), Charlotte Welsh (charlotte.welsh@manchester.ac.uk), Michael Barkham (m.barkham@sheffield.ac.uk; ORCID ID: 0000-0003-1687-6376), Kerry Arden (k.ardern@sheffield.ac.uk), Kelly Rushton (Kelly.Rushton@manchester.ac.uk)</t>
  </si>
  <si>
    <t>1467-9566</t>
  </si>
  <si>
    <t>Morphological and functional variation between isolated populations of British red squirrels (Sciurus vulgaris)</t>
  </si>
  <si>
    <t>10.1111/jzo.12829</t>
  </si>
  <si>
    <t>Journal of Zoology</t>
  </si>
  <si>
    <t>Philip Cox</t>
  </si>
  <si>
    <t>philip.cox@hyms.ac.uk</t>
  </si>
  <si>
    <t>0000-0001-9782-2358</t>
  </si>
  <si>
    <t>Jesse Hennekam (jjh556@york.ac.uk), Philip Morris (philipmorris@mail.usf.edu; ORCID ID: 0000-0001-5007-4268), Andrew Kitchener (akitchener@btinternet.com)</t>
  </si>
  <si>
    <t>1469-7998</t>
  </si>
  <si>
    <t>Effect modelling quantifies the difference between the toxicity of average pesticide concentrations and time-variable exposures from water quality monitoring</t>
  </si>
  <si>
    <t>10.1002/etc.4838</t>
  </si>
  <si>
    <t>Environmental Toxicology and Chemistry</t>
  </si>
  <si>
    <t>Roman Ashauer</t>
  </si>
  <si>
    <t>roman.ashauer@syngenta.com</t>
  </si>
  <si>
    <t>Marion Junghans (marion.junghans@oekotoxzentrum.ch), Roland Kuhl (roland.kuhl@ibacon.com), Elke Zimmer (elke.zimmer@ibacon.com)</t>
  </si>
  <si>
    <t>1552-8618</t>
  </si>
  <si>
    <t>Translation and Preliminary Validation of a Korean Version of the Parental Reflective Functioning Questionnaire</t>
  </si>
  <si>
    <t>10.1002/imhj.21883</t>
  </si>
  <si>
    <t>Infant Mental Health Journal</t>
  </si>
  <si>
    <t>Yujin Lee</t>
  </si>
  <si>
    <t>yl2944@york.ac.uk</t>
  </si>
  <si>
    <t>0000-0001-7019-9498</t>
  </si>
  <si>
    <t>Fionnuala Larkin (fionnuala.larkin@york.ac.uk), Elizabeth Meins (elizabeth.meins@york.ac.uk)</t>
  </si>
  <si>
    <t>1097-0355</t>
  </si>
  <si>
    <t>The impact of Inflammatory Bowel Disease on sexual health in men: A scoping review</t>
  </si>
  <si>
    <t>10.1111/jocn.15418</t>
  </si>
  <si>
    <t>Journal of Clinical Nursing</t>
  </si>
  <si>
    <t>Sara Ma</t>
  </si>
  <si>
    <t>srm537@york.ac.uk</t>
  </si>
  <si>
    <t>0000-0001-8876-9700</t>
  </si>
  <si>
    <t>Martin Veysey (martin.veysey@hyms.ac.uk; ORCID ID: 0000-0002-8652-0036), PAUL M GALDAS (PAUL.GALDAS@YORK.AC.UK; ORCID ID: 0000-0002-3185-205X), Professor Ersser (steven.ersser@york.ac.uk; ORCID ID: 0000-0001-6995-6121)</t>
  </si>
  <si>
    <t>1365-2702</t>
  </si>
  <si>
    <t>Anatomical Variations of the Circle of Willis and their Prevalence, with a focus on the Posterior Communicating Artery: A Literature Review and Meta-Analysis</t>
  </si>
  <si>
    <t>10.1002/ca.23662</t>
  </si>
  <si>
    <t>Clinical Anatomy</t>
  </si>
  <si>
    <t>Katherine Sanders</t>
  </si>
  <si>
    <t>katherine.sanders@hyms.ac.uk</t>
  </si>
  <si>
    <t>0000-0003-0838-0936</t>
  </si>
  <si>
    <t>Peter Bazira (peter.bazira@hyms.ac.uk; ORCID ID: 0000-0002-8105-5438), Joshua Jones (joshua.jones@doctors.org.uk; ORCID ID: 0000-0003-1076-738X), Pedro Castanho (pedro.castanho@nhs.net)</t>
  </si>
  <si>
    <t>1098-2353</t>
  </si>
  <si>
    <t>Predicting protein model correctness in Coot using machine learning</t>
  </si>
  <si>
    <t>10.1107/S2059798320009080</t>
  </si>
  <si>
    <t>Paul Bond</t>
  </si>
  <si>
    <t>paul.bond@york.ac.uk</t>
  </si>
  <si>
    <t>Innovations in Practice: A randomised controlled feasibility trial of Behavioural Activation as a treatment for young people with depression</t>
  </si>
  <si>
    <t>10.1111/camh.12415</t>
  </si>
  <si>
    <t>Child and Adolescent Mental Health</t>
  </si>
  <si>
    <t>Charlotte Kitchen</t>
  </si>
  <si>
    <t>charlotte.kitchen@york.ac.uk</t>
  </si>
  <si>
    <t>0000-0002-9323-0061</t>
  </si>
  <si>
    <t>Paul Tiffin (paul.tiffin@york.ac.uk; ORCID ID: 0000-0003-1770-5034), David Ekers (david.ekers@nhs.net), Lina Gega (lina.gega@york.ac.uk), SUSAN LEWIS (SUE.LEWIS@DURHAM.AC.UK)</t>
  </si>
  <si>
    <t>1475-3588</t>
  </si>
  <si>
    <t>Work-hardening photopolymer from renewable photoactive 3,3'-(2,5-furandiyl)bisacrylic acid.</t>
  </si>
  <si>
    <t>10.1002/cssc.202000842</t>
  </si>
  <si>
    <t>ChemSusChem</t>
  </si>
  <si>
    <t>Thomas Farmer</t>
  </si>
  <si>
    <t>thomas.farmer@york.ac.uk</t>
  </si>
  <si>
    <t>0000-0002-1039-7684</t>
  </si>
  <si>
    <t>Diego Sampedro (diego.sampedro@unirioja.es; ORCID ID: 0000-0003-2772-6453), Alessandro Pellis (alessandro.pellis@boku.ac.at), Ignacio Funes-Ardoiz (ignacio.funesa@unirioja.es; ORCID ID: 0000-0002-5843-9660), DUNCAN JAMES MACQUARRIE (DUNCAN.MACQUARRIE@YORK.AC.UK), Yann Lie (yl2864@york.ac.uk; ORCID ID: 0000-0002-4899-7423)</t>
  </si>
  <si>
    <t>1864-564X</t>
  </si>
  <si>
    <t>Recent Advances in the Catalytic Depolymerization of Lignin towards Phenolic Chemicals: A Review</t>
  </si>
  <si>
    <t>10.1002/cssc.202001213</t>
  </si>
  <si>
    <t>Florent P. Bouxin</t>
  </si>
  <si>
    <t>florent.bouxin@york.ac.uk</t>
  </si>
  <si>
    <t>0000-0001-8629-9872</t>
  </si>
  <si>
    <t>VITALIY BUDARIN (VITALIY.BUDARIN@YORK.AC.UK; ORCID ID: 0000-0001-5571-8536), Changwei Hu (CHANGWEIHU@SCU.EDU.CN; ORCID ID: 0000-0002-4094-6605), Xudong Liu (xl2615@york.ac.uk), Jiajun Fan (alice.fan@york.ac.uk), James H. Clark (JAMES.CLARK@YORK.AC.UK)</t>
  </si>
  <si>
    <t>The representation of future generations in newspaper coverage of climate change: a study of the UK press</t>
  </si>
  <si>
    <t>10.1111/chso.12411</t>
  </si>
  <si>
    <t>Children &amp; Society</t>
  </si>
  <si>
    <t>Hilary Graham</t>
  </si>
  <si>
    <t>HMG501@YORK.AC.UK</t>
  </si>
  <si>
    <t>0000-0001-7949-6819</t>
  </si>
  <si>
    <t>Siân de Bell (s.c.de-bell@exeter.ac.uk; ORCID ID: 0000-0001-7356-3849)</t>
  </si>
  <si>
    <t>1099-0860</t>
  </si>
  <si>
    <t>Brexit and the 2019 EP election in the UK</t>
  </si>
  <si>
    <t>10.1111/jcms.13078</t>
  </si>
  <si>
    <t>JCMS: Journal of Common Market Studies</t>
  </si>
  <si>
    <t>Sofia Vasilopoulou</t>
  </si>
  <si>
    <t>SOFIA.VASILOPOULOU@YORK.AC.UK</t>
  </si>
  <si>
    <t>0000-0002-0943-4433</t>
  </si>
  <si>
    <t>1468-5965</t>
  </si>
  <si>
    <t>High-frequency trading order cancelations and market quality: Is stricter regulation the answer?</t>
  </si>
  <si>
    <t>10.1002/ijfe.2071</t>
  </si>
  <si>
    <t>VIKTOR.MANAHOV@YORK.AC.UK</t>
  </si>
  <si>
    <t>0000-0002-6092-1843</t>
  </si>
  <si>
    <t>Bayesian econometric modelling of observational data for cost-effectiveness analysis Establishing the value of Negative Pressure Wound Therapy in the healing of open surgical wounds</t>
  </si>
  <si>
    <t>10.1111/rssa.12596</t>
  </si>
  <si>
    <t>Pedro Rafael Saramago Goncalves</t>
  </si>
  <si>
    <t>pedro.saramago@york.ac.uk</t>
  </si>
  <si>
    <t>0000-0001-9063-8590</t>
  </si>
  <si>
    <t>Nicky Welton (NICKY.WELTON@BRISTOL.AC.UK; ORCID ID: 0000-0003-2198-3205), MARTA O SOARES (MARTA.SOARES@YORK.AC.UK), Karl Claxton (karl.claxton@york.ac.uk; ORCID ID: 0000-0003-2002-4694)</t>
  </si>
  <si>
    <t>Response to: Medical students’ preference for returning to the clinical setting during the COVID‐19 pandemic.</t>
  </si>
  <si>
    <t>10.1111/medu.14283</t>
  </si>
  <si>
    <t>Medical Education</t>
  </si>
  <si>
    <t>Rohin Reddy</t>
  </si>
  <si>
    <t>hyrr13@hyms.ac.uk</t>
  </si>
  <si>
    <t>0000-0002-4726-157X</t>
  </si>
  <si>
    <t>Emilia Palmer (hyep5@hyms.ac.uk; ORCID ID: 0000-0002-6843-533X)</t>
  </si>
  <si>
    <t>1365-2923</t>
  </si>
  <si>
    <t>Clay-based modeling in the anatomist’s toolkit: A systematic review</t>
  </si>
  <si>
    <t>10.1002/ase.1996</t>
  </si>
  <si>
    <t>Anatomical Sciences Education</t>
  </si>
  <si>
    <t>Keegan Curlewis (k.curlewis1@uni.bsms.ac.uk; ORCID ID: 0000-0002-2285-3798), Peter Bazira (peter.bazira@hyms.ac.uk; ORCID ID: 0000-0002-8105-5438), Brook Leung (brookleung97@gmail.com; ORCID ID: 0000-0002-5297-8014), MANESHA PERERA (hymp13@hyms.ac.uk)</t>
  </si>
  <si>
    <t>1935-9780</t>
  </si>
  <si>
    <t>Validation of an Associative Transcriptomics platform in the polyploid crop species Brassica juncea by dissection of the genetic architecture of agronomic and quality traits</t>
  </si>
  <si>
    <t>10.1111/tpj.14876</t>
  </si>
  <si>
    <t>Andrea Harper</t>
  </si>
  <si>
    <t>andrea.harper@york.ac.uk</t>
  </si>
  <si>
    <t>0000-0003-3859-1152</t>
  </si>
  <si>
    <t>LENKA HAVLICKOVA (lenka.havlickova@york.ac.uk), Alison Fellgett (af719@york.ac.uk), Akshay Kumar Pradhan (pradhancgmcp@gmail.com), Swen Langer (swen.langer@york.ac.uk), Vibha Gupta (vibha.mustard@gmail.com), Lihong Wang (sophia.cheng@york.ac.uk), Ian Bancroft (ian.bancroft@york.ac.uk; ORCID ID: 0000-0001-7707-1171), Zhesi He (Zhesi.he@york.ac.uk)</t>
  </si>
  <si>
    <t>Calculating effect sizes in animal social network analysis</t>
  </si>
  <si>
    <t>10.1111/2041-210X.13429</t>
  </si>
  <si>
    <t>Methods in Ecology and Evolution</t>
  </si>
  <si>
    <t>Daniel Franks</t>
  </si>
  <si>
    <t>daniel.franks@york.ac.uk</t>
  </si>
  <si>
    <t>0000-0002-4832-7470</t>
  </si>
  <si>
    <t>Darren Croft (D.P.CROFT@EXETER.AC.UK; ORCID ID: 0000-0001-6869-5097), Michael Weiss (mw607@exeter.ac.uk; ORCID ID: 0000-0002-7422-0538), Robert Perryman (rob.perryman@marinemegafauna.org), Matthew Silk (m.j.silk@exeter.ac.uk)</t>
  </si>
  <si>
    <t>2041-210X</t>
  </si>
  <si>
    <t>Does private education make nicer people? The influence of school type on social-emotional development</t>
  </si>
  <si>
    <t>10.1111/bjop.12462</t>
  </si>
  <si>
    <t>British Journal of Psychology</t>
  </si>
  <si>
    <t>Sophie von Stumm</t>
  </si>
  <si>
    <t>sophie.vonstumm@york.ac.uk</t>
  </si>
  <si>
    <t>Robert Plomin (robert.plomin@kcl.ac.uk; ORCID ID: 0000-0002-0756-3629)</t>
  </si>
  <si>
    <t>2044-8295</t>
  </si>
  <si>
    <t>A baculoviral system for the production of human β-glucocerebrosidase enables atomic resolution analysis</t>
  </si>
  <si>
    <t>10.1107/S205979832000501X</t>
  </si>
  <si>
    <t>Gideon J. Davies</t>
  </si>
  <si>
    <t>GIDEON.DAVIES@YORK.AC.UK</t>
  </si>
  <si>
    <t>Treatment for comorbid depressive disorder or subthreshold depression in diabetes mellitus: systematic review and meta-analysis</t>
  </si>
  <si>
    <t>10.1002/brb3.1981</t>
  </si>
  <si>
    <t>Brain and Behavior</t>
  </si>
  <si>
    <t>Christina Van der Feltz-Cornelis</t>
  </si>
  <si>
    <t>christina.vanderfeltz-cornelis@york.ac.uk</t>
  </si>
  <si>
    <t>0000-0001-6925-8956</t>
  </si>
  <si>
    <t>Sarah Allen (s.allen@tees.ac.uk; ORCID ID: 0000-0003-0274-4137), N. SARTORIUS (SARTORIUS@NORMANSARTORIUS.COM; ORCID ID: 0000-0001-8708-6289), RICHARD I.G. HOLT (RIGH@SOTON.AC.UK), ARIE NOUWEN (A.NOUWEN@MDX.AC.UK; ORCID ID: 0000-0002-0609-4082), Richard Roberts (richard.roberts@wisc.edu)</t>
  </si>
  <si>
    <t>2162-3279</t>
  </si>
  <si>
    <t>Design and Synthesis of 56 Shape Diverse 3-D Fragments</t>
  </si>
  <si>
    <t>10.1002/chem.202001123</t>
  </si>
  <si>
    <t>Peter O'Brien</t>
  </si>
  <si>
    <t>PETER.OBRIEN@YORK.AC.UK</t>
  </si>
  <si>
    <t>0000-0002-9966-1962</t>
  </si>
  <si>
    <t>James D. Firth (james.firth@york.ac.uk), Alison J.-A. Woolford (Alison.Woolford@astx.com), Claudia De Fusco (claudia.defusco@astrazeneca.com), Paul Bond (paul.bond@york.ac.uk), Stephen D. Roughley (S.Roughley@vernalis.com), Thomas D. Downes (tdd510@york.ac.uk), Laura Waddelove (laura.waddelove@outlook.com), Maria Ann Whatton (whatton_maria_ann@lilly.com), Ngai S. Chan (ike1hk@gmail.com), Lewis R. Vidler (vidler_lewis@lilly.com), Gail L. Wrigley (Gail.Wrigley@astrazeneca.com), Hanna F. Klein (hanna.klein@york.ac.uk), David C. Blakemore (David.Blakemore@pfizer.com), Masakazu Atobe (atobe.mb@om.asahi-kasei.co.jp), Mary C. Wheldon (maryc.wheldon@gmail.com), Roderick E. Hubbard (roderick.hubbard@york.ac.uk), S. Paul Jones (spj504@york.ac.uk)</t>
  </si>
  <si>
    <t>Breadth versus depth: Cumulative risk model and continuous measure prediction of poor language and reading outcomes at 12.</t>
  </si>
  <si>
    <t>10.1111/desc.12998</t>
  </si>
  <si>
    <t>Developmental Science</t>
  </si>
  <si>
    <t>Marianna Hayiou-Thomas</t>
  </si>
  <si>
    <t>EMMA.HAYIOU-THOMAS@YORK.AC.UK</t>
  </si>
  <si>
    <t>0000-0003-1163-2671</t>
  </si>
  <si>
    <t>PHILIP S. DALE (DALEP@UNM.EDU), Emily Smith-Woolley (emily.smith-woolley@kcl.ac.uk)</t>
  </si>
  <si>
    <t>1467-7687</t>
  </si>
  <si>
    <t>State Stigmatisation in Urban Turkey: Managing the “Insurgent” Squatter Dwellers in Dikmen Valley</t>
  </si>
  <si>
    <t>10.1111/anti.12651</t>
  </si>
  <si>
    <t>Öznur Yardımcı</t>
  </si>
  <si>
    <t>oznur.yardimci@york.ac.uk</t>
  </si>
  <si>
    <t>0000-0002-2398-9857</t>
  </si>
  <si>
    <t>Current approaches for automated model building into cryo-EM maps using Buccaneer with CCP-EM</t>
  </si>
  <si>
    <t>10.1107/S2059798320005513</t>
  </si>
  <si>
    <t>Soon Wen Hoh</t>
  </si>
  <si>
    <t>soonwen.hoh@york.ac.uk</t>
  </si>
  <si>
    <t>0000-0003-1039-8000</t>
  </si>
  <si>
    <t>Crystal structures of the GH18 domain of the bifunctional peroxiredoxin–chitinase CotE from Clostridium difficile</t>
  </si>
  <si>
    <t>10.1107/S2053230X20006147</t>
  </si>
  <si>
    <t>Acta crystallographica Section F Structural Biology Communications</t>
  </si>
  <si>
    <t>ANTHONY J WILKINSON</t>
  </si>
  <si>
    <t>TONY.WILKINSON@YORK.AC.UK</t>
  </si>
  <si>
    <t>2053-230X</t>
  </si>
  <si>
    <t>Supporting pandemic response using genomics and bioinformatics: a case study on the emergent SARS-CoV-2 outbreak</t>
  </si>
  <si>
    <t>10.1111/tbed.13588</t>
  </si>
  <si>
    <t>Denis Bauer (denis.bauer@csiro.au; ORCID ID: 0000-0001-8033-9810), Daniel Reti (Daniel.Reti@CSIRO.au), Cameron Hosking (Cameron.Hosking@CSIRO.au), Elizabeth Pharo (Elizabeth.Pharo@CSIRO.au), Laurence Wilson (Laurence.Wilson@CSIRO.au), Shawn Todd (Shawn.Todd@csiro.au), Vittoria Stevens (vicky.stevens@csiro.au), Matthew Neave (Matthew.Neave@csiro.au), Mary Tachedjian (Mary.Tachedjian@csiro.au), Aidan Tay (Aidan.Tay@CSIRO.au), Alexander McAuley (alex.mcauley@csiro.au; ORCID ID: 0000-0002-7632-9633), Trevor Drew (Trevor.Drew@csiro.au)</t>
  </si>
  <si>
    <t>Evaluating the viability of successive ring expansion reactions based on amino acid and hydroxyacid side chain insertion</t>
  </si>
  <si>
    <t>10.1002/chem.202002164</t>
  </si>
  <si>
    <t>William  Paul Unsworth</t>
  </si>
  <si>
    <t>william.unsworth@york.ac.uk</t>
  </si>
  <si>
    <t>0000-0002-9169-5156</t>
  </si>
  <si>
    <t>Katie J. Lamb (katie.lamb@york.ac.uk), Jason M. Lynam (JASON.LYNAM@YORK.AC.UK), Emilie Marotte (emarotte.emilie@gmail.com), Mahendar Lodi (mahendarlodi@gmail.com), Jade K. Sangha (jade_sangha@yahoo.co.uk), Kleopas Y. Palate (kp711@york.ac.uk), Thomas C. Stephens (t.c.stephens21@gmail.com), Ryan G. Epton (rge500@york.ac.uk), Aggie Lawer (aggielawer@gmail.com)</t>
  </si>
  <si>
    <t>Quantifying morphological adaptations using direct measurements: the carnivoran appendicular skeleton as a case study</t>
  </si>
  <si>
    <t>10.1002/ar.24453</t>
  </si>
  <si>
    <t>The Anatomical Record</t>
  </si>
  <si>
    <t>Eloy Gálvez-López</t>
  </si>
  <si>
    <t>eloy.galvezlopez@york.ac.uk</t>
  </si>
  <si>
    <t>0000-0002-6211-966X</t>
  </si>
  <si>
    <t>1932-8494</t>
  </si>
  <si>
    <t>A ‘Hitchhiker's Guide' to Caring for an Older Person Before and During Coronavirus-19.</t>
  </si>
  <si>
    <t>10.1111/gwao.12470</t>
  </si>
  <si>
    <t>Changepoint analysis of historical battle deaths</t>
  </si>
  <si>
    <t>10.1111/rssa.12578</t>
  </si>
  <si>
    <t>Brennen Fagan</t>
  </si>
  <si>
    <t>btf500@york.ac.uk</t>
  </si>
  <si>
    <t>0000-0002-8451-920X</t>
  </si>
  <si>
    <t>MARINA I KNIGHT, A. JAMIE WOOD, NIALL J MACKAY</t>
  </si>
  <si>
    <t>School quality ratings are weak predictors of students’ achievement and wellbeing</t>
  </si>
  <si>
    <t>10.1111/jcpp.13276</t>
  </si>
  <si>
    <t>Journal of Child Psychology and Psychiatry</t>
  </si>
  <si>
    <t>Yulia Kovas (y.kovas@gold.ac.uk; ORCID ID: 0000-0001-9633-6374), Emily Smith-Woolley (emily.smith-woolley@kcl.ac.uk), Rosa Cheesman (rosa.cheesman@kcl.ac.uk; ORCID ID: 0000-0002-6543-0402), Kathryn Asbury (kathryn.asbury@york.ac.uk), PHILIP S. DALE (DALEP@UNM.EDU), Rebecca Allen (becky@teachertapp.co.uk; ORCID ID: 0000-0002-1093-665X), Robert Plomin (robert.plomin@kcl.ac.uk; ORCID ID: 0000-0002-0756-3629), Jean-Baptiste Pingault (j.pingault@ucl.ac.uk)</t>
  </si>
  <si>
    <t>1469-7610</t>
  </si>
  <si>
    <t>Elaine Leong, Recipes and Everyday Knowledge: Medicine, Science, and the Household in Early Modern England.Chicago and London: University of Chicago Press, 2018. 282 pp. ISBN 978-0-226-58366-2 £68.00 (hb). &amp; £22.50 (pb).</t>
  </si>
  <si>
    <t>10.1111/rest.12681</t>
  </si>
  <si>
    <t>MARK JENNER</t>
  </si>
  <si>
    <t>mark.jenner@york.ac.uk</t>
  </si>
  <si>
    <t>The Amazon river is a suture zone for a polyphyletic group of co-mimetic heliconiine butterflies.</t>
  </si>
  <si>
    <t>10.1111/ecog.05282</t>
  </si>
  <si>
    <t>Ecography</t>
  </si>
  <si>
    <t>Neil Rosser</t>
  </si>
  <si>
    <t>neil.rosser@york.ac.uk</t>
  </si>
  <si>
    <t>0000-0001-7796-2548</t>
  </si>
  <si>
    <t>LEILA TERUKO SHIRAI (LESHIRAI@GMAIL.COM), André Victor Lucci Freitas (BAKU@UNICAMP.BR; ORCID ID: 0000-0002-5763-4990), James Mallet (jmallet@oeb.harvard.edu; ORCID ID: 0000-0002-3370-0367), Kanchon Dasmahapatra (kanchon.dasmahapatra@york.ac.uk)</t>
  </si>
  <si>
    <t>1600-0587</t>
  </si>
  <si>
    <t>Situational judgement test validity for selection: a systematic review and meta-analysis</t>
  </si>
  <si>
    <t>10.1111/medu.14201</t>
  </si>
  <si>
    <t>Lewis William Paton (lewis.paton@york.ac.uk; ORCID ID: 0000-0002-3328-5634), Elin Webster (esw509@york.ac.uk; ORCID ID: 0000-0001-8478-994X), Paul Crampton (paul.crampton@hyms.ac.uk; ORCID ID: 0000-0001-8744-930X)</t>
  </si>
  <si>
    <t>Play and Prosociality are Associated with Fewer Externalising Problems in Children with Developmental Language Disorder: The Role of Early Language and Communication Environment</t>
  </si>
  <si>
    <t>10.1111/1460-6984.12541</t>
  </si>
  <si>
    <t>International Journal of Language &amp; Communication Disorders</t>
  </si>
  <si>
    <t>Andrew Pickles (andrew.pickles@kcl.ac.uk), Gina Conti-Ramsden (gina.conti-ramsden@manchester.ac.uk; ORCID ID: 0000-0003-0235-7209), Kevin Durkin (kevin.durkin@strath.ac.uk), Jenny Louise Gibson (jlg53@cam.ac.uk; ORCID ID: 0000-0002-6172-6265), Witold Orlik (winterfell58@gmail.com), Dianne Newbury (DIANNENEWBURY@BROOKES.AC.UK; ORCID ID: 0000-0002-9557-268X)</t>
  </si>
  <si>
    <t>1460-6984</t>
  </si>
  <si>
    <t>Unveiling the Dynamical Assembly of Magnetic Nanocrystal Zig-Zag Chains via In-Situ TEM Imaging in Liquid.</t>
  </si>
  <si>
    <t>10.1002/smll.201907419</t>
  </si>
  <si>
    <t>Small</t>
  </si>
  <si>
    <t>Milena Arciniegas</t>
  </si>
  <si>
    <t>milena.arciniegas@iit.it</t>
  </si>
  <si>
    <t>0000-0002-7454-8891</t>
  </si>
  <si>
    <t>Sergiu Ruta (sergiu.ruta@york.ac.uk), David Serantes (david.serantes@usc.es), Ondrej Hovorka (O.Hovorka@soton.ac.uk), Roy Chantrell (roy.chantrell@york.ac.uk; ORCID ID: 0000-0001-5410-5615), Rosaria Brescia (rosaria.brescia@iit.it; ORCID ID: 0000-0003-0607-0627), Teresa Pellegrino (Teresa.Pellegrino@iit.it; ORCID ID: 0000-0001-5518-1134), Andrea Castelli (CastelliA@cardiff.ac.uk), Akira Satoh (asatoh@akita-pu.ac.jp)</t>
  </si>
  <si>
    <t>1613-6829</t>
  </si>
  <si>
    <t>Characterizing Adiabaticity in Quantum Many-Body Systems at Finite Temperature</t>
  </si>
  <si>
    <t>10.1002/qute.201900139</t>
  </si>
  <si>
    <t>Amy Skelt (ahs518@york.ac.uk)</t>
  </si>
  <si>
    <t>Direct Measurement of the Visible to UV Photodissociation Processes for the PhotoCORM TryptoCORM</t>
  </si>
  <si>
    <t>10.1002/chem.202001077</t>
  </si>
  <si>
    <t>Caroline  E. H. Dessent</t>
  </si>
  <si>
    <t>caroline.dessent@york.ac.uk</t>
  </si>
  <si>
    <t>0000-0003-4944-0413</t>
  </si>
  <si>
    <t>Natalie  G.K. Wong (ngkw500@york.ac.uk), IAN J. S. FAIRLAMB (IAN.FAIRLAMB@YORK.AC.UK; ORCID ID: 0000-0002-7555-2761), Rosaria Cercola (rc1274@york.ac.uk), Summer L. Sherman (slsherman3@wisc.edu), Etienne Garand (egarand@wisc.edu), Jason M. Lynam (JASON.LYNAM@YORK.AC.UK), L. Anders Hammerback (ah1006@york.ac.uk), Kaitlyn C. Fischer (kcfischer@wisc.edu)</t>
  </si>
  <si>
    <t>Beyond the Stereotype: Restating the Relevance of the Dependency Research Programme</t>
  </si>
  <si>
    <t>10.1111/dech.12593</t>
  </si>
  <si>
    <t>Development and Change</t>
  </si>
  <si>
    <t>Ingrid Harvold Kvangraven</t>
  </si>
  <si>
    <t>ingrid.kvangraven@york.ac.uk</t>
  </si>
  <si>
    <t>0000-0001-8606-1717</t>
  </si>
  <si>
    <t>1467-7660</t>
  </si>
  <si>
    <t>Self-assembled supramolecular hybrid hydrogel beads loaded with silver nanoparticles for antimicrobial application</t>
  </si>
  <si>
    <t>10.1002/chem.202001349</t>
  </si>
  <si>
    <t>Clare S. Mahon (clare.mahon@durham.ac.uk), Carmen Piras (carmen.piras@york.ac.uk)</t>
  </si>
  <si>
    <t>Cost-effectiveness of a specialist smoking cessation package compared with standard smoking cessation services for people with severe mental illness in England: a trial-based economic evaluation from the SCIMITAR+ study</t>
  </si>
  <si>
    <t>10.1111/add.15086</t>
  </si>
  <si>
    <t>Jinshuo Li</t>
  </si>
  <si>
    <t>jinshuo.li@york.ac.uk</t>
  </si>
  <si>
    <t>0000-0003-1496-7450</t>
  </si>
  <si>
    <t>Tim Bradshaw (t.bradshaw@manchester.ac.uk), Moira Leahy (moira.leahy@shsc.nhs.uk), Lizwi Nyathi (lizwi.nyathi@lpft.nhs.uk), Helen Oldknow (helen.oldknow@nhs.net), Della Bailey (Della.bailey@york.ac.uk), Elizabeth Nyamadzawo (elizabeth.nyamadzawo@bdct.nhs.uk), Tayla McCloud (t.mccloud@ucl.ac.uk), Alex Carey (alex.carey@nihr.ac.uk), Thomas Steare (thomas.steare.15@ucl.ac.uk), Suzy Ker (s.ker@nhs.net; ORCID ID: 0000-0003-4766-3971), Carinna Vickers (carinna.vickers@sompar.nhs.uk), Jamie Rea (jamie.rea@ntw.nhs.uk), Joe Reilly (joe.reilly@nhs.net), Paul Heron (paul.heron@york.ac.uk), Crystal-Bella Romain-Hooper (c.romain-hooper@nhs.net), Polly Bidwell (polly.bidwell@lancashirecare.nhs.uk), Emma Ballantyne (emma.ballantyne@nhs.net), Tom Hughes (tomahughes@sky.com), Peter Phiri (peter.phiri@southernhealth.nhs.uk; ORCID ID: 0000-0001-9950-3254), Debbie Coton (d.a.coton@sussex.ac.uk), Catherine Hewitt (catherine.hewitt@york.ac.uk), David Osborn (D.OSBORN@UCL.AC.UK), Diane Brennan (diane.brennan@lpft.nhs.uk), Kimberley Evans (kimberley.evans1@bdct.nhs.uk), Charlotte Colbeck (charlotte.colbeck@nihr.ac.uk), Suzanne Crosland (suzanne.crosland@york.ac.uk; ORCID ID: 0000-0001-6658-6815), Catherine Arundel (catherine.arundel@york.ac.uk; ORCID ID: 0000-0003-0512-4339), Elizabeth Hughes (e.c.hughes@leeds.ac.uk), Kaye Smith (kaye.smith@solent.nhs.uk), Michelle Horspool (michelle.horspool@shsc.nhs.uk), CAROLINE MARIE FAIRHURST (CAROLINE.FAIRHURST@YORK.AC.UK), Steve Parrott (steve.parrott@york.ac.uk), Tracy Callen (tracy.callen@solent.nhs.uk), Shanaya Rathod (shanaya.rathod@southernhealth.nhs.uk), Emma Donaldson (emma.donaldson@berkshire.nhs.uk), Wajid Khan (wajid.khan@swyt.nhs.uk), Alison Stribling (allie.stribling@hotmail.co.uk), Susan Bonner (susan.bonner@nhs.net), Simon Gilbody (SIMON.GILBODY@YORK.AC.UK), Emily Peckham (emily.peckham@york.ac.uk; ORCID ID: 0000-0002-9377-1968), Hannah Herlihy (hannah.herlihy@nhs.net; ORCID ID: 0000-0002-2548-2689)</t>
  </si>
  <si>
    <t>Novel Deep Eutectic Solvents based on natural ascorbic acid analogues and choline chloride</t>
  </si>
  <si>
    <t>10.1002/open.202000020</t>
  </si>
  <si>
    <t>ChemistryOpen</t>
  </si>
  <si>
    <t>Avtar Singh Matharu</t>
  </si>
  <si>
    <t>0000-0002-9488-565X</t>
  </si>
  <si>
    <t>Andrew Harrison (andrew.harrison@york.ac.uk), Andrew Maneffa (ajm617@york.ac.uk), Steve Whitehouse (steve.whitehouse@rdyo.nestle.com), Stewart Radford (Stewart.radford@rdyo.nestle.com), James Clark (james.clark@york.ac.uk; ORCID ID: 0000-0002-5860-2480)</t>
  </si>
  <si>
    <t>2191-1363</t>
  </si>
  <si>
    <t>Sleep-dependent consolidation in children with comprehension and vocabulary weaknesses: it'll be alright on the night?</t>
  </si>
  <si>
    <t>10.1111/jcpp.13253</t>
  </si>
  <si>
    <t>Emma James</t>
  </si>
  <si>
    <t>elj504@york.ac.uk</t>
  </si>
  <si>
    <t>0000-0002-5214-0035</t>
  </si>
  <si>
    <t>Gareth Gaskell (gareth.gaskell@york.ac.uk), LISA M HENDERSON (LISA-MARIE.HENDERSON@YORK.AC.UK)</t>
  </si>
  <si>
    <t>Nurses’ and surgeons’ views and experiences of surgical wounds healing by secondary intention: a qualitative study</t>
  </si>
  <si>
    <t>10.1111/jocn.15279</t>
  </si>
  <si>
    <t>DOROTHY MAY MCCAUGHAN</t>
  </si>
  <si>
    <t>DOROTHY.MCCAUGHAN@YORK.AC.UK</t>
  </si>
  <si>
    <t>0000-0001-5388-2455</t>
  </si>
  <si>
    <t>Laura Sheard (laura.sheard@bthft.nhs.uk; ORCID ID: 0000-0002-9241-8361), Jo C. Dumville (jo.dumville@manchester.ac.uk), IAN CLIFFORD CHETTER (IAN.CHETTER@HEY.NHS.UK), NICKY A CULLUM (NICKY.CULLUM@MANCHESTER.AC.UK; ORCID ID: 0000-0003-2631-123X)</t>
  </si>
  <si>
    <t>Air Care: an ‘aerography’ of breath, buildings and bugs in the cystic fibrosis clinic</t>
  </si>
  <si>
    <t>10.1111/1467-9566.13104</t>
  </si>
  <si>
    <t>Nik Brown</t>
  </si>
  <si>
    <t>ngfb1@york.ac.uk</t>
  </si>
  <si>
    <t>0000-0002-4742-8595</t>
  </si>
  <si>
    <t>SARAH NETTLETON (sarah.nettleton@york.ac.uk; ORCID ID: 0000-0002-5184-2764), Christina Buse (christina.buse@york.ac.uk), Daryl Martin (daryl.martin@york.ac.uk), Alan Lewis (Alan.Lewis@manchester.ac.uk)</t>
  </si>
  <si>
    <t>Unlocking the potential of historical abundance datasets to study biomass change in flying insects</t>
  </si>
  <si>
    <t>10.1002/ece3.6546</t>
  </si>
  <si>
    <t>Ecology and Evolution</t>
  </si>
  <si>
    <t>Callum Macgregor</t>
  </si>
  <si>
    <t>CALLUMJMACGREGOR@GMAIL.COM</t>
  </si>
  <si>
    <t>0000-0001-8281-8284</t>
  </si>
  <si>
    <t>Rebecca Kinsella (r.s.kinsella7@gmail.com), Terry Crawford (terryjcrawford@btinternet.com), JANE K. HILL (JANE.HILL@YORK.AC.UK; ORCID ID: 0000-0003-1871-7715), PETER J MAYHEW (PETER.MAYHEW@YORK.AC.UK; ORCID ID: 0000-0002-7346-6560), CHRIS D. THOMAS (CDT2@YORK.AC.UK; ORCID ID: 0000-0003-2822-1334)</t>
  </si>
  <si>
    <t>2045-7758</t>
  </si>
  <si>
    <t>A Family of Water Immiscible, Dipolar Aprotic, Diamide Solvents from Succinic Acid</t>
  </si>
  <si>
    <t>10.1002/cssc.202000462</t>
  </si>
  <si>
    <t>Fergal P Byrne</t>
  </si>
  <si>
    <t>fergal.byrne@york.ac.uk</t>
  </si>
  <si>
    <t>0000-0002-3110-7009</t>
  </si>
  <si>
    <t>Andrew J Hunt (andrew@kku.ac.th), Marie Y Meima (marie.meima@tno.nl), Bart van der Burg (bart.van.der.burg@bds.nl), Rob McElroy (rob.mcelroy@york.ac.uk), James H Clark (james.clark@york.ac.uk), Roxana A Milescu (ram546@york.ac.uk), Harrie E Buist (harrie.buist@tno.nl), Elise J Savin (Elise.Savin.Etu@univ-lemans.fr), Dinant Kroese (dinant.kroese@tno.nl), Clara M Nussbaumer (clara.nussbaumer@rwth-aachen.de), Barbara M A van Vugt-Lussenburg (barbara.lussenburg@bds.nl), Thomas Farmer (thomas.farmer@york.ac.uk; ORCID ID: 0000-0002-1039-7684)</t>
  </si>
  <si>
    <t>Economic globalization and decentralization: a centrifugal or centripetal relationship?</t>
  </si>
  <si>
    <t>10.1111/gove.12496</t>
  </si>
  <si>
    <t>Governance</t>
  </si>
  <si>
    <t>Ignacio Jurado</t>
  </si>
  <si>
    <t>ignacio.jurado@york.ac.uk</t>
  </si>
  <si>
    <t>SANDRA LEON (SANDRA.LEON@YORK.AC.UK)</t>
  </si>
  <si>
    <t>1468-0491</t>
  </si>
  <si>
    <t>Mustering Memory: George Grosz’s Late Montages</t>
  </si>
  <si>
    <t>10.1111/1467-8365.12517</t>
  </si>
  <si>
    <t>MICHAEL WHITE</t>
  </si>
  <si>
    <t>michael.white@york.ac.uk</t>
  </si>
  <si>
    <t>Learning to Learn: developing disaster risk reduction skills among the informal construction workers</t>
  </si>
  <si>
    <t>10.1111/disa.12435</t>
  </si>
  <si>
    <t>Disasters</t>
  </si>
  <si>
    <t>Jo Rose</t>
  </si>
  <si>
    <t>jo.rose@york.ac.uk</t>
  </si>
  <si>
    <t>Ksenia Chmutina (k.chmutina@lboro.ac.uk)</t>
  </si>
  <si>
    <t>1467-7717</t>
  </si>
  <si>
    <t>Impacts of land use, population and climate change on global food security</t>
  </si>
  <si>
    <t>10.1002/fes3.261</t>
  </si>
  <si>
    <t>Food and Energy Security</t>
  </si>
  <si>
    <t>Amy Molotoks</t>
  </si>
  <si>
    <t>amy.molotoks@york.ac.uk</t>
  </si>
  <si>
    <t>0000-0002-1168-1580</t>
  </si>
  <si>
    <t>PETE SMITH, TERENCE P. DAWSON</t>
  </si>
  <si>
    <t>2048-3694</t>
  </si>
  <si>
    <t>When I say… emotional intelligence</t>
  </si>
  <si>
    <t>10.1111/medu.14160</t>
  </si>
  <si>
    <t>Lewis William Paton (lewis.paton@york.ac.uk; ORCID ID: 0000-0002-3328-5634)</t>
  </si>
  <si>
    <t>Ant colony nest networks adapt to resource disruption</t>
  </si>
  <si>
    <t>10.1111/1365-2656.13198</t>
  </si>
  <si>
    <t>Journal of Animal Ecology</t>
  </si>
  <si>
    <t>Dominic Burns</t>
  </si>
  <si>
    <t>db1133@york.ac.uk</t>
  </si>
  <si>
    <t>0000-0003-2299-2453</t>
  </si>
  <si>
    <t>Daniel Franks (daniel.franks@york.ac.uk; ORCID ID: 0000-0002-4832-7470), Kate Parr (KATE.PARR@LIVERPOOL.AC.UK; ORCID ID: 0000-0003-1627-763X), Elva Robinson (elva.robinson@york.ac.uk; ORCID ID: 0000-0003-4914-9327)</t>
  </si>
  <si>
    <t>1365-2656</t>
  </si>
  <si>
    <t>Past, current and potential future distributions of unique genetic diversity in a cold‐adapted mountain butterfly</t>
  </si>
  <si>
    <t>10.1002/ece3.6755</t>
  </si>
  <si>
    <t>JANE K. HILL (JANE.HILL@YORK.AC.UK; ORCID ID: 0000-0003-1871-7715), Athayde Tonhasca (Athayde.Tonhasca@nature.scot), Kanchon Dasmahapatra (kanchon.dasmahapatra@york.ac.uk), MIKE DAVID MORECROFT (MIKE.MORECROFT@NATURALENGLAND.ORG.UK; ORCID ID: 0000-0002-7978-5554), Stefanos Siozios (S.Siozios@liverpool.ac.uk), Thomas Schmitt (thomas.schmitt@senckenberg.de; ORCID ID: 0000-0002-1389-8396), CHRIS D. THOMAS (CDT2@YORK.AC.UK; ORCID ID: 0000-0003-2822-1334)</t>
  </si>
  <si>
    <t>Next generation secondary electron detector with energy analysis capability for SEM</t>
  </si>
  <si>
    <t>10.1111/jmi.12867</t>
  </si>
  <si>
    <t>Journal of Microscopy</t>
  </si>
  <si>
    <t>Ashish Suri</t>
  </si>
  <si>
    <t>ashish.suri@york.ac.uk</t>
  </si>
  <si>
    <t>0000-0003-4745-9735</t>
  </si>
  <si>
    <t>mohamed El-Gomati (MOHAMED.ELGOMATI@YORK.AC.UK), Steve Tear (steve.tear@york.ac.uk), Christopher Walker (christopher.walker@york.ac.uk), Andrew Pratt (andrew.pratt@york.ac.uk)</t>
  </si>
  <si>
    <t>1365-2818</t>
  </si>
  <si>
    <t>A systematic review of evidence for and against routine surveillance imaging after completing treatment for childhood extra-cranial solid tumours</t>
  </si>
  <si>
    <t>10.1002/cam4.3110</t>
  </si>
  <si>
    <t>Cancer Medicine</t>
  </si>
  <si>
    <t>Jessica Elizabeth Morgan</t>
  </si>
  <si>
    <t>jess.morgan@york.ac.uk</t>
  </si>
  <si>
    <t>0000-0001-8087-8638</t>
  </si>
  <si>
    <t>Bob Phillips (BOB.PHILLIPS@YORK.AC.UK; ORCID ID: 0000-0002-4938-9673), Ruth Walker (ruth.walker@york.ac.uk), MELISSA HARDEN (MELISSA.HARDEN@YORK.AC.UK)</t>
  </si>
  <si>
    <t>2045-7634</t>
  </si>
  <si>
    <t>Integrative policy development for healthier people and ecosystems: a European case analysis</t>
  </si>
  <si>
    <t>10.1111/area.12618</t>
  </si>
  <si>
    <t>Area</t>
  </si>
  <si>
    <t>PIRAN C. L. WHITE</t>
  </si>
  <si>
    <t>PIRAN.WHITE@YORK.AC.UK</t>
  </si>
  <si>
    <t>0000-0002-7496-5775</t>
  </si>
  <si>
    <t>Anne-Helene Prieur-Richard (montrealhub@futureearth.org), Dave Stone (dave.stone@naturalengland.org.uk), Hilary Graham (HILARY.GRAHAM@YORK.AC.UK), Jan-Francois Guegan (jean-francois.guegan@ird.fr), Adriana Ford (a.ford-thompson@greenwich.ac.uk), SOPHIE O. VANWAMBEKE (SOPHIE.VANWAMBEKE@UCLOUVAIN.BE), Tia Hermans (tia.hermans@wur.nl), Sian De Bell (sian.debell@york.ac.uk), Ilse Geijzendorffer (ilse.geijzendorffer@imbe.fr), Hans Keune (hans.keune@inbo.be; ORCID ID: 0000-0002-1531-944X), Chinny Iroegbu (chinny.iroegbu@sepa.org.uk), Sjerp de Vries (sjerp.devries@wur.nl)</t>
  </si>
  <si>
    <t>1475-4762</t>
  </si>
  <si>
    <t>Impact of osmotic stress on the growth and root architecture of introgression lines derived from a wild ancestor of rice and a modern cultivar</t>
  </si>
  <si>
    <t>10.1002/pei3.10026</t>
  </si>
  <si>
    <t>Plant-Environment Interactions</t>
  </si>
  <si>
    <t>Lin Chen</t>
  </si>
  <si>
    <t>yncllily@hotmail.com</t>
  </si>
  <si>
    <t>0000-0001-6442-2518</t>
  </si>
  <si>
    <t>Tomasz Czechowski (tomasz.czechowski@york.ac.uk), IAN A. GRAHAM (IAN.GRAHAM@YORK.AC.UK; ORCID ID: 0000-0003-4007-1770), Hartley Sue (s.hartley@sheffield.ac.uk)</t>
  </si>
  <si>
    <t>2575-6265</t>
  </si>
  <si>
    <t>Investigation of parameters that affect resin swelling in green solvents</t>
  </si>
  <si>
    <t>10.1002/open.202000030</t>
  </si>
  <si>
    <t>Michael North</t>
  </si>
  <si>
    <t>michael.north@york.ac.uk</t>
  </si>
  <si>
    <t>0000-0002-6668-5503</t>
  </si>
  <si>
    <t>James Mortimer (jem558@york.ac.uk), Yanrui Ran (522273350@qq.com), Holly Clarke (holclarke@gmail.com), Matthew McRobie (mtm517@york.ac.uk), Matthew Tickias (mtt509@york.ac.uk), Helen Willway (helenw100@hotmail.co.uk), Dani Sibbald (dts510@york.ac.uk), Anne Routledge (ANNE.ROUTLEDGE@YORK.AC.UK), Chidi Amadi-Kamalu (cak517@york.ac.uk), Kai Tse (klt546@york.ac.uk)</t>
  </si>
  <si>
    <t>Agri-environment conservation set-asides have co-benefits for connectivity</t>
  </si>
  <si>
    <t>10.1111/ecog.05127</t>
  </si>
  <si>
    <t>Colin J. McClean (colin.mcclean@york.ac.uk), Jenny Hodgson (JENNY.HODGSON@LIVERPOOL.AC.UK; ORCID ID: 0000-0003-2297-3631), Naomi Jones (naomi.jones@fera.co.uk), JANE K. HILL (JANE.HILL@YORK.AC.UK; ORCID ID: 0000-0003-1871-7715)</t>
  </si>
  <si>
    <t>High inter-individual variability in habitat selection and functional habitat relationships in European nightjars over a period of habitat change</t>
  </si>
  <si>
    <t>10.1002/ece3.6331</t>
  </si>
  <si>
    <t>Lucy Ryan</t>
  </si>
  <si>
    <t>LUCYJAYNERYAN@GMAIL.COM</t>
  </si>
  <si>
    <t>0000-0003-2162-013X</t>
  </si>
  <si>
    <t>KATHRYN E ARNOLD (KATHRYN.ARNOLD@YORK.AC.UK; ORCID ID: 0000-0002-6485-6065), Tim Kohler (tim.kohler@naturalengland.org.uk), PIRAN C. L. WHITE (PIRAN.WHITE@YORK.AC.UK; ORCID ID: 0000-0002-7496-5775)</t>
  </si>
  <si>
    <t>Updated restraint dictionaries for carbohydrates in the pyranose form</t>
  </si>
  <si>
    <t>10.1107/S2059798322001103</t>
  </si>
  <si>
    <t>Wiley TA 2022</t>
  </si>
  <si>
    <t>Wiley dashboard report: Wiley dashboard 1 Oct 2021 to 22 Feb 2022.xlsx</t>
  </si>
  <si>
    <t>Royal Society (Grant number(s): UF160039; Grant recipient(s): Jon Agirre); 
Medical Research Council (Grant number(s): MC_UP_A025_1012); 
Collaborative Computational Project 4; 
Horizon 2020 Framework Programme (Grant number(s): 871037); 
Engineering and Physical Sciences Research Council (Grant number(s): EP/R513386; Grant recipient(s): Jon Agirre)</t>
  </si>
  <si>
    <t>Technology matters: Machine learning approaches to personalised child and adolescent mental health care</t>
  </si>
  <si>
    <t>10.1111/camh.12546</t>
  </si>
  <si>
    <t>Lewis William Paton</t>
  </si>
  <si>
    <t>lewis.paton@york.ac.uk</t>
  </si>
  <si>
    <t>0000-0002-3328-5634</t>
  </si>
  <si>
    <t>Paul Tiffin (paul.tiffin@york.ac.uk; ORCID ID: 0000-0003-1770-5034)</t>
  </si>
  <si>
    <t>Mental health and employment: a bounding approach using panel data</t>
  </si>
  <si>
    <t>10.1111/obes.12489</t>
  </si>
  <si>
    <t>Oxford Bulletin of Economics &amp; Statistics</t>
  </si>
  <si>
    <t>Health Foundation: Social and Economic Value of Health programme   (Grant number(s): 751630)</t>
  </si>
  <si>
    <t>JENNIFER ROBERTS (J.R.ROBERTS@SHEF.AC.UK), Cristina Sechel (c.sechel@sheffield.ac.uk), Mark Bryan (m.l.bryan@sheffield.ac.uk; ORCID ID: 0000-0002-5000-8946)</t>
  </si>
  <si>
    <t>1468-0084</t>
  </si>
  <si>
    <t>0305-9049</t>
  </si>
  <si>
    <t>Drivers of 20th century sea-level change in southern New Zealand determined from proxy and instrumental records</t>
  </si>
  <si>
    <t>10.1002/jqs.3418</t>
  </si>
  <si>
    <t>Royal Society; 
Natural Environment Research Council (Grant number(s): Radiocarbon allocation 1793.0414; Grant recipient(s): WILLEM ROLAND GEHRELS); 
Ministry of Business, Innovation and Employment (Grant number(s): NZ SeaRise (RTUV1705))</t>
  </si>
  <si>
    <t>Ed Garrett</t>
  </si>
  <si>
    <t>ed.garrett@york.ac.uk</t>
  </si>
  <si>
    <t>0000-0001-9985-0651</t>
  </si>
  <si>
    <t>Sönke Dangendorf (sdangendorf1@tulane.edu), Craig Morey (cjmorey@hotmail.co.uk), Maria Gehrels (maria.gehrels@york.ac.uk), Rewi Newnham (REWI.NEWNHAM@VUW.AC.NZ; ORCID ID: 0000-0002-6044-8945), WILLEM ROLAND GEHRELS (ROLAND.GEHRELS@YORK.AC.UK), BRUCE, W HAYWARD (B.HAYWARD@GEOMARINE.ORG.NZ)</t>
  </si>
  <si>
    <t>The long run effects of DRG payment on hospital lengths of stay in a publicly funded healthcare system: Evidence from 15 years of micro data</t>
  </si>
  <si>
    <t>10.1002/hec.4479</t>
  </si>
  <si>
    <t>Martin Chalkley</t>
  </si>
  <si>
    <t>martin.chalkley@york.ac.uk</t>
  </si>
  <si>
    <t>María José Aragón Aragón (mjma504@york.ac.uk; ORCID ID: 0000-0002-3787-6220), Noémi Kreif (noemi.kreif@york.ac.uk; ORCID ID: 0000-0001-9008-5690)</t>
  </si>
  <si>
    <t>Combining in vitro and in vivo screening to identify efficient Pseudomonas biocontrol strains against the phytopathogenic Ralstonia solanacearum bacterium</t>
  </si>
  <si>
    <t>10.1002/mbo3.1283</t>
  </si>
  <si>
    <t>MicrobiologyOpen</t>
  </si>
  <si>
    <t>Royal Society (Grant number(s): CHL\R1\180031, RSG\R1\180213 ; Grant recipient(s): Ville-Petri Friman); 
Biotechnology and Biological Sciences Research Council (Grant number(s): BB/T010606/1; Grant recipient(s): Ville-Petri Friman)</t>
  </si>
  <si>
    <t>Ville-Petri Friman</t>
  </si>
  <si>
    <t>ALEXANDRE JOUSSET (A.L.C.JOUSSET@UU.NL), Sophie Clough (sophie-clough@hotmail.com), John Elphinstone (jgelphinstone@icloud.com)</t>
  </si>
  <si>
    <t>2045-8827</t>
  </si>
  <si>
    <t>Men and loneliness in the Covid‐19 pandemic: Insights from an interview study with UK‐based men</t>
  </si>
  <si>
    <t>10.1111/hsc.13746</t>
  </si>
  <si>
    <t>White Rose Doctoral Training Programme (Grant number(s): ES/P000746/1; Grant recipient(s): John Ratcliffe)</t>
  </si>
  <si>
    <t>John Ratcliffe</t>
  </si>
  <si>
    <t>jmr564@york.ac.uk</t>
  </si>
  <si>
    <t>0000-0002-6835-6199</t>
  </si>
  <si>
    <t>Mona Kanaan (MONA.KANAAN@YORK.AC.UK), PAUL M GALDAS (PAUL.GALDAS@YORK.AC.UK; ORCID ID: 0000-0002-3185-205X)</t>
  </si>
  <si>
    <t>Emotions, governmental trust and support for the restriction of civil liberties during the covid‐19 pandemic</t>
  </si>
  <si>
    <t>10.1111/1475-6765.12513</t>
  </si>
  <si>
    <t>European Journal of Political Research</t>
  </si>
  <si>
    <t>Agence Nationale de Recherche  (Grant number(s): ANR-20-COVI-0079)</t>
  </si>
  <si>
    <t>Pavlos Vasilopoulos</t>
  </si>
  <si>
    <t>pavlos.vasilopoulos@sciencespo.fr</t>
  </si>
  <si>
    <t>0000-0002-1626-3150</t>
  </si>
  <si>
    <t>Martial Foucault (martial.foucault@sciencespo.fr; ORCID ID: 0000-0001-6132-7160), Sylvain Brouard (sylvain.brouard@sciencespo.fr; ORCID ID: 0000-0002-5652-8715), Haley McAvay (haley.mcavay@york.ac.uk)</t>
  </si>
  <si>
    <t>1475-6765</t>
  </si>
  <si>
    <t>COVERAGE WITH EVIDENCE DEVELOPMENT FOR MEDICAL DEVICES IN EUROPE Can Practice Meet Theory?</t>
  </si>
  <si>
    <t>10.1002/hec.4478</t>
  </si>
  <si>
    <t>European Commission (Grant number(s): 779306 for the project \u201CPushing the boundaries o)</t>
  </si>
  <si>
    <t>0000-0002-6126-0944</t>
  </si>
  <si>
    <t>Zoltan Kalo (kalo.zoltan@semmelweis-univ.hu; ORCID ID: 0000-0001-7762-2607), Carl Blankart (rudolf.blankart@kpm.unibe.ch; ORCID ID: 0000-0001-6719-0038), Aleksandra Torbica (ALEKSANDRA.TORBICA@UNIBOCCONI.IT; ORCID ID: 0000-0001-8938-7608), Oriana Ciani (oriana.ciani@unibocconi.it), Werner Brouwer (brouwer@eshpm.eur.nl), Carlo Federici (carlo.federici@unibocconi.it; ORCID ID: 0000-0002-0309-4669), Sandor Kovacs (sandor.kovacs@syreon.eu), Vivian Reckers-Droog (reckers@eshpm.eur.nl; ORCID ID: 0000-0001-8722-3431)</t>
  </si>
  <si>
    <t>Locked up and down: Incarceration, care, and art in a pandemic</t>
  </si>
  <si>
    <t>10.1111/gwao.12801</t>
  </si>
  <si>
    <t>Arts and Humanities Research Council (Grant number(s): AH/S011951/1; Grant recipient(s): Caoimhe McAvinchey)</t>
  </si>
  <si>
    <t>Anne-marie Greene</t>
  </si>
  <si>
    <t>anne-marie.greene@york.ac.uk</t>
  </si>
  <si>
    <t>Caoimhe McAvinchey (c.mcavinchey@qmul.ac.uk), Deborah Dean (Deborah.Dean@wbs.ac.uk), Sarah Bartley (s.e.bartley@reading.ac.uk)</t>
  </si>
  <si>
    <t>Functional measures as potential indicators of down‐the‐drain chemical stress in freshwater ecological risk assessment</t>
  </si>
  <si>
    <t>10.1002/ieam.4568</t>
  </si>
  <si>
    <t>Natural Environment Research Council (Grant number(s): NE/S00713X/1; Grant recipient(s): Katie Pearson); 
Unilever (Grant number(s): MA-2019-02508N)</t>
  </si>
  <si>
    <t>Laura Harrison</t>
  </si>
  <si>
    <t>laura.harrison@york.ac.uk</t>
  </si>
  <si>
    <t>0000-0003-3923-7083</t>
  </si>
  <si>
    <t>Lucy Speirs (lucy.speirs@unilever.com), LORRAINE L MALTBY (L.MALTBY@SHEFFIELD.AC.UK), Claudia Rivetti (claudia.rivetti@unilever.com), PIRAN C. L. WHITE (PIRAN.WHITE@YORK.AC.UK; ORCID ID: 0000-0002-7496-5775), Christopher Wheatley (cjw509@york.ac.uk; ORCID ID: 0000-0002-8550-2450), Katie Pearson (kap529@york.ac.uk), JANE K. HILL (JANE.HILL@YORK.AC.UK; ORCID ID: 0000-0003-1871-7715)</t>
  </si>
  <si>
    <t>Pupillometry and the vigilance decrement: Task‐evoked but not baseline pupil measures reflect declining performance in visual vigilance tasks</t>
  </si>
  <si>
    <t>10.1111/ejn.15585</t>
  </si>
  <si>
    <t>European Journal of Neuroscience</t>
  </si>
  <si>
    <t>Defence Science and Technology Laboratory (Grant number(s): DSTLX1000083208; Grant recipient(s): Stephen Johnston); 
Biotechnology and Biological Sciences Research Council (Grant number(s): BB/V007580/1)</t>
  </si>
  <si>
    <t>Joel Martin</t>
  </si>
  <si>
    <t>joel.t.martin36@gmail.com</t>
  </si>
  <si>
    <t>0000-0002-4475-3835</t>
  </si>
  <si>
    <t>Annalise Whittaker (ahwhittaker@dstl.gov.uk), Stephen Johnston (s.j.johnston@swansea.ac.uk)</t>
  </si>
  <si>
    <t>1460-9568</t>
  </si>
  <si>
    <t>Does Aid for Malaria Increase with Exposure to Malaria Risk? Evidence from Mining Sites in the D.R.Congo</t>
  </si>
  <si>
    <t>10.1111/obes.12483</t>
  </si>
  <si>
    <t>Oxford Bulletin of Economics and Statistics</t>
  </si>
  <si>
    <t>Economic and Social Research Council (Grant number(s): PhD research funding)</t>
  </si>
  <si>
    <t>Samuel Lordemus</t>
  </si>
  <si>
    <t>samuel.lordemus@york.ac.uk</t>
  </si>
  <si>
    <t>0000-0002-7226-6225</t>
  </si>
  <si>
    <t>SABRE hyperpolarized anticancer agents for use in 1H MRI</t>
  </si>
  <si>
    <t>10.1002/mrm.29166</t>
  </si>
  <si>
    <t>Magnetic Resonance in Medicine</t>
  </si>
  <si>
    <t>Wellcome Trust (Grant number(s): 092506 and 098335); 
H2020 Marie Skłodowska-Curie Actions (Grant number(s): Europol Network 642773)</t>
  </si>
  <si>
    <t>Philip Norcott (philip.norcott@anu.edu.au), Peter Rayner (peter.rayner@york.ac.uk), Elizabeth Fear (elizabeth.fear@york.ac.uk; ORCID ID: 0000-0002-0578-900X), Soumya S. Roy (s.roy@soton.ac.uk), Aneurin Kennerley (aneurin.kennerley@york.ac.uk)</t>
  </si>
  <si>
    <t>1522-2594</t>
  </si>
  <si>
    <t>Emerging contaminant exposure to aquatic systems in the Southern African Development Community</t>
  </si>
  <si>
    <t>10.1002/etc.5284</t>
  </si>
  <si>
    <t>Research and innovation Global Challenges Research Fund (Grant number(s): ES/P011500/1); 
Department of Tertiary Education Funding Botswana</t>
  </si>
  <si>
    <t>Kgato Selwe (kpks500@york.ac.uk; ORCID ID: 0000-0002-5512-4970), Jessica Thorn (jessica.thorn@york.ac.uk; ORCID ID: 0000-0003-2108-2554), Alizee Desrousseaux (alizee.desrousseaux@york.ac.uk), Caroline  E. H. Dessent (caroline.dessent@york.ac.uk; ORCID ID: 0000-0003-4944-0413)</t>
  </si>
  <si>
    <t>Motivated semantic control: Exploring the effects of extrinsic reward and self‐reference on semantic retrieval in semantic aphasia</t>
  </si>
  <si>
    <t>10.1111/jnp.12272</t>
  </si>
  <si>
    <t>Journal of Neuropsychology</t>
  </si>
  <si>
    <t>Wellcome Trust; 
Stroke Association (Grant number(s): TSA/12/02); 
European Research Council (Grant number(s): FLEXSEM – 771863; Grant recipient(s): Elizabeth Jefferies)</t>
  </si>
  <si>
    <t>Nicholas Edward Souter</t>
  </si>
  <si>
    <t>nick.souter@btinternet.com</t>
  </si>
  <si>
    <t>0000-0002-0999-1811</t>
  </si>
  <si>
    <t>Elizabeth Jefferies (beth.jefferies@york.ac.uk), Glyn Hallam (G.Hallam@hud.ac.uk), Sara Stampacchia (sara.stampacchia@gmail.com), Hannah  Elizabeth Thompson (h.thompson@surrey.ac.uk; ORCID ID: 0000-0002-0679-1961), Jonathan Smallwood (jonathan.smallwood@queensu.ca)</t>
  </si>
  <si>
    <t>1748-6653</t>
  </si>
  <si>
    <t>ETS transcription factor ELF3 (ESE-1) is a cell cycle regulator in benign and malignant prostate</t>
  </si>
  <si>
    <t>10.1002/2211-5463.13417</t>
  </si>
  <si>
    <t>FEBS Open Bio</t>
  </si>
  <si>
    <t>FIONA MACGREGOR FRAME</t>
  </si>
  <si>
    <t>FIONA.FRAME@YORK.AC.UK</t>
  </si>
  <si>
    <t>Norman Maitland (N.J.MAITLAND@YORK.AC.UK; ORCID ID: 0000-0003-1607-9035), Samuel Kucko (sakucko@unipharma.sk), Leanne Archer (lea.archer27@gmail.com), Matthew Simms (matthew.simms@nhs.net), Hannah Walker (hannah.walker@york.ac.uk), Georgina McDonald (gm15811@bristol.ac.uk), Alastair Droop (alastair@adbioinformatics.co.uk), Vincent Mann (vin1602@hotmail.com), Daniel Berney (daniel.berney@nhs.net)</t>
  </si>
  <si>
    <t>2211-5463</t>
  </si>
  <si>
    <t>Toward a Framework for Environmental Fate and Exposure Assessment of Polymers</t>
  </si>
  <si>
    <t>10.1002/etc.5272</t>
  </si>
  <si>
    <t>Natural Environment Research Council (Grant number(s): NE/S00713X/1; Grant recipient(s): Hattie Brunning)</t>
  </si>
  <si>
    <t>Hattie Brunning</t>
  </si>
  <si>
    <t>hccb500@york.ac.uk</t>
  </si>
  <si>
    <t>0000-0002-0892-0210</t>
  </si>
  <si>
    <t>Oliver Price (oliver.price@reckitt.com), Victor Zanchi (victor.zanchi@reckitt.com; ORCID ID: 0000-0002-8094-9122), J. Brett Sallach (brett.sallach@york.ac.uk; ORCID ID: 0000-0003-4588-3364), ALISTAIR B.A. BOXALL (ALISTAIR.BOXALL@YORK.AC.UK; ORCID ID: 0000-0003-3823-7516)</t>
  </si>
  <si>
    <t>Long‐term fertilization and tillage regimes have limited effects on structuring bacterial and denitrifier communities in a sandy loam &lt;fc&gt;UK&lt;/fc&gt; soil</t>
  </si>
  <si>
    <t>10.1111/1462-2920.15873</t>
  </si>
  <si>
    <t>Biotechnology and Biological Sciences Research Council (Grant number(s): BB/R506400/1)</t>
  </si>
  <si>
    <t>JAMES W. B. MOIR</t>
  </si>
  <si>
    <t>JAMES.MOIR@YORK.AC.UK</t>
  </si>
  <si>
    <t>0000-0003-2972-5235</t>
  </si>
  <si>
    <t>Claire Moulton-Brown (claire.moulton-brown@york.ac.uk; ORCID ID: 0000-0001-8143-2224)</t>
  </si>
  <si>
    <t>Transformations to regenerative food systems—An outline of the FixOurFood project</t>
  </si>
  <si>
    <t>10.1111/nbu.12536</t>
  </si>
  <si>
    <t>Nutrition Bulletin</t>
  </si>
  <si>
    <t>Biotechnology and Biological Sciences Research Council (Grant number(s): BB/V004581/1; Grant recipient(s): Lisa Collins, Peter Ball, Sarah Bridle, MYLES ROBERT ALLEN, Steven Banwart, Corinna Hawkes, Ioan Fazey, Bob Doherty, Kate Pickett, Katherine Denby, Michelle Cain, Maria Bryant)</t>
  </si>
  <si>
    <t>Bob Doherty</t>
  </si>
  <si>
    <t>bob.doherty@york.ac.uk</t>
  </si>
  <si>
    <t>0000-0001-6724-7065</t>
  </si>
  <si>
    <t>Katherine Denby (katherine.denby@york.ac.uk; ORCID ID: 0000-0002-7857-6814), MYLES ROBERT ALLEN (MYLES.ALLEN@OUCE.OX.AC.UK), Annie Connolly (annie.connolly@york.ac.uk), Ioan Fazey (ioan.fazey@york.ac.uk), Maddie Sinclair (maddie.sinclair@york.ac.uk), Christopher Yap (christopher.yap@city.ac.uk), Peter Ball (peter.ball@york.ac.uk), Esther Carmen (esther.carmen@york.ac.uk), Belinda Morris (belinda.morris@york.ac.uk), Alana kluczkovski (alana.kluczkovski@york.ac.uk), Grace Gardner (grace.gardner@york.ac.uk), Anthonia James (anthonia.james@york.ac.uk), Eugyen Suzanne Om (eso513@york.ac.uk), Michelle Cain (michelle.cain@cranfield.ac.uk), Sarah Bridle (sarah.bridle@york.ac.uk), Kate Pickett (KATE.PICKETT@YORK.AC.UK), Steven Banwart (steven.a.banwart@leeds.ac.uk), Corinna Hawkes (corinna.hawkes@city.ac.uk), Ulrike Ehgartner (ulrike.ehgartner@york.ac.uk), Maria Bryant (Maria.Bryant@york.ac.uk), Lisa Collins (L.Collins@leeds.ac.uk)</t>
  </si>
  <si>
    <t>1467-3010</t>
  </si>
  <si>
    <t>Complex basis of hybrid female sterility and Haldane's rule in &lt;fi&gt;Heliconius&lt;/fi&gt; butterflies: Z‐linkage and epistasis</t>
  </si>
  <si>
    <t>10.1111/mec.16272</t>
  </si>
  <si>
    <t>Molecular Ecology</t>
  </si>
  <si>
    <t>Natural Environment Research Council (Grant number(s): NE/K012886/1; Grant recipient(s): Kanchon Dasmahapatra)</t>
  </si>
  <si>
    <t>Nathaniel Edelman (nathaniel.edelman@yale.edu), Fernando Seixas (fernando_seixas@g.harvard.edu), Kanchon Dasmahapatra (kanchon.dasmahapatra@york.ac.uk), Michaela Nelson (michaelanelson1@googlemail.com), Lucie Queste (queste@biologie.uni-muenchen.de), James Mallet (jmallet@oeb.harvard.edu; ORCID ID: 0000-0002-3370-0367)</t>
  </si>
  <si>
    <t>1365-294X</t>
  </si>
  <si>
    <t>Cross‐sectional and prospective associations of sleep duration and bedtimes with adiposity and obesity risk in 15 810 youth from 11 international cohorts</t>
  </si>
  <si>
    <t>10.1111/ijpo.12873</t>
  </si>
  <si>
    <t>Pediatric Obesity</t>
  </si>
  <si>
    <t>Loughborough University; 
National Health &amp; Medication Research Council (Grant number(s): APP1176885, APP274309); 
Medical Research Council (Grant number(s): MC_UU_12015/3, MC_UU_12015/7); 
National Prevention Research Initiative (Grant number(s): G0701877); 
British Heart Foundation (Grant number(s): FS/17/37/32937); 
Australian Research Council (ARC) Discovery Grant  (Grant number(s): DP0664206); 
Norges Idrettshøgskole; 
Bristol University; 
Norges Forskningsråd (Grant number(s): 249932/F20)</t>
  </si>
  <si>
    <t>Dale Esliger (D.ESLIGER@LBORO.AC.UK), Lauren Sherar (L.B.SHERAR@LBORO.AC.UK), Kate Northstone (kate.northstone@bristol.ac.uk), ULF EKELUND (ULF.EKELUND@NIH.NO; ORCID ID: 0000-0003-2115-9267), ANDERS GRØNTVED (AGROENTVED@HEALTH.SDU.DK), Jardena Puder (JARDENA.PUDER@CHUV.CH), Jo Salmon (JO.SALMON@DEAKIN.EDU.AU), Russell Jago (russ.jago@bristol.ac.uk), Jostein Steene-Johannessen (JOSTEINST@NIH.NO), Luis Sardinha (lbsardinha55@gmail.com), Susi Kriemler (susanne.kriemlerwiget@uzh.ch), ESTHER MF VAN SLUIJS (EV234@MEDSCHL.CAM.AC.UK)</t>
  </si>
  <si>
    <t>2047-6310</t>
  </si>
  <si>
    <t>Predicting the performance of automated crystallographic model-building pipelines</t>
  </si>
  <si>
    <t>10.1107/S2059798321010500</t>
  </si>
  <si>
    <t>Acta Crystallographica Section DStructural Biology</t>
  </si>
  <si>
    <t>Biotechnology and Biological Sciences Research Council (Grant number(s): BB/S005099/1); 
University of Tabuk</t>
  </si>
  <si>
    <t>Weak edge effects on trees in Bornean rainforest remnants bordering oil palm</t>
  </si>
  <si>
    <t>10.1111/btp.13115</t>
  </si>
  <si>
    <t>Biotropica</t>
  </si>
  <si>
    <t>Wiley dashboard report: Wiley dashboard 1 jan 2022 to 17 May 2022</t>
  </si>
  <si>
    <t>Unilever</t>
  </si>
  <si>
    <t>Jake Anderson</t>
  </si>
  <si>
    <t>jaa563@york.ac.uk</t>
  </si>
  <si>
    <t>0000-0002-3375-4074</t>
  </si>
  <si>
    <t>Ahmad Jelling (ahmadjelling2014@gmail.com), Joseph Tangah (joseph.tangah@sabah.gov.my), JANE K. HILL (JANE.HILL@YORK.AC.UK; ORCID ID: 0000-0003-1871-7715), SARAH SIM (SARAH.SIM@UNILEVER.COM), N. PETTORELLI (NATHALIE.PETTORELLI@IOZ.AC.UK; ORCID ID: 0000-0002-1594-6208), Colin J. McClean (colin.mcclean@york.ac.uk)</t>
  </si>
  <si>
    <t>1744-7429</t>
  </si>
  <si>
    <t>A modelling study of the impact of photolysis on indoor air quality</t>
  </si>
  <si>
    <t>10.1111/ina.13054</t>
  </si>
  <si>
    <t>Canada Research Chairs; 
Alfred P. Sloan Foundation (Grant number(s): G-2018-10083, G-2018-11062; Grant recipient(s): Nicola Carslaw, David Shaw, Tara F Kahan)</t>
  </si>
  <si>
    <t>Nicola Carslaw</t>
  </si>
  <si>
    <t>nicola.carslaw@york.ac.uk</t>
  </si>
  <si>
    <t>0000-0002-5290-4779</t>
  </si>
  <si>
    <t>CORALIE SCHOEMAECKER (CORALIE.SCHOEMAECKER@UNIV-LILLE1.FR; ORCID ID: 0000-0001-7016-9432), Zixu Wang (zw854@york.ac.uk), Tara F Kahan (tara.kahan@usask.ca; ORCID ID: 0000-0001-5074-1155), David Shaw (david.shaw@york.ac.uk; ORCID ID: 0000-0001-5542-0334)</t>
  </si>
  <si>
    <t>Grief, Continuing Bonds, and Unreciprocated Love</t>
  </si>
  <si>
    <t>10.1111/sjp.12462</t>
  </si>
  <si>
    <t>The Southern Journal of Philosophy</t>
  </si>
  <si>
    <t>Arts and Humanities Research Council (Grant number(s): AH/T000066/1)</t>
  </si>
  <si>
    <t>Becky Millar</t>
  </si>
  <si>
    <t>0000-0002-6308-2379</t>
  </si>
  <si>
    <t>Pilar Lopez-Cantero (P.LopezCantero@tilburguniversity.edu)</t>
  </si>
  <si>
    <t>2041-6962</t>
  </si>
  <si>
    <t>Imaginaries of Soy and the Costs of Commodity‐led Development: Reflections from Argentina</t>
  </si>
  <si>
    <t>10.1111/dech.12714</t>
  </si>
  <si>
    <t>Global Challenges Research Fund</t>
  </si>
  <si>
    <t>JEAN GRUGEL</t>
  </si>
  <si>
    <t>jean.grugel@york.ac.uk</t>
  </si>
  <si>
    <t>Maria Eugenia Giraudo (maria.e.giraudo@durham.ac.uk)</t>
  </si>
  <si>
    <t>Ortho-F,F-DPEphos: Synthesis and Coordination Chemistry in Rhodium and Gold Complexes, and Comparison with DPEphos.</t>
  </si>
  <si>
    <t>10.1002/ejic.202200174</t>
  </si>
  <si>
    <t>European Journal of Inorganic Chemistry</t>
  </si>
  <si>
    <t>Engineering and Physical Sciences Research Council (Grant number(s): EP/M024210/2)</t>
  </si>
  <si>
    <t>James J. Race (jjr534@york.ac.uk), Timothy Morgan Boyd (tim.morgan.boyd@gmail.com), Matthew J. Webb (mattwebb2506@gmail.com)</t>
  </si>
  <si>
    <t>1099-0682</t>
  </si>
  <si>
    <t>Assessment of the Potential Ecotoxicological Effects of Pharmaceuticals in the World’s Rivers</t>
  </si>
  <si>
    <t>10.1002/etc.5355</t>
  </si>
  <si>
    <t>Alejandra Bouzas Monroy</t>
  </si>
  <si>
    <t>abm538@york.ac.uk</t>
  </si>
  <si>
    <t>0000-0003-4158-2943</t>
  </si>
  <si>
    <t>Molly Melling (Molly@molly-melling.com), John Wilkinson (john.wilkinson@york.ac.uk; ORCID ID: 0000-0002-6993-216X), ALISTAIR B.A. BOXALL (ALISTAIR.BOXALL@YORK.AC.UK; ORCID ID: 0000-0003-3823-7516)</t>
  </si>
  <si>
    <t>The ‘Gothic Slum’: MPs and St Stephen’s Cloister, Westminster, 1548–2017</t>
  </si>
  <si>
    <t>10.1111/1750-0206.12630</t>
  </si>
  <si>
    <t>Parliamentary History</t>
  </si>
  <si>
    <t>Honorary prof</t>
  </si>
  <si>
    <t>ELIZABETH HALLAM-SMITH</t>
  </si>
  <si>
    <t>hallamsmithe@parliament.uk</t>
  </si>
  <si>
    <t>1750-0206</t>
  </si>
  <si>
    <t>Fish Species Sensitivity Ranking Depends on Pesticide Exposure Profiles</t>
  </si>
  <si>
    <t>10.1002/etc.5348</t>
  </si>
  <si>
    <t>Syngenta</t>
  </si>
  <si>
    <t>Honorary fellow</t>
  </si>
  <si>
    <t>Alexander Singer (alexander.singer@rifcon.de), Björn Rall (bjoern.rall@rifcon.de), Dirk Nickisch (dirk.nickisch@rifcon.de)</t>
  </si>
  <si>
    <t>How did autistic children, and their parents, experience school transition during the Covid‐19 pandemic?</t>
  </si>
  <si>
    <t>10.1111/1467-8578.12414</t>
  </si>
  <si>
    <t>British Journal of Special Education</t>
  </si>
  <si>
    <t>Aimee Code</t>
  </si>
  <si>
    <t>aimee.code@york.ac.uk</t>
  </si>
  <si>
    <t>0000-0001-9675-9254</t>
  </si>
  <si>
    <t>Umar Toseeb (umar.toseeb@york.ac.uk; ORCID ID: 0000-0002-7536-2722), Laura Fox (laura.fox@york.ac.uk), Kathryn Asbury (kathryn.asbury@york.ac.uk)</t>
  </si>
  <si>
    <t>1467-8578</t>
  </si>
  <si>
    <t>Prevalence of Underweight in People with Severe Mental Illness: Systematic Review and Meta-Analysis</t>
  </si>
  <si>
    <t>10.1002/mhs2.7</t>
  </si>
  <si>
    <t>Mental Health Science</t>
  </si>
  <si>
    <t>gzavala@gmail.com</t>
  </si>
  <si>
    <t>0000-0002-9825-8725</t>
  </si>
  <si>
    <t>Sukanya Rajan (rajankanya@gmail.com), Maria Bryant (Maria.Bryant@york.ac.uk), Humaira Khalid (humaira.khalid05@gmail.com), R. I. G HOLT (R.I.G.HOLT@SOTON.AC.UK; ORCID ID: 0000-0001-8911-6744), Bilal Khan (bilalahmad219@ymail.com), Kamrun Koly (koly@icddrb.org), Faiza Aslam (faiza.aslam@york.ac.uk), Medhia Afzal (hyma24@hyms.ac.uk), Rubab Ayesha (rubab_ayesha2003@yahoo.com), NAJMA SIDDIQI (NAJMA.SIDDIQI@YORK.AC.UK), Kavindu Appuhamy (kaviridma@googlemail.com)</t>
  </si>
  <si>
    <t>2642-3588</t>
  </si>
  <si>
    <t>Serum hsCRP and IL-6 as prognostic markers in Somatic Symptom Disorder and Related Disorders. An exploratory analysis in a prospective cohort study.</t>
  </si>
  <si>
    <t>Religious‐based negative attitudes towards LGBTQ people among healthcare, social care and social work students and professionals: A review of the international literature</t>
  </si>
  <si>
    <t>10.1111/hsc.13812</t>
  </si>
  <si>
    <t>Morrell Trust</t>
  </si>
  <si>
    <t>Structure and Mutation of the Native Amine Dehydrogenase MATOUAmDH2</t>
  </si>
  <si>
    <t>10.1002/cbic.202200136</t>
  </si>
  <si>
    <t>Gideon J. Grogan</t>
  </si>
  <si>
    <t>gideon.grogan@york.ac.uk</t>
  </si>
  <si>
    <t>0000-0003-1383-7056</t>
  </si>
  <si>
    <t>Laurine Ducrot (lducrot@genoscope.cns.fr), Carine Vergne-Vaxelaire (cvergne@genoscope.cns.fr; ORCID ID: 0000-0002-1202-8110), Megan Bennett (mlb533@york.ac.uk)</t>
  </si>
  <si>
    <t>Modification of cleaning product formulations could improve indoor air quality</t>
  </si>
  <si>
    <t>10.1111/ina.13021</t>
  </si>
  <si>
    <t>Alfred P. Sloan Foundation (Grant number(s): 2018-10083, 2019-12306)</t>
  </si>
  <si>
    <t>David Shaw (david.shaw@york.ac.uk; ORCID ID: 0000-0001-5542-0334)</t>
  </si>
  <si>
    <t>Temporal experience as metaphysically lightweight</t>
  </si>
  <si>
    <t>10.1111/ejop.12781</t>
  </si>
  <si>
    <t>European Journal of Philosophy</t>
  </si>
  <si>
    <t>Daniel Morgan</t>
  </si>
  <si>
    <t>danielmorgan1917@gmail.com</t>
  </si>
  <si>
    <t>0000-0002-2770-402X</t>
  </si>
  <si>
    <t>1468-0378</t>
  </si>
  <si>
    <t>FAR sighted conservation</t>
  </si>
  <si>
    <t>Situational judgement test performance and subsequent misconduct in medical students</t>
  </si>
  <si>
    <t>10.1111/medu.14801</t>
  </si>
  <si>
    <t>NIHR (Grant number(s): CDF-2015-08-011; Grant recipient(s): Paul Tiffin); 
The UCAT Board (Grant number(s): Not applicable; Grant recipient(s): Paul Tiffin, Lewis William Paton)</t>
  </si>
  <si>
    <t>Lewis William Paton (lewis.paton@york.ac.uk; ORCID ID: 0000-0002-3328-5634), Emily Sanger (pat512@york.ac.uk), Daniel Smith (daniel.smith@gmc-uk.org), Adam Troughton (adam.troughton@gmc-uk.org)</t>
  </si>
  <si>
    <t>Elucidating historical fisheries’ networks in the Iberian Peninsula using stable isotopes</t>
  </si>
  <si>
    <t>10.1111/faf.12655</t>
  </si>
  <si>
    <t>Fish and Fisheries</t>
  </si>
  <si>
    <t>European Molecular Biology Organization (Grant number(s): ASTF 354-2016; Grant recipient(s): Begoña López-Arias, ARTURO MORALES); 
H2020 Marie Skłodowska-Curie Actions (Grant number(s): FISHARC-IF 658022; Grant recipient(s): Laura Llorente-Rodríguez, Oliver Edward Craig); 
Secretaría de Estado de Investigación, Desarrollo e Innovación (Grant number(s): HAR 2014-55722-P-Ictioarqueologia de la Prehistori, HAR 2017-88325-P-Historical archaeobiology of the; Grant recipient(s): Begoña López-Arias, ARTURO MORALES, Eufrasia Roselló-Izquierdo, Carlos Fernandez-Rodriguez)</t>
  </si>
  <si>
    <t>Author affiliation not current at time of submission</t>
  </si>
  <si>
    <t>Laura Llorente-Rodríguez</t>
  </si>
  <si>
    <t>l.llorente.rodriguez@arch.leidenuniv.nl</t>
  </si>
  <si>
    <t>0000-0001-9329-5554</t>
  </si>
  <si>
    <t>Ricard Marlasca-Martín (ricard.marlasca@hotmail.com), ANDRÉ CARLO COLONESE (ANDRE.COLONESE@YORK.AC.UK), Begoña López-Arias (begolopezar@gmail.com), ARTURO MORALES (arturo.morales@uam.es), James Nottingham (jan511@york.ac.uk), Matthew von Tersch (matthew.vontersch@york.ac.uk), Carlos Fernandez-Rodriguez (cferr@unileon.es), Oliver Edward Craig (oliver.craig@york.ac.uk; ORCID ID: 0000-0002-4296-8402), Eduardo González-Goméz de Agüero (arqueomalacololeon@hotmail.es), Eufrasia Roselló-Izquierdo (eufrasia.rosello@uam.es), JUAN ANTONIO QUIRÓS CASTI (QUIROS.CASTILLO@EHU.ES)</t>
  </si>
  <si>
    <t>1467-2979</t>
  </si>
  <si>
    <t>Maximising the engagement of older people with mental health needs and dementia with social care</t>
  </si>
  <si>
    <t>10.1111/hsc.14091</t>
  </si>
  <si>
    <t>Health &amp; Social Care In the Community</t>
  </si>
  <si>
    <t>Wiley dashboard report 18/10/2022</t>
  </si>
  <si>
    <t>NIHR Research for Patient Benefit (Grant number(s): NIHR200046)</t>
  </si>
  <si>
    <t>Mark Wilberforce</t>
  </si>
  <si>
    <t>mark.wilberforce@york.ac.uk</t>
  </si>
  <si>
    <t>Wendy Mitchell (wendy7713@icloud.com), David Niman (david.niman@gmail.com), Sue Tucker (sue.tucker@manchester.ac.uk; ORCID ID: 0000-0001-7986-0844), Louise Newbould (louise.newbould@york.ac.uk; ORCID ID: 0000-0001-5234-4866)</t>
  </si>
  <si>
    <t>An interactive open-source website for visualizing geographic distributions and phenotypes</t>
  </si>
  <si>
    <t>Effects of soil redistribution by tillage on subsequent transport of pesticide to subsurface drains</t>
  </si>
  <si>
    <t>10.1002/ps.7229</t>
  </si>
  <si>
    <t>Pest Management Science</t>
  </si>
  <si>
    <t>Syngenta Limited</t>
  </si>
  <si>
    <t>Colin Brown</t>
  </si>
  <si>
    <t>colin.brown@york.ac.uk</t>
  </si>
  <si>
    <t>0000-0001-7291-0407</t>
  </si>
  <si>
    <t>Lily Summerton (lily.summerton@hse.gov.uk), David Patterson (david.patterson@syngenta.com), Mark Greener (mark.greener@syngenta.com)</t>
  </si>
  <si>
    <t>1526-4998</t>
  </si>
  <si>
    <t>Systematic review of the effects of sleep on memory and word learning in infancy</t>
  </si>
  <si>
    <t>10.1111/lang.12544</t>
  </si>
  <si>
    <t>Economic and Social Research Council (Grant number(s): ES/P000746/1; Grant recipient(s): Margherita Belia)</t>
  </si>
  <si>
    <t>Margherita Belia</t>
  </si>
  <si>
    <t>margherita.belia@york.ac.uk</t>
  </si>
  <si>
    <t>0000-0003-2173-6941</t>
  </si>
  <si>
    <t>Tamar Keren-Portnoy (tamar.keren-portnoy@york.ac.uk), Marilyn Vihman (MARILYN.VIHMAN@YORK.AC.UK)</t>
  </si>
  <si>
    <t>Caddisfly Larvae are a Driver of Plastic Litter Breakdown and Microplastic Formation in Freshwater Environments</t>
  </si>
  <si>
    <t>10.1002/etc.5496</t>
  </si>
  <si>
    <t>NERC ACCE doctoral training programme</t>
  </si>
  <si>
    <t>Katey Valentine</t>
  </si>
  <si>
    <t>klv501@york.ac.uk</t>
  </si>
  <si>
    <t>ALISTAIR B.A. BOXALL (ALISTAIR.BOXALL@YORK.AC.UK; ORCID ID: 0000-0003-3823-7516), Richard Cross (riccro@ceh.ac.uk; ORCID ID: 0000-0001-5409-6552), Ruairidh Cox (ruairidhcox@hotmail.co.uk), Gina Woodmancy (gw906@york.ac.uk)</t>
  </si>
  <si>
    <t>Synthesis and Chemoselective Crosslinking of Functionalized Polyesters from Bio-based Epoxides and Cyclic Anhydrides</t>
  </si>
  <si>
    <t>10.1002/pol.20220552</t>
  </si>
  <si>
    <t>Journal of Polymer Science</t>
  </si>
  <si>
    <t>Thomas Farmer (thomas.farmer@york.ac.uk; ORCID ID: 0000-0002-1039-7684), Marcell N.D. Haslewood (mndh500@york.ac.uk)</t>
  </si>
  <si>
    <t>2642-4169</t>
  </si>
  <si>
    <t>The emperor has no clothes: a synthesis of findings from the Transformative Research on the Alcohol industry, Policy and Science research programme</t>
  </si>
  <si>
    <t>10.1111/add.16058</t>
  </si>
  <si>
    <t>Wellcome Trust (Grant number(s): 200321/Z/15/Z; Grant recipient(s): Jim McCambridge)</t>
  </si>
  <si>
    <t>Andreas Filippou (Andreas.Filippou@york.ac.uk), ANDREW BARTLETT (andrew.bartlett@york.ac.uk; ORCID ID: 0000-0002-6927-0899), su golder (su.golder@york.ac.uk; ORCID ID: 0000-0002-8987-5211), Mary Madden (madden.mary@gmail.com; ORCID ID: 0000-0001-5749-2665), Matthew Lesch (matt.lesch@york.ac.uk; ORCID ID: 0000-0002-3015-0937), Jack Garry (jack.garry@york.ac.uk; ORCID ID: 0000-0001-8938-6859), Gemma Mitchell (gemma.mitchell@york.ac.uk; ORCID ID: 0000-0003-0199-859X)</t>
  </si>
  <si>
    <t>Mobilising the market: an empirical analysis of crowdfunding for judicial review litigation</t>
  </si>
  <si>
    <t>10.1111/1468-2230.12770</t>
  </si>
  <si>
    <t>Sam Guy</t>
  </si>
  <si>
    <t>sg1376@york.ac.uk</t>
  </si>
  <si>
    <t>0000-0003-0119-222X</t>
  </si>
  <si>
    <t>Sodium channels and the ionic microenvironment of breast tumours</t>
  </si>
  <si>
    <t>10.1113/JP282306</t>
  </si>
  <si>
    <t>The Journal of Physiology</t>
  </si>
  <si>
    <t>Cancer Research UK (Grant number(s): A25922); 
Breast Cancer Now (Grant number(s): 2015NovPhD572)</t>
  </si>
  <si>
    <t>WILLIAM J BRACKENBURY</t>
  </si>
  <si>
    <t>WILLIAM.BRACKENBURY@YORK.AC.UK</t>
  </si>
  <si>
    <t>0000-0001-6882-3351</t>
  </si>
  <si>
    <t>Theresa, K Leslie (tesskleslie@gmail.com)</t>
  </si>
  <si>
    <t>1469-7793</t>
  </si>
  <si>
    <t>Niche partitioning overrides interspecific competition to determine plant species distributions along a nutrient gradient</t>
  </si>
  <si>
    <t>10.1111/oik.08943</t>
  </si>
  <si>
    <t>Oikos</t>
  </si>
  <si>
    <t>Australian Research Council (Grant number(s): DP150101839; Grant recipient(s): RICHARD P DUNCAN, Jane Catford)</t>
  </si>
  <si>
    <t>ELIZABETH M WANDRAG</t>
  </si>
  <si>
    <t>ELIZABETHWANDRAG@GMAIL.COM</t>
  </si>
  <si>
    <t>0000-0001-8140-539X</t>
  </si>
  <si>
    <t>RICHARD P DUNCAN (RICHARD.DUNCAN@CANBERRA.EDU.AU; ORCID ID: 0000-0003-2295-449X), Jane Catford (JANE.CATFORD@KCL.AC.UK; ORCID ID: 0000-0003-0582-5960)</t>
  </si>
  <si>
    <t>1600-0706</t>
  </si>
  <si>
    <t>Combining models for animal tracking: Defining behavioural states to understand space use for conservation</t>
  </si>
  <si>
    <t>10.1111/jbi.14483</t>
  </si>
  <si>
    <t>Journal of Biogeography</t>
  </si>
  <si>
    <t>Leiden Conservation Foundation; 
Disney Conservation Fund; 
Taronga Conservation Society Australia; 
National Geographic Society (Grant number(s): NGS-50552C-18; Grant recipient(s): Corinne Kendall); 
Mohamed bin Zayed Species Conservation Fund (Grant number(s): 182519946; Grant recipient(s): Corinne Kendall); 
Dallas Zoo; 
Association of Zoos and Aquariums (Grant number(s): 18-1558, 20-1700; Grant recipient(s): Corinne Kendall)</t>
  </si>
  <si>
    <t>Natasha Peters</t>
  </si>
  <si>
    <t>peters.natasham@gmail.com</t>
  </si>
  <si>
    <t>0000-0002-0120-4262</t>
  </si>
  <si>
    <t>Msafiri P. Mgumba (mgumbamsafiri@gmail.com), Corinne Kendall (corinne.kendall@nczoo.org; ORCID ID: 0000-0003-4429-4496), Colin Beale (colin.beale@york.ac.uk), Claire Bracebridge (clairebracebridge@gmail.com)</t>
  </si>
  <si>
    <t>1365-2699</t>
  </si>
  <si>
    <t>Research priorities for homecare for older people: A &lt;fc&gt;UK&lt;/fc&gt; multi‐stakeholder consultation</t>
  </si>
  <si>
    <t>10.1111/hsc.13991</t>
  </si>
  <si>
    <t>Home Instead UK</t>
  </si>
  <si>
    <t>Gareth O'Rourke</t>
  </si>
  <si>
    <t>gareth.orourke@york.ac.uk</t>
  </si>
  <si>
    <t>Bryony Beresford (bryony.beresford@york.ac.uk)</t>
  </si>
  <si>
    <t>Emergency Use Authorisations for COVID-19 treatments: A review of the evidence base</t>
  </si>
  <si>
    <t>10.1002/hsr2.1051</t>
  </si>
  <si>
    <t>Health Science Reports</t>
  </si>
  <si>
    <t>Ailish Byrne</t>
  </si>
  <si>
    <t>ailish.byrne@york.ac.uk</t>
  </si>
  <si>
    <t>Catherine Knowlson (catherine.knowlson@york.ac.uk; ORCID ID: 0000-0001-5783-2690), Jackie Wilkinson (jackie.wilkinson@york.ac.uk), Claire Whitmore (claire.whitmore@york.ac.uk), DAVID TORGERSON (DAVID.TORGERSON@YORK.AC.UK)</t>
  </si>
  <si>
    <t>2398-8835</t>
  </si>
  <si>
    <t>ModelCraft: an advanced automated model-building pipeline using Buccaneer</t>
  </si>
  <si>
    <t>10.1107/S2059798322007732</t>
  </si>
  <si>
    <t>Biotechnology and Biological Sciences Research Council (Grant number(s): BB/M011151/1, BB/S005099/1)</t>
  </si>
  <si>
    <t>Reconciling diverse viewpoints within systematic conservation planning</t>
  </si>
  <si>
    <t>10.1002/pan3.10449</t>
  </si>
  <si>
    <t>This work was funded by the Natural Environment Research Council (grant NE/R012164/1), with additional support from Natural England. CDT was funded by a Leverhulme Trust Research Centre—the Leverhulme Centre for Anthropocene Biodiversity (RC-2018-021). We are grateful to Prof Bob Smith and Dr Lizzie Wandrag for their comments on the manuscript. We thank the Biological Records Centre (supported by Natural Environment Research Council—grant NE/R016429/1) and the many recording schemes and organisations which provided species data used in this analysis, including British Trust for Ornithology (BTO), Butterfly Conservation and Hoverfly Recording Scheme (HRS), and to the committee and members of the Bees Wasps and Ants Recording Society (BWARS) for permission to use their data—downloaded on 24 May 2018.</t>
  </si>
  <si>
    <t>Originally reported under a different title: "Incorporating a diversity of viewpoints within conservation planning can deliver on different conservation objectives with minimal trade-offs". I think it's the same paper.</t>
  </si>
  <si>
    <t>Sodium regulates PLC and IP3R-mediated calcium signalling in invasive breast cancer cells</t>
  </si>
  <si>
    <t>10.14814/phy2.15663</t>
  </si>
  <si>
    <t>Physiological Reports</t>
  </si>
  <si>
    <t>This work was supported by Cancer Research UK (A25922) and an EPSRC Impact Accelerator Award to WJB and a Royal Thai Government Scholarship to NS.</t>
  </si>
  <si>
    <t>2051-817X</t>
  </si>
  <si>
    <t>The impact of developmental language disorder in a defendant's description on mock jurors? perceptions and judgements</t>
  </si>
  <si>
    <t>10.1111/1460-6984.12779</t>
  </si>
  <si>
    <t>Hannah Hobson</t>
  </si>
  <si>
    <t>hannah.hobson@york.ac.uk</t>
  </si>
  <si>
    <t>0000-0002-7952-475X</t>
  </si>
  <si>
    <t>Jemma Woodley (jemmarwoodley@gmail.com), Samantha Gamblen (samantha.trebble@surreycc.gov.uk), Danielle Miles (Danielle.miles@nhs.net), Joanna Brackley (Joanna.Brackley@cntw.nhs.uk), Fiona O'Neill (fionaoneill07@gmail.com), Claire Westwood (claire.westwood1@nhs.net)</t>
  </si>
  <si>
    <t>Brokers betrayed: The afterlife of Afghan interpreters employed by western armies</t>
  </si>
  <si>
    <t>10.1002/jid.3696</t>
  </si>
  <si>
    <t>Journal of International Development</t>
  </si>
  <si>
    <t>Open University; 
University of York</t>
  </si>
  <si>
    <t>0000-0002-5132-2777</t>
  </si>
  <si>
    <t>1099-1328</t>
  </si>
  <si>
    <t>The Impact of Supplier Instability on Corporate Social Responsibility Performance over the Firm Lifecycle: A Social Systems Theory Perspective</t>
  </si>
  <si>
    <t>10.1111/1467-8551.12651</t>
  </si>
  <si>
    <t>British Journal of Management</t>
  </si>
  <si>
    <t>National Natural Science Foundation of China (Grant number(s): 71902159)</t>
  </si>
  <si>
    <t>Yan Jiang (jiangyan_7777@126.com), Yang Yang (yang2535@foxmail.com), Lujie Chen (lujie.chen@xjtlu.edu.cn; ORCID ID: 0000-0002-4229-7194)</t>
  </si>
  <si>
    <t>1467-8551</t>
  </si>
  <si>
    <t>I don't know what to do or where to go. Experiences of accessing healthcare support from the perspectives of people living with Long Covid and healthcare professionals: A qualitative study in Bradford, UK.</t>
  </si>
  <si>
    <t>10.1111/hex.13687</t>
  </si>
  <si>
    <t xml:space="preserve">Characterization, determinants, mechanisms and consequences of the long-term effects of COVID-19: providing the evidence base for healthcare services (CONVALESCENCE) was funded by NIHR (COV-LT-0009). </t>
  </si>
  <si>
    <t>Sarah Akhtar Baz</t>
  </si>
  <si>
    <t>sarah.baz@york.ac.uk</t>
  </si>
  <si>
    <t>0000-0001-9393-8003</t>
  </si>
  <si>
    <t>Chao Fang (chao.fang@ucl.ac.uk), JD Carpentieri (j.carpentieri@ucl.ac.uk), Laura Sheard (laura.sheard@york.ac.uk)</t>
  </si>
  <si>
    <t>Histological and stable isotope analysis of archeological bones from St. Rombout's cemetery (Mechelen, Belgium): Intrasite, intraindividual, and intrabone variability</t>
  </si>
  <si>
    <t>10.1002/oa.3145</t>
  </si>
  <si>
    <t>International Journal of Osteoarchaeology</t>
  </si>
  <si>
    <t>Leverhulme Trust (Grant number(s): PLP-2012-116); 
Greek Archaeological Committee UK (GACUK); 
Danmarks Grundforskningsfond (Grant number(s): 128); 
Alexander S. Onassis Public Benefit Foundation (Grant number(s): F ZL 047-1/2015-2016); 
A.G. Leventis Foundation</t>
  </si>
  <si>
    <t>Ioannis Kontopoulos</t>
  </si>
  <si>
    <t>ik620@york.ac.uk</t>
  </si>
  <si>
    <t>0000-0001-5591-8917</t>
  </si>
  <si>
    <t>Matthew von Tersch (matthew.vontersch@york.ac.uk), Gordon Turner-Walker (gordontw@yuntech.edu.tw), Matthew Collins (matthew.collins@sund.ku.dk), Kirsty Penkman (KIRSTY.PENKMAN@YORK.AC.UK; ORCID ID: 0000-0002-6226-9799), Katrien Van de Vijver (kvandevijver@naturalsciences.be), Bart Robberechts (bart.robberechts@kuleuven.be)</t>
  </si>
  <si>
    <t>1099-1212</t>
  </si>
  <si>
    <t>Identification and characterization of in vitro expanded hematopoietic stem cells</t>
  </si>
  <si>
    <t>10.15252/embr.202255502</t>
  </si>
  <si>
    <t>EMBO Reports</t>
  </si>
  <si>
    <t>Wellcome Trust; 
National Centre for the Replacement Refinement and Reduction of Animals in Research (Grant number(s): NC/V001922/1; Grant recipient(s): David Kent); 
Medical Research Council (Grant number(s): MR/V005502/1; Grant recipient(s): David Kent, BERTHOLD GÖTTGENS, Satoshi Yamazaki); 
Cancer Research UK (Grant number(s): DCRPGF\100008; Grant recipient(s): David Kent); 
HORIZON EUROPE European Research Council (Grant number(s): ERC-2016-STG-715371; Grant recipient(s): David Kent); 
Blood Cancer UK (Grant number(s): 15008; Grant recipient(s): David Kent); 
Vetenskapsrådet (Grant number(s): 2021-00185; Grant recipient(s): Maria Jassinskaja)</t>
  </si>
  <si>
    <t>0000-0001-7871-8811</t>
  </si>
  <si>
    <t>Andy, GX Zeng (andy.zeng@mail.utoronto.ca), John E Dick (john.dick@uhnresearch.ca), Hiromitsu Nakauchi (nakauchi@stanford.edu), Juan, A Rubio-Lara (juan.rubio-lara@york.ac.uk), Mairi, S Shepherd (mss66@cantab.ac.uk), Daniel Bode (daniel.bode@york.ac.uk), Maria Jassinskaja (maria.jassinskaja@york.ac.uk), Kyomi, J Igarashi (kjigarashi@stanford.edu), Alyssa, H Cull (alyssa.cull@york.ac.uk), Miriam Belmonte (miriam.belmonte7@gmail.com), Iwo Kucinski (idk25@cam.ac.uk), Adam Wilkinson (adam.wilkinson@imm.ox.ac.uk), Satoshi Yamazaki (y-sato4@md.tsukuba.ac.jp), Fiona, M Bain (fmb521@york.ac.uk), Anna Clay (ac2304@cam.ac.uk), Melania Barile (mb2338@cam.ac.uk), Hans, Jiro Becker (jiro.becker@gmail.com), Grace Boyd (grace.boyd@york.ac.uk; ORCID ID: 0000-0003-1037-9045), James, LC Che (jlcc3@cantab.ac.uk), BERTHOLD GÖTTGENS (BG200@CAM.AC.UK; ORCID ID: 0000-0001-6302-5705)</t>
  </si>
  <si>
    <t>1469-3178</t>
  </si>
  <si>
    <t>1469-221X</t>
  </si>
  <si>
    <t>The impact of governmental COVID‐19 measures on manufacturers' stock market valuations: The role of labor intensity and operational slack</t>
  </si>
  <si>
    <t>10.1002/joom.1207</t>
  </si>
  <si>
    <t>Journal of Operations Management</t>
  </si>
  <si>
    <t>Natural Science Foundation of China  (Grant number(s): 71902159)</t>
  </si>
  <si>
    <t>Taiyu Li (taiyu.li@xjtlu.edu.cn; ORCID ID: 0000-0002-3033-3725), Tobias Schoenherr (schoenherr@bus.msu.edu; ORCID ID: 0000-0003-4958-189X), Lujie Chen (lujie.chen@xjtlu.edu.cn; ORCID ID: 0000-0002-4229-7194)</t>
  </si>
  <si>
    <t>1873-1317</t>
  </si>
  <si>
    <t>DFT studies of Au(I) catalysed reactions: anion effects and reaction selectivity</t>
  </si>
  <si>
    <t>10.1002/ijch.202200033</t>
  </si>
  <si>
    <t>Israel Journal of Chemistry</t>
  </si>
  <si>
    <t>Engineering and Physical Sciences Research Council (Grant number(s): EP/H011455/1); 
Engineering and Physical Sciences Research Council (Grant number(s): EP/ K031589/1)</t>
  </si>
  <si>
    <t>0000-0003-0103-9479</t>
  </si>
  <si>
    <t>Ryan Epton (rge500@york.ac.uk; ORCID ID: 0000-0001-7717-7339), William  Paul Unsworth (william.unsworth@york.ac.uk; ORCID ID: 0000-0002-9169-5156)</t>
  </si>
  <si>
    <t>1869-5868</t>
  </si>
  <si>
    <t>Extracorporeal Shockwave Therapy compared to Standard Care for Diabetic Foot Ulcer Healing: An Updated Systematic Review</t>
  </si>
  <si>
    <t>10.1111/iwj.14035</t>
  </si>
  <si>
    <t>International Wound Journal</t>
  </si>
  <si>
    <t>LH is funded by the NIHR Doctoral Research Fellowship NIHR 301807. The views expressed are those of the author(s) and not necessarily those of the NIHR or the Department of Health and Social Care.</t>
  </si>
  <si>
    <t>Louise Hitchman</t>
  </si>
  <si>
    <t>l.hitchman@nhs.net</t>
  </si>
  <si>
    <t>Maureen Twiddy (maureen.twiddy@hyms.ac.uk; ORCID ID: 0000-0002-3794-1598), Daniel Carradice (d.carradice1@gmail.com; ORCID ID: 0000-0002-7733-3925), Joshua Totty (hy9jpt@hyms.ac.uk; ORCID ID: 0000-0002-0063-1414), Cynthia Iglesias (cynthia.iglesias@york.ac.uk), David Russell (davidrussell1@nhs.net), George Smith (Georgeedsmith@gmail.com; ORCID ID: 0000-0002-8085-0886), Ian Chetter (ian.chetter@nhs.net), Mina Mesri (Mina.Mesri@bthft.nhs.uk)</t>
  </si>
  <si>
    <t>A millennium of increasing diversity of ecosystems until the mid‐20th century</t>
  </si>
  <si>
    <t>10.1111/gcb.16335</t>
  </si>
  <si>
    <t>Global Change Biology</t>
  </si>
  <si>
    <t>HORIZON EUROPE Marie Sklodowska-Curie Actions (Grant number(s): 894644); 
Natural Sciences and Engineering Research Council of Canada; 
Leverhulme Centre for Anthropocene Biodiversity (Grant number(s): RC-2018-021)</t>
  </si>
  <si>
    <t>Inês Martins</t>
  </si>
  <si>
    <t>iism1@st-andrews.ac.uk</t>
  </si>
  <si>
    <t>0000-0003-4328-7286</t>
  </si>
  <si>
    <t>Mark Vellend (mark.vellend@usherbrooke.ca; ORCID ID: 0000-0002-2491-956X), CHRIS D. THOMAS (CDT2@YORK.AC.UK; ORCID ID: 0000-0003-2822-1334), MARIA DORNELAS (MAADD@ST-ANDREWS.AC.UK; ORCID ID: 0000-0003-2077-7055)</t>
  </si>
  <si>
    <t>1365-2486</t>
  </si>
  <si>
    <t>Social care causes of delayed transfer of care (DTOC) from hospital for older people: Unpicking the nuances of ?provider capacity? and ?patient choice?</t>
  </si>
  <si>
    <t>10.1111/hsc.13911</t>
  </si>
  <si>
    <t>NIHR School for Social Care Research (Grant number(s): C088/CM/UKJB-P116.)</t>
  </si>
  <si>
    <t>Stephen Allan (s.allan@kent.ac.uk), Daniel Roland (d.a.roland@kent.ac.uk; ORCID ID: 0000-0002-8914-8591), Yvonne Birks (yvonne.birks@york.ac.uk; ORCID ID: 0000-0002-4235-5307), Karen Jones (K.C.Jones@kent.ac.uk), Louise Newbould (louise.newbould@york.ac.uk; ORCID ID: 0000-0001-5234-4866), Kate Baxter (kate.baxter@york.ac.uk; ORCID ID: 0000-0002-3094-9546), Gintare Malisauskaite (G.Malisauskaite@kent.ac.uk)</t>
  </si>
  <si>
    <t>Sea Level Rise and the Great Barrier Reef: The Future Implications on Reef Tidal Dynamics</t>
  </si>
  <si>
    <t>10.1029/2021JC017823</t>
  </si>
  <si>
    <t>Journal of Geophysical Research: Oceans</t>
  </si>
  <si>
    <t>Jon Hill</t>
  </si>
  <si>
    <t>jon.hill@york.ac.uk</t>
  </si>
  <si>
    <t>0000-0003-1340-4373</t>
  </si>
  <si>
    <t>Eleanor, E Mawson (em2029@hw.ac.uk), Katherine, C Lee (kl909@york.ac.uk)</t>
  </si>
  <si>
    <t>2169-9291</t>
  </si>
  <si>
    <t>Predicting developmental outcomes in middle childhood from early life language and parenting experiences</t>
  </si>
  <si>
    <t>10.1111/bjdp.12427</t>
  </si>
  <si>
    <t>British Journal of Developmental Psychology</t>
  </si>
  <si>
    <t>Nuffield Foundation (Grant number(s): EDO/44110; Grant recipient(s): Sophie von Stumm); 
Wellcome Trust (Grant number(s): 108208/Z/15/Z; Grant recipient(s): Sophie von Stumm); 
Jacobs Foundation; 
British Academy (Grant number(s): MF21\210017; Grant recipient(s): Sophie von Stumm)</t>
  </si>
  <si>
    <t>katrina d'apice (katrina.dapice@bristol.ac.uk), Jelena O'Reilly (jelena.oreilly@york.ac.uk)</t>
  </si>
  <si>
    <t>2044-835X</t>
  </si>
  <si>
    <t>Does risk aversion explain behavior in a lemon market?</t>
  </si>
  <si>
    <t>10.1111/boer.12363</t>
  </si>
  <si>
    <t>Lihui Lin</t>
  </si>
  <si>
    <t>ll1654@york.ac.uk</t>
  </si>
  <si>
    <t>0000-0003-1434-283X</t>
  </si>
  <si>
    <t>Barriers to a healthy diet and physical activity in Mexican adults: results from the Mexican Health and Nutrition Survey</t>
  </si>
  <si>
    <t>10.1111/nbu.12568</t>
  </si>
  <si>
    <t>Tom Ainscough (ainsy50@gmail.com), Aura Cecilia Jimenez-Moreno (cecilia.jimenez-moreno@evidera.com)</t>
  </si>
  <si>
    <t>Undermining loyalty to legality? An empirical analysis of perceptions of ‘lockdown’ law and guidance during COVID‐19</t>
  </si>
  <si>
    <t>10.1111/1468-2230.12755</t>
  </si>
  <si>
    <t>University of York; 
Nuffield Foundation (Grant number(s): JUS /FR-000022588)</t>
  </si>
  <si>
    <t>0000-0001-5107-6783</t>
  </si>
  <si>
    <t>Naomi Finch (naomi.finch@york.ac.uk; ORCID ID: 0000-0001-5753-1783), Mark Wilberforce (mark.wilberforce@york.ac.uk), Joe Tomlinson (joe.tomlinson@york.ac.uk; ORCID ID: 0000-0002-4512-7799), Jed Meers (jed.meers@york.ac.uk)</t>
  </si>
  <si>
    <t>Predicting locally manageable resource failures of high availability clusters</t>
  </si>
  <si>
    <t>10.1002/spe.3119</t>
  </si>
  <si>
    <t>Software: Practice and Experience</t>
  </si>
  <si>
    <t>UK Research and Innovation (Grant number(s): EP/V026747/1 ; Grant recipient(s): Radu Calinescu)</t>
  </si>
  <si>
    <t>Premathas Somasekaram</t>
  </si>
  <si>
    <t>ps1142@york.ac.uk</t>
  </si>
  <si>
    <t>0000-0002-2971-7641</t>
  </si>
  <si>
    <t>Radu Calinescu (radu.calinescu@york.ac.uk)</t>
  </si>
  <si>
    <t>1097-024X</t>
  </si>
  <si>
    <t>Developing effective workforce training to support the long‐term care of older adults: A review of reviews</t>
  </si>
  <si>
    <t>10.1111/hsc.13897</t>
  </si>
  <si>
    <t>NIHR School for Social Care Research (SSCR) (Grant number(s): 102645/CM/UYYB-P171)</t>
  </si>
  <si>
    <t>Louise Newbould</t>
  </si>
  <si>
    <t>louise.newbould@york.ac.uk</t>
  </si>
  <si>
    <t>0000-0001-5234-4866</t>
  </si>
  <si>
    <t>Mark Wilberforce (mark.wilberforce@york.ac.uk), Kritika Samsi (kritika.1.samsi@kcl.ac.uk; ORCID ID: 0000-0001-5961-6086)</t>
  </si>
  <si>
    <t>Areas of Outstanding Nineteenth Century Beauty: historic landscape characterisation analysis of protected areas in England</t>
  </si>
  <si>
    <t>10.1002/pan3.10424</t>
  </si>
  <si>
    <t xml:space="preserve">This work was funded by a Leverhulme Trust Research Centre—the Leverhulme Centre for Anthropocene Biodiversity (RC-2018-021). </t>
  </si>
  <si>
    <t>Jack Hatfield (jack.hatfield@york.ac.uk; ORCID ID: 0000-0002-6361-0629), Caroline Ward (caroline.ward@york.ac.uk; ORCID ID: 0000-0001-8362-4713), Jonathan Finch (jonathan.finch@york.ac.uk)</t>
  </si>
  <si>
    <t>Lost, gained, and regained functional and phylogenetic diversity of European mammals since 8000 years ago</t>
  </si>
  <si>
    <t>10.1111/gcb.16316</t>
  </si>
  <si>
    <t>Leverhulme Trust (Grant number(s): RC-2018-021)</t>
  </si>
  <si>
    <t>Jack Hatfield</t>
  </si>
  <si>
    <t>jack.hatfield@york.ac.uk</t>
  </si>
  <si>
    <t>0000-0002-6361-0629</t>
  </si>
  <si>
    <t>CHRIS D. THOMAS (CDT2@YORK.AC.UK; ORCID ID: 0000-0003-2822-1334), Katie Davis (katie.davis@york.ac.uk)</t>
  </si>
  <si>
    <t>Unitary Design of Quantum Spin Networks for Robust Routing, Entanglement Generation, and Phase Sensing</t>
  </si>
  <si>
    <t>10.1002/qute.202200013</t>
  </si>
  <si>
    <t>Abdulsalam Huwaydi Alsulami</t>
  </si>
  <si>
    <t>aha555@york.ac.uk</t>
  </si>
  <si>
    <t>0000-0001-7108-9805</t>
  </si>
  <si>
    <t>Timothy Spiller (timothy.spiller@york.ac.uk; ORCID ID: 0000-0003-1083-2604), Irene D'Amico (irene.damico@york.ac.uk; ORCID ID: 0000-0002-4794-1348), Marta P. Estarellas (mpestarellas@qilimanjaro.tech)</t>
  </si>
  <si>
    <t>Reversing delegation? Politicization, de‐delegation, and non‐majoritarian institutions</t>
  </si>
  <si>
    <t>10.1111/gove.12709</t>
  </si>
  <si>
    <t>Bernardo Rangoni</t>
  </si>
  <si>
    <t>bernardo.rangoni@york.ac.uk</t>
  </si>
  <si>
    <t>0000-0001-9331-3249</t>
  </si>
  <si>
    <t>Mark Thatcher (mthatcher@luiss.it), Alec Stone Sweet (alec.sweet@yale.edu)</t>
  </si>
  <si>
    <t>The representation of shape and texture in category‐selective regions of ventral‐temporal cortex</t>
  </si>
  <si>
    <t>10.1111/ejn.15737</t>
  </si>
  <si>
    <t>Tim Andrews</t>
  </si>
  <si>
    <t>ta505@york.ac.uk</t>
  </si>
  <si>
    <t>0000-0001-8255-9120</t>
  </si>
  <si>
    <t>Kathryn Jones (ksjones131@gmail.com), Robert Brownbridge (bobbrownbridge@outlook.com), Christopher Ellis (ellich@hotmail.co.uk), Charlotte Kilroy (charlotte.kilroy21@gmail.com), Ao Wang (ao.wang@york.ac.uk), David Coggan (ddcoggan@gmail.com), David Watson (david.watson@york.ac.uk)</t>
  </si>
  <si>
    <t>Associational resistance through intercropping reduces yield losses to soil‐borne pests and diseases</t>
  </si>
  <si>
    <t>10.1111/nph.18302</t>
  </si>
  <si>
    <t>New Phytologist</t>
  </si>
  <si>
    <t>Biotechnology and Biological Sciences Research Council (Grant number(s): University of York  PhD Studentship; Grant recipient(s): SUSAN E HARTLEY, Kelly, Robert Redeker, Victoria Chadfield)</t>
  </si>
  <si>
    <t>Kelly, Robert Redeker</t>
  </si>
  <si>
    <t>kelly.redeker@york.ac.uk</t>
  </si>
  <si>
    <t>0000-0002-1903-2286</t>
  </si>
  <si>
    <t>Victoria Chadfield (vchadfield@gmail.com), SUSAN E HARTLEY (s.hartley@sheffield.ac.uk; ORCID ID: 0000-0002-5117-687X)</t>
  </si>
  <si>
    <t>The management of neovascular age‐related macular degeneration: A systematic literature review of patient‐reported outcomes, patient mental health and caregiver burden</t>
  </si>
  <si>
    <t>10.1111/aos.15201</t>
  </si>
  <si>
    <t>Acta Ophthalmologica</t>
  </si>
  <si>
    <t>Bayer Consumer Care AG</t>
  </si>
  <si>
    <t>Richard Gale</t>
  </si>
  <si>
    <t>richard.gale@york.nhs.uk</t>
  </si>
  <si>
    <t>0000-0002-8847-044X</t>
  </si>
  <si>
    <t>Laurent Kodjikian (kodjikian@gmail.com), Francisco Rodríguez (fjrodriguez@fon.org.co), Tien Y Wong (OPHWTY@NUS.EDU.SG; ORCID ID: 0000-0002-8448-1264), Robert Finger (robert.finger@ukbonn.de; ORCID ID: 0000-0003-4253-7597), Jane Barratt (jbarratt@ifa.ngo), Michelle Sylvanowicz (michelle.sylvanowicz@bayer.com), Tariq Aslam (tariq.aslam@mft.nhs.uk), Vincent DAIEN (vincent.daien@gmail.com; ORCID ID: 0000-0001-5675-0861), Bora Eldem (eldembora@gmail.com), ANAT LOEWENSTEIN (anatl@tlvmc.gov.il), Mali Okada (okadam@gmail.com)</t>
  </si>
  <si>
    <t>1755-3768</t>
  </si>
  <si>
    <t>Alone in the COVID‐19 lockdown: An exploratory study</t>
  </si>
  <si>
    <t>10.1111/asap.12317</t>
  </si>
  <si>
    <t>Analyses of Social Issues and Public Policy</t>
  </si>
  <si>
    <t>Rowena Leary</t>
  </si>
  <si>
    <t>rowena.leary@york.ac.uk</t>
  </si>
  <si>
    <t>1530-2415</t>
  </si>
  <si>
    <t>Beyond survival mode: Organizational resilience capabilities in nonprofit arts and culture fundraising during the Covid‐19 pandemic</t>
  </si>
  <si>
    <t>10.1002/nml.21524</t>
  </si>
  <si>
    <t>Nonprofit Management &amp; Leadership</t>
  </si>
  <si>
    <t>Marta Herrero</t>
  </si>
  <si>
    <t>marta.herrero@york.ac.uk</t>
  </si>
  <si>
    <t>0000-0003-2003-8367</t>
  </si>
  <si>
    <t>Simone Kraemer (simone.kraemer@hotmail.com)</t>
  </si>
  <si>
    <t>1542-7854</t>
  </si>
  <si>
    <t>Riley in Cairo: British Art and Egypt in the 1980s</t>
  </si>
  <si>
    <t>10.1111/1467-8365.12656</t>
  </si>
  <si>
    <t>RICHARD JOHNS</t>
  </si>
  <si>
    <t>richard.johns@york.ac.uk</t>
  </si>
  <si>
    <t>Updated generic search filters for finding studies of adverse drug effects in Ovid MEDLINE and Embase may retrieve up to 90% of relevant studies.</t>
  </si>
  <si>
    <t>10.1111/hir.12441</t>
  </si>
  <si>
    <t>Health Information and Libraries Journal</t>
  </si>
  <si>
    <t>su golder</t>
  </si>
  <si>
    <t>su.golder@york.ac.uk</t>
  </si>
  <si>
    <t>0000-0002-8987-5211</t>
  </si>
  <si>
    <t>Anna Rama (hyar22@hyms.ac.uk), Kelly Farrah (kellyf@cadth.ca; ORCID ID: 0000-0002-4211-0705), Beth Barker (eb856@bath.ac.uk), Monika Mierzwinski-Urban (Monikam@cadth.ca)</t>
  </si>
  <si>
    <t>1471-1842</t>
  </si>
  <si>
    <t>Congruent change in plant and insect assemblages over 80 years across a dynamic habitat mosaic</t>
  </si>
  <si>
    <t>Atmospheric architecture: Gregory of Tours’s use of the fear of God in Tours Cathedral and the Basilica of St Martin</t>
  </si>
  <si>
    <t>10.1111/emed.12559</t>
  </si>
  <si>
    <t>Early Medieval Europe</t>
  </si>
  <si>
    <t>Arts and Humanities Research Council (Grant number(s): AH/L503848/1; Grant recipient(s): Catherine-Rose Hailstone)</t>
  </si>
  <si>
    <t>Catherine-Rose Hailstone</t>
  </si>
  <si>
    <t>catherine-rose.hailstone@york.ac.uk</t>
  </si>
  <si>
    <t>0000-0001-7981-9825</t>
  </si>
  <si>
    <t>1468-0254</t>
  </si>
  <si>
    <t>General Practice Nurses' experiences of changing care delivery during &lt;fc&gt;COVID&lt;/fc&gt;‐19. Implications for future practice: Qualitative study protocol</t>
  </si>
  <si>
    <t>10.1111/jan.15312</t>
  </si>
  <si>
    <t>Journal of Advanced Nursing</t>
  </si>
  <si>
    <t>General Nursing Council for England and Wales Trust (Grant number(s): GNCT21-05)</t>
  </si>
  <si>
    <t>Helen Anderson</t>
  </si>
  <si>
    <t>helen.anderson@york.ac.uk</t>
  </si>
  <si>
    <t>0000-0002-6945-0590</t>
  </si>
  <si>
    <t>PAUL M GALDAS (PAUL.GALDAS@YORK.AC.UK; ORCID ID: 0000-0002-3185-205X), Arabella Scantlebury (arabella.scantlebury@york.ac.uk), Joy Adamson (joy.adamson@york.ac.uk)</t>
  </si>
  <si>
    <t>1365-2648</t>
  </si>
  <si>
    <t>Assessing the value of biodiversity-specific footprinting metrics linked to South American soy trade</t>
  </si>
  <si>
    <t>10.1002/pan3.10457</t>
  </si>
  <si>
    <t>This work is funded by the Global Challenges Research Fund Trade, Development and the Environment Hub project (ES/S008160/1). It is also supported by the Gordon and Betty Moore Foundation (7703.01), Norway's International Climate and Forest Initiative (QZA-21/0156) and the Quadrature Climate Foundation (01-21-000098)</t>
  </si>
  <si>
    <t>Challenges around Quantifying Uncertainty in a Holistic Approach to Hard-to-heal Wound Management: Health Economic Perspective</t>
  </si>
  <si>
    <t>10.1111/iwj.13924</t>
  </si>
  <si>
    <t>HARTMANN GROUP</t>
  </si>
  <si>
    <t>0000-0002-9311-1409</t>
  </si>
  <si>
    <t>Vladica Veličković (vladica.velickovic@hartmann.info; ORCID ID: 0000-0001-7146-1267)</t>
  </si>
  <si>
    <t>Prevalence of exclusive breastfeeding practices and its associated factors in Nepal: systematic review and meta-Analysis</t>
  </si>
  <si>
    <t>Food Science &amp; Nutrition</t>
  </si>
  <si>
    <t>2048-7177</t>
  </si>
  <si>
    <t>Single-Cell Motility Rapidly Quantifying Heteroresistance in Populations of Escherichia coli and Salmonella typhimurium</t>
  </si>
  <si>
    <t>10.1002/smsc.202100123</t>
  </si>
  <si>
    <t>Small Science</t>
  </si>
  <si>
    <t>The authors acknowledge funding from the EPSRC (grants EP/P030017/1 ‘Resonant and shaped photonics for understanding the physical and biomedical world’ and EP/P02324X/1 ‘Multiparameter Assay for Profiling Susceptibility [MAPS]’). T.F.K. acknowledges the Royal Society Wolfson Research Merit Award Scheme.</t>
  </si>
  <si>
    <t>Giampaolo Pitruzzello</t>
  </si>
  <si>
    <t>giampaolo.pitruzzello@york.ac.uk</t>
  </si>
  <si>
    <t>0000-0002-8030-7699</t>
  </si>
  <si>
    <t>Thomas F. Krauss (thomas.krauss@york.ac.uk), Christoph G. Baumann (christoph.baumann@york.ac.uk; ORCID ID: 0000-0002-8818-972X), Steven Johnson (steven.johnson@york.ac.uk)</t>
  </si>
  <si>
    <t>2688-4046</t>
  </si>
  <si>
    <t>Plant pathogenic bacterium can rapidly evolve tolerance to an antimicrobial plant allelochemical</t>
  </si>
  <si>
    <t>10.1111/eva.13363</t>
  </si>
  <si>
    <t>EVOLUTIONARY APPLICATIONS</t>
  </si>
  <si>
    <t>This work was funded by the NERC ACCE DTP (CLA), the Royal Society (RSG\R1\180213 and CHL\R1\180031; V-P.F) and jointly by a grant from UKRI, Defra, and the Scottish Government, under the Strategic Priorities Fund Plant Bacterial Diseases programme (BB/T010606/1; V-P.F) at the University of York. The funders had no role in study design, data collection and interpretation, or the decision to submit the work for publication.</t>
  </si>
  <si>
    <t>Carrie Alderley</t>
  </si>
  <si>
    <t>carrie.alderley@york.ac.uk</t>
  </si>
  <si>
    <t>0000-0002-6262-2185</t>
  </si>
  <si>
    <t>Samuel Greenrod (steg500@york.ac.uk), Ville-Petri Friman (ville.friman@york.ac.uk)</t>
  </si>
  <si>
    <t>1752-4571</t>
  </si>
  <si>
    <t>High‐coverage metamorphic testing of concurrency support in C compilers</t>
  </si>
  <si>
    <t>10.1002/stvr.1812</t>
  </si>
  <si>
    <t>SOFTWARE TESTING, VERIFICATION &amp; RELIABILITY</t>
  </si>
  <si>
    <t>Matt Windsor</t>
  </si>
  <si>
    <t>matt.windsor@york.ac.uk</t>
  </si>
  <si>
    <t>John Wickerson (j.wickerson@imperial.ac.uk; ORCID ID: 0000-0001-6735-5533), Alastair Donaldson (alastair.donaldson@imperial.ac.uk)</t>
  </si>
  <si>
    <t>1099-1689</t>
  </si>
  <si>
    <t>Absence experience in grief</t>
  </si>
  <si>
    <t>10.1111/ejop.12778</t>
  </si>
  <si>
    <t>EUROPEAN JOURNAL OF PHILOSOPHY</t>
  </si>
  <si>
    <t>Louise Richardson</t>
  </si>
  <si>
    <t>LOUISE.RICHARDSON@YORK.AC.UK</t>
  </si>
  <si>
    <t>0000-0001-9484-7015</t>
  </si>
  <si>
    <t>Optical coherence tomography imaging biomarkers associated with neovascular age-related macular degeneration: a systematic review</t>
  </si>
  <si>
    <t>10.1038/s41433-022-02360-4</t>
  </si>
  <si>
    <t>Eye</t>
  </si>
  <si>
    <t>Springer_dashboard_approved_2023-01-23_13-31-05</t>
  </si>
  <si>
    <t>Novartis | Novartis Pharmaceuticals UK Limited (Novartis UK)</t>
  </si>
  <si>
    <t>1476-5454</t>
  </si>
  <si>
    <t>Meaninglessness and monotony in pandemic boredom</t>
  </si>
  <si>
    <t>10.1007/s11097-023-09888-0</t>
  </si>
  <si>
    <t>Springer Nature TA 2023</t>
  </si>
  <si>
    <t>Springer grace period</t>
  </si>
  <si>
    <t>Grief and the non-death losses of Covid-19</t>
  </si>
  <si>
    <t>10.1007/s11097-022-09878-8</t>
  </si>
  <si>
    <t>What is important to adults after lower limb reconstruction surgery: a conceptual framework</t>
  </si>
  <si>
    <t>10.1007/s11136-022-03340-7</t>
  </si>
  <si>
    <t>Velocity pausing particle swarm optimization: a novel variant for global optimization</t>
  </si>
  <si>
    <t>10.1007/s00521-022-08179-0</t>
  </si>
  <si>
    <t>Predictors of Mother and Infant Emergency Department Attendance and Admission: A Prospective Observational Study</t>
  </si>
  <si>
    <t>10.1007/s10995-022-03581-5</t>
  </si>
  <si>
    <t>The semigroup of endomorphisms with restricted range of an independence algebra</t>
  </si>
  <si>
    <t>10.1007/s00233-022-10324-z</t>
  </si>
  <si>
    <t>Incidence of anxiety and depression in children and young people with life-limiting conditions</t>
  </si>
  <si>
    <t>10.1038/s41390-022-02370-8</t>
  </si>
  <si>
    <t>Professional or student identity and commitment? Comparing the experiences of nursing students with literature on student success</t>
  </si>
  <si>
    <t>10.1007/s11233-023-09115-0</t>
  </si>
  <si>
    <t>Tertiary Education and Management</t>
  </si>
  <si>
    <t>Norges Forskningsråd</t>
  </si>
  <si>
    <t>1573-1936</t>
  </si>
  <si>
    <t>Examining the living metaphor in the Indian Constitution</t>
  </si>
  <si>
    <t>10.1007/s41020-022-00183-8</t>
  </si>
  <si>
    <t>Jindal Global Law Review</t>
  </si>
  <si>
    <t>2364-4869</t>
  </si>
  <si>
    <t>Indicators of haemodynamic instability and left ventricular function in a porcine model of esmolol induced negative inotropy</t>
  </si>
  <si>
    <t>10.1007/s10877-022-00937-8</t>
  </si>
  <si>
    <t>Journal of Clinical Monitoring and Computing</t>
  </si>
  <si>
    <t>Edwards Lifesciences</t>
  </si>
  <si>
    <t>1573-2614</t>
  </si>
  <si>
    <t>Cost-effectiveness of 5 fraction and partial breast radiotherapy for early breast cancer in the UK: model-based multi-trial analysis</t>
  </si>
  <si>
    <t>10.1007/s10549-022-06802-1</t>
  </si>
  <si>
    <t>Breast Cancer Research and Treatment</t>
  </si>
  <si>
    <t>National Institute for Health Research, The institute of Cancer Research</t>
  </si>
  <si>
    <t>1573-7217</t>
  </si>
  <si>
    <t>Are we falling apart?':  Manufacturing familyhood through transnationalism</t>
  </si>
  <si>
    <t>10.1080/13229400.2023.2174445</t>
  </si>
  <si>
    <t>Journal of Family Studies</t>
  </si>
  <si>
    <t>Taylor &amp; Francis TA 2023</t>
  </si>
  <si>
    <t>Report downloaded from T&amp;F dashboard: Taylor and Francis, Approved Articles, 2023-01-31</t>
  </si>
  <si>
    <t>Milli Eğitim Bakanliği</t>
  </si>
  <si>
    <t>Q1 2023</t>
  </si>
  <si>
    <t>Dilvin Dilara Usta</t>
  </si>
  <si>
    <t>dilvin.usta@york.ac.uk</t>
  </si>
  <si>
    <t>0000-0001-8953-2692</t>
  </si>
  <si>
    <t>VAT invoice</t>
  </si>
  <si>
    <t>1839-3543</t>
  </si>
  <si>
    <t>1322-9400</t>
  </si>
  <si>
    <t>Corridors as empty signifiers: The entanglement of Mozambique’s colonial past and present in its development corridors</t>
  </si>
  <si>
    <t>10.1080/02665433.2023.2173636</t>
  </si>
  <si>
    <t>This work was supported by UK Research and Innovation: [Grant Number ES/T006358/1]; British Academy/GCRF Sustainable Development Programme: [Grant Number GF160020]</t>
  </si>
  <si>
    <t>Joshua Kirshner</t>
  </si>
  <si>
    <t>joshua.kirshner@york.ac.uk</t>
  </si>
  <si>
    <t>0000-0002-6860-4287</t>
  </si>
  <si>
    <t>Scenes from the Inquiry: Tribunal theatre and the act of listening'</t>
  </si>
  <si>
    <t>10.1080/13569783.2023.2170220</t>
  </si>
  <si>
    <t>Research in Drama Education: The Journal of Applied Theatre and Performance</t>
  </si>
  <si>
    <t>Tom Cantrell</t>
  </si>
  <si>
    <t>tom.cantrell@york.ac.uk</t>
  </si>
  <si>
    <t>1470-112X</t>
  </si>
  <si>
    <t>1356-9783</t>
  </si>
  <si>
    <t>E-commerce Supply Chain Finance for SMEs: The Role of Green Innovation</t>
  </si>
  <si>
    <t>10.1080/13675567.2023.2167959</t>
  </si>
  <si>
    <t>Critical Discourse Analysis Guided Topic Modeling: The Case of Al-Jazeera Arabic</t>
  </si>
  <si>
    <t>10.1080/1369118X.2023.2166364</t>
  </si>
  <si>
    <t>Information, Communication &amp; Society</t>
  </si>
  <si>
    <t>The Global Religion Research Initiative at the University of Notre Dame</t>
  </si>
  <si>
    <t>Toni Rouhana</t>
  </si>
  <si>
    <t>toni.rouhana@york.ac.uk</t>
  </si>
  <si>
    <t>0000-0002-0589-9073</t>
  </si>
  <si>
    <t>1468-4462</t>
  </si>
  <si>
    <t>1369-118X</t>
  </si>
  <si>
    <t>Mixed-ish: race, class and gender in 1950s-60s Kampala through a life history of Barbara Kimenye</t>
  </si>
  <si>
    <t>10.1080/17531055.2022.2163469</t>
  </si>
  <si>
    <t>Journal of Eastern African Studies</t>
  </si>
  <si>
    <t>Anna Adima</t>
  </si>
  <si>
    <t>anna.adima@gmail.com</t>
  </si>
  <si>
    <t>0000-0001-9926-7562</t>
  </si>
  <si>
    <t>1753-1063</t>
  </si>
  <si>
    <t>1753-1055</t>
  </si>
  <si>
    <t>Co-Producing a Physical Activity Intervention with and for people with Severe Mental Ill Health – The SPACES Story</t>
  </si>
  <si>
    <t>10.1080/2159676X.2022.2161610</t>
  </si>
  <si>
    <t>Qualitative Research in Sport, Exercise and Health</t>
  </si>
  <si>
    <t>Lauren Walker</t>
  </si>
  <si>
    <t>lauren.walker@york.ac.uk</t>
  </si>
  <si>
    <t>2159-6778</t>
  </si>
  <si>
    <t>2159-676X</t>
  </si>
  <si>
    <t>The State of Hillfort Studies in the British Isles</t>
  </si>
  <si>
    <t>10.1080/14662035.2022.2095128</t>
  </si>
  <si>
    <t>Landscapes</t>
  </si>
  <si>
    <t>Alastair Oswald</t>
  </si>
  <si>
    <t>alastair.oswald@hotmail.com</t>
  </si>
  <si>
    <t>2040-8153</t>
  </si>
  <si>
    <t>1466-2035</t>
  </si>
  <si>
    <t>“While he listened he looked”: John Singer Sargent and orchestral imagery</t>
  </si>
  <si>
    <t>10.1080/08905495.2023.2161804</t>
  </si>
  <si>
    <t>Nineteenth-Century Contexts</t>
  </si>
  <si>
    <t>Marte Stinis</t>
  </si>
  <si>
    <t>mes551@york.ac.uk</t>
  </si>
  <si>
    <t>1477-2663</t>
  </si>
  <si>
    <t>0890-5495</t>
  </si>
  <si>
    <t>New Champions of Preferential Trade? Two-Level Games in China’s and India’s Shifting Commercial Strategies</t>
  </si>
  <si>
    <t>10.1080/09692290.2022.2060278</t>
  </si>
  <si>
    <t>Review of International Political Economy</t>
  </si>
  <si>
    <t>Schweizerischer Nationalfonds zur Förderung der Wissenschaftlichen Forschung</t>
  </si>
  <si>
    <t>Jappe Eckhardt,Omar Serrano Oswald</t>
  </si>
  <si>
    <t>jappe.eckhardt@york.ac.uk,omar.serrano@hfp.tum.de</t>
  </si>
  <si>
    <t>0000-0002-8823-0905</t>
  </si>
  <si>
    <t>1466-4526</t>
  </si>
  <si>
    <t>0969-2290</t>
  </si>
  <si>
    <t>Reframing parent - teacher relationships in rural African schools</t>
  </si>
  <si>
    <t>10.1080/18146627.2022.2151926</t>
  </si>
  <si>
    <t>Africa Education Review</t>
  </si>
  <si>
    <t>Bukola Oyinloye</t>
  </si>
  <si>
    <t>boyinloye@ymail.com</t>
  </si>
  <si>
    <t>1753-5921</t>
  </si>
  <si>
    <t>1814-6627</t>
  </si>
  <si>
    <t>Are fund managers incentivised to ignore stock market jumps?</t>
  </si>
  <si>
    <t>10.1080/1351847X.2022.2156804</t>
  </si>
  <si>
    <t>Mark freeman</t>
  </si>
  <si>
    <t>mark.freeman@york.ac.uk</t>
  </si>
  <si>
    <t>Are young migrants 'favourably' selected? Evidence from four developing countries</t>
  </si>
  <si>
    <t>10.1080/13600818.2022.2156491</t>
  </si>
  <si>
    <t>Oxford Development Studies</t>
  </si>
  <si>
    <t>Maria Franco Gavonel</t>
  </si>
  <si>
    <t>maria.francogavonel@york.ac.uk</t>
  </si>
  <si>
    <t>0000-0003-2377-5987</t>
  </si>
  <si>
    <t>1469-9966</t>
  </si>
  <si>
    <t>1360-0818</t>
  </si>
  <si>
    <t>Appleby New Fair: Investigating Local Attitudes Towards a Gypsy, Roma and Traveller (GRT) Heritage Tradition in the Context of Legislative Change</t>
  </si>
  <si>
    <t>10.1080/17567505.2022.2144599</t>
  </si>
  <si>
    <t>Jennifer Toyn</t>
  </si>
  <si>
    <t>Cheap Print, Crime and Information in Early Modern London: The Life and Death of Griffin Flood</t>
  </si>
  <si>
    <t>10.1080/0268117X.2022.2144939</t>
  </si>
  <si>
    <t>The Seventeenth Century</t>
  </si>
  <si>
    <t>Mark Jenner</t>
  </si>
  <si>
    <t>msrj1@york.ac.uk</t>
  </si>
  <si>
    <t>2050-4616</t>
  </si>
  <si>
    <t>0268-117X</t>
  </si>
  <si>
    <t>Cost-effectiveness analysis of hydrophilic-coated catheters in long-term intermittent catheter users in the UK</t>
  </si>
  <si>
    <t>10.1080/03007995.2022.2151734</t>
  </si>
  <si>
    <t>Current Medical Research and Opinion</t>
  </si>
  <si>
    <t>Coloplast</t>
  </si>
  <si>
    <t>Stuart Mealing</t>
  </si>
  <si>
    <t>brooke.avey@york.ac.uk,stuart.mealing@york.ac.uk</t>
  </si>
  <si>
    <t>1473-4877</t>
  </si>
  <si>
    <t>0300-7995</t>
  </si>
  <si>
    <t>Bourdieusian Capital Conversion During Crises of Socio-Political Legitimacy: Sponsorship of the Arts by Barclays Bank, 1972 to 1987</t>
  </si>
  <si>
    <t>10.1080/00076791.2022.2151587</t>
  </si>
  <si>
    <t>Ian Jones</t>
  </si>
  <si>
    <t>ian.jones@york.ac.uk</t>
  </si>
  <si>
    <t>0000-0002-6967-974X</t>
  </si>
  <si>
    <t>‘A completely different ballgame’: female A-level students’ experiences of academic demands, stress and coping</t>
  </si>
  <si>
    <t>10.1080/02643944.2022.2148176</t>
  </si>
  <si>
    <t>Pastoral Care in Education</t>
  </si>
  <si>
    <t>Joshua Stubbs</t>
  </si>
  <si>
    <t>joshua.stubbs@alumni.york.ac.uk</t>
  </si>
  <si>
    <t>1468-0122</t>
  </si>
  <si>
    <t>0264-3944</t>
  </si>
  <si>
    <t>Rethinking the role of planning and materiality in the Americanization of management education: The case of London Business School</t>
  </si>
  <si>
    <t>10.1080/00076791.2022.2149738</t>
  </si>
  <si>
    <t>Matthew Hollow</t>
  </si>
  <si>
    <t>matthew.hollow@york.ac.uk</t>
  </si>
  <si>
    <t>0000-0001-5207-5192</t>
  </si>
  <si>
    <t>A challenge to whole-word phonology? A study of Japanese and Mandarin</t>
  </si>
  <si>
    <t>10.1080/15475441.2022.2149401</t>
  </si>
  <si>
    <t>Language Learning and Development</t>
  </si>
  <si>
    <t>1547-3341</t>
  </si>
  <si>
    <t>1547-5441</t>
  </si>
  <si>
    <t>The Party-on-the-Net: The Digital Face of Partisan Organization and Activism</t>
  </si>
  <si>
    <t>10.1080/1369118X.2022.2147399</t>
  </si>
  <si>
    <t>Alejandro Peña</t>
  </si>
  <si>
    <t>0000-0002-7317-9246</t>
  </si>
  <si>
    <t>The relationship between supply chain integration and sustainability performance: a meta-analysis</t>
  </si>
  <si>
    <t>10.1080/13675567.2022.2144812</t>
  </si>
  <si>
    <t>Synthesis, Characterisation and Physico-chemical Performance of Non-ionic Surfactants via PEG Modification of Epoxides of Alkyl Oleate Esters</t>
  </si>
  <si>
    <t>10.1021/acssuschemeng.2c06298</t>
  </si>
  <si>
    <t>ACS Sustainable Chemistry &amp; Engineering</t>
  </si>
  <si>
    <t>American Chemical Society TA 2023</t>
  </si>
  <si>
    <t>ACS_CCC_dashboard_1_jan_22-1_feb_23</t>
  </si>
  <si>
    <t>Unilever, Tertiary Education Trust Fund, ,</t>
  </si>
  <si>
    <t>Joseph Ogunjobi</t>
  </si>
  <si>
    <t>jkogunjobi@futa.edu.ng</t>
  </si>
  <si>
    <t>2168-0485</t>
  </si>
  <si>
    <t>Preparation and Application of an Inexpensive -Formylglycine Building Block Compatible with Fmoc Solid-Phase Peptide Synthesis</t>
  </si>
  <si>
    <t>10.1021/acs.orglett.2c04059</t>
  </si>
  <si>
    <t>Organic Letters</t>
  </si>
  <si>
    <t>UK Research and Innovation, Engineering and Physical Sciences Research Council, ,</t>
  </si>
  <si>
    <t>Martin Fascione</t>
  </si>
  <si>
    <t>1523-7052</t>
  </si>
  <si>
    <t>1523-7060</t>
  </si>
  <si>
    <t>Priority and Selectivity Rules to Help Students Predict Organic Reaction Mechanisms</t>
  </si>
  <si>
    <t>10.1021/acs.jchemed.2c00950</t>
  </si>
  <si>
    <t>David Smith</t>
  </si>
  <si>
    <t>dks3@york.ac.uk</t>
  </si>
  <si>
    <t>Mechanically-Robust Hybrid Gel Beads Loaded with Naked Palladium Nanoparticles as Efficient, Reusable, and Sustainable Catalysts for the Suzuki-Miyaura Reaction</t>
  </si>
  <si>
    <t>10.1021/acssuschemeng.2c05484</t>
  </si>
  <si>
    <t>Syngenta International, Engineering and Physical Sciences Research Council, University of York,</t>
  </si>
  <si>
    <t>Magnetic Shielding Analysis of Bonding in [1.1.1]Propellane</t>
  </si>
  <si>
    <t>10.1021/acs.jpca.2c06450</t>
  </si>
  <si>
    <t>Peter Karadakov</t>
  </si>
  <si>
    <t>peter.karadakov@york.ac.uk</t>
  </si>
  <si>
    <t>A Reductive Aminase Switches to Imine Reductase Mode for a Bulky Amine Substrate</t>
  </si>
  <si>
    <t>10.1021/acscatal.2c06066</t>
  </si>
  <si>
    <t>Biotechnology and Biological Sciences Research Council, Pfizer, ,</t>
  </si>
  <si>
    <t>Gideon Grogan</t>
  </si>
  <si>
    <t>Mechanistic Insight into Molecular Crystalline Organometallic Heterogeneous Catalysis Through Parahydrogen Based Nuclear Magnetic Resonance Studies</t>
  </si>
  <si>
    <t>10.1021/jacs.2c12642</t>
  </si>
  <si>
    <t>Clarendon Fund, Engineering and Physical Sciences Research Council, Leverhulme Trust,</t>
  </si>
  <si>
    <t>Predictive removal of interfacial defect-induced trap states between titanium dioxide nanoparticles via sub-monolayer zirconium coating</t>
  </si>
  <si>
    <t>10.1021/acs.jpcc.2c06927</t>
  </si>
  <si>
    <t>The Journal of Physical Chemistry C</t>
  </si>
  <si>
    <t>University of York, Engineering and Physical Sciences Research Council, ,</t>
  </si>
  <si>
    <t>Richard Douthwaite</t>
  </si>
  <si>
    <t>red4@york.ac.uk</t>
  </si>
  <si>
    <t>1932-7455</t>
  </si>
  <si>
    <t>1932-7447</t>
  </si>
  <si>
    <t>Providing natural organic pigments with excellent tanning capabilities: A novel one-pot tanning-dyeing integration strategy for sustainable leather manufacturing</t>
  </si>
  <si>
    <t>10.1021/acssuschemeng.2c06144</t>
  </si>
  <si>
    <t>Ministerio de Ciencia, Innovación y Universidades, National Natural Science Foundation of China, Ministry of Science and Technology of the People's Republic of China,</t>
  </si>
  <si>
    <t>Associate staff according to people database</t>
  </si>
  <si>
    <t>Javier Remón</t>
  </si>
  <si>
    <t>jremon@icb.csic.es</t>
  </si>
  <si>
    <t>A general approach to silica-supported salens and salophens and their use as catalysts for the synthesis of cyclic carbonates from epoxides and carbon dioxide</t>
  </si>
  <si>
    <t>10.1021/acs.joc.2c02104</t>
  </si>
  <si>
    <t>The Journal of Organic Chemistry</t>
  </si>
  <si>
    <t>Royal Society, China Scholarship Council, ,</t>
  </si>
  <si>
    <t>1520-6904</t>
  </si>
  <si>
    <t>0022-3263</t>
  </si>
  <si>
    <t>Enhancing air-stability of dimolybdenum paddlewheel complexes: redox tuning through fluorine substituents</t>
  </si>
  <si>
    <t>10.1021/acs.inorgchem.2c02746</t>
  </si>
  <si>
    <t>University of York, Leverhulme Trust, ,</t>
  </si>
  <si>
    <t>Luke Wilkinson</t>
  </si>
  <si>
    <t>luke.a.wilkinson@york.ac.uk</t>
  </si>
  <si>
    <t>10.1136/bmjpo-2021-001339</t>
  </si>
  <si>
    <t>BMJ Paediatrics Open</t>
  </si>
  <si>
    <t>Report requested from BMJ: 2022 Accepted Papers - University of York</t>
  </si>
  <si>
    <t>Candlelighters’s Trust: Not applicable</t>
  </si>
  <si>
    <t>2399-9772</t>
  </si>
  <si>
    <t>10.1136/ebmental-2022-300530</t>
  </si>
  <si>
    <t>BMJ Mental Health</t>
  </si>
  <si>
    <t>National Institute for Health Research Collaboration for Leadership in Applied Health Research and Care Yorkshire and Humber (http://dx.doi.org/10.13039/501100014338): NA
National Institute for Health Research (http://dx.doi.org/10.13039/501100000272): RP-PG-0217-20006</t>
  </si>
  <si>
    <t>2755-9734</t>
  </si>
  <si>
    <t>10.1136/bmjopen-2021-060281</t>
  </si>
  <si>
    <t>National Institute for Health Research (http://dx.doi.org/10.13039/501100000272): Award administered by CRUK
Academy of Medical Sciences (http://dx.doi.org/10.13039/501100000691): Award administered by CRUK
Wellcome (http://dx.doi.org/10.13039/100010269): Award administered by CRUK
Medical Research Council (http://dx.doi.org/10.13039/501100000265): Award administered by CRUK
Cancer Research UK (http://dx.doi.org/10.13039/501100000289): C71037/A29824
Health Education England: Award administered by CRUK</t>
  </si>
  <si>
    <t>10.1136/bmjopen-2021-056216</t>
  </si>
  <si>
    <t>Blood Cancer UK (http://dx.doi.org/10.13039/501100015570): 15037
Cancer Research UK (http://dx.doi.org/10.13039/501100000289): 29685</t>
  </si>
  <si>
    <t>10.1136/bmjopen-2021-050816</t>
  </si>
  <si>
    <t>Blood Cancer UK (http://dx.doi.org/10.13039/501100015570): 15037
NIHR Programme Grant for Applied Research: RP-PG-0613-2002
Cancer Research UK (http://dx.doi.org/10.13039/501100000289): 29685</t>
  </si>
  <si>
    <t>10.1136/bmjopen-2021-057508</t>
  </si>
  <si>
    <t>UK National Institute for Health Research: 14/21/21
Health Technology Assessment Programme (http://dx.doi.org/10.13039/501100000664): 17/23/02</t>
  </si>
  <si>
    <t>10.1136/bmjopen-2022-060906</t>
  </si>
  <si>
    <t>Medical Research Council (http://dx.doi.org/10.13039/501100000265): MC_PC_MR/T037806/1</t>
  </si>
  <si>
    <t>10.1136/bmjopen-2021-049416</t>
  </si>
  <si>
    <t>Medical Research Council (http://dx.doi.org/10.13039/501100000265): MR/N024397/1
National Institute for Health Research (http://dx.doi.org/10.13039/501100000272): NIHR200166
Wellcome Trust (http://dx.doi.org/10.13039/100004440): WT101597MA</t>
  </si>
  <si>
    <t>10.1136/bmjopen-2022-066025</t>
  </si>
  <si>
    <t>National Institute for Health Research [NIHR]: RP-PG-0216-20002</t>
  </si>
  <si>
    <t>10.1136/bmjopen-2021-057530</t>
  </si>
  <si>
    <t>UKRI-MRC: H0027804</t>
  </si>
  <si>
    <t>10.1136/bmjopen-2022-061263</t>
  </si>
  <si>
    <t>Wellcome Trust (http://dx.doi.org/10.13039/100010269): 204829</t>
  </si>
  <si>
    <t>10.1136/emermed-2021-211900</t>
  </si>
  <si>
    <t>Emergency Medicine Journal</t>
  </si>
  <si>
    <t>National Institute for Health Research (NIHR): NIHR200486</t>
  </si>
  <si>
    <t>1472-0213</t>
  </si>
  <si>
    <t>1472-0205</t>
  </si>
  <si>
    <t>10.1136/ebnurs-2022-103594</t>
  </si>
  <si>
    <t>Evidence-Based Nursing</t>
  </si>
  <si>
    <t>1468-9618</t>
  </si>
  <si>
    <t>1367-6539</t>
  </si>
  <si>
    <t>10.1136/tc-2021-057228</t>
  </si>
  <si>
    <t>Tobacco Control</t>
  </si>
  <si>
    <t>National Institute for Health Research (NIHR): ASTRA-Grant Reference Number 17/63/76
ASTRA</t>
  </si>
  <si>
    <t>1468-3318</t>
  </si>
  <si>
    <t>0964-4563</t>
  </si>
  <si>
    <t>10.1136/archdischild-2022-324395</t>
  </si>
  <si>
    <t>10.1136/bmjopen-2021-060450</t>
  </si>
  <si>
    <t>Yorkshire Cancer Research (http://dx.doi.org/10.13039/501100002653): HEND405DEL</t>
  </si>
  <si>
    <t>10.1136/spcare-2022-003793</t>
  </si>
  <si>
    <t>Yorkshire Cancer Research (http://dx.doi.org/10.13039/501100002653): HEND405PhD</t>
  </si>
  <si>
    <t>10.1136/postgradmedj-2022-141625</t>
  </si>
  <si>
    <t>Postgraduate Medical Journal</t>
  </si>
  <si>
    <t>1469-0756</t>
  </si>
  <si>
    <t>10.1136/pmj-2022-141825</t>
  </si>
  <si>
    <t>10.1136/pmj-2022-141733</t>
  </si>
  <si>
    <t>10.1136/bmjopen-2021-049644</t>
  </si>
  <si>
    <t>H2020 Societal Challenges (http://dx.doi.org/10.13039/100010676): 680995</t>
  </si>
  <si>
    <t>10.1136/bmjopen-2021-055976</t>
  </si>
  <si>
    <t>Health Services and Delivery Research Programme (http://dx.doi.org/10.13039/501100002001): 15/145/06</t>
  </si>
  <si>
    <t>10.1136/bmjopen-2022-061862</t>
  </si>
  <si>
    <t>Health Technology Assessment Programme (http://dx.doi.org/10.13039/501100000664): 14/25/13</t>
  </si>
  <si>
    <t>10.1136/archdischild-2022-323908</t>
  </si>
  <si>
    <t>10.1136/archdischild-2022-324029</t>
  </si>
  <si>
    <t>10.1136/archdischild-2022-324201</t>
  </si>
  <si>
    <t>10.1136/archdischild-2022-324454</t>
  </si>
  <si>
    <t>10.1136/archdischild-2022-324591</t>
  </si>
  <si>
    <t>10.1136/archdischild-2022-324685</t>
  </si>
  <si>
    <t>10.1136/archdischild-2022-325017</t>
  </si>
  <si>
    <t>10.1136/archdischild-2022-325256</t>
  </si>
  <si>
    <t>The Body Behind the Curtain: Performing Disability in Zemlinsky’s Der Zwerg</t>
  </si>
  <si>
    <t>10.1017/S0954586723000034</t>
  </si>
  <si>
    <t>Cambridge Opera Journal</t>
  </si>
  <si>
    <t>CCC dashboard report: CUP CCC report 1 Jan 2021 to 8 Feb 2023.xlsx</t>
  </si>
  <si>
    <t>Denied. Author not eligible for agreement as no longer affiliated to University of York.</t>
  </si>
  <si>
    <t>Charlotte Armstrong</t>
  </si>
  <si>
    <t>charlottearmstrong246@gmail.com</t>
  </si>
  <si>
    <t>1474-0621</t>
  </si>
  <si>
    <t>0954-5867</t>
  </si>
  <si>
    <t>Prevalence of physical health conditions and health risk behaviours in people with severe mental illness in South Asia: A multi-country cross-sectional survey</t>
  </si>
  <si>
    <t>10.1192/bjo.2023.12</t>
  </si>
  <si>
    <t>Cambridge University Press TA 2023</t>
  </si>
  <si>
    <t>Kinship practices in Early Iron Age southeast Europe: genetic and isotopic analysis of burials from the Dolge njive barrow cemetery, Dolenjska, Slovenia</t>
  </si>
  <si>
    <t>10.15184/aqy.2023.2</t>
  </si>
  <si>
    <t>Howard Hughes Medical Institute; H2020 European Research Council; John Templeton Foundation</t>
  </si>
  <si>
    <t>‘Ways of being’ in the domestic garden for people living with dementia: doing, sensing and playing</t>
  </si>
  <si>
    <t>10.1017/S0144686X22001489</t>
  </si>
  <si>
    <t>Christina Buse</t>
  </si>
  <si>
    <t>christina.buse@york.ac.uk</t>
  </si>
  <si>
    <t>Health risk behaviours among people with severe mental ill health: Understanding modifiable risk in the Closing the Gap Health Study</t>
  </si>
  <si>
    <t>10.1192/bjp.2022.143</t>
  </si>
  <si>
    <t>Wellcome; UKRI</t>
  </si>
  <si>
    <t>The Political Philosophy of Data and AI</t>
  </si>
  <si>
    <t>10.1017/can.2022.28</t>
  </si>
  <si>
    <t>Ilkhanid Stucco Mihrabs in Central Iran: New Discoveries Concerning the Works of Two Distinctive Regional Workshops</t>
  </si>
  <si>
    <t>10.1017/S0041977X22000544</t>
  </si>
  <si>
    <t>Bulletin of the School of Oriental and African Studies</t>
  </si>
  <si>
    <t>1474-0699</t>
  </si>
  <si>
    <t>0041-977X</t>
  </si>
  <si>
    <t>Circular economy practices and sustainable performance: A meta-analysis</t>
  </si>
  <si>
    <t>10.1016/j.resconrec.2022.106838</t>
  </si>
  <si>
    <t>Resources, Conservation &amp; Recycling</t>
  </si>
  <si>
    <t>Dashboard report: Elsevier_dashboard_report_all_to_14_Feb_2023</t>
  </si>
  <si>
    <t>Dr. Fu Jia</t>
  </si>
  <si>
    <t>1879-0658</t>
  </si>
  <si>
    <t>0921-3449</t>
  </si>
  <si>
    <t>Beyond clients and citizens: Making claims in rural India</t>
  </si>
  <si>
    <t>10.1016/j.jrurstud.2023.01.006</t>
  </si>
  <si>
    <t>Journal of Rural Studies</t>
  </si>
  <si>
    <t>Elsevier TA 2023</t>
  </si>
  <si>
    <t>Dr. Dr Indrajit Roy</t>
  </si>
  <si>
    <t>0743-0167</t>
  </si>
  <si>
    <t>Rapid collagen peptide mass fingerprinting as a tool to authenticate Pleuronectiformes in the food industry</t>
  </si>
  <si>
    <t>10.1016/j.foodcont.2023.109680</t>
  </si>
  <si>
    <t>Food Control</t>
  </si>
  <si>
    <t xml:space="preserve">This project has received funding from the European Union's Horizon 2020 research and innovation programme under the Marie Skłodowska-Curie grant agreement no. 813383. We thank the Bioscience Technology Facility and Chemistry Department at the University of York for MALDI-ToF access and support. The MALDI-ToF/ToF instrument is part of the York Centre of Excellence in Mass Spectrometry. The centre was created thanks to a major capital investment through Science City York, supported by Yorkshire Forward with funds from the Northern Way Initiative, and subsequent support from EPSRC (EP/K039660/1 and EP/M028127/1). </t>
  </si>
  <si>
    <t>Ms Katrien Dierickx</t>
  </si>
  <si>
    <t>0956-7135</t>
  </si>
  <si>
    <t>Global Neurosurgery in the Context of Global Public Health Practice–A Literature Review of Case Studies</t>
  </si>
  <si>
    <t>10.1016/j.wneu.2022.06.022</t>
  </si>
  <si>
    <t>World Neurosurgery</t>
  </si>
  <si>
    <t>Mr Vigneshwar Veerappan</t>
  </si>
  <si>
    <t>1878-8750</t>
  </si>
  <si>
    <t>The zero helicity and chirality of optical vortices</t>
  </si>
  <si>
    <t>10.1016/j.optcom.2022.128846</t>
  </si>
  <si>
    <t>Optics Communications</t>
  </si>
  <si>
    <t>Prof. M. Babiker</t>
  </si>
  <si>
    <t>0030-4018</t>
  </si>
  <si>
    <t>Are serum hsCRP and IL-6 prognostic markers in somatic symptom disorder and related disorders? An exploratory analysis in a prospective cohort study</t>
  </si>
  <si>
    <t>10.1016/j.jpsychires.2022.11.026</t>
  </si>
  <si>
    <t>Journal of Psychiatric Research</t>
  </si>
  <si>
    <t>Dr William Heseltine-Carp</t>
  </si>
  <si>
    <t>0022-3956</t>
  </si>
  <si>
    <t>Bottle with a message: The role of story writing as an engagement tool to explore children's perceptions of marine plastic litter</t>
  </si>
  <si>
    <t>10.1016/j.marpolbul.2022.114457</t>
  </si>
  <si>
    <t>Marine Pollution Bulletin</t>
  </si>
  <si>
    <t>AH/R012733/1,ANID Doctorado Nacional/2018–21181806,Marine Conservation Fellowship,NA,NE/V005448/1</t>
  </si>
  <si>
    <t>Mrs Estelle Praet</t>
  </si>
  <si>
    <t>0025-326X</t>
  </si>
  <si>
    <t>The clinical management of functional neurological disorder: A scoping review of the literature</t>
  </si>
  <si>
    <t>10.1016/j.jpsychores.2022.111121</t>
  </si>
  <si>
    <t>PhD2019CFCApril</t>
  </si>
  <si>
    <t>Ms Danielle Varley</t>
  </si>
  <si>
    <t>Exploring the fundamental limit of antimicrobial susceptibility by near-single-cell electrical impedance spectroscopy</t>
  </si>
  <si>
    <t>10.1016/j.bios.2022.115056</t>
  </si>
  <si>
    <t>Biosensors and Bioelectronics</t>
  </si>
  <si>
    <t>EP/P030017/1,EP/P02324X/1</t>
  </si>
  <si>
    <t>Dr Giampaolo Pitruzzello</t>
  </si>
  <si>
    <t>0956-5663</t>
  </si>
  <si>
    <t>Towards a holistic understanding of non-native tree impacts on ecosystem services: A review of Acacia, Eucalyptus and Pinus in Africa</t>
  </si>
  <si>
    <t>10.1016/j.ecoser.2023.101511</t>
  </si>
  <si>
    <t>Ecosystem Services</t>
  </si>
  <si>
    <t>RC-2018-021</t>
  </si>
  <si>
    <t>Dr. Elizabeth M Wandrag</t>
  </si>
  <si>
    <t>2212-0416</t>
  </si>
  <si>
    <t>Polypharmacy in Children and Young People With Life-limiting Conditions From 2000 to 2015: A Repeated Cross-sectional Study in England</t>
  </si>
  <si>
    <t>10.1016/j.jpainsymman.2022.05.020</t>
  </si>
  <si>
    <t>Journal of Pain and Symptom Management</t>
  </si>
  <si>
    <t>R1,CDF-2018-11-ST2-002</t>
  </si>
  <si>
    <t>Professor Lorna Fraser</t>
  </si>
  <si>
    <t>0885-3924</t>
  </si>
  <si>
    <t>From punishment to help? Continuity and change in the Norwegian decriminalization reform proposal</t>
  </si>
  <si>
    <t>10.1016/j.drugpo.2023.103963</t>
  </si>
  <si>
    <t>International Journal of Drug Policy</t>
  </si>
  <si>
    <t>This research was supported by the Nordic Research Council for Criminology under grant number 20210007.</t>
  </si>
  <si>
    <t>Dr. Tobias Kammersgaard</t>
  </si>
  <si>
    <t>0955-3959</t>
  </si>
  <si>
    <t>Single-molecule and super-resolved imaging deciphers membrane behavior of onco-immunogenic CCR5</t>
  </si>
  <si>
    <t>10.1016/j.isci.2022.105675</t>
  </si>
  <si>
    <t>iScience</t>
  </si>
  <si>
    <t>BB/T007222/1,2279374,EP/T002166/1</t>
  </si>
  <si>
    <t>Dr. Mark C. Leake</t>
  </si>
  <si>
    <t>2589-0042</t>
  </si>
  <si>
    <t>On graph products of monoids</t>
  </si>
  <si>
    <t>10.1016/j.jalgebra.2022.12.018</t>
  </si>
  <si>
    <t>Journal of Algebra</t>
  </si>
  <si>
    <t>The research was supported by Grant No. 12171380 of the National Natural Science Foundation of China, by Grant No. QTZX2182 of the Fundamental Research Funds for the Central Universities and by Grant No. 2023-JC-JQ-04 of the Natural Science Basic Research Program of Shaanxi.</t>
  </si>
  <si>
    <t>Professor Victoria Gould</t>
  </si>
  <si>
    <t>0021-8693</t>
  </si>
  <si>
    <t>A Modelling Study of Indoor Air Chemistry: The Surface Interactions of Ozone and Hydrogen Peroxide</t>
  </si>
  <si>
    <t>10.1016/j.atmosenv.2023.119598</t>
  </si>
  <si>
    <t>Atmospheric Environment</t>
  </si>
  <si>
    <t>G-2020-13912</t>
  </si>
  <si>
    <t>Dr. Nicola Carslaw</t>
  </si>
  <si>
    <t>1352-2310</t>
  </si>
  <si>
    <t>Unresolved issues in the management of human papillomavirus-associated mucosal high-grade pre-cancers</t>
  </si>
  <si>
    <t>10.1016/j.tvr.2022.200250</t>
  </si>
  <si>
    <t>Tumour Virus Research</t>
  </si>
  <si>
    <t>Professor Charles JN. Lacey</t>
  </si>
  <si>
    <t>2666-6790</t>
  </si>
  <si>
    <t>Chimpanzee vocal communication: what we know from the wild</t>
  </si>
  <si>
    <t>10.1016/j.cobeha.2022.101171</t>
  </si>
  <si>
    <t>Current Opinion in Behavioral Sciences</t>
  </si>
  <si>
    <t>ERC_CoG 2016_724608,PP00P3_198912,315130_192620</t>
  </si>
  <si>
    <t>Dr. Katie Elizabeth Slocombe</t>
  </si>
  <si>
    <t>2352-1546</t>
  </si>
  <si>
    <t>Income inequality, status consumption and status anxiety: An exploratory review of implications for sustainability and directions for future research</t>
  </si>
  <si>
    <t>10.1016/j.ssaho.2022.100353</t>
  </si>
  <si>
    <t>Social Sciences &amp; Humanities Open</t>
  </si>
  <si>
    <t>BB/N02060X/1</t>
  </si>
  <si>
    <t>Dr Katie Pybus</t>
  </si>
  <si>
    <t>2590-2911</t>
  </si>
  <si>
    <t>Interference between non-native languages during trilingual language production</t>
  </si>
  <si>
    <t>10.1016/j.jml.2022.104386</t>
  </si>
  <si>
    <t>Journal of Memory and Language</t>
  </si>
  <si>
    <t>BERC 2022-2025,PIBA18_29,CEX2020-001010-S,N/A,819093,PID2020-113926GB-I00</t>
  </si>
  <si>
    <t>Dr. Angela de Bruin</t>
  </si>
  <si>
    <t>0749-596X</t>
  </si>
  <si>
    <t>On verbal memory span in Chinese speakers: Evidence for employment of an articulation-resistant phonological component</t>
  </si>
  <si>
    <t>10.1016/j.jml.2022.104389</t>
  </si>
  <si>
    <t>Dr. Alan D. Baddeley</t>
  </si>
  <si>
    <t>Prevalence and nature of multi-sensory and multi-modal hallucinations in people with first episode psychosis</t>
  </si>
  <si>
    <t>10.1016/j.psychres.2022.114988</t>
  </si>
  <si>
    <t>Psychiatry Research</t>
  </si>
  <si>
    <t>NIHR201078</t>
  </si>
  <si>
    <t>Dr Robert Dudley</t>
  </si>
  <si>
    <t>0165-1781</t>
  </si>
  <si>
    <t>Identifying priority locations to protect a wide-ranging endangered species</t>
  </si>
  <si>
    <t>10.1016/j.biocon.2022.109828</t>
  </si>
  <si>
    <t>Biological Conservation</t>
  </si>
  <si>
    <t>18-1558,20-1700,182519946,NGS-50552C-18</t>
  </si>
  <si>
    <t>Ms Natasha Peters</t>
  </si>
  <si>
    <t>0006-3207</t>
  </si>
  <si>
    <t>Understanding online fake review production strategies</t>
  </si>
  <si>
    <t>10.1016/j.jbusres.2022.113534</t>
  </si>
  <si>
    <t>Journal of Business Research</t>
  </si>
  <si>
    <t>Dr. Snehasish Banerjee</t>
  </si>
  <si>
    <t>0148-2963</t>
  </si>
  <si>
    <t>Air pollution mitigation assessment to inform Cambodia's first clean air plan</t>
  </si>
  <si>
    <t>10.1016/j.envres.2023.115230</t>
  </si>
  <si>
    <t>Environmental Research</t>
  </si>
  <si>
    <t>N/A,SNAP Initiative,Applied Sciences</t>
  </si>
  <si>
    <t>0013-9351</t>
  </si>
  <si>
    <t>Integrated biorefinery approach to valorise Saccharina latissima biomass: Combined sustainable processing to produce biologically active fucoxanthin, mannitol, fucoidans and alginates</t>
  </si>
  <si>
    <t>10.1016/j.eti.2023.103014</t>
  </si>
  <si>
    <t>Environmental Technology &amp; Innovation</t>
  </si>
  <si>
    <t>BB/S009779/1,727892</t>
  </si>
  <si>
    <t>Dr Leonardo D Gomez</t>
  </si>
  <si>
    <t>2352-1864</t>
  </si>
  <si>
    <t>Structure and mechanism of sulfofructose transaldolase, a key enzyme in sulfoquinovose metabolism</t>
  </si>
  <si>
    <t>10.1016/j.str.2023.01.010</t>
  </si>
  <si>
    <t>Structure</t>
  </si>
  <si>
    <t>RPG-2017-190,BB/W003805/1,Ken Murray Research Professorship,DP210100233,MR/T040742/1</t>
  </si>
  <si>
    <t>Dr. Gideon J Davies</t>
  </si>
  <si>
    <t>1878-4186</t>
  </si>
  <si>
    <t>0969-2126</t>
  </si>
  <si>
    <t>Characterising and dissecting human perception of scene complexity</t>
  </si>
  <si>
    <t>10.1016/j.cognition.2022.105319</t>
  </si>
  <si>
    <t>Mr Cameron Kyle-Davidson</t>
  </si>
  <si>
    <t>The Role of Vibrato in Group Singing: A Systematic Review</t>
  </si>
  <si>
    <t>10.1016/j.jvoice.2022.11.004</t>
  </si>
  <si>
    <t>Journal of Voice</t>
  </si>
  <si>
    <t>The review was partly funded by a CONACYT-FINBA research scholarship (No 795214). Funders had no role in study design, collection, analysis, or publication decisions of the review.</t>
  </si>
  <si>
    <t>Mr Gerardo Acosta Martinez</t>
  </si>
  <si>
    <t>0892-1997</t>
  </si>
  <si>
    <t>3′Nucleotidase/nuclease is required for Leishmania infantum clinical isolate susceptibility to miltefosine</t>
  </si>
  <si>
    <t>10.1016/j.ebiom.2022.104378</t>
  </si>
  <si>
    <t>eBioMedicine</t>
  </si>
  <si>
    <t>MR/P024483/1,MR/P027989/1,70984379/2015</t>
  </si>
  <si>
    <t>Dr. Juliana Brambilla Trindade Carnielli</t>
  </si>
  <si>
    <t>2352-3964</t>
  </si>
  <si>
    <t>Environmental iodine speciation quantification in seawater and snow using ion exchange chromatography and UV spectrophotometric detection</t>
  </si>
  <si>
    <t>10.1016/j.aca.2022.340700</t>
  </si>
  <si>
    <t>Analytica Chimica Acta</t>
  </si>
  <si>
    <t>833290,DIRCR-2018-003,730965,WSL_201812N1678</t>
  </si>
  <si>
    <t>Dr Matthew R. Jones</t>
  </si>
  <si>
    <t>0003-2670</t>
  </si>
  <si>
    <t>Probabilistic program performance analysis with confidence intervals</t>
  </si>
  <si>
    <t>10.1016/j.infsof.2022.107143</t>
  </si>
  <si>
    <t>Information and Software Technology</t>
  </si>
  <si>
    <t>Mr. Ioannis Stefanakos</t>
  </si>
  <si>
    <t>0950-5849</t>
  </si>
  <si>
    <t>A chromosome-level genome assembly reveals that a bipartite gene cluster formed via an inverted duplication controls monoterpenoid biosynthesis in Schizonepeta tenuifolia</t>
  </si>
  <si>
    <t>10.1016/j.molp.2023.01.004</t>
  </si>
  <si>
    <t>Molecular Plant</t>
  </si>
  <si>
    <t>81973435,81473313,81903756,NZY81903756,MR/S01862X/1,BB/V006452/1,JS-2020-044</t>
  </si>
  <si>
    <t>Dr. Benjamin R Lichman</t>
  </si>
  <si>
    <t>1752-9867</t>
  </si>
  <si>
    <t>1674-2052</t>
  </si>
  <si>
    <t>Speaker-specificity in speech production: The contribution of source and filter</t>
  </si>
  <si>
    <t>10.1016/j.wocn.2023.101224</t>
  </si>
  <si>
    <t>Journal of Phonetics</t>
  </si>
  <si>
    <t>AH/M003396/1</t>
  </si>
  <si>
    <t>Dr. Vincent Hughes</t>
  </si>
  <si>
    <t>0095-4470</t>
  </si>
  <si>
    <t>Synergy of UV light and heat in peptide degradation</t>
  </si>
  <si>
    <t>10.1016/j.jphotochem.2023.114627</t>
  </si>
  <si>
    <t>Journal of Photochemistry and Photobiology A: Chemistry</t>
  </si>
  <si>
    <t>N/A,N/A</t>
  </si>
  <si>
    <t>Prof. Victor Chechik</t>
  </si>
  <si>
    <t>1010-6030</t>
  </si>
  <si>
    <t>Reducing the Neurotrauma Burden in India—A National Mobilization</t>
  </si>
  <si>
    <t>10.1016/j.wneu.2022.06.058</t>
  </si>
  <si>
    <t>Tidal dynamics drive ooid formation in the Capricorn Channel since the Last Glacial Maximum</t>
  </si>
  <si>
    <t>10.1016/j.margeo.2022.106944</t>
  </si>
  <si>
    <t>Marine Geology</t>
  </si>
  <si>
    <t>NE/S00713X/1</t>
  </si>
  <si>
    <t>Ms Katherine C. Lee</t>
  </si>
  <si>
    <t>0025-3227</t>
  </si>
  <si>
    <t>Investigating moral hazard and property-level flood resilience measures through panel data from Germany</t>
  </si>
  <si>
    <t>10.1016/j.ijdrr.2022.103480</t>
  </si>
  <si>
    <t>International Journal of Disaster Risk Reduction</t>
  </si>
  <si>
    <t>GRK2043/1 and GRK2043/2,13N13017,GRK2043/1</t>
  </si>
  <si>
    <t>2212-4209</t>
  </si>
  <si>
    <t>Object Image Size Is a Fundamental Coding Dimension in Human Vision: New Insights and Model</t>
  </si>
  <si>
    <t>10.1016/j.neuroscience.2023.01.025</t>
  </si>
  <si>
    <t>Neuroscience</t>
  </si>
  <si>
    <t>EP/H000038/1</t>
  </si>
  <si>
    <t>Dr. Daniel H Baker</t>
  </si>
  <si>
    <t>0306-4522</t>
  </si>
  <si>
    <t>Prevalence of multi-sensory hallucinations in people at risk of transition to psychosis</t>
  </si>
  <si>
    <t>10.1016/j.psychres.2023.115091</t>
  </si>
  <si>
    <t>The emergence of view-symmetric neural responses to familiar and unfamiliar faces</t>
  </si>
  <si>
    <t>10.1016/j.neuropsychologia.2022.108275</t>
  </si>
  <si>
    <t>Neuropsychologia</t>
  </si>
  <si>
    <t>Professor Timothy J. Andrews</t>
  </si>
  <si>
    <t>0028-3932</t>
  </si>
  <si>
    <t>Calculating the sustainability of products based on their efficiency and function</t>
  </si>
  <si>
    <t>10.1016/j.oneear.2022.10.011</t>
  </si>
  <si>
    <t>One Earth</t>
  </si>
  <si>
    <t>2590-3330</t>
  </si>
  <si>
    <t>Do naps benefit novel word learning? Developmental differences and white matter correlates</t>
  </si>
  <si>
    <t>10.1016/j.cortex.2022.09.016</t>
  </si>
  <si>
    <t>ES/N009924/1</t>
  </si>
  <si>
    <t>Dr. L. M. Henderson</t>
  </si>
  <si>
    <t>Neighbourhood research in the Global South: What do we know so far?</t>
  </si>
  <si>
    <t>10.1016/j.cities.2022.104077</t>
  </si>
  <si>
    <t>Cities</t>
  </si>
  <si>
    <t>ES/P011020/1</t>
  </si>
  <si>
    <t>Dr Gideon Baffoe</t>
  </si>
  <si>
    <t>0264-2751</t>
  </si>
  <si>
    <t>Environmentally benign alginate extraction and fibres spinning from different European Brown algae species</t>
  </si>
  <si>
    <t>10.1016/j.ijbiomac.2022.11.306</t>
  </si>
  <si>
    <t>International Journal of Biological Macromolecules</t>
  </si>
  <si>
    <t>BB/S009779/1</t>
  </si>
  <si>
    <t>Dr. Leonardo D. Gomez</t>
  </si>
  <si>
    <t>0141-8130</t>
  </si>
  <si>
    <t>Home alone: A population neuroscience investigation of brain morphology substrates</t>
  </si>
  <si>
    <t>10.1016/j.neuroimage.2023.119936</t>
  </si>
  <si>
    <t>NeuroImage</t>
  </si>
  <si>
    <t>NIH R01 AG068563A,CIHR 438531</t>
  </si>
  <si>
    <t>Note from dashboard re rejection: Author not / no longer affiliated</t>
  </si>
  <si>
    <t>Dr. MaryAnn Noonan</t>
  </si>
  <si>
    <t>1095-9572</t>
  </si>
  <si>
    <t>1053-8119</t>
  </si>
  <si>
    <t>Autohighlight: Highlight detection in League of Legends esports broadcasts via crowd-sourced data</t>
  </si>
  <si>
    <t>10.1016/j.mlwa.2022.100338</t>
  </si>
  <si>
    <t>Machine Learning with Applications</t>
  </si>
  <si>
    <t>EP/L015846/1,EP/M023265/1,EP/M023265/1,EP/M023265/1</t>
  </si>
  <si>
    <t>Mr Charles Ringer</t>
  </si>
  <si>
    <t>2666-8270</t>
  </si>
  <si>
    <t>Anti-inflammatory medications for the treatment of mental disorders: A scoping review</t>
  </si>
  <si>
    <t>10.1016/j.bbih.2022.100518</t>
  </si>
  <si>
    <t>Brain, Behavior, &amp; Immunity - Health</t>
  </si>
  <si>
    <t>Note from dashboard re rejection: Grant number not supplied / recognised</t>
  </si>
  <si>
    <t>2666-3546</t>
  </si>
  <si>
    <t>Supporting decision-making by companies in delivering their climate net-zero and nature recovery commitments: Synthesising current information and identifying research priorities in rainforest restoration</t>
  </si>
  <si>
    <t>10.1016/j.gecco.2022.e02305</t>
  </si>
  <si>
    <t>Global Ecology and Conservation</t>
  </si>
  <si>
    <t>MA-2020-01614N</t>
  </si>
  <si>
    <t>Dr Sarah Scriven</t>
  </si>
  <si>
    <t>2351-9894</t>
  </si>
  <si>
    <t>Evidence based spinal surgery or the “journal of anecdotal medicine?” Using qualitative interviews with spinal surgeons to understand how the drivers of orthopaedic decision making can influence the creation and adoption of surgical trial evidence</t>
  </si>
  <si>
    <t>10.1016/j.ssmqr.2022.100092</t>
  </si>
  <si>
    <t>SSM - Qualitative Research in Health</t>
  </si>
  <si>
    <t>HTA 15/154/07</t>
  </si>
  <si>
    <t>Dr Arabella Scantlebury</t>
  </si>
  <si>
    <t>2667-3215</t>
  </si>
  <si>
    <t>Characterisation of the L-arabinofuranose-specific GafABCD ABC transporter essential for L-arabinose dependent growth of the lignocellulose degrading bacterium Shewanella sp. ANA3</t>
  </si>
  <si>
    <t>10.1099/mic.0.001308</t>
  </si>
  <si>
    <t>Microbiology Society TA 2023</t>
  </si>
  <si>
    <t>Dashboard report: Microbiology Society CCC 1 Jan 2020 to 14 Feb 2023.xlsx</t>
  </si>
  <si>
    <t>Microbial Musings - Autumn 2022</t>
  </si>
  <si>
    <t>10.1099/mic.0.001291</t>
  </si>
  <si>
    <t>Peptide Transport in Bacillus subtilis – Structure and Specificity in the Extracellular Solute Binding Proteins OppA and DppE</t>
  </si>
  <si>
    <t>10.1099/mic.0.001274</t>
  </si>
  <si>
    <t>LUBENOW Learned Lives in England, 1900-1950: Institutions, Ideas and Intellectual Experience</t>
  </si>
  <si>
    <t>10.1093/ehr/ceac203</t>
  </si>
  <si>
    <t>The English Historical Review</t>
  </si>
  <si>
    <t>OUP email report: University of York OUP publication output - 1.1.22 - 31.12.22</t>
  </si>
  <si>
    <t>Renwick, Chris</t>
  </si>
  <si>
    <t>chris.renwick@york.ac.uk</t>
  </si>
  <si>
    <t>1477-4534</t>
  </si>
  <si>
    <t>0013-8266</t>
  </si>
  <si>
    <t>MIKABERIDZE The Napoleonic Wars: A Global History</t>
  </si>
  <si>
    <t>10.1093/ehr/ceac204</t>
  </si>
  <si>
    <t>Kennedy, Catríona</t>
  </si>
  <si>
    <t>catriona.kennedy@york.ac.uk</t>
  </si>
  <si>
    <t>Creativity in Verbal Associations is Linked to Semantic Control</t>
  </si>
  <si>
    <t>10.1093/cercor/bhac405</t>
  </si>
  <si>
    <t>European Research Council; Medical Research Council; Rosetrees Trust</t>
  </si>
  <si>
    <t>Krieger-Redwood, Katya</t>
  </si>
  <si>
    <t>katya.krieger-redwood@york.ac.uk</t>
  </si>
  <si>
    <t>The impact of Covid-19 on animal-assisted interventions: perceptions of UK animal-assisted intervention providers</t>
  </si>
  <si>
    <t>10.1093/pubmed/fdac126</t>
  </si>
  <si>
    <t>Journal Of Public Health</t>
  </si>
  <si>
    <t>Promoting and maintaining changes in smoking behaviour for patients following discharge from a smokefree mental health inpatient stay: Development of a complex intervention using the Behaviour Change Wheel</t>
  </si>
  <si>
    <t>10.1093/ntr/ntac242</t>
  </si>
  <si>
    <t>National Institute for Health Research; Economic and Social Research Council</t>
  </si>
  <si>
    <t>Researchers experiences of pharmacy involvement: a UK cross-sectional survey</t>
  </si>
  <si>
    <t>10.1093/jphsr/rmac049</t>
  </si>
  <si>
    <t>Journal of Pharmaceutical Health Services Research</t>
  </si>
  <si>
    <t>Watson, Michelle</t>
  </si>
  <si>
    <t>michelle.watson@york.ac.uk</t>
  </si>
  <si>
    <t>1759-8893</t>
  </si>
  <si>
    <t>Reconsidering Reparations</t>
  </si>
  <si>
    <t>10.1093/pq/pqac067</t>
  </si>
  <si>
    <t>Nuti, Alasia</t>
  </si>
  <si>
    <t>alasia.nuti@york.ac.uk</t>
  </si>
  <si>
    <t>Edward Burne-Jones: A Radical Interpretation</t>
  </si>
  <si>
    <t>10.1093/jvcult/vcac078</t>
  </si>
  <si>
    <t>Stinis, Marte</t>
  </si>
  <si>
    <t>Growth for Good</t>
  </si>
  <si>
    <t>10.1093/ia/iiac288</t>
  </si>
  <si>
    <t>OReilly, Kate</t>
  </si>
  <si>
    <t>koreilly.100@gmail.com</t>
  </si>
  <si>
    <t>Methods of assessing value for money of UK-based early childhood public health interventions: A systematic literature review</t>
  </si>
  <si>
    <t>10.1093/bmb/ldac035</t>
  </si>
  <si>
    <t>British Medical Bulletin</t>
  </si>
  <si>
    <t>Richardson, Gerry</t>
  </si>
  <si>
    <t>gerry.richardson@york.ac.uk</t>
  </si>
  <si>
    <t>1471-8391</t>
  </si>
  <si>
    <t>Are We Rich Yet?: The Rise of Mass Investment Culture in Contemporary Britain. By Amy Edwards</t>
  </si>
  <si>
    <t>10.1093/jsh/shac062</t>
  </si>
  <si>
    <t>Journal of Social History</t>
  </si>
  <si>
    <t>Black, Lawrence</t>
  </si>
  <si>
    <t>lawrence.black@york.ac.uk</t>
  </si>
  <si>
    <t>1527-1897</t>
  </si>
  <si>
    <t>Musical Silences  Opaque and Capacious</t>
  </si>
  <si>
    <t>10.1093/aesthj/ayac071</t>
  </si>
  <si>
    <t>Hulatt, Owen</t>
  </si>
  <si>
    <t>owen.hulatt@york.ac.uk</t>
  </si>
  <si>
    <t>The Underlying Unity of Hope and Trust</t>
  </si>
  <si>
    <t>10.1093/monist/onac018</t>
  </si>
  <si>
    <t>The Monist</t>
  </si>
  <si>
    <t>Ratcliffe, Matthew</t>
  </si>
  <si>
    <t>2153-3601</t>
  </si>
  <si>
    <t>0026-9662</t>
  </si>
  <si>
    <t>Outpatient parenteral antimicrobial therapy (OPAT) for leishmaniasis: 13 years? experience at a large UK Infectious Diseases Centre</t>
  </si>
  <si>
    <t>10.1093/trstmh/trac128</t>
  </si>
  <si>
    <t>Transactions of the Royal Society of Tropical Medicine and Hygiene</t>
  </si>
  <si>
    <t>Parkash, Vivak</t>
  </si>
  <si>
    <t>vivak.parkash@york.ac.uk</t>
  </si>
  <si>
    <t>1878-3503</t>
  </si>
  <si>
    <t>Hello, LaMDA!</t>
  </si>
  <si>
    <t>10.1093/brain/awac492</t>
  </si>
  <si>
    <t>Brain</t>
  </si>
  <si>
    <t>Reported by OUP as eligible but as not covered by deal. Author opt out?</t>
  </si>
  <si>
    <t>Martin, Joel</t>
  </si>
  <si>
    <t>joel.martin@york.ac.uk</t>
  </si>
  <si>
    <t>1460-2156</t>
  </si>
  <si>
    <t>Simultaneous p-adic Diophantine approximation</t>
  </si>
  <si>
    <t>10.1017/S0305004122000470</t>
  </si>
  <si>
    <t>Mathematical Proceedings of the Cambridge Philosophical Society</t>
  </si>
  <si>
    <t>Email report Jan 2023</t>
  </si>
  <si>
    <t>Report from CUP says its under CC BY, but it isn't. Querying with CUP 1/3/23</t>
  </si>
  <si>
    <t>1469-8064</t>
  </si>
  <si>
    <t>0305-0041</t>
  </si>
  <si>
    <t>The influence of fake news on face-trait learning</t>
  </si>
  <si>
    <t>10.1371/journal.pone.0278671</t>
  </si>
  <si>
    <t>PLOS monthly report Nov 2022</t>
  </si>
  <si>
    <t>This research was supported by the European Research Council under the European Union''s Horizon 2020 Programme, grant number ERC-STG- 755719 awarded to HO and grant number ERC-2016-StG-715824 awarded to RC. The funders had no role in study design, data collection and analysis, decision to publish, or preparation of the manuscript.</t>
  </si>
  <si>
    <t>Adam Eggleston</t>
  </si>
  <si>
    <t>adam.eggleston@york.ac.uk</t>
  </si>
  <si>
    <t>Maternal attitudes and behaviours differentially shape infant early life experience: A cross cultural study</t>
  </si>
  <si>
    <t>10.1371/journal.pone.0278378</t>
  </si>
  <si>
    <t>This research was funded by an ERC (European Research Council: https://erc.europa.eu/funding) Consolidator grant to KES (ERC_CoG 2016_724608). The funders had no role in study design, data collection and analysis, decision to publish, or preparation of the manuscript.</t>
  </si>
  <si>
    <t>Katie Slocombe</t>
  </si>
  <si>
    <t>katie.slocombe@york.ac.uk</t>
  </si>
  <si>
    <t>Communication interventions for medically unexplained symptom conditions in general practice: a systematic review and meta-analysis of randomised controlled trials</t>
  </si>
  <si>
    <t>10.1371/journal.pone.0277538</t>
  </si>
  <si>
    <t>Effects of structured exercise programmes on physiological and psychological outcomes in adults with inflammatory bowel disease (IBD): a systematic review and meta-analysis</t>
  </si>
  <si>
    <t>10.1371/journal.pone.0278480</t>
  </si>
  <si>
    <t>This work was funded through PhD studentship at Northumbria University. The funders had no role in study design, data collection and analysis, decision to publish, or preparation of the manuscript.</t>
  </si>
  <si>
    <t>Katherine H Jones</t>
  </si>
  <si>
    <t>katherine.h.jones@warwick.ac.uk</t>
  </si>
  <si>
    <t>STIMULATE-ICP-Delphi (Symptoms, Trajectory, Inequalities and Management: Understanding Long-COVID to Address and Transform Existing Integrated Care Pathways Delphi): Study protocol.</t>
  </si>
  <si>
    <t>10.1371/journal.pone.0277936</t>
  </si>
  <si>
    <t>All authors were involved in funding acquisition for this project. This work is independent research funded by the National Institute for Health and Care Research (NIHR) (COV-LT2-0043) as part of the STIMULATE-ICP study. The views expressed in this publication are those of the author(s) and not necessarily those of the NIHR or the Department of Health and Social Care.</t>
  </si>
  <si>
    <t>Jennifer Sweetman</t>
  </si>
  <si>
    <t>Mind the gap: Distributed practice enhances performance in a MOBA game</t>
  </si>
  <si>
    <t>10.1371/journal.pone.0275843</t>
  </si>
  <si>
    <t>PLOS monthly report Oct 2022</t>
  </si>
  <si>
    <t>This work was supported by the EPSRC Centre for Doctoral Training in Intelligent Games &amp; Games Intelligence (IGGI - http://www.iggi.org.uk/) [EP/L015846/1] and the Digital Creativity Labs (digitalcreativity.ac.uk) (JAW, Research Fellow), jointly funded by EPSRC/AHRC/Innovate UK under grant no. EP/M023265/1. The funder had no role in study design, data collection and analysis, decision to publish, or preparation of manuscript.</t>
  </si>
  <si>
    <t>Ozan Vardal</t>
  </si>
  <si>
    <t>ov525@york.ac.uk</t>
  </si>
  <si>
    <t>Cardiovascular health promotion: A systematic review involving effectiveness of faith-based institutions in facilitating maintenance of normal blood pressure.</t>
  </si>
  <si>
    <t>10.1371/journal.pgph.0001496</t>
  </si>
  <si>
    <t>PLOS Global Public Health</t>
  </si>
  <si>
    <t>PLOS monthly report Dec 2022</t>
  </si>
  <si>
    <t>Abayomi Sanusi</t>
  </si>
  <si>
    <t>abayomi.sanusi@york.ac.uk</t>
  </si>
  <si>
    <t>2767-3375</t>
  </si>
  <si>
    <t>Identity construction in the very old:A qualitative narrative study</t>
  </si>
  <si>
    <t>10.1371/journal.pone.0279098</t>
  </si>
  <si>
    <t>This project is funded by the National Institute for Health Research (NIHR) under its Research for Patient Benefit (RfPB) Programme (Grant Reference Number PB-PG-1217-20025). The views expressed are those of the author(s) and not necessarily those of the NIHR or the Department of Health and Social Care. Authors awarded funding were LR, BH and JA. All researchers were independent from funders. The funders had no role in study design, data collection and analysis, decision to publish, or preparation of the manuscript.</t>
  </si>
  <si>
    <t>Family caregiversâ perspectives on the acceptability of four interventions proposed for rural transitional care: A multi-method study</t>
  </si>
  <si>
    <t>10.1371/journal.pone.0279187</t>
  </si>
  <si>
    <t>This study was supported by the Ontario Ministry of Health &amp; Long-Term Care (https://www.health.gov.on.ca/en/), Health System Research Fund, grant #484 (awarded to MTF). The funders had no role in study design, data collection and analysis, decision to publish, or preparation of the manuscript.</t>
  </si>
  <si>
    <t>Mary Fox</t>
  </si>
  <si>
    <t>maryfox@yorku.ca</t>
  </si>
  <si>
    <t>Measurement Invariance of the Strengths and Difficulties Questionnaire Across Socioeconomic Status and Ethnicity from Ages 3 to 17 years: A Population Cohort Study</t>
  </si>
  <si>
    <t>10.1371/journal.pone.0278385</t>
  </si>
  <si>
    <t>The author(s) received no specific funding for this work</t>
  </si>
  <si>
    <t>Diving into a pool or volcano? Examining the influence of sentence context and task demands on sentence reading in younger and older adults</t>
  </si>
  <si>
    <t>10.1371/journal.pone.0279555</t>
  </si>
  <si>
    <t>The first author and this research were funded by a Laidlaw Scholarship, provided by the Laidlaw Foundation, at the University of York. The funders had no role in study design, data collection and analysis, decision to publish, or preparation of the manuscript.</t>
  </si>
  <si>
    <t>Angela Debruin</t>
  </si>
  <si>
    <t>On the Mercuration, Palladation, Transmetalation and Direct Auration of a C^N^C Pincer Ligand</t>
  </si>
  <si>
    <t>10.1039/D2DT04114F</t>
  </si>
  <si>
    <t>Royal Society of Chemistry TA 2023</t>
  </si>
  <si>
    <t>Report: 2022 accepted articles 16_University of York</t>
  </si>
  <si>
    <t>Efficient Photoelectrochemical Kolbe C-C coupling at BiVO4 Electrodes under Visible Light Irradiation</t>
  </si>
  <si>
    <t>10.1039/D2GC04423D</t>
  </si>
  <si>
    <t>British Council; Engineering and Physical Sciences Research Council; University of York</t>
  </si>
  <si>
    <t>Construction and Performance of OLED Devices Prepared from Liquid-crystalline TADF Materials</t>
  </si>
  <si>
    <t>10.1039/D2CP02684H</t>
  </si>
  <si>
    <t>Report: 198_University of York.csv</t>
  </si>
  <si>
    <t>Deutsche Forschungsgemeinschaft; National Natural Science Foundation of China; Royal Society; University of York</t>
  </si>
  <si>
    <t>Wet-spinning multi-component low-molecular-weight gelators to print synergistic soft materials</t>
  </si>
  <si>
    <t>10.1039/D2CC04003D</t>
  </si>
  <si>
    <t>Ultrafast 2D-IR spectroscopy of [NiFe] hydrogenase from E. coli reveals the role of the protein scaffold in controlling the active site environment</t>
  </si>
  <si>
    <t>10.1039/D2CP04188J</t>
  </si>
  <si>
    <t>Deutsche Forschungsgemeinschaft; Leverhulme Trust; University of York</t>
  </si>
  <si>
    <t>Catalyst-free site-selective cross-aldol bioconjugations</t>
  </si>
  <si>
    <t>10.1039/D2GC02292C</t>
  </si>
  <si>
    <t>Exploration of Piperidine 3D Fragment Chemical Space: Synthesis and 3D Shape Analysis of Fragments Derived from 20 Regio- and Diastereoisomers of Methyl Substituted Pipecolinates</t>
  </si>
  <si>
    <t>10.1039/D2MD00239F</t>
  </si>
  <si>
    <t>Asahi Kasei Pharma Corporation; Biotechnology and Biological Sciences Research Council; Engineering and Physical Sciences Research Council; Royal Society; University of York</t>
  </si>
  <si>
    <t>Structural Investigation of Sulfobetaines and Phospholipid Monolayers at the air-water interface</t>
  </si>
  <si>
    <t>10.1039/D2CP02695C</t>
  </si>
  <si>
    <t>Crystal and Molecular Structure of Series of Triphilic Ionic Liquid-Crystalline Materials based on the 1,2,4-Triazolium Cation</t>
  </si>
  <si>
    <t>10.1039/D2CE01354A</t>
  </si>
  <si>
    <t>CrystEngComm</t>
  </si>
  <si>
    <t>University of York; Università degli Studi di Palermo</t>
  </si>
  <si>
    <t>1466-8033</t>
  </si>
  <si>
    <t>Probing the Electronic Relaxation Pathways and Photostability of the Synthetic Nucleobase Z via Laser Interfaced Mass Spectrometry</t>
  </si>
  <si>
    <t>10.1039/D2CP03831E</t>
  </si>
  <si>
    <t>Dichloromethane replacement: towards greener chromatography via Kirkwood-Buff integrals</t>
  </si>
  <si>
    <t>10.1039/D2AY01266A</t>
  </si>
  <si>
    <t>Analytical Methods</t>
  </si>
  <si>
    <t>Merck KGaA</t>
  </si>
  <si>
    <t>1759-9679</t>
  </si>
  <si>
    <t>Familial ties as a gendered relationality in civil war: militarisation, violence, and politics</t>
  </si>
  <si>
    <t>10.1080/13698249.2023.2185376</t>
  </si>
  <si>
    <t>Civil Wars</t>
  </si>
  <si>
    <t>Dashboard report: Taylor and Francis, Approved Articles, 2023-03-07.csv</t>
  </si>
  <si>
    <t>Hanna Ketola</t>
  </si>
  <si>
    <t>hanna.ketola@york.ac.uk</t>
  </si>
  <si>
    <t>1743-968X</t>
  </si>
  <si>
    <t>1369-8249</t>
  </si>
  <si>
    <t>The Importance and Limitations of â€˜Choiceâ€™ in Child-Rearing Practices for Non-Believing Older Adults</t>
  </si>
  <si>
    <t>10.1080/0048721X.2023.2186960</t>
  </si>
  <si>
    <t>Religion</t>
  </si>
  <si>
    <t>University of Kent and John Templeton Foundation (collaborative PhD award)</t>
  </si>
  <si>
    <t>Joanna Malone</t>
  </si>
  <si>
    <t>joanna.malone@york.ac.uk</t>
  </si>
  <si>
    <t>1096-1151</t>
  </si>
  <si>
    <t>0048-721X</t>
  </si>
  <si>
    <t>Formative feedback in a multicultural classroom: A review</t>
  </si>
  <si>
    <t>10.1080/13562517.2023.2186169</t>
  </si>
  <si>
    <t>Teaching in Higher Education</t>
  </si>
  <si>
    <t>European Commission</t>
  </si>
  <si>
    <t>Eloy Gálvez López</t>
  </si>
  <si>
    <t>1470-1294</t>
  </si>
  <si>
    <t>1356-2517</t>
  </si>
  <si>
    <t>ASCENDING CHAIN CONDITIONS ON RIGHT IDEALS OF SEMIGROUPS</t>
  </si>
  <si>
    <t>10.1080/00927872.2023.2175843</t>
  </si>
  <si>
    <t>EPSRC</t>
  </si>
  <si>
    <t>craig.miller@york.ac.uk</t>
  </si>
  <si>
    <t>Online abuse of women: an interdisciplinary scoping review of the literature</t>
  </si>
  <si>
    <t>10.1080/14680777.2023.2181136</t>
  </si>
  <si>
    <t>Susan Watson</t>
  </si>
  <si>
    <t>susan.watson@york.ac.uk</t>
  </si>
  <si>
    <t>0000-0002-3225-676X</t>
  </si>
  <si>
    <t>Debt-by-design in social security: Unlawful administration of â€œThird Party Deductionsâ€</t>
  </si>
  <si>
    <t>10.1080/09649069.2023.2175554</t>
  </si>
  <si>
    <t>‘I’ve gone from one extreme to the other’: critical junctures in relationships with alcohol during the COVID-19 pandemic</t>
  </si>
  <si>
    <t>10.1080/09687637.2023.2177524</t>
  </si>
  <si>
    <t>Drugs: Education, Prevention and Policy</t>
  </si>
  <si>
    <t>Emily Nicholls</t>
  </si>
  <si>
    <t>emily.nicholls@york.ac.uk</t>
  </si>
  <si>
    <t>1465-3370</t>
  </si>
  <si>
    <t>0968-7637</t>
  </si>
  <si>
    <t xml:space="preserve">Experimental analysis of shock smoothing design strategy for reducing cavitation erosion aggressiveness </t>
  </si>
  <si>
    <t>10.1063/5.0131967</t>
  </si>
  <si>
    <t>Physics of Fluids</t>
  </si>
  <si>
    <t>American Institute of Physics</t>
  </si>
  <si>
    <t>Requested email report: University of York Payment Activity Report January 1 2023 to March 12 2023</t>
  </si>
  <si>
    <t>This work was funded by Ebara Corporation, Japan</t>
  </si>
  <si>
    <t>Jeremy Nahon</t>
  </si>
  <si>
    <t>nahonjeremy@gmail.com</t>
  </si>
  <si>
    <t>1089-7666</t>
  </si>
  <si>
    <t>1070-6631</t>
  </si>
  <si>
    <t>Design and implementation of a prototype infrared ...</t>
  </si>
  <si>
    <t>10.1063/5.0128768</t>
  </si>
  <si>
    <t>Review of Scientific Instruments</t>
  </si>
  <si>
    <t>American Institute of Physics TA 2023</t>
  </si>
  <si>
    <t>This work was supported by U.S. Department of Energy Award Nos. DE-AC05-00OR22725 and DESC0014264 and under the auspices of the Engineering and Physical Sciences Research Council (Grant Nos. EP/L01663X/1 and EP/W006839/1)</t>
  </si>
  <si>
    <t>Fabio Federici</t>
  </si>
  <si>
    <t>fabio.federici@york.ac.uk</t>
  </si>
  <si>
    <t>1089-7623</t>
  </si>
  <si>
    <t>0034-6748</t>
  </si>
  <si>
    <t>Current-induced crystallisation in a Heusler-alloy-based giant magnetoresistive junction for neuromorphic potentiation</t>
  </si>
  <si>
    <t>10.1016/j.jmmm.2023.170575</t>
  </si>
  <si>
    <t>Dashboard report: Elsevier_dashboard_APC Report-2023-03-14-15-08-04</t>
  </si>
  <si>
    <t>EP/V007211/1,EP/V047779/1,JPMJCR17J5,202012-RDKBR-0504,RYC 2019-026915-I,ED431F 2022/04,ED431B 2021/013,ED431G 2019/03</t>
  </si>
  <si>
    <t>Prof. Atsufumi Hirohata</t>
  </si>
  <si>
    <t>The potential for property-level flood adaptation as a flood disaster mental health intervention</t>
  </si>
  <si>
    <t>10.1016/j.puhe.2023.03.008</t>
  </si>
  <si>
    <t>Public Health</t>
  </si>
  <si>
    <t>Dr. Paul Hudson</t>
  </si>
  <si>
    <t>0033-3506</t>
  </si>
  <si>
    <t>The 3D Pollen Project: An open repository of three-dimensional data for outreach, education and research</t>
  </si>
  <si>
    <t>10.1016/j.revpalbo.2023.104860</t>
  </si>
  <si>
    <t>Review of Palaeobotany and Palynology</t>
  </si>
  <si>
    <t>NE/X001660/1,TLDF_mini/2018/126,Neptunium Zone 2017</t>
  </si>
  <si>
    <t>Dr Oliver J. Wilson</t>
  </si>
  <si>
    <t>0034-6667</t>
  </si>
  <si>
    <t>Increasing spatial frequency of S-cone defined gratings reduces their visibility and brain response more than for gratings defined by L-M cone contrast</t>
  </si>
  <si>
    <t>10.1016/j.visres.2023.108209</t>
  </si>
  <si>
    <t>Vision Research</t>
  </si>
  <si>
    <t>BB/P007252</t>
  </si>
  <si>
    <t>Mrs. Rebecca Lowndes</t>
  </si>
  <si>
    <t>0042-6989</t>
  </si>
  <si>
    <t>Gene-environment interplay in early life cognitive development</t>
  </si>
  <si>
    <t>10.1016/j.intell.2023.101748</t>
  </si>
  <si>
    <t>Intelligence</t>
  </si>
  <si>
    <t>EDO/44110</t>
  </si>
  <si>
    <t>Dr Sophie von Stumm</t>
  </si>
  <si>
    <t>0160-2896</t>
  </si>
  <si>
    <t>IRIS: A low duty cycle cross-layer protocol for long-range wireless sensor networks with low power budget</t>
  </si>
  <si>
    <t>10.1016/j.comnet.2023.109666</t>
  </si>
  <si>
    <t>Computer Networks</t>
  </si>
  <si>
    <t>Dr Yi Chu</t>
  </si>
  <si>
    <t>1389-1286</t>
  </si>
  <si>
    <t>10.1016/j.jecp.2023.105674</t>
  </si>
  <si>
    <t>SU 766/7-1 and STO 481/10-1</t>
  </si>
  <si>
    <t>Dr. Sebastian P. Suggate</t>
  </si>
  <si>
    <t>Amendments of waste ochre from former coal mines can potentially be used to increase soil carbon persistence</t>
  </si>
  <si>
    <t>10.1016/j.apgeochem.2023.105618</t>
  </si>
  <si>
    <t>Applied Geochemistry</t>
  </si>
  <si>
    <t>Professor Hodson Me</t>
  </si>
  <si>
    <t>0883-2927</t>
  </si>
  <si>
    <t>Understanding livelihood changes in the charcoal and baobab value chains during Covid-19 in rural Mozambique: The role of power, risk and civic-based stakeholder conventions</t>
  </si>
  <si>
    <t>10.1016/j.geoforum.2023.103706</t>
  </si>
  <si>
    <t>Geoforum</t>
  </si>
  <si>
    <t>Dr. Judith E. Krauss</t>
  </si>
  <si>
    <t>0016-7185</t>
  </si>
  <si>
    <t>Effectiveness of physical activity in managing co-morbid depression in adults with type 2 diabetes mellitus: A systematic review and meta-analysis</t>
  </si>
  <si>
    <t>10.1016/j.jad.2023.02.122</t>
  </si>
  <si>
    <t>Journal of Affective Disorders</t>
  </si>
  <si>
    <t>Dr. Aatik Arsh</t>
  </si>
  <si>
    <t>0165-0327</t>
  </si>
  <si>
    <t>Enhanced plant growth in the presence of earthworms correlates with changes in soil microbiota but not nutrient availability</t>
  </si>
  <si>
    <t>10.1016/j.geoderma.2023.116426</t>
  </si>
  <si>
    <t>Geoderma</t>
  </si>
  <si>
    <t>Professor Mark Hodson</t>
  </si>
  <si>
    <t>0016-7061</t>
  </si>
  <si>
    <t>Thermo-mechanical analysis of hydrogen permeation in lubricated rubbing contacts</t>
  </si>
  <si>
    <t>10.1016/j.triboint.2023.108355</t>
  </si>
  <si>
    <t>Tribology International</t>
  </si>
  <si>
    <t>Dr Mohammad Nasr Esfahani</t>
  </si>
  <si>
    <t>0301-679X</t>
  </si>
  <si>
    <t>Enhancing the repeatability and sensitivity of low-cost PCB, pH-sensitive field-effect transistors</t>
  </si>
  <si>
    <t>10.1016/j.bios.2023.115150</t>
  </si>
  <si>
    <t>EP/P027571/1,EP/P02324X/1</t>
  </si>
  <si>
    <t>Mr Rhys D. Ashton</t>
  </si>
  <si>
    <t>Recovering Biological Electron Transfer Reaction Parameters from Multiple Protein Film Voltammetric Techniques Informed by Bayesian Inference</t>
  </si>
  <si>
    <t>10.1016/j.jelechem.2023.117264</t>
  </si>
  <si>
    <t>Journal of Electroanalytical Chemistry</t>
  </si>
  <si>
    <t>EP/X027724/1,DP210100606,EP/L016494/1,BB/M011151/1</t>
  </si>
  <si>
    <t>Dr. Alison Parkin</t>
  </si>
  <si>
    <t>1572-6657</t>
  </si>
  <si>
    <t>Emission ratio determination from road vehicles using a range of remote emission sensing techniques</t>
  </si>
  <si>
    <t>10.1016/j.scitotenv.2023.162621</t>
  </si>
  <si>
    <t>This work has received funding from the European Union's Horizon 2020 research and innovation programme, as part of the CARES project under Grant Agreement No. 814966</t>
  </si>
  <si>
    <t>Dr. Naomi J. Farren</t>
  </si>
  <si>
    <t>Narratives that Bind: Black American Diasporic Content, Netflix, and World Cinema</t>
  </si>
  <si>
    <t>10.1163/26659891-bja10014</t>
  </si>
  <si>
    <t>Studies in World Cinema</t>
  </si>
  <si>
    <t>Brill TA 2022</t>
  </si>
  <si>
    <t>Email report: University of York_JISC-Brill OA 2022 report</t>
  </si>
  <si>
    <t>2665-9891</t>
  </si>
  <si>
    <t>2665-9883</t>
  </si>
  <si>
    <t>Political and Social Aspects of Godparenthood in Early Modern Venice: Spiritual Kinship and Patrician Society</t>
  </si>
  <si>
    <t>10.1163/15700658-bja10041</t>
  </si>
  <si>
    <t>Journal of Early Modern History</t>
  </si>
  <si>
    <t>1570-0658</t>
  </si>
  <si>
    <t>1385-3783</t>
  </si>
  <si>
    <t>Lady Mary Wortley Montagu: the Epistolary Woman, Because Women Could Not Be Called Philosophers, Scientists, or Inventors</t>
  </si>
  <si>
    <t>10.1163/2666318x-bja00007</t>
  </si>
  <si>
    <t>Journal of the History of Women Philosophers and Scientists</t>
  </si>
  <si>
    <t>2666-318X</t>
  </si>
  <si>
    <t>2666-3171</t>
  </si>
  <si>
    <t>The Creation of States as a Cardinal Point: James Crawford’s Contribution to International Legal Scholarship</t>
  </si>
  <si>
    <t>10.1163/26660229-04001005</t>
  </si>
  <si>
    <t>The Australian Year Book of International Law Online</t>
  </si>
  <si>
    <t>2666-0229</t>
  </si>
  <si>
    <t>Integrated information as a common signature of dy...</t>
  </si>
  <si>
    <t>10.1063/5.0063384</t>
  </si>
  <si>
    <t>Chaos: An Interdisciplinary Journal of Nonlinear Science</t>
  </si>
  <si>
    <t>American Institute of Physics TA 2022</t>
  </si>
  <si>
    <t>Requested email report: AIP_2022 Payment Activity Report for University of York</t>
  </si>
  <si>
    <t>Pedro A.M. Mediano</t>
  </si>
  <si>
    <t>pam83@cam.ac.uk</t>
  </si>
  <si>
    <t>1089-7682</t>
  </si>
  <si>
    <t>1054-1500</t>
  </si>
  <si>
    <t>Theoretical rheo-physics of silk: Intermolecular associations reduce the critical specific work for flow-induced crystallization</t>
  </si>
  <si>
    <t>10.1122/8.0000411</t>
  </si>
  <si>
    <t>Journal of Rheology</t>
  </si>
  <si>
    <t>Charley Schaefer</t>
  </si>
  <si>
    <t>charley.schaefer@york.ac.uk</t>
  </si>
  <si>
    <t>1520-8516</t>
  </si>
  <si>
    <t>0148-6055</t>
  </si>
  <si>
    <t>A product picture for quantum electrodynamics</t>
  </si>
  <si>
    <t>10.1116/5.0085813</t>
  </si>
  <si>
    <t>AVS Quantum Science</t>
  </si>
  <si>
    <t>Bernard S. Kay</t>
  </si>
  <si>
    <t>bernard.kay@york.ac.uk</t>
  </si>
  <si>
    <t>2639-0213</t>
  </si>
  <si>
    <t>The effect of boundary conditions on the stability of two-dimensional flows in an annulus with permeable boundary</t>
  </si>
  <si>
    <t>10.1063/5.0100090</t>
  </si>
  <si>
    <t>Konstantin Ilin</t>
  </si>
  <si>
    <t>konstantin.ilin@york.ac.uk</t>
  </si>
  <si>
    <t>Quantum Berezinian for a strange Lie superalgebra</t>
  </si>
  <si>
    <t>10.1063/5.0102653</t>
  </si>
  <si>
    <t>Journal of Mathematical Physics</t>
  </si>
  <si>
    <t>Maxim Nazarov</t>
  </si>
  <si>
    <t>maxim.nazarov@york.ac.uk</t>
  </si>
  <si>
    <t>1089-7658</t>
  </si>
  <si>
    <t>0022-2488</t>
  </si>
  <si>
    <t>Absence of spin-mixed states in ferrimagnet Yttrium iron garnet</t>
  </si>
  <si>
    <t>10.1063/5.0099477</t>
  </si>
  <si>
    <t>Journal of Applied Physics</t>
  </si>
  <si>
    <t>Stuart A. Cavill</t>
  </si>
  <si>
    <t>stuart.cavill@york.ac.uk</t>
  </si>
  <si>
    <t>1089-7550</t>
  </si>
  <si>
    <t>0021-8979</t>
  </si>
  <si>
    <t>Effect of oxygen configurations on the mechanical properties of graphene oxide</t>
  </si>
  <si>
    <t>10.1063/5.0113425</t>
  </si>
  <si>
    <t>Mohammad Nasr Esfahani</t>
  </si>
  <si>
    <t>mohammad.nasresfahani@york.ac.uk</t>
  </si>
  <si>
    <t>The time-course of linguistic interference during native and non-native speech-in-speech listening</t>
  </si>
  <si>
    <t>10.1121/10.0013417</t>
  </si>
  <si>
    <t>The Journal of the Acoustical Society of America</t>
  </si>
  <si>
    <t>Alex Mepham</t>
  </si>
  <si>
    <t>am2050@york.ac.uk</t>
  </si>
  <si>
    <t>0001-4966</t>
  </si>
  <si>
    <t>Substrate dependent reduction of Gilbert damping in annealed Heusler alloy thin films grown on group IV semiconductors</t>
  </si>
  <si>
    <t>10.1063/5.0060213</t>
  </si>
  <si>
    <t>Applied Physics Letters</t>
  </si>
  <si>
    <t>Japan Society for the Promotion of Science, EPSRC</t>
  </si>
  <si>
    <t>1077-3118</t>
  </si>
  <si>
    <t>0003-6951</t>
  </si>
  <si>
    <t>The eigenmodes for spinor quantum field theory in global de Sitter space–time</t>
  </si>
  <si>
    <t>10.1063/5.0038651</t>
  </si>
  <si>
    <t>Vasileios A. Letsios</t>
  </si>
  <si>
    <t>vl624@york.ac.uk</t>
  </si>
  <si>
    <t>Highly efficient conversion of laser energy to hard x-rays in high-intensity laser-solid simulations</t>
  </si>
  <si>
    <t>10.1063/5.0055398</t>
  </si>
  <si>
    <t>Physics of Plasmas</t>
  </si>
  <si>
    <t>This work was in part funded by the UK EPSRC Grant Nos. EP/G054950/1, EP/G056803/1, EP/G055165/1, EP/M022463/1, and EP/M018156/1.</t>
  </si>
  <si>
    <t>Stuart James Morris</t>
  </si>
  <si>
    <t>sjm630@york.ac.uk</t>
  </si>
  <si>
    <t>1089-7674</t>
  </si>
  <si>
    <t>1070-664X</t>
  </si>
  <si>
    <t>Scalar field in AdS2 and representations of SL(2,R)</t>
  </si>
  <si>
    <t>10.1063/5.0117631</t>
  </si>
  <si>
    <t>David Serrano Blanco</t>
  </si>
  <si>
    <t>dsb523@york.ac.uk</t>
  </si>
  <si>
    <t>Measuring proteins in H2O using 2D-IR spectroscopy: pre-processing steps and applications toward a protein library</t>
  </si>
  <si>
    <t>10.1063/5.0127680</t>
  </si>
  <si>
    <t>The Journal of Chemical Physics</t>
  </si>
  <si>
    <t>Neil T Hunt</t>
  </si>
  <si>
    <t>1089-7690</t>
  </si>
  <si>
    <t>0021-9606</t>
  </si>
  <si>
    <t>2D-IR spectroscopy of proteins in H2O—A Perspective</t>
  </si>
  <si>
    <t>10.1063/5.0129480</t>
  </si>
  <si>
    <t>Cosmic Harmonies: A Symposium Celebrating the Life, Science, Music, and Legacy of William Herschel (1738–1822) University of York, 19 June 2022</t>
  </si>
  <si>
    <t>10.1017/S1478570622000318</t>
  </si>
  <si>
    <t>Eighteenth-Century Music</t>
  </si>
  <si>
    <t>Email report Feb 2023</t>
  </si>
  <si>
    <t>Rachel  Cowgill</t>
  </si>
  <si>
    <t>1478-5714</t>
  </si>
  <si>
    <t>1478-5706</t>
  </si>
  <si>
    <t>Torksey after the Vikings: Urban Origins in England</t>
  </si>
  <si>
    <t>10.1017/S0003581522000269</t>
  </si>
  <si>
    <t>The Antiquaries Journal</t>
  </si>
  <si>
    <t>Author opt out report: University of York.T12 2022 retrooa.xlsx</t>
  </si>
  <si>
    <t>Maid in Cornwall: Social, stylistic, and cognitive factors in lexical levelling</t>
  </si>
  <si>
    <t>10.1075/eww.22013.san</t>
  </si>
  <si>
    <t>English World-Wide</t>
  </si>
  <si>
    <t>John Benjamins</t>
  </si>
  <si>
    <t>John Benjamins TA 2022</t>
  </si>
  <si>
    <t>Requested report: JB_Art_UniYork2020_2022.xlsx</t>
  </si>
  <si>
    <t>No funding acknowledged</t>
  </si>
  <si>
    <t>Rhys J. Sandow</t>
  </si>
  <si>
    <t>1569-9730</t>
  </si>
  <si>
    <t>0172-8865</t>
  </si>
  <si>
    <t>Authors response to: Health Opportunity Costs and Expert Elicitation: A Comment on Soares et al. by Sampson, Firth and Towse</t>
  </si>
  <si>
    <t>10.1177/0272989X20987222</t>
  </si>
  <si>
    <t>Requested report: Sage TA 2020 to 28 Mar 23 Tues28York.xlsx</t>
  </si>
  <si>
    <t>Marta Soares</t>
  </si>
  <si>
    <t>marta.soares@york.ac.uk</t>
  </si>
  <si>
    <t>Energy landscapes in Mozambique: The role of the extractive industries in a post-conflict environment</t>
  </si>
  <si>
    <t>10.1177/0308518X19866212</t>
  </si>
  <si>
    <t>Environment and Planning A</t>
  </si>
  <si>
    <t>1472-3409</t>
  </si>
  <si>
    <t>0308-518X</t>
  </si>
  <si>
    <t>Living Liminal Lives: Army partners spatiotemporal experiences of deployment</t>
  </si>
  <si>
    <t>10.1177/0095327X21995966</t>
  </si>
  <si>
    <t>Armed Forces &amp; Society</t>
  </si>
  <si>
    <t>Economic and Social Research Council, Economic and Social Research Council</t>
  </si>
  <si>
    <t>Emma Long</t>
  </si>
  <si>
    <t>emmalong120@hotmail.co.uk</t>
  </si>
  <si>
    <t>1556-0848</t>
  </si>
  <si>
    <t>0095-327X</t>
  </si>
  <si>
    <t>African Internationalisms and the Erstwhile Trajectories of Kenyan Community Development: Joseph Murumbi&amp;rsquo;s 1950s</t>
  </si>
  <si>
    <t>10.1177/00220094211011536</t>
  </si>
  <si>
    <t>Journal of Contemporary History</t>
  </si>
  <si>
    <t>Gerard McCann</t>
  </si>
  <si>
    <t>gerard.mccann@york.ac.uk</t>
  </si>
  <si>
    <t>1461-7250</t>
  </si>
  <si>
    <t>0022-0094</t>
  </si>
  <si>
    <t>Two factors in face recognition: Whether you know the persons face and whether you share the persons race</t>
  </si>
  <si>
    <t>10.1177/03010066211014016</t>
  </si>
  <si>
    <t>Perception</t>
  </si>
  <si>
    <t>Rob Jenkins</t>
  </si>
  <si>
    <t>rob.jenkins@york.ac.uk</t>
  </si>
  <si>
    <t>1468-4233</t>
  </si>
  <si>
    <t>0301-0066</t>
  </si>
  <si>
    <t>Predictors of listening-related fatigue across the adult lifespan.</t>
  </si>
  <si>
    <t>10.1177/09567976211016410</t>
  </si>
  <si>
    <t>Psychological Science</t>
  </si>
  <si>
    <t>ronan.mcgarrigle@york.ac.uk</t>
  </si>
  <si>
    <t>1467-9280</t>
  </si>
  <si>
    <t>0956-7976</t>
  </si>
  <si>
    <t>Programme evaluation of population and system level policies: Evidence for decision-making</t>
  </si>
  <si>
    <t>10.1177/0272989X211016427</t>
  </si>
  <si>
    <t>NIHR Global Health</t>
  </si>
  <si>
    <t>Simon Mark Walker</t>
  </si>
  <si>
    <t>simon.walker@york.ac.uk</t>
  </si>
  <si>
    <t>Understanding the document bias in face matching</t>
  </si>
  <si>
    <t>10.1177/17470218211017902</t>
  </si>
  <si>
    <t>Quarterly Journal of Experimental Psychology</t>
  </si>
  <si>
    <t>Anthony Michael Burton</t>
  </si>
  <si>
    <t>mike.burton@york.ac.uk</t>
  </si>
  <si>
    <t>Music, Selves and Societies Respondent Paper</t>
  </si>
  <si>
    <t>10.1177/20592043211018912</t>
  </si>
  <si>
    <t>Music &amp; Science</t>
  </si>
  <si>
    <t>Fully OA journals not included in deal</t>
  </si>
  <si>
    <t>Craig Robertson</t>
  </si>
  <si>
    <t>craig.m.robertson@york.ac.uk</t>
  </si>
  <si>
    <t>2059-2043</t>
  </si>
  <si>
    <t>Finding Neymar: the role of colour in the detection and discrimination of football kits.</t>
  </si>
  <si>
    <t>10.1177/03010066211019370</t>
  </si>
  <si>
    <t>Liam Burnell</t>
  </si>
  <si>
    <t>liam@mindflick.co.uk</t>
  </si>
  <si>
    <t>Developmental Language Disorder and Psychopathology: Disentangling Shared Genetic and Environmental Influences</t>
  </si>
  <si>
    <t>10.1177/00222194211019961</t>
  </si>
  <si>
    <t>Journal of Learning Disabilities</t>
  </si>
  <si>
    <t>FP7 Ideas: European Research Council, Medical Research Council, Medical Research Council, National Institutes of Health</t>
  </si>
  <si>
    <t>1538-4780</t>
  </si>
  <si>
    <t>0022-2194</t>
  </si>
  <si>
    <t>&amp;lsquo;&amp;ldquo;Don&amp;rsquo;t Let the Bastards Grind you Down:&amp;rdquo; Feminist Resilience/Resilient Feminism in The Handmaid&amp;rsquo;s Tale (Hulu, 2017&amp;mdash;)&amp;rsquo;</t>
  </si>
  <si>
    <t>10.1177/17496020211021326</t>
  </si>
  <si>
    <t>Critical Studies in Television</t>
  </si>
  <si>
    <t>Reported in Jisc ALM report Jul 2023 as OA, but isn't.</t>
  </si>
  <si>
    <t>Kristyn Gorton</t>
  </si>
  <si>
    <t>kristyn.gorton@york.ac.uk</t>
  </si>
  <si>
    <t>1749-6039</t>
  </si>
  <si>
    <t>1749-6020</t>
  </si>
  <si>
    <t>Horror Films and Grief</t>
  </si>
  <si>
    <t>10.1177/17540739211022815</t>
  </si>
  <si>
    <t>Emotion Review</t>
  </si>
  <si>
    <t>1754-0747</t>
  </si>
  <si>
    <t>1754-0739</t>
  </si>
  <si>
    <t xml:space="preserve">African multilingualism viewed from another angle:
challenging the Casamance exception
</t>
  </si>
  <si>
    <t>10.1177/13670069211023146</t>
  </si>
  <si>
    <t>International Journal of Bilingualism</t>
  </si>
  <si>
    <t>economic and social research council, Economic and Social Research Council (ESRC) and Arts and Humanities Research Council (AHRC), endangered languages documentation programme, european research council</t>
  </si>
  <si>
    <t>Serge Sagna</t>
  </si>
  <si>
    <t>serge.sagna@york.ac.uk</t>
  </si>
  <si>
    <t>Evaluating the use of multimedia information when recruiting adolescents to orthodontics research: a randomised controlled trial.</t>
  </si>
  <si>
    <t>10.1177/14653125211024250</t>
  </si>
  <si>
    <t>Journal of Orthodontics</t>
  </si>
  <si>
    <t>Peter Knapp</t>
  </si>
  <si>
    <t>peter.knapp@york.ac.uk</t>
  </si>
  <si>
    <t>1465-3133</t>
  </si>
  <si>
    <t>1465-3125</t>
  </si>
  <si>
    <t>Resisting the Global Neoliberal Economy</t>
  </si>
  <si>
    <t>10.1177/14748851211025875</t>
  </si>
  <si>
    <t>European Journal of Political Theory</t>
  </si>
  <si>
    <t>Alasia Nuti</t>
  </si>
  <si>
    <t>1741-2730</t>
  </si>
  <si>
    <t>1474-8851</t>
  </si>
  <si>
    <t>Remixs Retreat? Content Moderation, Copyright Law, and Mashup Music</t>
  </si>
  <si>
    <t>10.1177/14614448211026059</t>
  </si>
  <si>
    <t>New Media &amp; Society</t>
  </si>
  <si>
    <t>Norges Forskningsrad, Norges Forskningsrad</t>
  </si>
  <si>
    <t>Ellis Jones</t>
  </si>
  <si>
    <t>e.n.jones@imv.uio.no</t>
  </si>
  <si>
    <t>1461-7315</t>
  </si>
  <si>
    <t>1461-4448</t>
  </si>
  <si>
    <t>Social capital and co-location: A case study of policing anti-social behaviour.</t>
  </si>
  <si>
    <t>10.1177/14613557211026931</t>
  </si>
  <si>
    <t>International Journal of Police Science and Management</t>
  </si>
  <si>
    <t>North Yorkshire Police</t>
  </si>
  <si>
    <t>Lisa O'Malley</t>
  </si>
  <si>
    <t>lisa.omalley@york.ac.uk</t>
  </si>
  <si>
    <t>1478-1603</t>
  </si>
  <si>
    <t>1461-3557</t>
  </si>
  <si>
    <t>Review of 'The Struggle for Development' by Ben Selwyn</t>
  </si>
  <si>
    <t>10.1177/10245294211027696</t>
  </si>
  <si>
    <t>Competition and Change</t>
  </si>
  <si>
    <t>Philip Roberts</t>
  </si>
  <si>
    <t>philip.roberts@york.ac.uk</t>
  </si>
  <si>
    <t xml:space="preserve">The anticipation of an investigation: the effects of expecting investigations after a death from natural causes in prison custody
</t>
  </si>
  <si>
    <t>10.1177/17488958211028721</t>
  </si>
  <si>
    <t>Criminology &amp; Criminal Justice</t>
  </si>
  <si>
    <t>Carol Robinson</t>
  </si>
  <si>
    <t>carol.robinson@york.ac.uk</t>
  </si>
  <si>
    <t>1748-8966</t>
  </si>
  <si>
    <t>1748-8958</t>
  </si>
  <si>
    <t>Epistemic Corruption and the Research Impact Agenda</t>
  </si>
  <si>
    <t>10.1177/14778785211029516</t>
  </si>
  <si>
    <t>Theory and Research in Education</t>
  </si>
  <si>
    <t>Jennifer Chubb</t>
  </si>
  <si>
    <t>jennifer.chubb@york.ac.uk</t>
  </si>
  <si>
    <t>1741-3192</t>
  </si>
  <si>
    <t>1477-8785</t>
  </si>
  <si>
    <t>Reference Case Methods for Expert Elicitation in Healthcare Decision Making</t>
  </si>
  <si>
    <t>10.1177/0272989X211028236</t>
  </si>
  <si>
    <t>Laura Bojke</t>
  </si>
  <si>
    <t>laura.bojke@york.ac.uk</t>
  </si>
  <si>
    <t>Cost-effective clinical trial design: application of a Bayesian sequential model to the ProFHER pragmatic trial</t>
  </si>
  <si>
    <t>10.1177/17407745211032909</t>
  </si>
  <si>
    <t>Clinical Trials</t>
  </si>
  <si>
    <t>European Union MSCA-ESA-ITN project, Research Infrastructure Support Fund of the Department of Economics and Related Studies, University of York</t>
  </si>
  <si>
    <t>Martin Forster</t>
  </si>
  <si>
    <t>mf8@york.ac.uk</t>
  </si>
  <si>
    <t>1740-7753</t>
  </si>
  <si>
    <t>1740-7745</t>
  </si>
  <si>
    <t>Maximising Operational Effectiveness: Exploring stigma, militarism, and the normative connections to army partners&amp;rsquo; support-seeking</t>
  </si>
  <si>
    <t>10.1177/00380385211033170</t>
  </si>
  <si>
    <t>Augmented reality technology in image-guided therapy: state-of-the-art review</t>
  </si>
  <si>
    <t>10.1177/09544119211034357</t>
  </si>
  <si>
    <t>Proceedings of the Institution of Mechanical Engineers, Part H: Journal of Engineering in Medicine</t>
  </si>
  <si>
    <t>national science foundation, national science foundation, NIH Clinical Center, NIH Clinical Center, NIH Clinical Center, Royal Society for the Prevention of Cruelty to Animals</t>
  </si>
  <si>
    <t>Zion Tsz Ho Tse</t>
  </si>
  <si>
    <t>Some days it's like she has died. A qualitative exploration of first mothers' utilisation of artefacts associated with now-adopted children in coping with grief and loss.</t>
  </si>
  <si>
    <t>10.1177/14733250211039008</t>
  </si>
  <si>
    <t>economic and social research council</t>
  </si>
  <si>
    <t>Emma Geddes</t>
  </si>
  <si>
    <t>e.geddes@leedsbeckett.ac.uk</t>
  </si>
  <si>
    <t>Placing Camelot: Cultivating Leadership and Learning in the Kennedy Presidency</t>
  </si>
  <si>
    <t>10.1177/17427150211042153</t>
  </si>
  <si>
    <t>Leo McCann</t>
  </si>
  <si>
    <t>leo.mccann@york.ac.uk</t>
  </si>
  <si>
    <t>review of Ergin Bulut (2020) A Precarious Game: The Illusion of Dream Jobs in the Video Game Industry, Ithaca: Cornell University, 2020, &amp;pound;14.95, (ISBN: 9781501746536) 205 pages.</t>
  </si>
  <si>
    <t>10.1177/09500170211043059</t>
  </si>
  <si>
    <t>Carolyn Hunter</t>
  </si>
  <si>
    <t>Remembering John Polkinghorne</t>
  </si>
  <si>
    <t>10.1177/0040571X211043170</t>
  </si>
  <si>
    <t>Theology</t>
  </si>
  <si>
    <t>2044-2696</t>
  </si>
  <si>
    <t>0040-571X</t>
  </si>
  <si>
    <t>Mechanisms of grammaticalisation in the variation of negative question tags</t>
  </si>
  <si>
    <t>10.1177/00754242211044837</t>
  </si>
  <si>
    <t>Journal of English Linguistics</t>
  </si>
  <si>
    <t>Sage TA 2022</t>
  </si>
  <si>
    <t>Claire Childs</t>
  </si>
  <si>
    <t>claire.childs@york.ac.uk</t>
  </si>
  <si>
    <t>1552-5457</t>
  </si>
  <si>
    <t>0075-4242</t>
  </si>
  <si>
    <t>Between Subjectivity and Flourishing: Creativity and Game Design as Existential Meaning</t>
  </si>
  <si>
    <t>10.1177/15554120211048015</t>
  </si>
  <si>
    <t>Games and Culture</t>
  </si>
  <si>
    <t>XR Stories</t>
  </si>
  <si>
    <t>Jenna Ng</t>
  </si>
  <si>
    <t>jenna.ng@york.ac.uk</t>
  </si>
  <si>
    <t>1555-4139</t>
  </si>
  <si>
    <t>1555-4120</t>
  </si>
  <si>
    <t>Review of 'Sociologies of New Zealand'</t>
  </si>
  <si>
    <t>10.1177/13607804211049450</t>
  </si>
  <si>
    <t>Digital Asian Shakespeare Festival, 11th World Shakespeare Congress</t>
  </si>
  <si>
    <t>10.1177/01847678211044095</t>
  </si>
  <si>
    <t>Cahiers Elisabethains</t>
  </si>
  <si>
    <t>Reported in Jisc ALM report as OA but not OA</t>
  </si>
  <si>
    <t>Sarah Olive</t>
  </si>
  <si>
    <t>sarahelizabetholive@gmail.com</t>
  </si>
  <si>
    <t>2054-4715</t>
  </si>
  <si>
    <t>0184-7678</t>
  </si>
  <si>
    <t>Pragmatism in contemporary political theory</t>
  </si>
  <si>
    <t>10.1177/14748851211050618</t>
  </si>
  <si>
    <t>Matthew Festenstein</t>
  </si>
  <si>
    <t>matthew.festenstein@york.ac.uk</t>
  </si>
  <si>
    <t xml:space="preserve">The competing configurations of the migration&amp;ndash;security nexus: Resettling Afghan and Iraqi interpreters and other locally employed civilians working for Western armies
</t>
  </si>
  <si>
    <t>10.1177/09670106211050811</t>
  </si>
  <si>
    <t>Security Dialogue</t>
  </si>
  <si>
    <t>1460-3640</t>
  </si>
  <si>
    <t>0967-0106</t>
  </si>
  <si>
    <t>Fighting Silence Covert Warfare and the Uphill Battle against the Unsaid</t>
  </si>
  <si>
    <t>10.1177/13540661211053830</t>
  </si>
  <si>
    <t>European Journal of International Relations</t>
  </si>
  <si>
    <t>Elisabeth Schweiger</t>
  </si>
  <si>
    <t>elisabeth.schweiger@york.ac.uk</t>
  </si>
  <si>
    <t>1460-3713</t>
  </si>
  <si>
    <t>1354-0661</t>
  </si>
  <si>
    <t>Digital Food Special Issue. Fat Shaming, Feminism and Facebook: What &amp;ldquo;Women Who Eat On Tubes&amp;rdquo; Reveals About Social Media and the Boundaries of Women&amp;rsquo;s Bodies</t>
  </si>
  <si>
    <t>10.1177/13675494211055499</t>
  </si>
  <si>
    <t>European Journal of Cultural Studies</t>
  </si>
  <si>
    <t>Fay Bound Alberti</t>
  </si>
  <si>
    <t>1460-3551</t>
  </si>
  <si>
    <t>1367-5494</t>
  </si>
  <si>
    <t>&amp;ldquo;It was like an airbag, it cushioned the blow&amp;rdquo;: A multi-site qualitative study of bereaved parents&amp;rsquo; experiences of using cooling facilities.</t>
  </si>
  <si>
    <t>10.1177/02692163211059345</t>
  </si>
  <si>
    <t>The Martin House Research Centre</t>
  </si>
  <si>
    <t>Julia Hackett</t>
  </si>
  <si>
    <t>julia.hackett@york.ac.uk</t>
  </si>
  <si>
    <t>EnTraP: A Factorial Randomised Controlled Trial embedded within WHiTE 8 COPAL investigating the effect of an Enhanced Trainee Principal Investigator Package and Digital Nudge on recruitment rates.</t>
  </si>
  <si>
    <t>10.1177/26320843211061297</t>
  </si>
  <si>
    <t>Research Methods in Medicine &amp; Health Sciences</t>
  </si>
  <si>
    <t>nickil agni</t>
  </si>
  <si>
    <t>Nickil.agni@nhs.net</t>
  </si>
  <si>
    <t>Risk factors for delirium in adult patients receiving specialist palliative care: A systematic review and meta-analysis</t>
  </si>
  <si>
    <t>10.1177/02692163211065278</t>
  </si>
  <si>
    <t>national institute for health research</t>
  </si>
  <si>
    <t>Imogen Featherstone</t>
  </si>
  <si>
    <t>imogen.featherstone@york.ac.uk</t>
  </si>
  <si>
    <t>The Politics of Infrastructure in Inner-city Communities in Kingston, Jamaica, from 1962 to 2020.</t>
  </si>
  <si>
    <t>10.1177/00961442211068031</t>
  </si>
  <si>
    <t>Journal of Urban History</t>
  </si>
  <si>
    <t>Henrice Altink</t>
  </si>
  <si>
    <t>henrice.altink@york.ac.uk</t>
  </si>
  <si>
    <t>1552-6771</t>
  </si>
  <si>
    <t>0096-1442</t>
  </si>
  <si>
    <t>Conceptualising &amp;lsquo;meta-work&amp;rsquo; in the context of continuous, global mobility: The case of digital nomadism</t>
  </si>
  <si>
    <t>10.1177/09500170211069797</t>
  </si>
  <si>
    <t>Play-Based Interventions for Mental Health: A Systematic Review and Meta-Analysis Focused on Children and Adolescents with Autism Spectrum Disorder and Developmental Language Disorder</t>
  </si>
  <si>
    <t>10.1177/23969415211073118</t>
  </si>
  <si>
    <t>Autism and Developmental Language Impairments</t>
  </si>
  <si>
    <t>Paid by APC from YOAF</t>
  </si>
  <si>
    <t>Fully OA journals not included</t>
  </si>
  <si>
    <t>Gill Francis</t>
  </si>
  <si>
    <t>gill.francis@york.ac.uk</t>
  </si>
  <si>
    <t>Gold</t>
  </si>
  <si>
    <t>2396-9415</t>
  </si>
  <si>
    <t>Towards Catheter Steering using Magnetic Tractor Beam Coupling</t>
  </si>
  <si>
    <t>10.1177/09544119221075400</t>
  </si>
  <si>
    <t xml:space="preserve">Do I have to say Im gay?: Using a video booth for public visibility and impact
</t>
  </si>
  <si>
    <t>10.1177/14687941221082268</t>
  </si>
  <si>
    <t>Anna Einarsdottir</t>
  </si>
  <si>
    <t>anna.einarsdottir@york.ac.uk</t>
  </si>
  <si>
    <t>Erich Fromm &amp; Global Public Sociology by Neil McLaughlin, Bristol University Press</t>
  </si>
  <si>
    <t>10.1177/00380385221081396</t>
  </si>
  <si>
    <t>Reported in Jisc ALM report Jul 2023 as OA, but is not OA</t>
  </si>
  <si>
    <t>Kieran Durkin</t>
  </si>
  <si>
    <t>kieran.durkin@york.ac.uk</t>
  </si>
  <si>
    <t>Food for thought: Transport within the food supply chain</t>
  </si>
  <si>
    <t>10.1177/00225266221083259</t>
  </si>
  <si>
    <t>Journal of Transport History</t>
  </si>
  <si>
    <t>David Turner</t>
  </si>
  <si>
    <t>david.turner@york.ac.uk</t>
  </si>
  <si>
    <t>A Longitudinal Study of the Mental Health of Autistic Children and Adolescents and their Parents during COVID-19: Part 1, Quantitative Findings</t>
  </si>
  <si>
    <t>10.1177/13623613221082715</t>
  </si>
  <si>
    <t>Wellcome Trust</t>
  </si>
  <si>
    <t>Researching Silence: A Methodological Inquiry</t>
  </si>
  <si>
    <t>10.1177/03058298221083999</t>
  </si>
  <si>
    <t>Millennium: Journal of International Studies</t>
  </si>
  <si>
    <t>1477-9021</t>
  </si>
  <si>
    <t>0305-8298</t>
  </si>
  <si>
    <t>&amp;lsquo;They exist but they don't exist&amp;rsquo;: personal assistants supporting physically disabled people in the workplace</t>
  </si>
  <si>
    <t>10.1177/09500170221075532</t>
  </si>
  <si>
    <t>National Institute for Health Research, NHS Health Research Authority Social Care Research Ethics Committee</t>
  </si>
  <si>
    <t>Jane Maddison</t>
  </si>
  <si>
    <t>jane.maddison@york.ac.uk</t>
  </si>
  <si>
    <t>A Longitudinal Study of the Mental Health of Autistic Children and Adolescents and their Parents during COVID-19: Part 2, Qualitative Findings</t>
  </si>
  <si>
    <t>10.1177/13623613221086997</t>
  </si>
  <si>
    <t xml:space="preserve">Investigating the role of social media abuse in gender-based violence: the experiences of women police officers
</t>
  </si>
  <si>
    <t>10.1177/17488958221087487</t>
  </si>
  <si>
    <t>The PROMoting THE USE of SWATs (PROMETHEUS) Programme: Lessons learnt and future developments for SWATs</t>
  </si>
  <si>
    <t>10.1177/26320843221089632</t>
  </si>
  <si>
    <t>National Institute for Health Research, UK Research and Innovation</t>
  </si>
  <si>
    <t>LAURA CLARK</t>
  </si>
  <si>
    <t>laura.clark@york.ac.uk</t>
  </si>
  <si>
    <t>Writing Telepathy Back into Marketing Theory</t>
  </si>
  <si>
    <t>10.1177/14705931221095611</t>
  </si>
  <si>
    <t>Mark Tadajewski</t>
  </si>
  <si>
    <t>marktadajewski@gmail.com</t>
  </si>
  <si>
    <t>The Routledge Handbook of Law and Society</t>
  </si>
  <si>
    <t>10.1177/09646639221096555</t>
  </si>
  <si>
    <t>Social &amp; Legal Studies</t>
  </si>
  <si>
    <t>Carl Makin</t>
  </si>
  <si>
    <t>carl.makin@york.ac.uk</t>
  </si>
  <si>
    <t>1461-7390</t>
  </si>
  <si>
    <t>0964-6639</t>
  </si>
  <si>
    <t>Oliver John Braddick Obituary</t>
  </si>
  <si>
    <t>10.1177/03010066221098105</t>
  </si>
  <si>
    <t>Reported in Jisc ALM report Jul 2023 as OA but not OA. Bronze OA</t>
  </si>
  <si>
    <t>Obituary</t>
  </si>
  <si>
    <t>Peter  Thompson</t>
  </si>
  <si>
    <t>peter.thompson@york.ac.uk</t>
  </si>
  <si>
    <t>How to learn more about how children learn languages</t>
  </si>
  <si>
    <t>10.1177/01427237221096084</t>
  </si>
  <si>
    <t>First Language</t>
  </si>
  <si>
    <t>mv509@york.ac.uk</t>
  </si>
  <si>
    <t>1740-2344</t>
  </si>
  <si>
    <t>0142-7237</t>
  </si>
  <si>
    <t>A Chronological and Regional Analysis of Personal Reports of COVID-19 on Twitter from the UK</t>
  </si>
  <si>
    <t>10.1177/20552076221097508</t>
  </si>
  <si>
    <t>National Institute of Allergy and Infectious Diseases (NIAID), National Institutes of Health (NIH) National Library of Medicine (NLM)</t>
  </si>
  <si>
    <t>Su Golder</t>
  </si>
  <si>
    <t>Supporting the mental health of children with speech, language and communication needs: the views and experiences of parents</t>
  </si>
  <si>
    <t>10.1177/23969415221101137</t>
  </si>
  <si>
    <t>&amp;lsquo;Four (Single Parent) Women&amp;rsquo;: Emulating Nina Simone&amp;rsquo;s Storytelling for Critical Consciousness</t>
  </si>
  <si>
    <t>10.1177/01417789221102511</t>
  </si>
  <si>
    <t>Feminist Review</t>
  </si>
  <si>
    <t>Miranda Armstrong</t>
  </si>
  <si>
    <t>miranda.armstrong@york.ac.uk</t>
  </si>
  <si>
    <t>1466-4380</t>
  </si>
  <si>
    <t>0141-7789</t>
  </si>
  <si>
    <t>What Is a Podcast?</t>
  </si>
  <si>
    <t>10.1177/13548565221104444</t>
  </si>
  <si>
    <t>Jemily Rime</t>
  </si>
  <si>
    <t>jir506@york.ac.uk</t>
  </si>
  <si>
    <t>The problem of researching a recursive society: algorithms, data coils and the looping of the social</t>
  </si>
  <si>
    <t>10.1177/20539517221104997</t>
  </si>
  <si>
    <t>Big Data &amp; Society</t>
  </si>
  <si>
    <t>David Beer</t>
  </si>
  <si>
    <t>david.beer@york.ac.uk</t>
  </si>
  <si>
    <t>2053-9517</t>
  </si>
  <si>
    <t>It was Bauhaus without realising we were Bauhaus: BBC Women and Youth Programming in the North</t>
  </si>
  <si>
    <t>10.1177/17496020221105821</t>
  </si>
  <si>
    <t>Mark Helsby</t>
  </si>
  <si>
    <t>mark.helsby@york.ac.uk</t>
  </si>
  <si>
    <t>Development of the Social Experience of a Concert Scales (SECS): The social experience of a live western art music concert influences people&amp;rsquo;s overall enjoyment of an event but not their emotional response to the music.</t>
  </si>
  <si>
    <t>10.1177/20592043221106478</t>
  </si>
  <si>
    <t>Volkswagen Stiftung</t>
  </si>
  <si>
    <t>Katherine O'Neill</t>
  </si>
  <si>
    <t>kon502@york.ac.uk</t>
  </si>
  <si>
    <t>Challenges and Solutions to the Implementation of Studies Within A Trial (SWATs): The Experiences of the PROMETHEUS Programme</t>
  </si>
  <si>
    <t>10.1177/26320843221106949</t>
  </si>
  <si>
    <t>Catherine Arundel</t>
  </si>
  <si>
    <t>catherine.arundel@york.ac.uk</t>
  </si>
  <si>
    <t>Measuring the digital divide among people with Severe Mental Ill Health using the Essential Digital Skills framework.</t>
  </si>
  <si>
    <t>10.1177/17579139221106399</t>
  </si>
  <si>
    <t>Perspectives in Public Health</t>
  </si>
  <si>
    <t>Closing the Gap Network</t>
  </si>
  <si>
    <t>Panagiotis Spanakis</t>
  </si>
  <si>
    <t>panagiotis.spanakis@york.ac.uk</t>
  </si>
  <si>
    <t>Staff training to improve participant recruitment into surgical randomised controlled trials: a feasibility Study Within A Trial (SWAT) across four host randomised controlled trials simultaneously</t>
  </si>
  <si>
    <t>10.1177/26320843221106950</t>
  </si>
  <si>
    <t>Efficacy and Mechanism Evaluation Programme, Health Technology Assessment Programme, Health Technology Assessment Programme, Medical Research Council, MRC ConDuCT-II Hub, MRC Network of Hubs for Trials Methodology Research, National Institute for Health Research, NIHR Evaluation, Trials and Studies Co-ordinating Centre (NETSCC), Wellcome Trust</t>
  </si>
  <si>
    <t>Adwoa Parker</t>
  </si>
  <si>
    <t>adwoa.parker@york.ac.uk</t>
  </si>
  <si>
    <t>&amp;lsquo;You can&amp;rsquo;t delete a memory&amp;rsquo;: Managing the Data Past on Social Media in Everyday Life</t>
  </si>
  <si>
    <t>10.1177/13607804221110237</t>
  </si>
  <si>
    <t>Benjamin Jacobsen</t>
  </si>
  <si>
    <t>benjamin.jacobsen@durham.ac.uk</t>
  </si>
  <si>
    <t>Perception: The Early Years</t>
  </si>
  <si>
    <t>10.1177/03010066221113200</t>
  </si>
  <si>
    <t>Reported in Jisc ALM report Jul 2023 as OA, but is not under a reuse licence. Article is a short editorial.</t>
  </si>
  <si>
    <t>Peter Thompson</t>
  </si>
  <si>
    <t>Writing Our Way to Sustainable Economies? How Academic Sustainability Writing Engages with Capitalism.</t>
  </si>
  <si>
    <t>10.1177/0308518X221114138</t>
  </si>
  <si>
    <t>Simon Mair</t>
  </si>
  <si>
    <t>simon.mair@york.ac.uk</t>
  </si>
  <si>
    <t>Rethinking Marketing as Applied Economics</t>
  </si>
  <si>
    <t>10.1177/14705931221114170</t>
  </si>
  <si>
    <t>Racialization of Disease: The Typhus-epidemic, Antisemitism and Closed Borders in German-occupied Poland, 1915&amp;ndash;1918</t>
  </si>
  <si>
    <t>10.1177/02656914221103467</t>
  </si>
  <si>
    <t>European History Quarterly</t>
  </si>
  <si>
    <t>Jan Rybak</t>
  </si>
  <si>
    <t>1461-7110</t>
  </si>
  <si>
    <t>0265-6914</t>
  </si>
  <si>
    <t>Tracing Change During Music Therapy For Depression: Towards A Markers-Based Understanding Of Communicative Behaviours</t>
  </si>
  <si>
    <t>10.1177/10298649221116024</t>
  </si>
  <si>
    <t>Sarah Knight</t>
  </si>
  <si>
    <t>sarah.knight3@york.ac.uk</t>
  </si>
  <si>
    <t xml:space="preserve">Face learning via brief real-world social interactions induces changes in face-selective brain areas and hippocampus
</t>
  </si>
  <si>
    <t>10.1177/03010066221098728</t>
  </si>
  <si>
    <t>David Pitcher</t>
  </si>
  <si>
    <t>Drawing the boundaries of &amp;ldquo;good citizenship&amp;rdquo; through state-led urban redevelopment in Dikmen Valley</t>
  </si>
  <si>
    <t>10.1177/09697764221119919</t>
  </si>
  <si>
    <t>European Urban and Regional Studies</t>
  </si>
  <si>
    <t>Oznur YARDIMCI</t>
  </si>
  <si>
    <t>1461-7145</t>
  </si>
  <si>
    <t>0969-7764</t>
  </si>
  <si>
    <t>An empirical test of measures of housing degrowth: Learning from the limited experience of England and Wales, 1981-2011</t>
  </si>
  <si>
    <t>10.1177/00420980221121198</t>
  </si>
  <si>
    <t>Urban Studies</t>
  </si>
  <si>
    <t>Rebecca Tunstall</t>
  </si>
  <si>
    <t>becky.tunstall@york.ac.uk</t>
  </si>
  <si>
    <t>1360-063X</t>
  </si>
  <si>
    <t>0042-0980</t>
  </si>
  <si>
    <t>Camouflaging in Developmental Language Disorder: The views of speech and language pathologists and parents</t>
  </si>
  <si>
    <t>10.1177/15257401221120937</t>
  </si>
  <si>
    <t>Communication Disorders Quarterly</t>
  </si>
  <si>
    <t>Academy of Medical Sciences</t>
  </si>
  <si>
    <t>1538-4837</t>
  </si>
  <si>
    <t>1525-7401</t>
  </si>
  <si>
    <t>The health of mothers of children with a life-limiting condition: a qualitative interview study</t>
  </si>
  <si>
    <t>10.1177/02692163221122325</t>
  </si>
  <si>
    <t>national institute for social care and health research</t>
  </si>
  <si>
    <t>Victoria Fisher</t>
  </si>
  <si>
    <t>victoria.fisher@york.ac.uk</t>
  </si>
  <si>
    <t>The sociology of futurelessness</t>
  </si>
  <si>
    <t>10.1177/00380385221122420</t>
  </si>
  <si>
    <t>Richard Tutton</t>
  </si>
  <si>
    <t>richard.tutton@york.ac.uk</t>
  </si>
  <si>
    <t>Parents&amp;rsquo; Perceptions of The Impact of COVID-19 and School Transition on Autistic Children&amp;rsquo;s Friendships</t>
  </si>
  <si>
    <t>10.1177/13623613221123734</t>
  </si>
  <si>
    <t>Laura Fox</t>
  </si>
  <si>
    <t>laura.fox@york.ac.uk</t>
  </si>
  <si>
    <t>Can learnings from the COVID-19 pandemic improve trial conduct post-pandemic? A case study of strategies used by the DISC trial</t>
  </si>
  <si>
    <t>10.1177/26320843221128296</t>
  </si>
  <si>
    <t>Health Technology Assessment Programme</t>
  </si>
  <si>
    <t>Catherine Knowlson</t>
  </si>
  <si>
    <t>catherine.knowlson@york.ac.uk</t>
  </si>
  <si>
    <t>Lesley's musings</t>
  </si>
  <si>
    <t>10.1177/03010066221128953</t>
  </si>
  <si>
    <t>Slow Violence, Depoliticisation and Hope: Environmental Learning in Wentworth, South Africa</t>
  </si>
  <si>
    <t>10.1177/14661381221130278</t>
  </si>
  <si>
    <t>Ethnography</t>
  </si>
  <si>
    <t>Gates Cambridge Trust</t>
  </si>
  <si>
    <t>Peter Sutoris</t>
  </si>
  <si>
    <t>psutoris@gmail.com</t>
  </si>
  <si>
    <t>1741-2714</t>
  </si>
  <si>
    <t>1466-1381</t>
  </si>
  <si>
    <t xml:space="preserve">Maintaining global biodiversity by developing a sustainable Anthropocene food production system 
</t>
  </si>
  <si>
    <t>10.1177/20530196221129747</t>
  </si>
  <si>
    <t>Anthropocene Review, The</t>
  </si>
  <si>
    <t>Chris Thomas</t>
  </si>
  <si>
    <t>chris.thomas@york.ac.uk</t>
  </si>
  <si>
    <t>2053-020X</t>
  </si>
  <si>
    <t>2053-0196</t>
  </si>
  <si>
    <t>Examining the Difference in Error Detection when Listening to Native and Non-Native Speakers</t>
  </si>
  <si>
    <t>10.1177/17470218221135543</t>
  </si>
  <si>
    <t>-</t>
  </si>
  <si>
    <t>Ambivalent States: Paradoxes of Subjection in the Jordanian South</t>
  </si>
  <si>
    <t>10.1177/23996544221136708</t>
  </si>
  <si>
    <t>Environment and Planning C</t>
  </si>
  <si>
    <t>American Center for Research (ACOR), Trinity College, University of Cambridge</t>
  </si>
  <si>
    <t>Jose Martinez</t>
  </si>
  <si>
    <t>jose.ciro.martinez@york.ac.uk</t>
  </si>
  <si>
    <t>2399-6552</t>
  </si>
  <si>
    <t>2399-6544</t>
  </si>
  <si>
    <t>The role of community organisations in the collective mobilisation of migrant workers: The importance of a &amp;lsquo;community&amp;rsquo;-oriented perspective</t>
  </si>
  <si>
    <t>10.1177/09500170221138008</t>
  </si>
  <si>
    <t>Sage TA 2023</t>
  </si>
  <si>
    <t>Sage grace period</t>
  </si>
  <si>
    <t>Joyce Jiang</t>
  </si>
  <si>
    <t>Joyce.Jiang@york.ac.uk</t>
  </si>
  <si>
    <t>It&amp;rsquo;s our story: parents and carers' experiences during the pandemic</t>
  </si>
  <si>
    <t>10.1177/13607804211066329</t>
  </si>
  <si>
    <t>Katie Pybus</t>
  </si>
  <si>
    <t>katie.pybus@york.ac.uk</t>
  </si>
  <si>
    <t>Law and Legitimacy in Administrative Justice Research</t>
  </si>
  <si>
    <t>10.1177/09646639221140799</t>
  </si>
  <si>
    <t>Conducting a large, longitudinal, multi-site qualitative study within a mixed methods evaluation of a UK national health policy: reflections from the GPED study</t>
  </si>
  <si>
    <t>10.1177/16094069221140873</t>
  </si>
  <si>
    <t>International Journal of Qualitative Methods</t>
  </si>
  <si>
    <t>Joy Adamson</t>
  </si>
  <si>
    <t>joy.adamson@york.ac.uk</t>
  </si>
  <si>
    <t>The Dialogic Performativity of Secrecy and Transparency</t>
  </si>
  <si>
    <t>10.1177/00187267221139457</t>
  </si>
  <si>
    <t>Human Relations</t>
  </si>
  <si>
    <t>Ziyun Fan</t>
  </si>
  <si>
    <t>ziyun.fan@outlook.com</t>
  </si>
  <si>
    <t>1741-282X</t>
  </si>
  <si>
    <t>0018-7267</t>
  </si>
  <si>
    <t>What discretion do you need? Factors influencing police decision making in possession of cannabis offences</t>
  </si>
  <si>
    <t>10.1177/17488958221142478</t>
  </si>
  <si>
    <t>N8 Policing Research Partnership Small Grants</t>
  </si>
  <si>
    <t>Sharon Grace</t>
  </si>
  <si>
    <t>sharon.grace@york.ac.uk</t>
  </si>
  <si>
    <t>Modelling Chinese Youth Support for Military Intervention in the Diaoyu/Senkaku Islands: Beyond Nationalism and Militarism</t>
  </si>
  <si>
    <t>10.1177/00220027221143971</t>
  </si>
  <si>
    <t>Journal of Conflict Resolution</t>
  </si>
  <si>
    <t>Graeme Davies</t>
  </si>
  <si>
    <t>graeme.davies@york.ac.uk</t>
  </si>
  <si>
    <t>1552-8766</t>
  </si>
  <si>
    <t>0022-0027</t>
  </si>
  <si>
    <t>Understanding parent experiences of end-of-life care for children: a systematic review and qualitative evidence synthesis</t>
  </si>
  <si>
    <t>10.1177/02692163221144084</t>
  </si>
  <si>
    <t>Laura Barrett</t>
  </si>
  <si>
    <t>laura.barrett@york.ac.uk</t>
  </si>
  <si>
    <t>Bias mitigation in empirical peace and conflict studies: A short primer on posttreatment variables</t>
  </si>
  <si>
    <t>10.1177/00223433221145531</t>
  </si>
  <si>
    <t>Journal of Peace Research</t>
  </si>
  <si>
    <t>Christoph Dworschak</t>
  </si>
  <si>
    <t>christoph.dworschak@york.ac.uk</t>
  </si>
  <si>
    <t>1460-3578</t>
  </si>
  <si>
    <t>0022-3433</t>
  </si>
  <si>
    <t>A systematic review of economic evaluations alongside Studies Within A Trial (SWATs) for improving recruitment and retention in RCTs</t>
  </si>
  <si>
    <t>10.1177/26320843221147838</t>
  </si>
  <si>
    <t>Athanasios Gkekas</t>
  </si>
  <si>
    <t>ag1378@york.ac.uk</t>
  </si>
  <si>
    <t>PROMoting THE USE of Studies Within A Trial (PROMETHEUS): Results and experiences from a large programme to evaluate the routine embedding of recruitment and retention strategies within randomised controlled trials</t>
  </si>
  <si>
    <t>10.1177/26320843221147841</t>
  </si>
  <si>
    <t>Laura Doherty</t>
  </si>
  <si>
    <t>laura.doherty@york.ac.uk</t>
  </si>
  <si>
    <t>What does &amp;lsquo;good&amp;rsquo; palliative care look like for children and young people? A qualitative study of parents&amp;rsquo; experiences and perspectives</t>
  </si>
  <si>
    <t>10.1177/02692163231154300</t>
  </si>
  <si>
    <t>Together for Short Lives and Children with Cancer</t>
  </si>
  <si>
    <t>Methods for investigation of L2 speech rhythm: Insights from the production of English speech rhythm by L2 Arabic learners</t>
  </si>
  <si>
    <t>10.1177/02676583231152638</t>
  </si>
  <si>
    <t>Second Language Research</t>
  </si>
  <si>
    <t>Taif University</t>
  </si>
  <si>
    <t>Sam Hellmuth</t>
  </si>
  <si>
    <t>sam.hellmuth@york.ac.uk</t>
  </si>
  <si>
    <t>1477-0326</t>
  </si>
  <si>
    <t>0267-6583</t>
  </si>
  <si>
    <t>Hidden from history: carriage cleaners in the United Kingdom from 1849 to COVID-19</t>
  </si>
  <si>
    <t>10.1177/00225266231156114</t>
  </si>
  <si>
    <t>Julia Winterson</t>
  </si>
  <si>
    <t>julia.winterson@btinternet.com</t>
  </si>
  <si>
    <t>Governing through ESG and the green spirit of asset manager capitalism</t>
  </si>
  <si>
    <t>10.1177/0308518X231156611</t>
  </si>
  <si>
    <t>The author received no financial support for the research, authorship, and/or publication of this article.</t>
  </si>
  <si>
    <t>Matthew Archer</t>
  </si>
  <si>
    <t>matthew.archer@york.ac.uk</t>
  </si>
  <si>
    <t>Far from Houdini: The &amp;ldquo;Magic&amp;rdquo; of the VFX Breakdown</t>
  </si>
  <si>
    <t>10.1177/17468477231155541</t>
  </si>
  <si>
    <t>Animation</t>
  </si>
  <si>
    <t>Nick Jones</t>
  </si>
  <si>
    <t>n.jones@york.ac.uk</t>
  </si>
  <si>
    <t>1746-8485</t>
  </si>
  <si>
    <t>1746-8477</t>
  </si>
  <si>
    <t>Meditation as a tool to counteract music performance anxiety from the experts' perspective</t>
  </si>
  <si>
    <t>10.1177/03057356231155968</t>
  </si>
  <si>
    <t>Psychology of Music</t>
  </si>
  <si>
    <t>Serena Paese</t>
  </si>
  <si>
    <t>sp1730@york.ac.uk</t>
  </si>
  <si>
    <t>Animal-assisted and robotic animal-assisted interventions within dementia care: a systematic review</t>
  </si>
  <si>
    <t>10.1177/14713012231155985</t>
  </si>
  <si>
    <t>Dementia</t>
  </si>
  <si>
    <t>Tees, Esk and Wears Valley NHS Foundation Trust Research Capability Funding Award</t>
  </si>
  <si>
    <t>1741-2684</t>
  </si>
  <si>
    <t>1471-3012</t>
  </si>
  <si>
    <t>The complex relationships between economic inequality and biodiversity: A scoping review</t>
  </si>
  <si>
    <t>10.1177/20530196231158080</t>
  </si>
  <si>
    <t>Leverhulme Centre for Anthropocene</t>
  </si>
  <si>
    <t>Caroline Ward</t>
  </si>
  <si>
    <t>caroline.ward@york.ac.uk</t>
  </si>
  <si>
    <t>Factors influencing the mental health of autistic children and teenagers: Parents' observations and experiences</t>
  </si>
  <si>
    <t>10.1177/13623613231158959</t>
  </si>
  <si>
    <t>Suzanne Mukherjee</t>
  </si>
  <si>
    <t>suzanne.mukherjee@york.ac.uk</t>
  </si>
  <si>
    <t>Holding On or Letting Go: Inheritance as a Liminal Experience</t>
  </si>
  <si>
    <t>10.1177/14705931231162400</t>
  </si>
  <si>
    <t>Academy of Marketing</t>
  </si>
  <si>
    <t>Victoria Wells</t>
  </si>
  <si>
    <t>victoria.wells@york.ac.uk</t>
  </si>
  <si>
    <t>(Tiny) spaces of hope: Reclaiming, maintaining, and reframing housing in the tiny
house movement</t>
  </si>
  <si>
    <t>10.1177/02637758231165295</t>
  </si>
  <si>
    <t>Environment and Planning D</t>
  </si>
  <si>
    <t>Alice Wilson</t>
  </si>
  <si>
    <t>aew579@york.ac.uk</t>
  </si>
  <si>
    <t>1472-3433</t>
  </si>
  <si>
    <t>0263-7758</t>
  </si>
  <si>
    <t>Multiple positionalities in the field: an intersectional reflexive account of researching Pakistani and Bangladeshi Muslim lone motherhood.</t>
  </si>
  <si>
    <t>10.1177/14687941231165893</t>
  </si>
  <si>
    <t>Sarah Baz</t>
  </si>
  <si>
    <t>Constructing relative effect priors for research prioritisation and trial design a meta-epidemiological analysis</t>
  </si>
  <si>
    <t>10.1177/0272989X231165985</t>
  </si>
  <si>
    <t>David Glynn</t>
  </si>
  <si>
    <t>david.glynn@york.ac.uk</t>
  </si>
  <si>
    <t>Exploring the longitudinal relationship between short sleep duration, temperament and Attention Deficit Hyperactivity Disorder symptoms in a biethnic population of children aged between 6 and 61 months: A Born in Bradford Study</t>
  </si>
  <si>
    <t>10.1177/10870547231168433</t>
  </si>
  <si>
    <t>Journal of Attention Disorders</t>
  </si>
  <si>
    <t>Jonathan Stott</t>
  </si>
  <si>
    <t>jonathan.stott@nhs.net</t>
  </si>
  <si>
    <t>1557-1246</t>
  </si>
  <si>
    <t>1087-0547</t>
  </si>
  <si>
    <t>Storytelling, Sociology and Sexuality: Ken Plummers Humanist Narrative analysis</t>
  </si>
  <si>
    <t>10.1177/13634607231169003</t>
  </si>
  <si>
    <t>Sexualities</t>
  </si>
  <si>
    <t>Stevi Jackson</t>
  </si>
  <si>
    <t>stevi.jackson@york.ac.uk</t>
  </si>
  <si>
    <t>1461-7382</t>
  </si>
  <si>
    <t>1363-4607</t>
  </si>
  <si>
    <t xml:space="preserve">Inseparable Bedfellows. Imagination and Mathematics in Economic Modelling
</t>
  </si>
  <si>
    <t>10.1177/00483931231169308</t>
  </si>
  <si>
    <t>Philosophy of the Social Sciences</t>
  </si>
  <si>
    <t>Creativity Theme Priming Funds, University of York</t>
  </si>
  <si>
    <t>Fiora Salis</t>
  </si>
  <si>
    <t>Fiora.salis@york.ac.uk</t>
  </si>
  <si>
    <t>1552-7441</t>
  </si>
  <si>
    <t>0048-3931</t>
  </si>
  <si>
    <t>Erratum: Microbial Musings – November 2020</t>
  </si>
  <si>
    <t>10.1099/mic.0.001014</t>
  </si>
  <si>
    <t>Requested email report: Microbiology Soc 2017 - 2022</t>
  </si>
  <si>
    <t>Microbial Musings – January 2021</t>
  </si>
  <si>
    <t>10.1099/mic.0.001033</t>
  </si>
  <si>
    <t>Microbial Musings – February 2021</t>
  </si>
  <si>
    <t>10.1099/mic.0.001046</t>
  </si>
  <si>
    <t>Microbial Musings – March 2021</t>
  </si>
  <si>
    <t>10.1099/mic.0.001053</t>
  </si>
  <si>
    <t>Microbial Musings – May 2021</t>
  </si>
  <si>
    <t>10.1099/mic.0.001069</t>
  </si>
  <si>
    <t>Microbial Musings – April 2021</t>
  </si>
  <si>
    <t>10.1099/mic.0.001061</t>
  </si>
  <si>
    <t>Microbial Musings – July 2021</t>
  </si>
  <si>
    <t>10.1099/mic.0.001090</t>
  </si>
  <si>
    <t>Microbial Musings – June 2021</t>
  </si>
  <si>
    <t>10.1099/mic.0.001077</t>
  </si>
  <si>
    <t>Aspectual deictic verbs in Mandarin Chinese</t>
  </si>
  <si>
    <t>10.1007/s10831-023-09251-z</t>
  </si>
  <si>
    <t>Journal of East Asian Linguistics</t>
  </si>
  <si>
    <t>Springer dashboard</t>
  </si>
  <si>
    <t>Corresponding author not affiliated with institution - 2023-01-30</t>
  </si>
  <si>
    <t>Wei-Min Wu</t>
  </si>
  <si>
    <t>1572-8560</t>
  </si>
  <si>
    <t>When Pain Becomes an Expression of Love: a Phenomenological Analysis of Self-inflicted Pain Among Christian Monastic Ascetics in Central Medieval Europe</t>
  </si>
  <si>
    <t>10.1007/s11841-023-00956-1</t>
  </si>
  <si>
    <t>Corresponding author not affiliated with institution - 2023-03-06</t>
  </si>
  <si>
    <t>Roni Naor Hofri</t>
  </si>
  <si>
    <t>http://orcid.org/0000-0001-8758-4739</t>
  </si>
  <si>
    <t>Recycling of cell surface membrane proteins from yeast endosomes is regulated by ubiquitinated Ist1</t>
  </si>
  <si>
    <t>10.1083/jcb.202109137</t>
  </si>
  <si>
    <t>Journal of Cell Biology</t>
  </si>
  <si>
    <t>Rockefeller University Press</t>
  </si>
  <si>
    <t>Rockefeller University Press TA 2022</t>
  </si>
  <si>
    <t>Publisher email report: RUP Authorship Report 2021-2022</t>
  </si>
  <si>
    <t>This research was supported by a Sir Henry Dale Research Fellowship from the Wellcome Trust and the Royal Society 204636/Z/16/Z (C. MacDonald).</t>
  </si>
  <si>
    <t>1540-8140</t>
  </si>
  <si>
    <t>0021-9525</t>
  </si>
  <si>
    <t>Prion-like domains drive CIZ1 assembly formation at the inactive X chromosome</t>
  </si>
  <si>
    <t>10.1083/jcb.202103185</t>
  </si>
  <si>
    <t>Rockefeller University Press TA 2021</t>
  </si>
  <si>
    <t>This work was supported by the Georgina Gatenby PhD scholarship to G.L. Turvey and UK Medical Research Council grants MR/R008981 and MR/V029088/1.</t>
  </si>
  <si>
    <t>Sajad Sofi</t>
  </si>
  <si>
    <t>sajad.sofi@york.ac.uk</t>
  </si>
  <si>
    <t>0000-0001-8354-1694</t>
  </si>
  <si>
    <t>On the connected components of the moduli space of equivariant minimal surfaces in CHCH2.</t>
  </si>
  <si>
    <t>10.1007/s10711-023-00793-z</t>
  </si>
  <si>
    <t>Springer dashboard report: Springer dash approved articles 1 Jan 2020 to 19 April 2023</t>
  </si>
  <si>
    <t>Ian McIntosh</t>
  </si>
  <si>
    <t>http://orcid.org/0000-0002-2960-1497</t>
  </si>
  <si>
    <t>Gas Flaring in Nigeria: A Multi-level Governance and Policy Coherence Analysis</t>
  </si>
  <si>
    <t>10.1007/s44177-023-00045-5</t>
  </si>
  <si>
    <t>Godwin Aigbe</t>
  </si>
  <si>
    <t>http://orcid.org/0000-0003-4918-1546</t>
  </si>
  <si>
    <t>Lindsay C. Stringer, Matthew Cotton</t>
  </si>
  <si>
    <t>Adaptation of a Behavioural Activation Intervention for Depression in People with Diabetes in Bangladesh and Pakistan: DiaDeM Intervention</t>
  </si>
  <si>
    <t>10.1007/s43477-023-00072-9</t>
  </si>
  <si>
    <t>Global Implementation Research and Applications</t>
  </si>
  <si>
    <t>National Institute for Health and Care Research</t>
  </si>
  <si>
    <t>Gerardo A. Zavala</t>
  </si>
  <si>
    <t>http://orcid.org/0000-0002-9825-8725</t>
  </si>
  <si>
    <t>Saima Afaq, Ashraful Alam, Naveed Ahmed, Faiza Aslam, Saumit Benkalkar, Karen Coales, Hannah Maria Jennings, Ian Kellar, Mumtahanah Nabi, Anum Naz, Hira Shakoor, Najma Siddiqi, David Ekers</t>
  </si>
  <si>
    <t>2662-9275</t>
  </si>
  <si>
    <t>In-beam γ-ray spectroscopy of 94Ag</t>
  </si>
  <si>
    <t>10.1140/epja/s10050-023-00950-8</t>
  </si>
  <si>
    <t>U.S. Department of Energy, Consejo Nacional de Ciencia y Tecnología, Birgit and Hellmuth Hertz’ Foundation, Science and Technology Facilities Council, Seventh Framework Programme, Ministry of Science and ICT, South Korea</t>
  </si>
  <si>
    <t>M. A. Bentley</t>
  </si>
  <si>
    <t>X. Pereira-López, R. Wadsworth, P. Ruotsalainen, S. M. Lenzi, U. Forsberg, K. Auranen, A. Blazhev, B. Cederwall, T. Grahn, P. Greenlees, A. Illana, D. G. Jenkins, R. Julin, H. Jutila, S. Juutinen, X. Liu, R. Llewelyn, M. Luoma, K. Moschner, C. Müller-Gatermann, B. S. Nara Singh, F. Nowacki, J. Ojala, J. Pakarinen, P. Papadakis, P. Rahkila, J. Romero, M. Sandzelius, J. Sarén, H. Tann, S. Uthayakumaar, J. Uusitalo, J. G. Vega-Romero, J. M. Vilhena, R. Yajzey, W. Zhang, G. Zimba</t>
  </si>
  <si>
    <t>Chronic kidney disease and severe mental illness: a scoping review</t>
  </si>
  <si>
    <t>10.1007/s40620-023-01599-8</t>
  </si>
  <si>
    <t>Journal of Nephrology</t>
  </si>
  <si>
    <t>Clodagh Cogley, Kate Bramham, Joseph Chilcot, Helen Noble, Najma Siddiqi</t>
  </si>
  <si>
    <t>1724-6059</t>
  </si>
  <si>
    <t>From reflection diaries to practical guidance for transdisciplinary research: learnings from a Kenyan air pollution project</t>
  </si>
  <si>
    <t>10.1007/s11625-023-01317-0</t>
  </si>
  <si>
    <t>Sarah E. West</t>
  </si>
  <si>
    <t>http://orcid.org/0000-0002-2484-8124</t>
  </si>
  <si>
    <t>Heather D. Price, Cressida J. Bowyer, Patrick Büker, Cindy M. Gray, Matthew Hahn, Fiona Lambe, Miranda Loh, Alexander J. Medcalf, Timothy Kamau Njoora, Charlotte Waelde, Megan Wainwright, Sarah E. West</t>
  </si>
  <si>
    <t>Scheduling IDK classifiers with arbitrary dependences to minimize the expected time to successful classification</t>
  </si>
  <si>
    <t>10.1007/s11241-023-09395-0</t>
  </si>
  <si>
    <t>Innovate UK</t>
  </si>
  <si>
    <t>Robert I. Davis</t>
  </si>
  <si>
    <t>http://orcid.org/0000-0002-5772-0928</t>
  </si>
  <si>
    <t>Tarek Abdelzaher, Kunal Agrawal, Sanjoy Baruah, Alan Burns, Zhishan Guo, Yigong Hu</t>
  </si>
  <si>
    <t>Deep learning’s shallow gains: a comparative evaluation of algorithms for automatic music generation</t>
  </si>
  <si>
    <t>10.1007/s10994-023-06309-w</t>
  </si>
  <si>
    <t>Machine Learning</t>
  </si>
  <si>
    <t>Zongyu Yin</t>
  </si>
  <si>
    <t>http://orcid.org/0000-0001-8709-8829</t>
  </si>
  <si>
    <t>Federico Reuben, Susan Stepney, Tom Collins</t>
  </si>
  <si>
    <t>1573-0565</t>
  </si>
  <si>
    <t>Do Children Think it is Important to Predict Learning and Behaviour Problems, and do they Think Genetic Screening has a role to play in this?</t>
  </si>
  <si>
    <t>10.1007/s10803-023-05966-z</t>
  </si>
  <si>
    <t>Diana Fields</t>
  </si>
  <si>
    <t>http://orcid.org/0000-0003-1933-031X</t>
  </si>
  <si>
    <t>Diana Fields, Kathryn Asbury</t>
  </si>
  <si>
    <t>Socioeconomic Inequalities and Ethnic Discrimination in COVID-19 Outcomes: The Case of Mexico</t>
  </si>
  <si>
    <t>10.1007/s40615-023-01571-z</t>
  </si>
  <si>
    <t>Journal of Racial and Ethnic Health Disparities</t>
  </si>
  <si>
    <t>Consejo Nacional de Ciencia y Tecnología, México</t>
  </si>
  <si>
    <t>Andrea Salas-Ortiz</t>
  </si>
  <si>
    <t>http://orcid.org/0000-0003-1839-096X</t>
  </si>
  <si>
    <t>2196-8837</t>
  </si>
  <si>
    <t>Connecting the Dots: Ceramics and the Creation of Foundational Narratives in East African Archaeology</t>
  </si>
  <si>
    <t>10.1007/s10437-023-09518-9</t>
  </si>
  <si>
    <t>Stephanie Wynne-Jones</t>
  </si>
  <si>
    <t>Testing for correlation between the regressors and factor loadings in heterogeneous panels with interactive effects</t>
  </si>
  <si>
    <t>10.1007/s00181-023-02390-1</t>
  </si>
  <si>
    <t>Yongcheol Shin</t>
  </si>
  <si>
    <t>http://orcid.org/0000-0002-8589-9689</t>
  </si>
  <si>
    <t>George Kapetanios, Laura Serlenga, Yongcheol Shin</t>
  </si>
  <si>
    <t>Loss, Loneliness, and the Question of Subjectivity in Old Age</t>
  </si>
  <si>
    <t>10.1007/s11245-023-09915-4</t>
  </si>
  <si>
    <t>Emily Hughes</t>
  </si>
  <si>
    <t>http://orcid.org/0000-0001-8294-1733</t>
  </si>
  <si>
    <t>By Myself but Not Alone. Agency, Creativity and Extended Musical Historicity</t>
  </si>
  <si>
    <t>10.1017/rma.2022.22</t>
  </si>
  <si>
    <t>Journal of the Royal Musical Association</t>
  </si>
  <si>
    <t>Email report March 2023</t>
  </si>
  <si>
    <t>Andrea Schiavio acknowledges the support of the Austrian Science Fund (FWF), by which this research was funded (project number P32460). For the purposes of open access, the author has applied a CC BY public copyright licence to any Author Accepted Manuscript version arising from this submission. Shaun Gallagher is supported by an Australian Research Council grant to study Minds in Skilled Performance, project number DP170102987.</t>
  </si>
  <si>
    <t>Andrea  Schiavio</t>
  </si>
  <si>
    <t>1471-6933</t>
  </si>
  <si>
    <t>0269-0403</t>
  </si>
  <si>
    <t>What is the impact of forced displacement on health? A scoping review</t>
  </si>
  <si>
    <t>10.1093/heapol/czad002</t>
  </si>
  <si>
    <t>Oxford University Press TA 2023</t>
  </si>
  <si>
    <t>OUP email report: University of York OUP publication output - 1.1.23 - 31.3.23</t>
  </si>
  <si>
    <t>Moreno-Serra, Rodrigo</t>
  </si>
  <si>
    <t>rodrigo.morenoserra@york.ac.uk</t>
  </si>
  <si>
    <t>Testing for Alpha in Linear Factor Pricing Models with a Large Number of Securities</t>
  </si>
  <si>
    <t>10.1093/jjfinec/nbad002</t>
  </si>
  <si>
    <t>Journal Of Financial Econometrics</t>
  </si>
  <si>
    <t>Yamagata, Takashi</t>
  </si>
  <si>
    <t>1479-8417</t>
  </si>
  <si>
    <t>Disentangling the effect of measures, variants and vaccines on SARS-CoV-2 Infections in England: A dynamic intensity model</t>
  </si>
  <si>
    <t>10.1093/ectj/utad004</t>
  </si>
  <si>
    <t>The Econometrics Journal</t>
  </si>
  <si>
    <t>Cornea-Madeira, Adriana</t>
  </si>
  <si>
    <t>adriana.cornea-madeira@york.ac.uk</t>
  </si>
  <si>
    <t>1368-423X</t>
  </si>
  <si>
    <t>1368-4221</t>
  </si>
  <si>
    <t>Predictors of self-reported research self-efficacy and perception of research amongst medical students in the United Kingdom: a national cross-sectional survey.</t>
  </si>
  <si>
    <t>10.1093/postmj/qgad010</t>
  </si>
  <si>
    <t xml:space="preserve">Not known </t>
  </si>
  <si>
    <t>Osunronbi, Temidayo</t>
  </si>
  <si>
    <t>temi.osunronbi@yahoo.co.uk</t>
  </si>
  <si>
    <t>Review of "British Jacobin Politics, Desires, and Aftermaths" by Epstein and Karr</t>
  </si>
  <si>
    <t>10.1093/ahr/rhad013</t>
  </si>
  <si>
    <t>The American Historical Review</t>
  </si>
  <si>
    <t>Fairclough, Mary</t>
  </si>
  <si>
    <t>mary.fairclough@york.ac.uk</t>
  </si>
  <si>
    <t>1937-5239</t>
  </si>
  <si>
    <t>0002-8762</t>
  </si>
  <si>
    <t>Testing for parameter change epochs in GARCH timeseries</t>
  </si>
  <si>
    <t>10.1093/ectj/utad006</t>
  </si>
  <si>
    <t>Wang, Weining</t>
  </si>
  <si>
    <t>weining.wang@york.ac.uk</t>
  </si>
  <si>
    <t>FCTC 2030 - a programme to accelerate the implementation of WHO Framework Convention for Tobacco Control in low- and middle-income countries: A mixed-methods evaluation</t>
  </si>
  <si>
    <t>10.1093/ntr/ntad022</t>
  </si>
  <si>
    <t>Khokhar, Mariam Ahmad</t>
  </si>
  <si>
    <t>mariam.khokhar@york.ac.uk</t>
  </si>
  <si>
    <t>Bullying Victimization in High School: Perceptions and Responses of Black Parents</t>
  </si>
  <si>
    <t>10.1093/cs/cdad005</t>
  </si>
  <si>
    <t>Children and Schools</t>
  </si>
  <si>
    <t>No Open Access</t>
  </si>
  <si>
    <t>Journal has no OA option</t>
  </si>
  <si>
    <t>Threlfall, Jennifer</t>
  </si>
  <si>
    <t>jenny.threlfall@york.ac.uk</t>
  </si>
  <si>
    <t>1545-682X</t>
  </si>
  <si>
    <t>1532-8759</t>
  </si>
  <si>
    <t>Person-centred deprescribing for patients living with frailty: A qualitative interview study and proposal of a collaborative model.</t>
  </si>
  <si>
    <t>10.1093/ijpp/riad016</t>
  </si>
  <si>
    <t>International Journal of Pharmacy Practice</t>
  </si>
  <si>
    <t>Peat, George</t>
  </si>
  <si>
    <t>george.peat@york.ac.uk</t>
  </si>
  <si>
    <t>0961-7671</t>
  </si>
  <si>
    <t>2042-7174</t>
  </si>
  <si>
    <t>Authenticity and Implicature.</t>
  </si>
  <si>
    <t>10.1093/jaac/kpad016</t>
  </si>
  <si>
    <t>Discussion</t>
  </si>
  <si>
    <t>Feeding the People in Wartime Britain</t>
  </si>
  <si>
    <t>10.1093/tcbh/hwad014</t>
  </si>
  <si>
    <t>Twentieth Century British History</t>
  </si>
  <si>
    <t>Kot-Ofek, Tali</t>
  </si>
  <si>
    <t>tko501@york.ac.uk</t>
  </si>
  <si>
    <t>1477-4674</t>
  </si>
  <si>
    <t>Down-regulation of MALAT1 is a hallmark of tissue and peripheral proliferative T cells in COVID-19</t>
  </si>
  <si>
    <t>10.1093/cei/uxad034</t>
  </si>
  <si>
    <t>Clinical and Experimental Immunology</t>
  </si>
  <si>
    <t>National Institute for Health Research; Wellcome Trust</t>
  </si>
  <si>
    <t>Dey, Shoumit</t>
  </si>
  <si>
    <t>shoumit.dey@york.ac.uk</t>
  </si>
  <si>
    <t>1365-2249</t>
  </si>
  <si>
    <t>Addendum to ''On Irreducibility of Tensor Products of Yangian Modules''</t>
  </si>
  <si>
    <t>10.1093/imrn/rnad073</t>
  </si>
  <si>
    <t>International Mathematics Research Notices</t>
  </si>
  <si>
    <t>Nazarov, Maxim</t>
  </si>
  <si>
    <t>1687-0247</t>
  </si>
  <si>
    <t>Mediation Skills and strategies  a Practical Guide 2012</t>
  </si>
  <si>
    <t>10.1093/bjsw/bcad114</t>
  </si>
  <si>
    <t>Sykes, Polly</t>
  </si>
  <si>
    <t>polly.sykes@york.ac.uk</t>
  </si>
  <si>
    <t>The Virtues of Mediation: Milton's Ludlow Maske</t>
  </si>
  <si>
    <t>10.1093/res/hgad030</t>
  </si>
  <si>
    <t>Rao, Namratha</t>
  </si>
  <si>
    <t>namratha.rao@york.ac.uk</t>
  </si>
  <si>
    <t>Modelling ribosome kinetics and translational control on dynamic mRNA</t>
  </si>
  <si>
    <t>10.1371/journal.pcbi.1010870</t>
  </si>
  <si>
    <t>PLOS TFF 2023</t>
  </si>
  <si>
    <t>PLOS monthly report Jan 2023</t>
  </si>
  <si>
    <t>This Author has received no funding for this work.</t>
  </si>
  <si>
    <t>Eric Dykeman</t>
  </si>
  <si>
    <t>eric.dykeman@york.ac.uk</t>
  </si>
  <si>
    <t>Small-scale mobility fostering the interaction networks of Patagonian (Argentina) hunter-gatherers during the Late Holocene: perspectives from strontium isotopes and exotic items</t>
  </si>
  <si>
    <t>10.1371/journal.pone.0281089</t>
  </si>
  <si>
    <t>DCSG provided support from the Generalitat Valenciana (CIDEGENT/2019/061) (https://innova.gva.es/va/) and the Spanish government (PID 2019-111207GA-I00 &amp; EUR2020-112213) (https://www.ciencia.gob.es/Investigar.html). LP provided support from the Agencia Nacional de Promocion de la Investigacion, el Desarrollo Tecnologico y la Innovacion (PICT 2019-04547) (https://www.argentina.gob.ar/ciencia/agencia) and the Consejo Nacional de Investigaciones Cientificas y Tecnicas -Argentina- (PIP 3204) (https://convocatorias.conicet.gov.ar/proyectos-pip/). The funders had no role in study design, data collection and analysis, decision to publish, or preparation of the manuscript.</t>
  </si>
  <si>
    <t>Alejandro Serna</t>
  </si>
  <si>
    <t>alejandroserna01@gmail.com</t>
  </si>
  <si>
    <t>Creation of an ustekinumab external control arm for Crohnâs disease using electronic health records data: a pilot study</t>
  </si>
  <si>
    <t>10.1371/journal.pone.0282267</t>
  </si>
  <si>
    <t>PLOS monthly report Feb 2023</t>
  </si>
  <si>
    <t>JM is funded by an EPSRC CASE Studentship, grant number EP/V519807/1, co-funded by AstraZeneca as CASE partner.  YW, CQ and DH are employed by AstraZeneca UK Ltd and support was provided in the form of salaries for these authors.'</t>
  </si>
  <si>
    <t>Corresponding author does not seem to have a link to York - queried with PLOS 3/5/23</t>
  </si>
  <si>
    <t>Vivek Rudrapatna</t>
  </si>
  <si>
    <t>vivek.rudrapatna@ucsf.edu</t>
  </si>
  <si>
    <t>Halogen-bonded Liquid-crystalline Complexes Formed from 4-Alkoxyphenylpyridines with Iodine and with Interhalogens</t>
  </si>
  <si>
    <t>10.1039/D2CE01555B</t>
  </si>
  <si>
    <t>Report: 180_University of York</t>
  </si>
  <si>
    <t>The impact of plug-in fragrance diffusers on residential indoor VOC concentrations</t>
  </si>
  <si>
    <t>10.1039/D2EM00444E</t>
  </si>
  <si>
    <t>National Centre for Atmospheric Science; UK Research and Innovation</t>
  </si>
  <si>
    <t>Alastair Lewis</t>
  </si>
  <si>
    <t>Unreported VOC emissions from road transport including from electric vehicles</t>
  </si>
  <si>
    <t>10.1021/acs.est.3c00845</t>
  </si>
  <si>
    <t>Environmental Science &amp; Technology</t>
  </si>
  <si>
    <t>ACS_CCC_ytd_9_May_2023</t>
  </si>
  <si>
    <t>Samuel Cliff</t>
  </si>
  <si>
    <t>sjc613@york.ac.uk</t>
  </si>
  <si>
    <t>0000-0002-1078-3972</t>
  </si>
  <si>
    <t>1520-5851</t>
  </si>
  <si>
    <t>0013-936X</t>
  </si>
  <si>
    <t>Extreme concentrations of nitric oxide control daytime oxidation and quench nocturnal oxidation chemistry in Delhi during highly polluted episodes</t>
  </si>
  <si>
    <t>10.1021/acs.estlett.3c00171</t>
  </si>
  <si>
    <t>Environmental Science &amp; Technology Letters</t>
  </si>
  <si>
    <t>Earth System Sciences Organization, Ministry of Earth Sciences; Natural Environment Research Council</t>
  </si>
  <si>
    <t>Beth Nelson</t>
  </si>
  <si>
    <t>beth.nelson@york.ac.uk</t>
  </si>
  <si>
    <t>0000-0003-4493-4086</t>
  </si>
  <si>
    <t>2328-8930</t>
  </si>
  <si>
    <t>Research-Led Learning in Action: Development of an Online Chemistry Course for Final-Year Undergraduates</t>
  </si>
  <si>
    <t>10.1021/acs.jchemed.2c01207</t>
  </si>
  <si>
    <t>Andrew Parsons</t>
  </si>
  <si>
    <t>andy.parsons@york.ac.uk</t>
  </si>
  <si>
    <t>0000-0001-8271-774X</t>
  </si>
  <si>
    <t>Understanding Sorption Mechanisms Directly from Isotherms</t>
  </si>
  <si>
    <t>10.1021/acs.langmuir.3c00256</t>
  </si>
  <si>
    <t>Ministry of Education, Culture, Sports, Science and Technology</t>
  </si>
  <si>
    <t>0000-0002-7853-1683</t>
  </si>
  <si>
    <t>Understanding Pre-catalyst Activation and Speciation in Manganese-catalyzed CH Bond Functionalization Reactions</t>
  </si>
  <si>
    <t>10.1021/acs.organomet.3c00004</t>
  </si>
  <si>
    <t>Engineering and Physical Sciences Research Council; Science and Technology Facilities Council; Royal Society of Chemistry; Syngenta Foundation for Sustainable Agriculture</t>
  </si>
  <si>
    <t>Excited State Aromaticity Reversals in Naphthalene and Anthracene</t>
  </si>
  <si>
    <t>10.1021/acs.jpca.3c00485</t>
  </si>
  <si>
    <t>0000-0002-2673-6804</t>
  </si>
  <si>
    <t>Sequence Dependent Melting and Refolding Dynamics of RNA UNCG Tetraloops Using Temperature-Jump/Drop Infrared Spectroscopy</t>
  </si>
  <si>
    <t>10.1021/acs.jpcb.2c08709</t>
  </si>
  <si>
    <t>The Journal of Physical Chemistry B</t>
  </si>
  <si>
    <t>0000-0001-7400-5152</t>
  </si>
  <si>
    <t>1520-5207</t>
  </si>
  <si>
    <t>1520-6106</t>
  </si>
  <si>
    <t>Beneath the label: unsatisfactory compliance with ESRB, PEGI and IARC industry self-regulation requiring loot box presence warning labels by video game companies</t>
  </si>
  <si>
    <t>10.1098/rsos.230270</t>
  </si>
  <si>
    <t>Royal Society Open Science</t>
  </si>
  <si>
    <t>Royal Society TA 2023</t>
  </si>
  <si>
    <t>Royal_Soc_CCC_ytd_10_May_2023</t>
  </si>
  <si>
    <t>IT-Universitetet i København</t>
  </si>
  <si>
    <t>Leon Y. Xiao</t>
  </si>
  <si>
    <t>leon.xiao.y@gmail.com</t>
  </si>
  <si>
    <t>2054-5703</t>
  </si>
  <si>
    <t>Directional serial verb constructions in Mandarin – a neo-constructionist approach</t>
  </si>
  <si>
    <t>10.1017/S0022226723000129</t>
  </si>
  <si>
    <t>Journal of Linguistics</t>
  </si>
  <si>
    <t>Email report April 2023</t>
  </si>
  <si>
    <t>Zhishuang  Chen</t>
  </si>
  <si>
    <t>1469-7742</t>
  </si>
  <si>
    <t>0022-2267</t>
  </si>
  <si>
    <t>Incoherent and Indefensible? A Normative Analysis of Young People’s Position in England’s Welfare and Homelessness Systems</t>
  </si>
  <si>
    <t>10.1017/S0047279423000193</t>
  </si>
  <si>
    <t>5/29/2023</t>
  </si>
  <si>
    <t>Email report May 2023</t>
  </si>
  <si>
    <t>ESRC</t>
  </si>
  <si>
    <t>Kit  Colliver</t>
  </si>
  <si>
    <t>Automorphic scalar fields in two–dimensional de Sitter space</t>
  </si>
  <si>
    <t>10.1088/1361-6382/aca73f</t>
  </si>
  <si>
    <t>Email report from IOP: York - Articles Published Under Jisc-IOPP TA Nov - Dec 2022</t>
  </si>
  <si>
    <t>Mr David Serrano Blanco</t>
  </si>
  <si>
    <t>Uncertainty relations for the support of quantum states</t>
  </si>
  <si>
    <t>10.1088/1751-8121/aca9a4</t>
  </si>
  <si>
    <t>Mr Vincenzo Fiorentino</t>
  </si>
  <si>
    <t>Vibrational kinetics in repetitively pulsed atmospheric pressure nitrogen discharges: average–power–dependent switching behaviour</t>
  </si>
  <si>
    <t>10.1088/1361-6595/aca9f4</t>
  </si>
  <si>
    <t>Wellcome Trust; Fundação para a Ciência e a Tecnologia; Deutsche Forschungsgemeinschaft</t>
  </si>
  <si>
    <t>Dr Helen Louise Davies</t>
  </si>
  <si>
    <t>Voltage–controlled bimeron diode–like effect in nanoscale information channel</t>
  </si>
  <si>
    <t>10.1088/1361-6463/acb219</t>
  </si>
  <si>
    <t>Institute of Physics Publishing TA 2023</t>
  </si>
  <si>
    <t>Email report from IOP: York - Articles Published Under Jisc-IOPP 2023 YTD 21.06.2023.</t>
  </si>
  <si>
    <t>Science and Technology Program of Guangdong; Research and Development Program of China; Key-Area Research &amp; Development Program of Guangdong Province; National Natural Science Foundation of China; Natural Science Foundation of Jiangsu Province of China; Fundamental Research Funds for the Central Universities; NSFC</t>
  </si>
  <si>
    <t>Mr Junlin Wang</t>
  </si>
  <si>
    <t>Nonlinear second order electromagnetic gyrokinetic theory for a tokamak plasma</t>
  </si>
  <si>
    <t>10.1088/1361-6587/acb173</t>
  </si>
  <si>
    <t>Dr Alexandra V Dudkovskaia</t>
  </si>
  <si>
    <t>Novel SOLPS–ITER simulations of X–point target and snowflake divertors</t>
  </si>
  <si>
    <t>10.1088/1361-6587/acb4ba</t>
  </si>
  <si>
    <t>Engineering and Physical Sciences Research Council; Eurofusion; U.S. Department of Energy</t>
  </si>
  <si>
    <t>Mr Cyd Cowley</t>
  </si>
  <si>
    <t>Quantifying the role of higher order neoclassical corrections to gyrokinetics in tokamak plasmas</t>
  </si>
  <si>
    <t>10.1088/1361-6587/acc688</t>
  </si>
  <si>
    <t>Engineering and Physical Sciences Research Council; EUROfusion</t>
  </si>
  <si>
    <t>The formation of O and H radicals in a pulsed discharge in atmospheric pressure helium with water vapour admixtures</t>
  </si>
  <si>
    <t>10.1088/1361-6595/acd57f</t>
  </si>
  <si>
    <t>Engineering and Physical Science Research Council</t>
  </si>
  <si>
    <t>Dr Erik Wagenaars</t>
  </si>
  <si>
    <t>Parametric dependence of microwave beam broadening by plasma density turbulence</t>
  </si>
  <si>
    <t>10.1088/1741-4326/acc25e</t>
  </si>
  <si>
    <t>Engineering and Physical Sciences Research Council; Euratom Research and Training Programme</t>
  </si>
  <si>
    <t>Mx Lou Holland</t>
  </si>
  <si>
    <t>L–H transition studies on MAST: power threshold and heat flux analysis</t>
  </si>
  <si>
    <t>10.1088/1741-4326/acc2cf</t>
  </si>
  <si>
    <t>Ms Lena Howlett</t>
  </si>
  <si>
    <t>Performance study of novel micro–Resistive WELL ($\mu$–RWELL) detector in different gas mixtures</t>
  </si>
  <si>
    <t>10.1088/1748-0221/18/06/C06006</t>
  </si>
  <si>
    <t>Journal of Instrumentation</t>
  </si>
  <si>
    <t>Dr Soham Chakraborty</t>
  </si>
  <si>
    <t>1748-0221</t>
  </si>
  <si>
    <t>The emergence of tuning to global shape properties of radial frequency patterns in the ventral visual pathway</t>
  </si>
  <si>
    <t>10.1523/JNEUROSCI.2237-22.2023</t>
  </si>
  <si>
    <t>Journal of Neuroscience</t>
  </si>
  <si>
    <t>Society for Neuroscience</t>
  </si>
  <si>
    <t>Society for Neuroscience TA 2023</t>
  </si>
  <si>
    <t>Email report from SfN: University-of-York_JNeurosci-through-2023-Q2</t>
  </si>
  <si>
    <t>BBSRC BB/P007252</t>
  </si>
  <si>
    <t>Antony Morland</t>
  </si>
  <si>
    <t>0000-0002-6754-5545</t>
  </si>
  <si>
    <t>1529-2401</t>
  </si>
  <si>
    <t>0270-6474</t>
  </si>
  <si>
    <t>The limits of professionalisation from above: On the re-professionalisation of street-level policing in England</t>
  </si>
  <si>
    <t>10.1177/17488958231170153</t>
  </si>
  <si>
    <t>Email report from Sage: SAGE journals for 01-07-2021 to 01-07-2023</t>
  </si>
  <si>
    <t>0000-0002-0754-804X</t>
  </si>
  <si>
    <t>Clifford Bacon, William Hebenton</t>
  </si>
  <si>
    <t>‘It’s tough. It is hard’: A qualitative interview study of staff and volunteers caring for hospice in-patients with delirium</t>
  </si>
  <si>
    <t>10.1177/02692163231170655</t>
  </si>
  <si>
    <t>Bradford District Care NHS Foundation Trust (-), National Institute for Health Research (-)</t>
  </si>
  <si>
    <t>0000-0002-9042-7600</t>
  </si>
  <si>
    <t>Najma Siddiqi, Lesley Jones, Eleonora Coppo, Trevor Sheldon, Annmarie Hosie, Anna Wolkowski, Shirley Bush, Johanna Taylor, Andrew Teodorczuk, Miriam Johnson</t>
  </si>
  <si>
    <t>**special issue** Neo-Cult and the Altered Audience: Reviving cult TV for the post-TV age</t>
  </si>
  <si>
    <t>10.1177/15274764231171068</t>
  </si>
  <si>
    <t>Television &amp; New Media</t>
  </si>
  <si>
    <t>Bethan Jones</t>
  </si>
  <si>
    <t>bethanvjones@hotmail.com</t>
  </si>
  <si>
    <t>1552-8316</t>
  </si>
  <si>
    <t>1527-4764</t>
  </si>
  <si>
    <t>Over a third of palliative medicine physicians meet burnout criteria: results from a survey study during the COVID-19 pandemic</t>
  </si>
  <si>
    <t>10.1177/02692163231153067</t>
  </si>
  <si>
    <t>Jason Boland</t>
  </si>
  <si>
    <t>jason.boland@hyms.ac.uk</t>
  </si>
  <si>
    <t>0000-0001-5272-3057</t>
  </si>
  <si>
    <t>Monisha Kabir, Edward Spilg, Colleen Webber, Shirley Bush, Fliss Murtagh, Peter Lawlor</t>
  </si>
  <si>
    <t>‘It is easier to not allow them to see your disability straight away, to see you as a person’: An Interpretative Phenomenological Analysis of video gaming from the perspectives of men with Duchenne Muscular Dystrophy</t>
  </si>
  <si>
    <t>10.1177/02692163231172246</t>
  </si>
  <si>
    <t>School of Healthcare PhD Studentship, University of Leeds (_)</t>
  </si>
  <si>
    <t>George Peat</t>
  </si>
  <si>
    <t>0000-0002-0293-2456</t>
  </si>
  <si>
    <t>Alison Rodriguez, Joanna Smith</t>
  </si>
  <si>
    <t>Dual-tasking while using two languages: Examining the cognitive resource demands of cued and voluntary language production in bilinguals</t>
  </si>
  <si>
    <t>10.1177/17470218231173638</t>
  </si>
  <si>
    <t>0000-0001-8326-0294</t>
  </si>
  <si>
    <t>The poetics of attention in Old English verse: a cognitive stylistic approach to the depiction of Grendel in Beowulf</t>
  </si>
  <si>
    <t>10.1177/09639470231177583</t>
  </si>
  <si>
    <t>Language and Literature</t>
  </si>
  <si>
    <t>Nikolas Gunn</t>
  </si>
  <si>
    <t>nikolas.gunn@york.ac.uk</t>
  </si>
  <si>
    <t>0000-0002-9239-8487</t>
  </si>
  <si>
    <t>1461-7293</t>
  </si>
  <si>
    <t>0963-9470</t>
  </si>
  <si>
    <t>Keeping it real in Chinese hip-hop: everyday authenticity and coming from the street</t>
  </si>
  <si>
    <t>10.1177/13607804231178628</t>
  </si>
  <si>
    <t>Yehan Wang</t>
  </si>
  <si>
    <t>yw2785@york.ac.uk</t>
  </si>
  <si>
    <t>0000-0002-5761-4922</t>
  </si>
  <si>
    <t>Sociophonetics (2021) by Tyler Kendall and Valerie Fridland. Cambridge University Press.</t>
  </si>
  <si>
    <t>10.1177/00754242231186175</t>
  </si>
  <si>
    <t>Paul Foulkes</t>
  </si>
  <si>
    <t>paul.foulkes@york.ac.uk</t>
  </si>
  <si>
    <t>Designing mens health programs: the 5C framework</t>
  </si>
  <si>
    <t>10.1177/15579883231186463</t>
  </si>
  <si>
    <t>American Journal of Men's Health</t>
  </si>
  <si>
    <t>Canada Research Chairs (http://dx.doi.org/10.13039/501100001804), National Health and Medical Research Council (http://dx.doi.org/10.13039/501100000925)</t>
  </si>
  <si>
    <t>Paul Galdas</t>
  </si>
  <si>
    <t>paul.galdas@york.ac.uk</t>
  </si>
  <si>
    <t>0000-0002-3185-205X</t>
  </si>
  <si>
    <t>Zac Seidler, John Oliffe</t>
  </si>
  <si>
    <t>1557-9891</t>
  </si>
  <si>
    <t>1557-9883</t>
  </si>
  <si>
    <t>The Porosity of the Consumer</t>
  </si>
  <si>
    <t>10.1080/10253866.2023.2201444</t>
  </si>
  <si>
    <t>Consumption Markets &amp; Culture</t>
  </si>
  <si>
    <t>Report downloaded from T&amp;F dashboard 24/05/2023</t>
  </si>
  <si>
    <t>Papers with corresponding authors who are honorary, visiting, or staff without a contract of employment are not eligible to use this agreement unless articles acknowledge funding from one or more of the UKRI research councils or Wellcome Trust.</t>
  </si>
  <si>
    <t>[]</t>
  </si>
  <si>
    <t>1477-223X</t>
  </si>
  <si>
    <t>1025-3866</t>
  </si>
  <si>
    <t>European Defence Policy: Prospects and Challenges</t>
  </si>
  <si>
    <t>10.1080/10242694.2023.2185425</t>
  </si>
  <si>
    <t>Economic evaluation of a vision-based patient monitoring and management system in addition to standard care for adults admitted to psychiatric intensive care units in England</t>
  </si>
  <si>
    <t>10.1080/13696998.2022.2120719</t>
  </si>
  <si>
    <t>Oxehealth</t>
  </si>
  <si>
    <t>This Lotus Spell is Intenser: Sources and Selections in Emma Stebbins Lotus-Eater</t>
  </si>
  <si>
    <t>10.1080/02666286.2022.2068310</t>
  </si>
  <si>
    <t>Word &amp; Image</t>
  </si>
  <si>
    <t>Associate Research Graduate</t>
  </si>
  <si>
    <t>["0000-0003-0276-1703"]</t>
  </si>
  <si>
    <t>1943-2178</t>
  </si>
  <si>
    <t>0266-6286</t>
  </si>
  <si>
    <t>Schistosome proteomics: updates and clinical implications</t>
  </si>
  <si>
    <t>10.1080/14789450.2022.2142565</t>
  </si>
  <si>
    <t>Expert Review of Proteomics</t>
  </si>
  <si>
    <t>FundaÃ§Ã£o de Amparo Ã  Pesquisa do Estado de Minas Gerais (FAPEMIG)</t>
  </si>
  <si>
    <t>1744-8387</t>
  </si>
  <si>
    <t>1478-9450</t>
  </si>
  <si>
    <t>Influences on the physical and mental health of people with serious mental ill-health during the Covid-19 pandemic: A qualitative interview study</t>
  </si>
  <si>
    <t>10.1080/17482631.2022.2122135</t>
  </si>
  <si>
    <t>International Journal of Qualitative Studies on Health and Well-being</t>
  </si>
  <si>
    <t>NIHR Yorkshire and Humber Applied Research Collaboration</t>
  </si>
  <si>
    <t>1748-2631</t>
  </si>
  <si>
    <t>How Uncertainty Matters Under Risk Neutrality</t>
  </si>
  <si>
    <t>10.1016/j.jval.2023.04.008</t>
  </si>
  <si>
    <t>Value in Health</t>
  </si>
  <si>
    <t>Dashboard report: Elsevier_dashboard_report_all_approved_to_19_Jul_23</t>
  </si>
  <si>
    <t>Dr James Lomas</t>
  </si>
  <si>
    <t>1524-4733</t>
  </si>
  <si>
    <t>1098-3015</t>
  </si>
  <si>
    <t>Path isomorphisms between quiver Hecke and diagrammatic Bott–Samelson endomorphism algebras</t>
  </si>
  <si>
    <t>10.1016/j.aim.2023.109185</t>
  </si>
  <si>
    <t>EP/V00090X/1</t>
  </si>
  <si>
    <t>Dr. Chris Bowman</t>
  </si>
  <si>
    <t>The Regenerative Lens: A conceptual framework for regenerative social-ecological systems</t>
  </si>
  <si>
    <t>10.1016/j.oneear.2023.06.006</t>
  </si>
  <si>
    <t>Dr. Sam J. Buckton</t>
  </si>
  <si>
    <t>What drives the association between home chaos and school grades over time? A biometric cross-lagged panel approach</t>
  </si>
  <si>
    <t>10.1016/j.lindif.2023.102287</t>
  </si>
  <si>
    <t>Learning and Individual Differences</t>
  </si>
  <si>
    <t>Ms. Alexandra Starr</t>
  </si>
  <si>
    <t>1041-6080</t>
  </si>
  <si>
    <t>A Declaration of Helsinki for animals</t>
  </si>
  <si>
    <t>10.1016/j.vaa.2023.03.005</t>
  </si>
  <si>
    <t>Veterinary Anaesthesia and Analgesia</t>
  </si>
  <si>
    <t>219804/Z/19/Z</t>
  </si>
  <si>
    <t>Dr Vanessa Ashall</t>
  </si>
  <si>
    <t>1467-2995</t>
  </si>
  <si>
    <t>1467-2987</t>
  </si>
  <si>
    <t>Who wrote this? Essay mills and assessment – Considerations regarding contract cheating and AI in higher education</t>
  </si>
  <si>
    <t>10.1016/j.ijme.2023.100818</t>
  </si>
  <si>
    <t>The International Journal of Management Education</t>
  </si>
  <si>
    <t>Dr Simon Sweeney</t>
  </si>
  <si>
    <t>1472-8117</t>
  </si>
  <si>
    <t>Mobile phone coverage and infant mortality in sub-Saharan Africa</t>
  </si>
  <si>
    <t>10.1016/j.jebo.2023.05.013</t>
  </si>
  <si>
    <t>Dr Matthias Flueckiger</t>
  </si>
  <si>
    <t>Efficacy of a digitally supported regional systems intervention for suicide prevention (SUPREMOCOL) in Noord-Brabant, the Netherlands</t>
  </si>
  <si>
    <t>10.1016/j.genhosppsych.2023.06.010</t>
  </si>
  <si>
    <t>General Hospital Psychiatry</t>
  </si>
  <si>
    <t>Professor Christina M. van der Feltz-Cornelis</t>
  </si>
  <si>
    <t>0163-8343</t>
  </si>
  <si>
    <t>Mission specification and decomposition for multi-robot systems</t>
  </si>
  <si>
    <t>10.1016/j.robot.2023.104386</t>
  </si>
  <si>
    <t>Robotics and Autonomous Systems</t>
  </si>
  <si>
    <t>Finance Code 001,04/2021,13215/2021-9,EP/V026747/1</t>
  </si>
  <si>
    <t>Mr. Radu Calinescu</t>
  </si>
  <si>
    <t>0921-8890</t>
  </si>
  <si>
    <t>The impact of different types of NHS expenditure on health: Marginal cost per QALY estimates for England for 2016/17</t>
  </si>
  <si>
    <t>10.1016/j.healthpol.2023.104800</t>
  </si>
  <si>
    <t>Health Policy</t>
  </si>
  <si>
    <t>PR-PRU-1217–20401</t>
  </si>
  <si>
    <t>Dr. James Lomas</t>
  </si>
  <si>
    <t>0168-8510</t>
  </si>
  <si>
    <t>A new interpretation and derivation of the Swaps index</t>
  </si>
  <si>
    <t>10.1016/j.econlet.2023.111109</t>
  </si>
  <si>
    <t>Economics Letters</t>
  </si>
  <si>
    <t>Dr. Khushboo Surana</t>
  </si>
  <si>
    <t>0165-1765</t>
  </si>
  <si>
    <t>You reap what you know: Appropriability and the origin of European states</t>
  </si>
  <si>
    <t>10.1016/j.ejpoleco.2023.102432</t>
  </si>
  <si>
    <t>European Journal of Political Economy</t>
  </si>
  <si>
    <t>Dr Thilo R Huning</t>
  </si>
  <si>
    <t>0176-2680</t>
  </si>
  <si>
    <t>Barriers &amp;amp; facilitators to physical activity in people with depression and type 2 diabetes mellitus in Pakistan: A qualitative study to explore perspectives of patient participants, carers and healthcare staff</t>
  </si>
  <si>
    <t>10.1016/j.mhpa.2023.100542</t>
  </si>
  <si>
    <t>Mental Health and Physical Activity</t>
  </si>
  <si>
    <t>Dr Aatik Arsh</t>
  </si>
  <si>
    <t>1755-2966</t>
  </si>
  <si>
    <t>‘I don't really associate climate change with actual people's health’: a qualitative study in England of perceptions of climate change and its impacts on health</t>
  </si>
  <si>
    <t>10.1016/j.puhe.2023.03.020</t>
  </si>
  <si>
    <t>NIHR PR_PRU_1217_20901</t>
  </si>
  <si>
    <t>Prof. Hilary M Graham</t>
  </si>
  <si>
    <t>Conceptualising acoustic and cognitive contributions to divided-attention listening within a data-limit versus resource-limit framework</t>
  </si>
  <si>
    <t>10.1016/j.jml.2023.104427</t>
  </si>
  <si>
    <t>RPG-2018-152</t>
  </si>
  <si>
    <t>Dr. Sarah Knight</t>
  </si>
  <si>
    <t>Recognition of animal faces is impaired in developmental prosopagnosia</t>
  </si>
  <si>
    <t>10.1016/j.cognition.2023.105477</t>
  </si>
  <si>
    <t>The impact of COVID-19 on mental health service utilisation in England</t>
  </si>
  <si>
    <t>10.1016/j.ssmmh.2023.100227</t>
  </si>
  <si>
    <t>SSM - Mental Health</t>
  </si>
  <si>
    <t>N/A</t>
  </si>
  <si>
    <t>Dr. Adrián Villaseñor</t>
  </si>
  <si>
    <t>2666-5603</t>
  </si>
  <si>
    <t>Deepened socioeconomic inequality in clean cooking fuel use in India from 2005-2006 to 2015–2016</t>
  </si>
  <si>
    <t>10.1016/j.heliyon.2023.e17041</t>
  </si>
  <si>
    <t>Heliyon</t>
  </si>
  <si>
    <t>Dr Samarul Islam</t>
  </si>
  <si>
    <t>2405-8440</t>
  </si>
  <si>
    <t>Human capital consequences of missing out on a grammar school education</t>
  </si>
  <si>
    <t>10.1016/j.econmod.2023.106414</t>
  </si>
  <si>
    <t>Economic Modelling</t>
  </si>
  <si>
    <t>ES/J500215/1</t>
  </si>
  <si>
    <t>Pof. Andrew M. Jones</t>
  </si>
  <si>
    <t>0264-9993</t>
  </si>
  <si>
    <t>Understanding performance in professional services for innovation intermediation: Technology consultants vs. management consultants</t>
  </si>
  <si>
    <t>10.1016/j.technovation.2023.102824</t>
  </si>
  <si>
    <t>Technovation</t>
  </si>
  <si>
    <t>Dr. Christopher Williams</t>
  </si>
  <si>
    <t>0166-4972</t>
  </si>
  <si>
    <t>Climate change mitigation in Zimbabwe and links to sustainable development</t>
  </si>
  <si>
    <t>10.1016/j.envdev.2023.100891</t>
  </si>
  <si>
    <t>NA,ES/ S008160/1</t>
  </si>
  <si>
    <t>Dr Christopher S. Malley</t>
  </si>
  <si>
    <t>Carbon, nitrogen and sulphur isotope data of archaeological fish and mammal bone collagen from Lithuania</t>
  </si>
  <si>
    <t>10.1016/j.dib.2023.109065</t>
  </si>
  <si>
    <t>Data in Brief</t>
  </si>
  <si>
    <t>RPG-2016-081</t>
  </si>
  <si>
    <t>Dr Harry Kenneth Robson</t>
  </si>
  <si>
    <t>2352-3409</t>
  </si>
  <si>
    <t>Equilibrium states for the massive Sine-Gordon theory in the Lorentzian signature</t>
  </si>
  <si>
    <t>10.1016/j.jmaa.2023.127249</t>
  </si>
  <si>
    <t>Prof. Nicola Pinamonti</t>
  </si>
  <si>
    <t>Co-attention enabled content-based image retrieval</t>
  </si>
  <si>
    <t>10.1016/j.neunet.2023.04.009</t>
  </si>
  <si>
    <t>Neural Networks</t>
  </si>
  <si>
    <t>Dr. Adrian G Bors</t>
  </si>
  <si>
    <t>0893-6080</t>
  </si>
  <si>
    <t>Temperature driven variations in VOC emissions from plastic products and their fate indoors: A chamber experiment and modelling study</t>
  </si>
  <si>
    <t>10.1016/j.scitotenv.2023.163497</t>
  </si>
  <si>
    <t>Miss Georgia Beel</t>
  </si>
  <si>
    <t>Machine learning for forecasting a photovoltaic (PV) generation system</t>
  </si>
  <si>
    <t>10.1016/j.energy.2023.127807</t>
  </si>
  <si>
    <t>Energy</t>
  </si>
  <si>
    <t>Dr Momina Ahsan</t>
  </si>
  <si>
    <t>0360-5442</t>
  </si>
  <si>
    <t>The impacts of artisanal and small-scale gold mining on rural livelihood trajectories: Insights from Ghana</t>
  </si>
  <si>
    <t>10.1016/j.exis.2023.101273</t>
  </si>
  <si>
    <t>The Extractive Industries and Society</t>
  </si>
  <si>
    <t>Mr Enoch Adranyi</t>
  </si>
  <si>
    <t>2214-790X</t>
  </si>
  <si>
    <t>Macro-financial spillovers</t>
  </si>
  <si>
    <t>10.1016/j.jimonfin.2023.102824</t>
  </si>
  <si>
    <t>Journal of International Money and Finance</t>
  </si>
  <si>
    <t>16/SPP/3347,17/SPP/5447,114K954</t>
  </si>
  <si>
    <t>Dr. Mark Hallam</t>
  </si>
  <si>
    <t>0261-5606</t>
  </si>
  <si>
    <t>Angular momentum-carrying radially-polarised twisted light</t>
  </si>
  <si>
    <t>10.1016/j.optcom.2023.129469</t>
  </si>
  <si>
    <t>Dr. M. Babiker</t>
  </si>
  <si>
    <t>Generalized quantile and expectile properties for shape constrained nonparametric estimation</t>
  </si>
  <si>
    <t>10.1016/j.ejor.2023.04.004</t>
  </si>
  <si>
    <t>Dr Xun Zhou</t>
  </si>
  <si>
    <t>Classifying 1D elementary cellular automata with the 0–1 test for chaos</t>
  </si>
  <si>
    <t>10.1016/j.physd.2023.133786</t>
  </si>
  <si>
    <t>Physica D: Nonlinear Phenomena</t>
  </si>
  <si>
    <t>Mr Mohammed Dery Terry-Jack</t>
  </si>
  <si>
    <t>0167-2789</t>
  </si>
  <si>
    <t>Patient perspectives of ‘Watch and Wait’ for chronic haematological cancers: Findings from a qualitative study</t>
  </si>
  <si>
    <t>10.1016/j.ejon.2023.102349</t>
  </si>
  <si>
    <t>European Journal of Oncology Nursing</t>
  </si>
  <si>
    <t>RP-PG-0613-2002,29685,15037</t>
  </si>
  <si>
    <t>Dr. Debra A. Howell</t>
  </si>
  <si>
    <t>1462-3889</t>
  </si>
  <si>
    <t>Operations on the Hochschild bicomplex of a diagram of algebras</t>
  </si>
  <si>
    <t>10.1016/j.aim.2023.109156</t>
  </si>
  <si>
    <t>Dr. Eli Hawkins</t>
  </si>
  <si>
    <t>Can Peer-based Interventions Improve Adolescent Sexual and Reproductive Health Outcomes? An Overview of Reviews</t>
  </si>
  <si>
    <t>10.1016/j.jadohealth.2023.05.035</t>
  </si>
  <si>
    <t>Journal of Adolescent Health</t>
  </si>
  <si>
    <t>MR/P011446/1</t>
  </si>
  <si>
    <t>Dr. Amanda J. Mason-Jones</t>
  </si>
  <si>
    <t>1054-139X</t>
  </si>
  <si>
    <t>Fourier transform bounded Kolmogorov complexity</t>
  </si>
  <si>
    <t>10.1016/j.physd.2023.133824</t>
  </si>
  <si>
    <t>Why do people take part in vaccine trials? A mixed methods narrative synthesis</t>
  </si>
  <si>
    <t>10.1016/j.pec.2023.107861</t>
  </si>
  <si>
    <t>Patient Education and Counseling</t>
  </si>
  <si>
    <t>Dr Peter Knapp</t>
  </si>
  <si>
    <t>0738-3991</t>
  </si>
  <si>
    <t>Global gas flaring and energy justice: An empirical ethics analysis of stakeholder perspectives</t>
  </si>
  <si>
    <t>10.1016/j.erss.2023.103064</t>
  </si>
  <si>
    <t>Mr Godwin O. Aigbe</t>
  </si>
  <si>
    <t>Factors associated with new-onset depressive symptoms in patients starting cardiac rehabilitation: Pre-COVID-19 and COVID-19 period comparison</t>
  </si>
  <si>
    <t>10.1016/j.jpsychores.2023.111342</t>
  </si>
  <si>
    <t>Dr. Serdar Sever</t>
  </si>
  <si>
    <t>Divide and choose: An informationally robust strategic approach to bankruptcy problems</t>
  </si>
  <si>
    <t>10.1016/j.jmateco.2023.102862</t>
  </si>
  <si>
    <t>Journal of Mathematical Economics</t>
  </si>
  <si>
    <t>Dr. Yuan Ju</t>
  </si>
  <si>
    <t>0304-4068</t>
  </si>
  <si>
    <t>Does quality affect choice of family physician? Evidence from patients changing general practice without changing address</t>
  </si>
  <si>
    <t>10.1016/j.econmod.2023.106395</t>
  </si>
  <si>
    <t>103/0001,DRF 2014-07-055</t>
  </si>
  <si>
    <t>Dr Rita Santos</t>
  </si>
  <si>
    <t>Connectopic mapping techniques do not reflect functional gradients in the brain</t>
  </si>
  <si>
    <t>10.1016/j.neuroimage.2023.120228</t>
  </si>
  <si>
    <t>Dr. David M. Watson</t>
  </si>
  <si>
    <t>Coherency for monoids and purity for their acts</t>
  </si>
  <si>
    <t>10.1016/j.aim.2023.109182</t>
  </si>
  <si>
    <t>EP/V002953/1,12171380</t>
  </si>
  <si>
    <t>Dr. Victoria Gould</t>
  </si>
  <si>
    <t>Acrylic acid and DMSP lyases in the green algae Ulva</t>
  </si>
  <si>
    <t>10.1016/j.algal.2023.103176</t>
  </si>
  <si>
    <t>Algal Research</t>
  </si>
  <si>
    <t>BB/S009779/1, BB/R013403/1,Grant Agreement No 727892</t>
  </si>
  <si>
    <t>Dr Thierry Tonon</t>
  </si>
  <si>
    <t>2211-9264</t>
  </si>
  <si>
    <t>Achieving cardiac rehabilitation uptake targets: What is the value case for commissioners? A UK case-study</t>
  </si>
  <si>
    <t>10.1016/j.ijcard.2023.03.041</t>
  </si>
  <si>
    <t>International Journal of Cardiology</t>
  </si>
  <si>
    <t>Applied Research Collaboration (ARC) Yorkshire and Humber,040/PSS/17/18/NACR,NACR</t>
  </si>
  <si>
    <t>Mr Sebastian Hinde</t>
  </si>
  <si>
    <t>0167-5273</t>
  </si>
  <si>
    <t>How economic depreciation shapes the relationship of uncertainty with investments’ size &amp;amp; timing</t>
  </si>
  <si>
    <t>10.1016/j.ijpe.2023.108836</t>
  </si>
  <si>
    <t>International Journal of Production Economics</t>
  </si>
  <si>
    <t>Dr. Nick Huberts</t>
  </si>
  <si>
    <t>0925-5273</t>
  </si>
  <si>
    <t>A multidisciplinary investigation of Storms Ciara and Dennis, February 2020</t>
  </si>
  <si>
    <t>10.1016/j.ijdrr.2023.103657</t>
  </si>
  <si>
    <t>The shrinking target problem for matrix transformations of tori: Revisiting the standard problem</t>
  </si>
  <si>
    <t>10.1016/j.aim.2023.108994</t>
  </si>
  <si>
    <t>Testing a Low-Intensity Single-Session Self-Compassion Intervention for State Body Shame in Adult Women: A Dismantling Randomized Controlled Trial</t>
  </si>
  <si>
    <t>10.1016/j.beth.2023.04.001</t>
  </si>
  <si>
    <t>Behavior Therapy</t>
  </si>
  <si>
    <t>Ms. Fidan Turk</t>
  </si>
  <si>
    <t>0005-7894</t>
  </si>
  <si>
    <t>Distinct neural signatures of multimodal resizing illusions</t>
  </si>
  <si>
    <t>10.1016/j.neuropsychologia.2023.108622</t>
  </si>
  <si>
    <t>BB/V007580/1</t>
  </si>
  <si>
    <t>Miss Kirralise J. Hansford</t>
  </si>
  <si>
    <t>The influence of emotion regulation strategies and sleep quality on depression and anxiety</t>
  </si>
  <si>
    <t>10.1016/j.cortex.2023.06.001</t>
  </si>
  <si>
    <t>MR/P020208/1</t>
  </si>
  <si>
    <t>Miss Emma C. Sullivan</t>
  </si>
  <si>
    <t>Theories, methodologies, and effects of affect-adaptive games: A systematic review</t>
  </si>
  <si>
    <t>10.1016/j.entcom.2023.100591</t>
  </si>
  <si>
    <t>Entertainment Computing</t>
  </si>
  <si>
    <t>Mr. Maximilian Croissant</t>
  </si>
  <si>
    <t>1875-9521</t>
  </si>
  <si>
    <t>Invitation to respond by rhetoric or delivery: A microanalysis of orator-audience turn-takings in a Subject-Object-Verb language</t>
  </si>
  <si>
    <t>10.1075/ld.00137.cho</t>
  </si>
  <si>
    <t>Language and Dialogue</t>
  </si>
  <si>
    <t>John Benjamins TA 2023</t>
  </si>
  <si>
    <t>Publisher report: JB_Art_UniYork2020_2022_July_2023_version</t>
  </si>
  <si>
    <t>Hyangmi Choi</t>
  </si>
  <si>
    <t>2210-4127</t>
  </si>
  <si>
    <t>2210-4119</t>
  </si>
  <si>
    <t>Selling city centre flats in uncertain times: Findings from two English cities</t>
  </si>
  <si>
    <t>10.1080/02673037.2023.2203095</t>
  </si>
  <si>
    <t>Dashboard report: Taylor and Francis, Approved Articles, 2023-07-19</t>
  </si>
  <si>
    <t>Environment and Geography Department, University of York</t>
  </si>
  <si>
    <t>Q2 2023</t>
  </si>
  <si>
    <t>["Katherine Brookfield"]</t>
  </si>
  <si>
    <t>["k.brookfield@york.ac.uk"]</t>
  </si>
  <si>
    <t>Language policy in the crossfire in Ireland: Can Languages Connect deliver in the Republic of Ireland?</t>
  </si>
  <si>
    <t>10.1080/03323315.2023.2202654</t>
  </si>
  <si>
    <t>Irish Educational Studies</t>
  </si>
  <si>
    <t>["Ursula Lanvers"]</t>
  </si>
  <si>
    <t>["ursula.lanvers@york.ac.uk"]</t>
  </si>
  <si>
    <t>1747-4965</t>
  </si>
  <si>
    <t>0332-3315</t>
  </si>
  <si>
    <t>Effectiveness and implementation of psychological interventions for depression in people with non-communicable diseases in South Asia: Systematic review and meta-analysis</t>
  </si>
  <si>
    <t>10.1080/00207411.2023.2202431</t>
  </si>
  <si>
    <t>International Journal of Mental Health</t>
  </si>
  <si>
    <t>NIHR Nottingham Biomedical Research Centre</t>
  </si>
  <si>
    <t>["Gerardo A Zavala"]</t>
  </si>
  <si>
    <t>["g.zavala@york.ac.uk"]</t>
  </si>
  <si>
    <t>1557-9328</t>
  </si>
  <si>
    <t>0020-7411</t>
  </si>
  <si>
    <t>Thinking in colours</t>
  </si>
  <si>
    <t>10.1080/14767333.2023.2218129</t>
  </si>
  <si>
    <t>Action Learning: Research and Practice</t>
  </si>
  <si>
    <t>["Jane Neal-Smith"]</t>
  </si>
  <si>
    <t>["jane.neal-smith@york.ac.uk"]</t>
  </si>
  <si>
    <t>1476-7341</t>
  </si>
  <si>
    <t>1476-7333</t>
  </si>
  <si>
    <t>A Political Theory of State Equality</t>
  </si>
  <si>
    <t>10.1080/20414005.2023.2232597</t>
  </si>
  <si>
    <t>Transnational Legal Theory</t>
  </si>
  <si>
    <t>Q3 2023</t>
  </si>
  <si>
    <t>["Alex Green"]</t>
  </si>
  <si>
    <t>["alex.green@york.ac.uk"]</t>
  </si>
  <si>
    <t>2041-4013</t>
  </si>
  <si>
    <t>2041-4005</t>
  </si>
  <si>
    <t>Cultural and innovation intermediation in the cultural-creative industries</t>
  </si>
  <si>
    <t>10.1080/17510694.2023.2218635</t>
  </si>
  <si>
    <t>Creative Industries Journal</t>
  </si>
  <si>
    <t>["Jon Swords"]</t>
  </si>
  <si>
    <t>["jon.swords@york.ac.uk"]</t>
  </si>
  <si>
    <t>["0000-0003-2318-9566"]</t>
  </si>
  <si>
    <t>1751-0708</t>
  </si>
  <si>
    <t>1751-0694</t>
  </si>
  <si>
    <t>Judicial Review of Public Data Gaps</t>
  </si>
  <si>
    <t>10.1080/10854681.2023.2218256</t>
  </si>
  <si>
    <t>["Jed Meers"]</t>
  </si>
  <si>
    <t>["jed.meers@york.ac.uk"]</t>
  </si>
  <si>
    <t>Implementing a centralised procurement strategy for global supplier base management</t>
  </si>
  <si>
    <t>10.1080/09537287.2023.2217489</t>
  </si>
  <si>
    <t>Innovationsfonden</t>
  </si>
  <si>
    <t>["Melanie Kreye"]</t>
  </si>
  <si>
    <t>["melanie.kreye@york.ac.uk"]</t>
  </si>
  <si>
    <t>The direction of gender equality policy in Britain post-Brexit: Towards a masculinised Westminster Model</t>
  </si>
  <si>
    <t>10.1080/13501763.2023.2200820</t>
  </si>
  <si>
    <t>Journal of European Public Policy</t>
  </si>
  <si>
    <t>["Anna Sanders"]</t>
  </si>
  <si>
    <t>["anna.sanders@york.ac.uk"]</t>
  </si>
  <si>
    <t>1466-4429</t>
  </si>
  <si>
    <t>1350-1763</t>
  </si>
  <si>
    <t>Plasticine Music – or the intimate social life of cultural objects</t>
  </si>
  <si>
    <t>10.1080/17530350.2023.2199428</t>
  </si>
  <si>
    <t>Journal of Cultural Economy</t>
  </si>
  <si>
    <t>Consejo Nacional de Ciencia y Tecnología</t>
  </si>
  <si>
    <t>["Víctor Ávila Torres"]</t>
  </si>
  <si>
    <t>["victor.avilatorres@york.ac.uk"]</t>
  </si>
  <si>
    <t>["0000-0001-8385-7402"]</t>
  </si>
  <si>
    <t>1753-0369</t>
  </si>
  <si>
    <t>1753-0350</t>
  </si>
  <si>
    <t>A Novel Attack on McEliece’s Cryptosystem</t>
  </si>
  <si>
    <t>10.1080/23799927.2023.2229278</t>
  </si>
  <si>
    <t>International Journal of Computer Mathematics: Computer Systems Theory</t>
  </si>
  <si>
    <t>["Delaram Kahrobaei"]</t>
  </si>
  <si>
    <t>["DKahrobaei@gc.cuny.edu"]</t>
  </si>
  <si>
    <t>2379-9935</t>
  </si>
  <si>
    <t>2379-9927</t>
  </si>
  <si>
    <t>‘It’s the not being seen that is most tiresome’: Older women, invisibility and social (in)justice</t>
  </si>
  <si>
    <t>10.1080/08952841.2023.2197658</t>
  </si>
  <si>
    <t>["Sue Westwood"]</t>
  </si>
  <si>
    <t>["sue.westwood@york.ac.uk"]</t>
  </si>
  <si>
    <t>["0000-0003-3875-9584"]</t>
  </si>
  <si>
    <t>Unusual Mesomorphic Behaviour of Silyloxy-linked Chiral Bimesogens</t>
  </si>
  <si>
    <t>10.1080/02678292.2023.2196541</t>
  </si>
  <si>
    <t>["John W. Goodby"]</t>
  </si>
  <si>
    <t>["john.goodby@york.ac.uk"]</t>
  </si>
  <si>
    <t>Professional boundaries between faculty/staff and students in UK higher education: students’ levels of comfort with personal and sexualised interactions</t>
  </si>
  <si>
    <t>10.1080/0309877X.2023.2226612</t>
  </si>
  <si>
    <t>["Anna Louise Bull"]</t>
  </si>
  <si>
    <t>["anna.bull@york.ac.uk"]</t>
  </si>
  <si>
    <t>Gender relations in indigenous Yorùbá culture: Questioning current feminist actions and advocacies</t>
  </si>
  <si>
    <t>10.1080/01436597.2023.2213171</t>
  </si>
  <si>
    <t>Third World Quarterly</t>
  </si>
  <si>
    <t>["Luqman Muraina"]</t>
  </si>
  <si>
    <t>["llm529@york.ac.uk"]</t>
  </si>
  <si>
    <t>["0000-0002-2655-148X"]</t>
  </si>
  <si>
    <t>1360-2241</t>
  </si>
  <si>
    <t>0143-6597</t>
  </si>
  <si>
    <t>Siege: ‘Sheer political terror’</t>
  </si>
  <si>
    <t>10.1080/1057610X.2023.2195061</t>
  </si>
  <si>
    <t>Studies in Conflict &amp; Terrorism</t>
  </si>
  <si>
    <t>["Matthew Feldman"]</t>
  </si>
  <si>
    <t>["mfeldman66@gmail.com"]</t>
  </si>
  <si>
    <t>1521-0731</t>
  </si>
  <si>
    <t>1057-610X</t>
  </si>
  <si>
    <t>Home Dissatisfaction, Body Image, and Sociocultural Attitudes: An Exploratory Study</t>
  </si>
  <si>
    <t>10.1080/14036096.2023.2227633</t>
  </si>
  <si>
    <t>Housing, Theory and Society</t>
  </si>
  <si>
    <t>["Keith Allen"]</t>
  </si>
  <si>
    <t>["keith.allen@york.ac.uk"]</t>
  </si>
  <si>
    <t>1651-2278</t>
  </si>
  <si>
    <t>1403-6096</t>
  </si>
  <si>
    <t>Distal Facilitator or Proximal Support? Exploring the Mechanism of How Family Science Capital Contributes to Chinese Students’ Science Career Intentions Aged 16-18</t>
  </si>
  <si>
    <t>10.1080/02635143.2023.2212247</t>
  </si>
  <si>
    <t>Research in Science &amp; Technological Education</t>
  </si>
  <si>
    <t>["Mengyao Li"]</t>
  </si>
  <si>
    <t>["1209747969@qq.com"]</t>
  </si>
  <si>
    <t>["0000-0001-6821-8610"]</t>
  </si>
  <si>
    <t>1470-1138</t>
  </si>
  <si>
    <t>0263-5143</t>
  </si>
  <si>
    <t>Class Versus Race? Multidimensional Inequality and Intersectional Identities in France</t>
  </si>
  <si>
    <t>10.1080/01419870.2023.2193259</t>
  </si>
  <si>
    <t>Ethnic and Racial Studies</t>
  </si>
  <si>
    <t>["Haley McAvay"]</t>
  </si>
  <si>
    <t>["haley.mcavay@sciencespo.fr"]</t>
  </si>
  <si>
    <t>1466-4356</t>
  </si>
  <si>
    <t>0141-9870</t>
  </si>
  <si>
    <t>Living the Clash Within:  Secular/Conservative Divide of Immigrant Turkish Parents on the Identity Formations of British Turks</t>
  </si>
  <si>
    <t>10.1080/13229400.2023.2225499</t>
  </si>
  <si>
    <t>["Ozge Onay"]</t>
  </si>
  <si>
    <t>["ozge.onay@york.ac.uk"]</t>
  </si>
  <si>
    <t>‘The Buddha in the Home’: Dwelling with Domestic Violence in Urban Sri Lanka</t>
  </si>
  <si>
    <t>10.1080/0966369X.2023.2226361</t>
  </si>
  <si>
    <t>Gender, Place &amp; Culture</t>
  </si>
  <si>
    <t>UKRI-GCRF</t>
  </si>
  <si>
    <t>["Asha L. Abeyasekera"]</t>
  </si>
  <si>
    <t>["Asha.Abeyasekera@york.ac.uk"]</t>
  </si>
  <si>
    <t>1360-0524</t>
  </si>
  <si>
    <t>0966-369X</t>
  </si>
  <si>
    <t>Erhard on Recognition, Revolution, and Natural Law</t>
  </si>
  <si>
    <t>10.1080/09608788.2023.2191650</t>
  </si>
  <si>
    <t>British Journal for the History of Philosophy</t>
  </si>
  <si>
    <t>["James Clarke"]</t>
  </si>
  <si>
    <t>["james.a.clarke@york.ac.uk"]</t>
  </si>
  <si>
    <t>1469-3526</t>
  </si>
  <si>
    <t>0960-8788</t>
  </si>
  <si>
    <t>Touching Imaginaries: Otherwise Worlds and Speculative Techno-touch in Wanuri Kahiu’s Pumzi</t>
  </si>
  <si>
    <t>10.1080/17458927.2023.2210035</t>
  </si>
  <si>
    <t>The Senses and Society</t>
  </si>
  <si>
    <t>["Maya Caspari"]</t>
  </si>
  <si>
    <t>["maya.caspari@york.ac.uk"]</t>
  </si>
  <si>
    <t>1745-8935</t>
  </si>
  <si>
    <t>1745-8927</t>
  </si>
  <si>
    <t>Rethinking Muslim Narratives: Stereotypes Reinforced or Contested in Recent Genre Fiction?</t>
  </si>
  <si>
    <t>10.1080/17449855.2023.2209907</t>
  </si>
  <si>
    <t>["Claire Chambers"]</t>
  </si>
  <si>
    <t>["claire.chambers@york.ac.uk"]</t>
  </si>
  <si>
    <t>Exclusion, empathy and Islam: The Runaways in the literary marketplace</t>
  </si>
  <si>
    <t>10.1080/17449855.2023.2209906</t>
  </si>
  <si>
    <t>["Sauleha Kamal"]</t>
  </si>
  <si>
    <t>["sauleha.kamal@york.ac.uk"]</t>
  </si>
  <si>
    <t>["0000-0001-7850-9307"]</t>
  </si>
  <si>
    <t>Forms, Voices, Networks: Feminism and the Media: Contingent Curation, Archival Activism, Frictional Relations</t>
  </si>
  <si>
    <t>10.1080/09612025.2023.2208414</t>
  </si>
  <si>
    <t>Women's History Review</t>
  </si>
  <si>
    <t>1747-583X</t>
  </si>
  <si>
    <t>0961-2025</t>
  </si>
  <si>
    <t>Those Who Flee and Those Who See: Poussin’s Drawing and Withdrawing</t>
  </si>
  <si>
    <t>10.1080/0950236X.2023.2205709</t>
  </si>
  <si>
    <t>Textual Practice</t>
  </si>
  <si>
    <t>["Helen  Hills"]</t>
  </si>
  <si>
    <t>["helen.hills@york.ac.uk"]</t>
  </si>
  <si>
    <t>1470-1308</t>
  </si>
  <si>
    <t>0950-236X</t>
  </si>
  <si>
    <t>Automation bias and the principles of judicial review</t>
  </si>
  <si>
    <t>10.1080/10854681.2023.2189405</t>
  </si>
  <si>
    <t>["Joe Tomlinson"]</t>
  </si>
  <si>
    <t>["joe.tomlinson@york.ac.uk"]</t>
  </si>
  <si>
    <t>‘Precept upon precept’: Biblical Commonplacing in Lucy Hutchinson's Memoirs</t>
  </si>
  <si>
    <t>10.1080/0268117X.2023.2207967</t>
  </si>
  <si>
    <t>["Anna Wall"]</t>
  </si>
  <si>
    <t>["anna.wall@york.ac.uk"]</t>
  </si>
  <si>
    <t>["0000-0003-4963-4533"]</t>
  </si>
  <si>
    <t>“He’s a gay, he’s going to go to Hell.”:  Negative nurse attitudes towards LGBTQ people on a UK hospital ward: A single case study analysed in regulatory contexts</t>
  </si>
  <si>
    <t>10.1080/17496535.2023.2223786</t>
  </si>
  <si>
    <t>Ethics and Social Welfare</t>
  </si>
  <si>
    <t>C &amp; JB Morrell Trust Priming Funds (2019/2020)</t>
  </si>
  <si>
    <t>1749-6543</t>
  </si>
  <si>
    <t>1749-6535</t>
  </si>
  <si>
    <t>“Levelling Up? That’s never going to happen”: Perceptions on Levelling Up in a ‘Red Wall’ locality.</t>
  </si>
  <si>
    <t>10.1080/21582041.2023.2207555</t>
  </si>
  <si>
    <t>Contemporary Social Science</t>
  </si>
  <si>
    <t>["Luke Telford"]</t>
  </si>
  <si>
    <t>["luke.telford@york.ac.uk"]</t>
  </si>
  <si>
    <t>2158-205X</t>
  </si>
  <si>
    <t>2158-2041</t>
  </si>
  <si>
    <t>Expanding the boundaries of social welfare law</t>
  </si>
  <si>
    <t>10.1080/09649069.2023.2206217</t>
  </si>
  <si>
    <t>‘Really putting a different slant on my use of a glass of wine’: Patient perspectives on integrating alcohol into Structured Medication Reviews in general practice</t>
  </si>
  <si>
    <t>10.1080/16066359.2023.2207017</t>
  </si>
  <si>
    <t>["Mary Madden"]</t>
  </si>
  <si>
    <t>["mary.madden@york.ac.uk"]</t>
  </si>
  <si>
    <t>A New Direction or the Same Old Road? Assessing Refugee Housing and Integration Policy Governance in Berlin Post-2016</t>
  </si>
  <si>
    <t>10.1080/21622671.2023.2222133</t>
  </si>
  <si>
    <t>Territory, Politics, Governance</t>
  </si>
  <si>
    <t>["Eli Auslender"]</t>
  </si>
  <si>
    <t>["eli.auslender@gmail.com"]</t>
  </si>
  <si>
    <t>["0000-0003-4427-3441"]</t>
  </si>
  <si>
    <t>2162-268X</t>
  </si>
  <si>
    <t>2162-2671</t>
  </si>
  <si>
    <t>The value of researching the past for crafting sustainable African mountain futures</t>
  </si>
  <si>
    <t>10.1080/0035919X.2023.2205373</t>
  </si>
  <si>
    <t>Transactions of the Royal Society of South Africa</t>
  </si>
  <si>
    <t>["Robert Marchant"]</t>
  </si>
  <si>
    <t>["robert.marchant@york.ac.uk"]</t>
  </si>
  <si>
    <t>["0000-0001-5013-4056"]</t>
  </si>
  <si>
    <t>2154-0098</t>
  </si>
  <si>
    <t>0035-919X</t>
  </si>
  <si>
    <t>Post-Truth Politics and the Competition of Ideas</t>
  </si>
  <si>
    <t>10.1080/08913811.2023.2221504</t>
  </si>
  <si>
    <t>Critical Review</t>
  </si>
  <si>
    <t>["Alfred Moore"]</t>
  </si>
  <si>
    <t>["alfred.moore@york.ac.uk"]</t>
  </si>
  <si>
    <t>["0000-0002-7252-5039"]</t>
  </si>
  <si>
    <t>1933-8007</t>
  </si>
  <si>
    <t>0891-3811</t>
  </si>
  <si>
    <t>Beatrice de Roos (d.1415) and the Making of Art</t>
  </si>
  <si>
    <t>10.1080/00681288.2023.2221105</t>
  </si>
  <si>
    <t>Journal of the British Archaeological Association</t>
  </si>
  <si>
    <t>["Sarah Brown"]</t>
  </si>
  <si>
    <t>["sarah.brown@york.ac.uk"]</t>
  </si>
  <si>
    <t>1747-6704</t>
  </si>
  <si>
    <t>0068-1288</t>
  </si>
  <si>
    <t>The reflective essay in social research methods education: An analysis of student assessment experiences</t>
  </si>
  <si>
    <t>10.1080/87567555.2023.2205629</t>
  </si>
  <si>
    <t>College Teaching</t>
  </si>
  <si>
    <t>["Peter Gardner"]</t>
  </si>
  <si>
    <t>["peter.gardner@york.ac.uk"]</t>
  </si>
  <si>
    <t>1930-8299</t>
  </si>
  <si>
    <t>8756-7555</t>
  </si>
  <si>
    <t>Heritage Itineraries and the ‘Rest State’ at Europe’s Cold War-era Ground-launched Cruise Missile (GLCM) Sites</t>
  </si>
  <si>
    <t>10.1080/01426397.2023.2205631</t>
  </si>
  <si>
    <t>Landscape Research</t>
  </si>
  <si>
    <t>["John Schofield"]</t>
  </si>
  <si>
    <t>["john.schofield@york.ac.uk"]</t>
  </si>
  <si>
    <t>["0000-0001-6903-7395"]</t>
  </si>
  <si>
    <t>1469-9710</t>
  </si>
  <si>
    <t>0142-6397</t>
  </si>
  <si>
    <t>OASIS: one resource to widen the reach of research in language studies</t>
  </si>
  <si>
    <t>10.1080/17501229.2023.2204100</t>
  </si>
  <si>
    <t>Innovation in Language Learning and Teaching</t>
  </si>
  <si>
    <t>This work was supported by British Academy; Economic and Social Research Council, and Department for Education, UK government.</t>
  </si>
  <si>
    <t>["Inge Alferink"]</t>
  </si>
  <si>
    <t>["inge.alferink@york.ac.uk"]</t>
  </si>
  <si>
    <t>["0000-0002-3173-9233"]</t>
  </si>
  <si>
    <t>1750-1237</t>
  </si>
  <si>
    <t>1750-1229</t>
  </si>
  <si>
    <t>Sovereignty and imperialism: international business, finance and the position of Sudan in the British empire</t>
  </si>
  <si>
    <t>10.1080/00076791.2023.2220653</t>
  </si>
  <si>
    <t>["Chris Corker"]</t>
  </si>
  <si>
    <t>["chris.corker@york.ac.uk"]</t>
  </si>
  <si>
    <t>PROFILE: Extinction Rebellion in The Gambia</t>
  </si>
  <si>
    <t>10.1080/14742837.2023.2204428</t>
  </si>
  <si>
    <t>ECHOLOCATION ACTIVITY OF DAUBENTON'S BAT (MYOTIS DAUBENTONII) AND COMMON PIPISTRELLE (PIPISTRELLUS PIPISTRELLUS) IN RELATION TO INSECT ABUNDANCE, HABITAT AND ELEVATION IN AN UPLAND RIVER CATCHMENT</t>
  </si>
  <si>
    <t xml:space="preserve">Report from Wiley dashboard: Full history report pre OAble migration </t>
  </si>
  <si>
    <t>Approved on dashboard then rejected for publication. (Wiley requires approval for OA prior to peer review for fully OA journals)</t>
  </si>
  <si>
    <t>Exploring the potential for ?Gene Conservation Units' to conserve genetic diversity in wild populations</t>
  </si>
  <si>
    <t>Light- and Manganese-Initiated Borylation of Aryl Diazonium Salts: Mechanistic Insight on the Ultrafast Time-Scale Revealed by Time-Resolved Spectroscopic Analysis</t>
  </si>
  <si>
    <t>10.1002/chem.202004568</t>
  </si>
  <si>
    <t>Engineering and Physical Sciences Research Council (Grant number(s): EP/S009965/1; Grant recipient(s): IAN J. S. FAIRLAMB); 
Engineering and Physical Sciences Research Council (Grant number(s): EP/N509413/1; Grant recipient(s): L. Anders Hammarback)</t>
  </si>
  <si>
    <t>IAN J. S. FAIRLAMB</t>
  </si>
  <si>
    <t>IAN.FAIRLAMB@YORK.AC.UK</t>
  </si>
  <si>
    <t>0000-0002-7555-2761</t>
  </si>
  <si>
    <t>James R. Donald (james.donald@york.ac.uk), Alan Robinson (alan.robinson@syngenta.com), Thomas J. Burden (tjb573@york.ac.uk), James D. Firth (james.firth@york.ac.uk), Matthew McRobie (mtm517@york.ac.uk), Jason M. Lynam (JASON.LYNAM@YORK.AC.UK), Jonathan B. Eastwood (je748@york.ac.uk), L. Anders Hammarback (ah1006@york.ac.uk), Jean-Philippe Krieger (Jean-Philippe.Krieger@syngenta.com), Michael Towrie (MIKE.TOWRIE@STFC.AC.UK), Ian P. Clark (ian.p.clark@stfc.ac.uk), Chris S. Horbaczewskyj (chris.horbaczewskyj@york.ac.uk), Adam Tramaseur (adam.tramaseur@gmail.com)</t>
  </si>
  <si>
    <t>Investigating Infant Feeding Strategies at Roman Bainesse through Bayesian Modelling of Incremental Dentine Isotopic Data</t>
  </si>
  <si>
    <t>10.1002/oa.2962</t>
  </si>
  <si>
    <t>Reported by Jisc as published under the deal (July 2023 ALM report), but the Wiley dashboard report has the request status as cancelled.</t>
  </si>
  <si>
    <t>Carlo Cocozza</t>
  </si>
  <si>
    <t>carlo.cocozza@campus.lmu.de</t>
  </si>
  <si>
    <t>0000-0002-8614-5459</t>
  </si>
  <si>
    <t>MICHELLE M ALEXANDER (MICHELLE.ALEXANDER@YORK.AC.UK; ORCID ID: 0000-0001-8000-3639), Ricardo Fernandes (fernandes@shh.mpg.de), Alice Ughi (au578@york.ac.uk), Marcus Groß (marcus.gross@inwt-statistics.de)</t>
  </si>
  <si>
    <t>Practitioner opinions of crisis plans within early intervention in psychosis services: A mixed-methods study</t>
  </si>
  <si>
    <t>10.1111/hsc.13308</t>
  </si>
  <si>
    <t>Nikki Lonsdale</t>
  </si>
  <si>
    <t>nikki.lonsdale@nhs.net</t>
  </si>
  <si>
    <t>0000-0002-2064-4167</t>
  </si>
  <si>
    <t>Martin Webber (martin.webber@york.ac.uk)</t>
  </si>
  <si>
    <t>A Bidirectional Buck-Boost Converter-Based Switching Ripple Communication Strategy for Intelligent Street Lighting Systems</t>
  </si>
  <si>
    <t>IET Renewable Power Generation</t>
  </si>
  <si>
    <t>1752-1424</t>
  </si>
  <si>
    <t>Traditional Knowledge, Traditional Participants, Technological progress, and Conservation of Biodiversity Beyond 2020 Targets</t>
  </si>
  <si>
    <t>Conservation Science and Practice</t>
  </si>
  <si>
    <t>2578-4854</t>
  </si>
  <si>
    <t>Engineering production of a novel diterpene synthase precursor in &lt;i&gt;Nicotiana benthamiana&lt;/i&gt;</t>
  </si>
  <si>
    <t>Access to greenspaces during and after COVID-19 lockdown: a case study in Leeds, England</t>
  </si>
  <si>
    <t>Transformation beyond Covid-19: Accessibility in Lived Experience Involvement in Research Post Pandemic. Reflections and Future Direction.
Experience from a Study of the Impact of the Pandemic and Restrictions on those with Severe Me</t>
  </si>
  <si>
    <t>Combining in vitro and in vivo screening to identify efficient &lt;i&gt;Pseudomonas&lt;/i&gt; biocontrol strains against the phytopathogenic &lt;i&gt;Ralstonia solanacearum&lt;/i&gt; bacterium</t>
  </si>
  <si>
    <t>Microbial Biotechnology</t>
  </si>
  <si>
    <t>1751-7915</t>
  </si>
  <si>
    <t>Maternal &amp; Child Nutrition</t>
  </si>
  <si>
    <t>1740-8709</t>
  </si>
  <si>
    <t>FAR‐sighted conservation</t>
  </si>
  <si>
    <t>10.1002/2688-8319.12188</t>
  </si>
  <si>
    <t>CHRIS D. THOMAS</t>
  </si>
  <si>
    <t>CDT2@YORK.AC.UK</t>
  </si>
  <si>
    <t>0000-0003-2822-1334</t>
  </si>
  <si>
    <t>JANE K. HILL (JANE.HILL@YORK.AC.UK; ORCID ID: 0000-0003-1871-7715), Caroline Ward (caroline.ward@york.ac.uk; ORCID ID: 0000-0001-8362-4713), Jack Hatfield (jack.hatfield@york.ac.uk; ORCID ID: 0000-0002-6361-0629)</t>
  </si>
  <si>
    <t>Are antidepressants effective in the treatment of depressionin the elderly? A critical umbrella review on reviews, methods,and future perspectives</t>
  </si>
  <si>
    <t>10.1002/mhs2.14</t>
  </si>
  <si>
    <t>Who must adapt to whom? Contested discourses on human-wolf coexistence and their impact on policy in Spain</t>
  </si>
  <si>
    <t>10.1002/pan3.10543</t>
  </si>
  <si>
    <t xml:space="preserve">Under Review when Wiley dashboard switched to OABLE. </t>
  </si>
  <si>
    <t>Incidental finding of a hidden central polydactyly: a case report</t>
  </si>
  <si>
    <t>10.1002/ccr3.6867</t>
  </si>
  <si>
    <t>Clinical Case Reports</t>
  </si>
  <si>
    <t>Mahir Bhoora</t>
  </si>
  <si>
    <t>mahir.bhoora@nhs.net</t>
  </si>
  <si>
    <t>0000-0002-6831-3826</t>
  </si>
  <si>
    <t>Chris Milner (chris.milner3@nhs.net), Dallan Dargan (dallan.dargan@nhs.net)</t>
  </si>
  <si>
    <t>2050-0904</t>
  </si>
  <si>
    <t>Subculture wars: The struggle for the vape industry</t>
  </si>
  <si>
    <t>10.1111/1468-4446.12981</t>
  </si>
  <si>
    <t>The British Journal of Sociology</t>
  </si>
  <si>
    <t>Cancer Research UK (Grant number(s): 23886)</t>
  </si>
  <si>
    <t>Frances Thirlway</t>
  </si>
  <si>
    <t>frances.thirlway@york.ac.uk</t>
  </si>
  <si>
    <t>0000-0002-8882-544X</t>
  </si>
  <si>
    <t>1468-4446</t>
  </si>
  <si>
    <t>Implicit Learning in Production: Productive Generalization of New Form–Meaning Connections in the Absence of Awareness</t>
  </si>
  <si>
    <t>10.1111/lang.12551</t>
  </si>
  <si>
    <t>Economic and Social Research Council (Grant number(s): 1368466 (Doctoral Award to Giulia Bovolenta); Grant recipient(s): Giulia Bovolenta)</t>
  </si>
  <si>
    <t>0000-0003-4139-6446</t>
  </si>
  <si>
    <t>JOHN N. WILLIAMS (JNW12@CAM.AC.UK; ORCID ID: 0000-0001-9514-9489)</t>
  </si>
  <si>
    <t>‘Not as a Poet, but a Pioneer’: Fancy and the Colonial Gaze in William Davenant's Madagascar (1638)</t>
  </si>
  <si>
    <t>10.1111/rest.12835</t>
  </si>
  <si>
    <t>H2020 European Research Council (Grant number(s): 681884)</t>
  </si>
  <si>
    <t>Lauren Working</t>
  </si>
  <si>
    <t>lauren.working@york.ac.uk</t>
  </si>
  <si>
    <t>0000-0002-9475-7498</t>
  </si>
  <si>
    <t>General practitioners' wellbeing during the COVID?19 pandemic: Novel methods with social media data</t>
  </si>
  <si>
    <t>10.1111/hir.12466</t>
  </si>
  <si>
    <t>NIHR Policy Research Programme  (Grant number(s): NIHR202329)</t>
  </si>
  <si>
    <t>Ana Castro Avila (ana.castro@york.ac.uk; ORCID ID: 0000-0003-4475-4325), Karen Bloor (karen.bloor@york.ac.uk), Claire Heathcote (claire.heathcote@york.ac.uk), Holly Essex (holly.essex@york.ac.uk), Laura Jefferson (LAURA.JEFFERSON@YORK.AC.UK), Christina Van der Feltz-Cornelis (christina.vanderfeltz-cornelis@york.ac.uk; ORCID ID: 0000-0001-6925-8956), Elizabeth McHugh (elizabeth.mchugh@outlook.com), Veronica Dale (veronica.dale@york.ac.uk)</t>
  </si>
  <si>
    <t>Siderophore-linked Ruthenium Catalysts for Targeted Allyl Ester Prodrug Activation within Bacterial Cells</t>
  </si>
  <si>
    <t>10.1002/chem.202202536</t>
  </si>
  <si>
    <t>Engineering and Physical Sciences Research Council (Grant number(s): EP/T007338/1); 
Engineering and Physical Sciences Research Council (Grant number(s): EP/L024829/1); 
Deutsche Forschungsgemeinschaft (Grant number(s): GRK 2341); 
University of York; 
Fonds der Chemischen Industrie</t>
  </si>
  <si>
    <t>0000-0001-6214-2459</t>
  </si>
  <si>
    <t>Nicole Schubert (nicole.lorenz@ruhr-uni-bochum.de), Sophie Gutenthaler (SophGutenthaler@cup.uni-muenchen.de), Reyme Herman (reyme.herman@york.ac.uk), KEITH S. WILSON (KEITH.WILSON@YORK.AC.UK), Isabelle Boeswald (isabelle.boeswald@gmail.com), Daniel Raines (daniel.raines@gmail.com), James Southwell (james.southwell@chimieparistech.psl.eu), Justin Clarke (J.E.Clarke@leeds.ac.uk), Jana Seefeldt (jana.seefeldt@ruhr-uni-bochum.de), G.H THOMAS (GAVIN.THOMAS@YORK.AC.UK; ORCID ID: 0000-0002-9763-1313), NILS METZLER-NOLTE (NILS.METZLER-NOLTE@RUB.DE; ORCID ID: 0000-0001-8111-9959), Thorsten Dreher (td820@york.ac.uk)</t>
  </si>
  <si>
    <t>The effect of health financing systems on health system outcomes: A cross‐country panel analysis</t>
  </si>
  <si>
    <t>10.1002/hec.4635</t>
  </si>
  <si>
    <t>Jacopo Gabani</t>
  </si>
  <si>
    <t>jg1671@york.ac.uk</t>
  </si>
  <si>
    <t>0000-0001-7461-7300</t>
  </si>
  <si>
    <t>Sumit Mazumdar (sumit.mazumdar@york.ac.uk), Marc Suhrcke (MARC.SUHRCKE@YORK.AC.UK)</t>
  </si>
  <si>
    <t>School‐based interventions to reduce teacher violence against children: a systematic review</t>
  </si>
  <si>
    <t>10.1002/car.2803</t>
  </si>
  <si>
    <t>Child Abuse Review</t>
  </si>
  <si>
    <t>Amanda Mason-Jones</t>
  </si>
  <si>
    <t>amanda.mason-jones@york.ac.uk</t>
  </si>
  <si>
    <t>Mark Simmonds (mark.simmonds@york.ac.uk; ORCID ID: 0000-0002-1999-8515), Ella Baumgarten (ella.baumgarten@gmail.com; ORCID ID: 0000-0002-1885-3066)</t>
  </si>
  <si>
    <t>1099-0852</t>
  </si>
  <si>
    <t>Comparing the catalytic and structural characteristics of a ‘short' unspecific peroxygenase (UPO) expressed in P. pastoris and E. coli</t>
  </si>
  <si>
    <t>10.1002/cbic.202200558</t>
  </si>
  <si>
    <t>Biotechnology and Biological Sciences Research Council (Grant number(s): BB/P005578/1)</t>
  </si>
  <si>
    <t>Tamara Mielke (tamara.mielke@gmail.com), William  Paul Unsworth (william.unsworth@york.ac.uk; ORCID ID: 0000-0002-9169-5156), Anibal Cuetos (cuetosfernandezanibal@gmail.com), Benjamin Melling (bm959@york.ac.uk), Wendy Robinson (wxqr500@york.ac.uk), Jared Cartwright (jared.cartwright@york.ac.uk), Alison Parkin (ALISON.PARKIN@YORK.AC.UK; ORCID ID: 0000-0003-4715-7200)</t>
  </si>
  <si>
    <t>Integrating spatial and legacy data to understand archaeological sites in their landscape. A case study from Unguja Ukuu, Zanzibar</t>
  </si>
  <si>
    <t>10.1002/arp.1885</t>
  </si>
  <si>
    <t>Archaeological Prospection</t>
  </si>
  <si>
    <t>Leverhulme Trust (Grant number(s): RPG-2018-414; Grant recipient(s): Federica Sulas, MICHELLE M ALEXANDER, STEPHANIE WYNNE-JONES); 
DNRF Centre of Excellence in Urban Network Evolutions (Urbnet), Aarhus University (Grant number(s): DNRF 119; Grant recipient(s): Federica Sulas, STEPHANIE WYNNE-JONES)</t>
  </si>
  <si>
    <t>t.fitton@ucl.ac.uk</t>
  </si>
  <si>
    <t>Mik Lisowski (mik.lisowski@york.ac.uk), STEPHANIE WYNNE-JONES (STEPHANIE.WYNNE-JONES@YORK.AC.UK), Federica Sulas (FS286@CAM.AC.UK), Abdurahman Juma (ajumatz@gmail.com), MICHELLE M ALEXANDER (MICHELLE.ALEXANDER@YORK.AC.UK; ORCID ID: 0000-0001-8000-3639)</t>
  </si>
  <si>
    <t>1099-0763</t>
  </si>
  <si>
    <t>Polyphosphinoborane Block Copolymer Synthesis using Catalytic Reversible Chain Transfer Dehydropolymerization.</t>
  </si>
  <si>
    <t>10.1002/anie.202216106</t>
  </si>
  <si>
    <t>Engineering and Physical Sciences Research Council (Grant number(s): EP/M024210/02; Grant recipient(s): Andrew  S. Weller); 
NSERC; 
Consejo Nacional de Ciencia y Tecnología, Paraguay</t>
  </si>
  <si>
    <t>Matthew A Wiebe (wiebem@uvic.ca; ORCID ID: 0000-0003-4204-9294), Shixing Lei (sxlei@uvic.ca), Alex Heyam (A.Heyam@leeds.ac.uk), J. Diego-Garcia Hernandez (diegogarcia@uvic.ca), Charlotte Emily Ellis (charlotteellis@uvic.ca; ORCID ID: 0000-0002-6784-1168), James J. Race (jjr534@york.ac.uk), Ian Manners (imanners@uvic.ca; ORCID ID: 0000-0002-3794-967X)</t>
  </si>
  <si>
    <t>The two‐child limit and fertility decision making: When policy narratives and lived experiences collide</t>
  </si>
  <si>
    <t>10.1111/spol.12877</t>
  </si>
  <si>
    <t>Nuffield Foundation (Grant number(s): FR-23208)</t>
  </si>
  <si>
    <t>Kate Andersen</t>
  </si>
  <si>
    <t>kate.andersen@york.ac.uk</t>
  </si>
  <si>
    <t>0000-0002-8354-4796</t>
  </si>
  <si>
    <t>Ruth Patrick (ruth.patrick@york.ac.uk; ORCID ID: 0000-0002-3284-6313)</t>
  </si>
  <si>
    <t>Is it possible to measure good science?</t>
  </si>
  <si>
    <t>10.1111/febs.16674</t>
  </si>
  <si>
    <t>The FEBS Journal</t>
  </si>
  <si>
    <t>Andrew Holding</t>
  </si>
  <si>
    <t>andrew.holding@cruk.cam.ac.uk</t>
  </si>
  <si>
    <t>0000-0002-8459-7048</t>
  </si>
  <si>
    <t>Paul Lynch (p.t.lynch@derby.ac.uk), Kirsty McIntyre (kirsty.mcintyre@glasgow.ac.uk)</t>
  </si>
  <si>
    <t>1742-4658</t>
  </si>
  <si>
    <t>The Effect of Hydrogenation on the Contest between Aromaticity and Antiaromaticity in Norcorrole</t>
  </si>
  <si>
    <t>10.1002/chem.202203400</t>
  </si>
  <si>
    <t>PETER B. KARADAKOV</t>
  </si>
  <si>
    <t>PETER.KARADAKOV@YORK.AC.UK</t>
  </si>
  <si>
    <t>Tom Riley (tr790@york.ac.uk)</t>
  </si>
  <si>
    <t>Guest Editorial: Ecological knowledge co‐production and the contested imaginaries of development in Southeast Asia</t>
  </si>
  <si>
    <t>10.1111/sjtg.12469</t>
  </si>
  <si>
    <t>Singapore Journal of Tropical Geography</t>
  </si>
  <si>
    <t>Horizon 2020 Framework Programme: Competing Regional Integrations in Southeast Asia (Grant number(s): 770562; Grant recipient(s): Robert Farnan, Sally Beckenham, Carl Middleton); 
UKRI Global Challenges Research Fund: “Political Capabilities for Equitable Resilience” (Grant number(s): ES/T00259X/1; Grant recipient(s): Robert Farnan)</t>
  </si>
  <si>
    <t>Sally Beckenham</t>
  </si>
  <si>
    <t>sally.beckenham@york.ac.uk</t>
  </si>
  <si>
    <t>Robert Farnan (bobby.farnan@york.ac.uk), Carl Middleton (Carl.Chulalongkorn@gmail.com; ORCID ID: 0000-0001-5327-3748)</t>
  </si>
  <si>
    <t>1467-9493</t>
  </si>
  <si>
    <t>Revisiting attending to form during meaning comprehension in learning Spanish as an additional foreign language</t>
  </si>
  <si>
    <t>Foreign Language Annals</t>
  </si>
  <si>
    <t>CC-BY-NC</t>
  </si>
  <si>
    <t>Junlan Pan</t>
  </si>
  <si>
    <t>junlan.pan@cqu.edu.cn</t>
  </si>
  <si>
    <t>0000-0002-0027-0698</t>
  </si>
  <si>
    <t>Wen Zhang (3508564655@qq.com), Yuyang Zhang (2020011007@gdufs.edu.cn)</t>
  </si>
  <si>
    <t>1944-9720</t>
  </si>
  <si>
    <t>The impact of rural emptiness on gender relations in postsocialist Albania</t>
  </si>
  <si>
    <t>10.1111/soru.12416</t>
  </si>
  <si>
    <t>Sociologia Ruralis</t>
  </si>
  <si>
    <t>Merita Meçe (mmece@g.clemson.edu)</t>
  </si>
  <si>
    <t>1467-9523</t>
  </si>
  <si>
    <t>The journey towards active self?care and empowerment: Insights from a thematic analysis of a women's therapeutic expressive writing group</t>
  </si>
  <si>
    <t>10.1002/capr.12605</t>
  </si>
  <si>
    <t>Counselling and Psychotherapy Research</t>
  </si>
  <si>
    <t>Melanie Forster</t>
  </si>
  <si>
    <t>melanie.forster@york.ac.uk</t>
  </si>
  <si>
    <t>0000-0002-8045-7857</t>
  </si>
  <si>
    <t>Juliana Bertolucci Peixoto (jbertolucci@gmail.com), Sarah James (sarahelizabethjames7@gmail.com)</t>
  </si>
  <si>
    <t>1746-1405</t>
  </si>
  <si>
    <t>Preparative-Scale Biocatalytic Oxygenation of N-Heterocycles with a Lyophilized Peroxygenase Catalyst</t>
  </si>
  <si>
    <t>10.1002/anie.202214759</t>
  </si>
  <si>
    <t>Balázs Pogrányi (bp826@york.ac.uk), William  Paul Unsworth (william.unsworth@york.ac.uk; ORCID ID: 0000-0002-9169-5156), Alba Díaz-Rodriguez (alba.x.diaz-rodriguez@gsk.com), Tamara F Mielke (tamara.mielke@gmail.com), Jared Cartwright (jared.cartwright@york.ac.uk)</t>
  </si>
  <si>
    <t>Debate: We need data infrastructure as well as data sharing – conflicts of interest in video game research</t>
  </si>
  <si>
    <t>10.1111/camh.12629</t>
  </si>
  <si>
    <t>0000-0003-0279-6439</t>
  </si>
  <si>
    <t>Heather Wardle (Heather.wardle@glasgow.ac.uk; ORCID ID: 0000-0003-1361-3706)</t>
  </si>
  <si>
    <t>Moving and static faces, bodies, objects and scenes are differentially represented across the three visual pathways</t>
  </si>
  <si>
    <t>Human Brain Mapping</t>
  </si>
  <si>
    <t>Under review when Wiley switched dashboard to OAble. Rejected for publication?</t>
  </si>
  <si>
    <t>1097-0193</t>
  </si>
  <si>
    <t>Representing Disabling Experiences: Rethinking Quality of Life When Evaluating Public Health Interventions</t>
  </si>
  <si>
    <t>10.1111/polp.12515</t>
  </si>
  <si>
    <t>Politics &amp; Policy</t>
  </si>
  <si>
    <t>Karl Michael Atkin</t>
  </si>
  <si>
    <t>karl.atkin@york.ac.uk</t>
  </si>
  <si>
    <t>0000-0003-1070-8670</t>
  </si>
  <si>
    <t>Maria Berghs (maria.berghs@dmu.ac.uk), SANGEETA CHATTOO (SANGEETA.CHATTOO@YORK.AC.UK)</t>
  </si>
  <si>
    <t>1747-1346</t>
  </si>
  <si>
    <t>Setting an exam as an information design problem</t>
  </si>
  <si>
    <t>10.1111/ijet.12368</t>
  </si>
  <si>
    <t>International Journal of Economic Theory</t>
  </si>
  <si>
    <t>Department of Economics and Related Studies, University of York (Grant number(s): RIS-12)</t>
  </si>
  <si>
    <t>Makoto Shimoji</t>
  </si>
  <si>
    <t>makoto.shimoji@york.ac.uk</t>
  </si>
  <si>
    <t>0000-0002-7895-9620</t>
  </si>
  <si>
    <t>1742-7363</t>
  </si>
  <si>
    <t>The Pedagogical Account of Parliamentarism at India’s Founding</t>
  </si>
  <si>
    <t>10.1111/ajps.12768</t>
  </si>
  <si>
    <t>American Journal of Political Science</t>
  </si>
  <si>
    <t>Udit Bhatia</t>
  </si>
  <si>
    <t>udit.bhatia@york.ac.uk</t>
  </si>
  <si>
    <t>1540-5907</t>
  </si>
  <si>
    <t>Southern multilateralism: India’s engagement with Africa and the emergence of a multiplex world order</t>
  </si>
  <si>
    <t>10.1002/jid.3744</t>
  </si>
  <si>
    <t>India-UK Development Partnership Forum, University of Cambridge</t>
  </si>
  <si>
    <t>0000-0002-1583-6244</t>
  </si>
  <si>
    <t>Legal culture and climate change adaptation: An agenda for research</t>
  </si>
  <si>
    <t>10.1002/wcc.825</t>
  </si>
  <si>
    <t>WIREs Climate Change</t>
  </si>
  <si>
    <t>Wiley TA 2023</t>
  </si>
  <si>
    <t>Swedish Research Council (Vetenskapsrådent) (Grant number(s): 2018-04305; Grant recipient(s): Emily Boyd)</t>
  </si>
  <si>
    <t>Jonathan Ensor (JON.ENSOR@YORK.AC.UK), Christine Wamsler (christine.wamsler@lucsus.lu.se), Simon Halliday (simon.halliday@york.ac.uk; ORCID ID: 0000-0001-5107-6783), Emily Boyd (EMILY.BOYD@LUCSUS.LU.SE)</t>
  </si>
  <si>
    <t>1757-7799</t>
  </si>
  <si>
    <t>The impact of local assembly rules on RNA packaging in a T=1 satellite plant virus</t>
  </si>
  <si>
    <t>10.1371/journal.pcbi.1009306</t>
  </si>
  <si>
    <t>Monthly report: Monthly Accepted Manuscripts August 2021_C01575</t>
  </si>
  <si>
    <t>RT acknowledges funding via an EPSRC Established Career Fellowship</t>
  </si>
  <si>
    <t>Jisc report</t>
  </si>
  <si>
    <t>Using Topic Modelling to Reassess Heritage Values from a People-centred Perspective: Applications from the North of England</t>
  </si>
  <si>
    <t>10.1017/S0959774323000203</t>
  </si>
  <si>
    <t>CUP June 2023 monthly report</t>
  </si>
  <si>
    <t>Martina Tenzer</t>
  </si>
  <si>
    <t>‘Informed consent is a bit of a joke to me’: lived experiences of insight, coercion, and capabilities in mental health care settings</t>
  </si>
  <si>
    <t>10.1017/S1744552323000174</t>
  </si>
  <si>
    <t>Magdalena Furgalska</t>
  </si>
  <si>
    <t>Kosovo’s Competing Nationalisms: Theorizing an Internal Challenge to Rebel Victor Legitimacy</t>
  </si>
  <si>
    <t>10.1017/nps.2023.34</t>
  </si>
  <si>
    <t>Nationalities Papers</t>
  </si>
  <si>
    <t>Isaac  Toman Grief</t>
  </si>
  <si>
    <t>1465-3923</t>
  </si>
  <si>
    <t>0090-5992</t>
  </si>
  <si>
    <t>Thoughts on moving forward towards a playful archaeology: a commentary</t>
  </si>
  <si>
    <t>10.1017/S1380203823000077</t>
  </si>
  <si>
    <t>Archaeological Dialogues</t>
  </si>
  <si>
    <t>Despoina Vasiliki  Sampatakou</t>
  </si>
  <si>
    <t>1478-2294</t>
  </si>
  <si>
    <t>1380-2038</t>
  </si>
  <si>
    <t>Standardised data collection from people with dementia over the telephone: a qualitative study of the experience of DETERMIND programme researchers in a pandemic</t>
  </si>
  <si>
    <t>10.1177/14713012231190585</t>
  </si>
  <si>
    <t>Sage monthly report: Sage journals 01-08-2021 to 01-08-2023</t>
  </si>
  <si>
    <t>Economic and Social Research Council (http://dx.doi.org/10.13039/501100000269), Economic and Social Research Council (http://dx.doi.org/10.13039/501100000269)</t>
  </si>
  <si>
    <t>Josie Dixon, Ben Hicks, Yvonne Birks, Kate Baxter, Eleanor Miles, Louise Robinson, Rotem Perach, Sube Banerjee</t>
  </si>
  <si>
    <t>Not just living in the moment': Constructing the 'enterprising' and future-oriented self through the consumption of No and Low Alcohol drinks</t>
  </si>
  <si>
    <t>10.1177/13607804231191063</t>
  </si>
  <si>
    <t>Institute of Alcohol Studies (-)</t>
  </si>
  <si>
    <t>Audiencing the travel blog: Examining how practices of audiencing influence the affective labour of travel bloggers online.</t>
  </si>
  <si>
    <t>10.1177/14614448231193982</t>
  </si>
  <si>
    <t>Economic and Social Research Council (http://dx.doi.org/10.13039/501100000269)</t>
  </si>
  <si>
    <t>Nina Willment</t>
  </si>
  <si>
    <t>nina.willment@york.ac.uk</t>
  </si>
  <si>
    <t>The developmental interplay between the p-factor of psychopathology and the g-factor of intelligence from age 7 through 16 years</t>
  </si>
  <si>
    <t>10.1017/S095457942300069X</t>
  </si>
  <si>
    <t>CUP July 2023 monthly report</t>
  </si>
  <si>
    <t>We gratefully acknowledge the ongoing contribution of the participants in the Twins Early Development Study (TEDS) and their families. TEDS is supported by the UK Medical Research Council (MR/V012878/1 and previously MR/M021475/1), with additional support from the US National Institutes of Health (AG046938). SvS is supported by a British Academy Mid-Career Fellowship (2022), a CRISP Fellowship from the Jacobs Foundation (2022–2027), and by the Nuffield Foundation (EDO/44110). HLF is supported by the Economic and Social Research Council Centre for Society and Mental Health at King’s College London (ES/S012567/1). The views expressed are those of the authors and not necessarily those of the Economic and Social Research Council or King’s College London.</t>
  </si>
  <si>
    <t>Sophie Von Stumm</t>
  </si>
  <si>
    <t>Episodic memory and sleep are involved in the maintenance of context-specific lexical information</t>
  </si>
  <si>
    <t>10.1037/xge0001435</t>
  </si>
  <si>
    <t>Journal of Experimental Psychology: General</t>
  </si>
  <si>
    <t>American Psychological Association</t>
  </si>
  <si>
    <t>American Psychological Association TA 2022-2023</t>
  </si>
  <si>
    <t>APA_SciPris_to_14_Aug_2023</t>
  </si>
  <si>
    <t>Economic and Social Research Council (10.13039/501100000269) ES/T008571/1</t>
  </si>
  <si>
    <t>Matthew HC Mak</t>
  </si>
  <si>
    <t>matthew.mak@york.ac.uk</t>
  </si>
  <si>
    <t>0000-0001-7237-4931</t>
  </si>
  <si>
    <t>Adam Curtis, Jennifer Rodd, M Gareth Gaskell</t>
  </si>
  <si>
    <t>1939-2222</t>
  </si>
  <si>
    <t>0096-3445</t>
  </si>
  <si>
    <t>Beckett’s Spectral Presences</t>
  </si>
  <si>
    <t>10.1163/18757405-03501003</t>
  </si>
  <si>
    <t>Samuel Beckett Today / Aujourd’hui</t>
  </si>
  <si>
    <t>Brill TA 2023</t>
  </si>
  <si>
    <t>Email report: University of York - Brill-JISC 2023 Jan-June</t>
  </si>
  <si>
    <t>Morin, Emilie</t>
  </si>
  <si>
    <t>Les convertis noirs au Judaïsme en France</t>
  </si>
  <si>
    <t>10.1163/18725465-bja10030</t>
  </si>
  <si>
    <t>African Diaspora</t>
  </si>
  <si>
    <t>Gampiot, Aurélien Mokoko</t>
  </si>
  <si>
    <t>1872-5465</t>
  </si>
  <si>
    <t>1872-5457</t>
  </si>
  <si>
    <t>The phosphatase Glc7 controls eisosomal response to starvation via posttranslational modification of Pil1</t>
  </si>
  <si>
    <t>10.1242/jcs.260505</t>
  </si>
  <si>
    <t>Company of Biologists TA 2023</t>
  </si>
  <si>
    <t>Company_of_Biologists_CC_dashboard_ytd_22_Aug-2023</t>
  </si>
  <si>
    <t>Wellcome Trust 204636/Z/16/Z</t>
  </si>
  <si>
    <t>Chris Macdonald</t>
  </si>
  <si>
    <t>Influence of insertion sequences on population structure of phytopathogenic bacteria in the Ralstonia solanacearum species complex</t>
  </si>
  <si>
    <t>10.1099/mic.0.001364</t>
  </si>
  <si>
    <t>Microbiology_Soc_CCC_ytd_22_Aug-2023</t>
  </si>
  <si>
    <t>S.G. was funded by Microbiology Society Harry Smith Vacation Studentship. M.S. is funded by a NERC iCASE PhD studentship jointly with Fera Ltd. V-P.F. is funded by the Royal Society (RSG\R1\180213 and CHL\R1\180031) and jointly by a grant from UKRI, Defra, and the Scottish Government, under the Strategic Priorities Fund Plant Bacterial Diseases programme (BB/T010606/1) at the University of York. Fera Science Ltd. helped to provide bacterial isolates for genome sequencing.</t>
  </si>
  <si>
    <t>Samual Greenrod</t>
  </si>
  <si>
    <t>steg500@york.ac.uk</t>
  </si>
  <si>
    <t>0000-0003-4748-6792</t>
  </si>
  <si>
    <t>Rhizobium brockwellii sp. nov., Rhizobium johnstonii sp. nov. and Rhizobium beringeri sp. nov., three genospecies within the Rhizobium leguminosarum species complex</t>
  </si>
  <si>
    <t>10.1099/ijsem.0.005979</t>
  </si>
  <si>
    <t>This work received no specific grant from any funding agency.</t>
  </si>
  <si>
    <t>J Peter W Young</t>
  </si>
  <si>
    <t>peter.young@york.ac.uk</t>
  </si>
  <si>
    <t>0000-0001-5259-4830</t>
  </si>
  <si>
    <t>International Committee on Systematics of Prokaryotes Subcommittee on the Taxonomy of Rhizobia and Agrobacteria Minutes of the closed annual meeting; videoconference on 11 October 2022, followed by online discussion until 31 December 2022</t>
  </si>
  <si>
    <t>10.1099/ijsem.0.005856</t>
  </si>
  <si>
    <t>The authors received no specific grant from any funding agency</t>
  </si>
  <si>
    <t>Meeting minutes</t>
  </si>
  <si>
    <t>The Family Life of Peter and Ruth Townsend: Social Science and Methods in 1950s and Early 1960s Britain</t>
  </si>
  <si>
    <t>10.1093/tcbh/hwad040</t>
  </si>
  <si>
    <t>OUP email report: University of York OUP publication output - 1.1.23 - 31.7.23 July 2023</t>
  </si>
  <si>
    <t>Using a Volunteer Friends Support Scheme in a Temporary Relocation programme</t>
  </si>
  <si>
    <t>10.1093/jhuman/huad016</t>
  </si>
  <si>
    <t>Journal of Human Rights Practice</t>
  </si>
  <si>
    <t>Crawshaw, Marilyn</t>
  </si>
  <si>
    <t>marilyn.crawshaw@york.ac.uk</t>
  </si>
  <si>
    <t>1757-9627</t>
  </si>
  <si>
    <t>On the Social Existence of Mental Health Categories: The Case of Sex Addiction</t>
  </si>
  <si>
    <t>10.1093/socpro/spad024</t>
  </si>
  <si>
    <t>Social Problems</t>
  </si>
  <si>
    <t>Brossard, Baptiste</t>
  </si>
  <si>
    <t>baptiste.brossard@york.ac.uk</t>
  </si>
  <si>
    <t>0037-7791</t>
  </si>
  <si>
    <t>1533-8533</t>
  </si>
  <si>
    <t>HARVEY ROLLASON William Claxton: The Rites of Durham</t>
  </si>
  <si>
    <t>10.1093/ehr/cead076</t>
  </si>
  <si>
    <t>Jenkins, John</t>
  </si>
  <si>
    <t>Efficacy of oleylphosphocholine in experimental cutaneous leishmaniasis</t>
  </si>
  <si>
    <t>10.1093/jac/dkad162</t>
  </si>
  <si>
    <t>Journal of Antimicrobial Chemotherapy</t>
  </si>
  <si>
    <t>European Commission; Medical Research Council</t>
  </si>
  <si>
    <t>Van Bocxlaer, Katrien</t>
  </si>
  <si>
    <t>katrien.vanbocxlaer@york.ac.uk</t>
  </si>
  <si>
    <t>1460-2091</t>
  </si>
  <si>
    <t>The phase separated CO2-fixing pyrenoid proteome determined by TurboID</t>
  </si>
  <si>
    <t>10.1093/plcell/koad131</t>
  </si>
  <si>
    <t>Mackinder, Luke, CM</t>
  </si>
  <si>
    <t>Insights into a viral motor: the structure of the HK97 packaging termination assembly</t>
  </si>
  <si>
    <t>10.1093/nar/gkad480</t>
  </si>
  <si>
    <t>Medical Research Council; Wellcome Trust; National Institute of Allergy and Infectious Diseases; National Institute of General Medical Sciences; Biotechnology and Biological Sciences Research Council</t>
  </si>
  <si>
    <t>Politics of the poor: Discursive institutionalism and the expansion of social welfare in India during the early twenty-first century</t>
  </si>
  <si>
    <t>10.1093/polsoc/puad010</t>
  </si>
  <si>
    <t>ROY, Indrajit</t>
  </si>
  <si>
    <t>Comparing cross-sectional and longitudinal approaches to Tuberculosis Patient Cost Surveys using Nepalese data</t>
  </si>
  <si>
    <t>10.1093/heapol/czad037</t>
  </si>
  <si>
    <t>The dataset used in this study was acquired from the IMPACT TB project funded by the European Union, Horizon 2020 (grant number 733174) and TB REACH WAVE 5 funded by Stop TB Partnership (grant number 5-31). E.K. was funded by the Medical Research Council (MC_UU_00022/2) and the Scottish Government Chief Scientist Office (SPHSU17).</t>
  </si>
  <si>
    <t>Teixeira de Siqueira-Filha , Noemia</t>
  </si>
  <si>
    <t>noemia.siqueira@york.ac.uk</t>
  </si>
  <si>
    <t>Comment on: Timing of symptomatic venous thromboembolism after surgery: meta-analysis</t>
  </si>
  <si>
    <t>10.1093/bjs/znad193</t>
  </si>
  <si>
    <t>Letter</t>
  </si>
  <si>
    <t>Yang, Fengxue</t>
  </si>
  <si>
    <t>fengxue.yang12@gmail.com</t>
  </si>
  <si>
    <t>The Cinematic Front</t>
  </si>
  <si>
    <t>10.1093/dh/dhad042</t>
  </si>
  <si>
    <t>Unconventional Monetary Policies and the Yield Curve: Estimating Non-Affine Term Structure Models with Unspanned Macro Risk by Factor Extraction</t>
  </si>
  <si>
    <t>10.1093/rapstu/raad011</t>
  </si>
  <si>
    <t>Review of Asset Pricing Studies</t>
  </si>
  <si>
    <t>Golinski, Adam</t>
  </si>
  <si>
    <t>adam.golinski@york.ac.uk</t>
  </si>
  <si>
    <t>2045-9920</t>
  </si>
  <si>
    <t>2045-9939</t>
  </si>
  <si>
    <t>In the Shadow of Justice: Postwar Liberalism and the Remaking of Political Philosophy</t>
  </si>
  <si>
    <t>10.1093/mind/fzad030</t>
  </si>
  <si>
    <t>Mind</t>
  </si>
  <si>
    <t>Thomas, Alan</t>
  </si>
  <si>
    <t>ap.thomas@york.ac.uk</t>
  </si>
  <si>
    <t>1460-2113</t>
  </si>
  <si>
    <t>The Rossettis: Radical Romantics, or, GABRIEL DANTE ROSSETTI and some other people I guess</t>
  </si>
  <si>
    <t>10.1093/jvcult/vcad025</t>
  </si>
  <si>
    <t>Gustin, Melissa</t>
  </si>
  <si>
    <t>melissa.gustin@york.ac.uk</t>
  </si>
  <si>
    <t>Ophelia's Bathtub Boogaloo</t>
  </si>
  <si>
    <t>10.1093/jvcult/vcad026</t>
  </si>
  <si>
    <t>Myofibrillar myopathy hallmarks associated with ZAK deficiency</t>
  </si>
  <si>
    <t>10.1093/hmg/ddad113</t>
  </si>
  <si>
    <t>Human Molecular Genetics</t>
  </si>
  <si>
    <t>Author opt-out?</t>
  </si>
  <si>
    <t>Blanco, Gonzalo</t>
  </si>
  <si>
    <t>gonzalo.blanco@york.ac.uk</t>
  </si>
  <si>
    <t>1460-2083</t>
  </si>
  <si>
    <t>Diverging Pathways: The Effects of Initial Legal Status on Immigrant Socioeconomic and Residential Outcomes in France</t>
  </si>
  <si>
    <t>10.1093/esr/jcad047</t>
  </si>
  <si>
    <t>European Sociological Review</t>
  </si>
  <si>
    <t>McAvay, Haley</t>
  </si>
  <si>
    <t>haley.mcavay@york.ac.uk</t>
  </si>
  <si>
    <t>1468-2672</t>
  </si>
  <si>
    <t>Economic evaluation of self-help group interventions for health in LMICs: a scoping review</t>
  </si>
  <si>
    <t>10.1093/heapol/czad060</t>
  </si>
  <si>
    <t>This research was funded by the National Institute for Health Research (NIHR) [NIHR200132] using UK aid from the UK Government to support global health research. R.J.L. is also funded by NIHR Applied Research Collaboration (ARC) West Midlands. The views expressed in this publication are those of the author(s) and not necessarily those of the NIHR or the UK Department of Health and Social Care.</t>
  </si>
  <si>
    <t>Ochalek, Jessica</t>
  </si>
  <si>
    <t>jessica.ochalek@york.ac.uk</t>
  </si>
  <si>
    <t>Predictors of self-reported research engagement and academic-career interest amongst medical students in the United Kingdom: a national cross-sectional survey.</t>
  </si>
  <si>
    <t>10.1093/postmj/qgad067</t>
  </si>
  <si>
    <t>Comparative analysis of practice research in Australia and the UK: the shift to practice-driven research</t>
  </si>
  <si>
    <t>10.1093/bjsw/bcad190</t>
  </si>
  <si>
    <t>Webber, Martin</t>
  </si>
  <si>
    <t>Early signs of cancer present in the fine detail of mammograms</t>
  </si>
  <si>
    <t>10.1371/journal.pone.0282872</t>
  </si>
  <si>
    <t>PLOS monthly report Mar 2023</t>
  </si>
  <si>
    <t>KKE received a grant from Cancer Research UK (https://www.cancerresearchuk.org/) &amp; EPSRC (https://www.ukri.org/councils/epsrc/) grant EDDCPJT\100027.  EMR received a departmental scholarship from the Psychology department, University of York.  The funders had no role in study design, data collection and analysis, decision to publish, or preparation of the manuscript.</t>
  </si>
  <si>
    <t>Emma Raat</t>
  </si>
  <si>
    <t>emma.raat@york.ac.uk</t>
  </si>
  <si>
    <t>Assessing risks and opportunities for tropical forests in the face of sustainable development</t>
  </si>
  <si>
    <t>10.1371/journal.pstr.0000060</t>
  </si>
  <si>
    <t>PLOS Sustainability Transformation</t>
  </si>
  <si>
    <t>PLOS monthly report April 2023</t>
  </si>
  <si>
    <t>Jamie Carr</t>
  </si>
  <si>
    <t>jamie.carr@york.ac.uk</t>
  </si>
  <si>
    <t>2767-3197</t>
  </si>
  <si>
    <t>Blurring the Boundary between Models and Reality: Visual perception of scale assessed by performance</t>
  </si>
  <si>
    <t>10.1371/journal.pone.0285423</t>
  </si>
  <si>
    <t>This work was supported by research grant EP/H000038/1 from the Engineering and Physical Sciences Research Council (https://www.ukri.org/councils/epsrc/) awarded to Tim Meese and Mark Georgeson. The funders had no role in study design, data collection and analysis, decision to publish, or preparation of the manuscript.</t>
  </si>
  <si>
    <t>Regulation of gene expression downstream of a novel Fgf/Erk pathway during Xenopus development</t>
  </si>
  <si>
    <t>10.1371/journal.pone.0286040</t>
  </si>
  <si>
    <t>PLOS monthly report May 2023</t>
  </si>
  <si>
    <t>MK was in receipt of BBSRC White Rose studentship BB/J014443/1. LC is in receipt of BBSRC White Rose Studentship BB/M011151/1. HVI is in receipt of a Leverhulme Emeritus Fellowship EM-2021-035.</t>
  </si>
  <si>
    <t>Harry Isaacs</t>
  </si>
  <si>
    <t>harry.isaacs@york.ac.uk</t>
  </si>
  <si>
    <t>What are the odds? Poor compliance with UK loot box probability disclosure industry self-regulation</t>
  </si>
  <si>
    <t>10.1371/journal.pone.0286681</t>
  </si>
  <si>
    <t>Leon Xiao</t>
  </si>
  <si>
    <t>leon.xiao@york.ac.uk</t>
  </si>
  <si>
    <t>IMPACT smoking cessation support for people with severe mental illness in South Asia (IMPACT 4S): a protocol for a randomised controlled feasibility trial of a combined behavioural and pharmacological support intervention</t>
  </si>
  <si>
    <t>10.1371/journal.pone.0287185</t>
  </si>
  <si>
    <t>PLOS monthly report June 2023</t>
  </si>
  <si>
    <t>This research was funded by the National Institute for Health Research (NIHR) (17/63/130) using UK aid from the UK Government to support global health research. The views expressed in this publication are those of the author(s) and not necessarily those of the NIHR or the UK government.</t>
  </si>
  <si>
    <t>Papiya Mazumdar</t>
  </si>
  <si>
    <t>papiyamaz@gmail.com</t>
  </si>
  <si>
    <t>A systematic review of non-coding RNA genes with differential expression profiles associated with autism spectrum disorders</t>
  </si>
  <si>
    <t>10.1371/journal.pone.0287131</t>
  </si>
  <si>
    <t>This work was supported by the INSPIRE grant generously awarded to the Hull York Medical School by the Academy of Medical Sciences through the Wellcome Trust Grant number IR5\1018. We thank C2D2 at the University of York for Wellcome Trust funded preliminary research undertaken prior to this study. The funders had no role in study design, data collection and analysis, decision to publish, or preparation of the manuscript.</t>
  </si>
  <si>
    <t>Jannah Holmes</t>
  </si>
  <si>
    <t>jannah.holmes@hotmail.com</t>
  </si>
  <si>
    <t>Comparison of Bayesian methods for incorporating adult clinical trial data to improve certainty of treatment effect estimates in children.</t>
  </si>
  <si>
    <t>10.1371/journal.pone.0281791</t>
  </si>
  <si>
    <t>PLOS CAP 2023</t>
  </si>
  <si>
    <t>This research was funded by an NIHR Pre-doctoral Fellowship award (Round 1) NIHR300469 held by RW. The views expressed are those of the author(s) and not necessarily those of the NIHR or the Department of Health and Social Care. The funders had no role in study design, data collection and analysis, decision to publish, or preparation of the manuscript.</t>
  </si>
  <si>
    <t>Ruth Walker</t>
  </si>
  <si>
    <t>ruth.walker@york.ac.uk</t>
  </si>
  <si>
    <t>Knowledge exchange in the implementation of National Environmental Programmes (NEPs) in China: a complex picture</t>
  </si>
  <si>
    <t>10.1371/journal.pone.0288641</t>
  </si>
  <si>
    <t>PLOS monthly report July 2023</t>
  </si>
  <si>
    <t>Zheng-Hong Kong</t>
  </si>
  <si>
    <t>zk674@york.ac.uk</t>
  </si>
  <si>
    <t>Recruitment and retention interventions in surgical and wound care trials: a systematic review</t>
  </si>
  <si>
    <t>10.1371/journal.pone.0288028</t>
  </si>
  <si>
    <t>A purely visual adaptation to motion can differentiate between perceptual timing and interval timing</t>
  </si>
  <si>
    <t>10.1098/rspb.2023.0415</t>
  </si>
  <si>
    <t>Proceedings of the Royal Society B</t>
  </si>
  <si>
    <t>Royal_Soc_CCC-ytd_22_Aug_2023</t>
  </si>
  <si>
    <t>Wellcome Trust 213616/Z/18/Z</t>
  </si>
  <si>
    <t>Aurelio Bruno</t>
  </si>
  <si>
    <t>ab1252@leicester.ac.uk</t>
  </si>
  <si>
    <t>2023GBP</t>
  </si>
  <si>
    <t>1471-2954</t>
  </si>
  <si>
    <t>0962-8452</t>
  </si>
  <si>
    <t>Multiplexed near-field optical trapping exploiting anapole states</t>
  </si>
  <si>
    <t>10.1021/acsnano.3c03100</t>
  </si>
  <si>
    <t>ACS Nano</t>
  </si>
  <si>
    <t>ACS_CCC_ytd_22_Aug_2023</t>
  </si>
  <si>
    <t>Wellcome Trust; Engineering and Physical Sciences Research Council; Alzheimer's Research Trust; Regione Puglia</t>
  </si>
  <si>
    <t>0000-0003-0917-2709</t>
  </si>
  <si>
    <t>2023USD</t>
  </si>
  <si>
    <t>1936-086X</t>
  </si>
  <si>
    <t>1936-0851</t>
  </si>
  <si>
    <t>Opening a Pandoras Flask on a Prototype Catalytic Direct Arylation Reaction of Pentafluorobenzene: the Ag&lt;sub&gt;2&lt;/sub&gt;CO&lt;sub&gt;3&lt;/sub&gt;/Pd(OAc)&lt;sub&gt;2&lt;/sub&gt;/PPh&lt;sub&gt;3&lt;/sub&gt; system</t>
  </si>
  <si>
    <t>10.1021/acs.organomet.3c00309</t>
  </si>
  <si>
    <t>Royal Society; Engineering and Physical Sciences Research Council</t>
  </si>
  <si>
    <t>Understanding Liquid Structure in Mixtures of Ionic Liquids with Semiperfluoroalkyl or Alkyl Chains</t>
  </si>
  <si>
    <t>10.1021/acs.jpcb.3c02647</t>
  </si>
  <si>
    <t>Fundação para a Ciência e a Tecnologia; Engineering and Physical Sciences Research Council</t>
  </si>
  <si>
    <t>A Resource to Support Decolonization of the Undergraduate Chemistry Curriculum</t>
  </si>
  <si>
    <t>10.1021/acs.jchemed.2c01003</t>
  </si>
  <si>
    <t>Caroline Dessent</t>
  </si>
  <si>
    <t>Direct Cyclopalladation of Fluorinated Benzyl Amines by Pd3(OAc)6: The Co-Existence of Multi-Nuclear Pdn Reaction Pathways Highlights the Importance of Pd Speciation in C-H Bond Activation</t>
  </si>
  <si>
    <t>10.1021/acs.organomet.3c00178</t>
  </si>
  <si>
    <t>Univerzita Pardubice; Royal Society; Engineering and Physical Sciences Research Council</t>
  </si>
  <si>
    <t>Dyes for Guest-Host Liquid Crystal Applications: a General Approach to the Rapid Computational Assessment of Useful Molecular Designs</t>
  </si>
  <si>
    <t>10.1039/D3CP00178D</t>
  </si>
  <si>
    <t>Rockefeller University Press TA 2023</t>
  </si>
  <si>
    <t>Report: University of York August 2023</t>
  </si>
  <si>
    <t>Dr John Moore</t>
  </si>
  <si>
    <t>0000-0002-8783-5195</t>
  </si>
  <si>
    <t>Hydrogen-bonded Liquid Crystals formed from 4-Alkoxystilbazoles and Chlorophenols</t>
  </si>
  <si>
    <t>10.1039/D3CE00266G</t>
  </si>
  <si>
    <t>Dr Duncan Bruce</t>
  </si>
  <si>
    <t>Ring Expansion reactions of P=O-containing molecules</t>
  </si>
  <si>
    <t>10.1039/D3CC02087H</t>
  </si>
  <si>
    <t>China Scholarship Council; GlaxoSmithKline; Royal Society; University of York</t>
  </si>
  <si>
    <t>Dr William Unsworth</t>
  </si>
  <si>
    <t>Threshold and power of pulsed red-emitting diode lasers with a bulk active layer near p-cladding under high-temperature operation</t>
  </si>
  <si>
    <t>10.1007/s11082-023-04887-6</t>
  </si>
  <si>
    <t>Springer_dashboard_approved_ytd_23_Aug_2022</t>
  </si>
  <si>
    <t>None</t>
  </si>
  <si>
    <t>Eugene A. Avrutin</t>
  </si>
  <si>
    <t>Boris S. Ryvkin, Eugene A. Avrutin</t>
  </si>
  <si>
    <t>Lonely Places and Lonely People</t>
  </si>
  <si>
    <t>10.1007/s11245-023-09931-4</t>
  </si>
  <si>
    <t>Springer_dashboard_approved_ytd_23_Aug_2023</t>
  </si>
  <si>
    <t>http://orcid.org/0000-0003-4519-4833</t>
  </si>
  <si>
    <t>Efficiency, quality, and management practices in multidisciplinary and traditional diabetes healthcare services in Mexico</t>
  </si>
  <si>
    <t>10.1007/s10742-023-00309-y</t>
  </si>
  <si>
    <t>Mexican National Council of Science and Technology (CONACyT)</t>
  </si>
  <si>
    <t>Carlos Chivardi</t>
  </si>
  <si>
    <t>A principles-based ethics assurance argument pattern for AI and autonomous systems</t>
  </si>
  <si>
    <t>10.1007/s43681-023-00297-2</t>
  </si>
  <si>
    <t>AI and Ethics</t>
  </si>
  <si>
    <t>Engineering and Physical Sciences Research Council, Lloyd's Register Foundation</t>
  </si>
  <si>
    <t>Zoe Porter</t>
  </si>
  <si>
    <t>http://orcid.org/0000-0002-4467-3288</t>
  </si>
  <si>
    <t>Zoe Porter, Ibrahim Habli, John McDermid, Marten Kaas</t>
  </si>
  <si>
    <t>2730-5961</t>
  </si>
  <si>
    <t>Factors associated with low fruit and vegetable consumption among people with severe mental ill health</t>
  </si>
  <si>
    <t>10.1007/s00127-023-02514-z</t>
  </si>
  <si>
    <t>National Institute for Health Research Collaboration for Leadership in Applied Health Research and Care Yorkshire and Humber, Wellcome Trust, UK Research and Innovation</t>
  </si>
  <si>
    <t>Ben Lorimer</t>
  </si>
  <si>
    <t>Ben Lorimer, Gemma Traviss-Turner, Andrew Hill, Sarah Baker, Simon Gilbody, Emily Peckham</t>
  </si>
  <si>
    <t>A people-centred framework for exploring water, energy and food security in a small developing island</t>
  </si>
  <si>
    <t>10.1007/s11111-023-00427-2</t>
  </si>
  <si>
    <t>Economic and Social Research Council, Global Challenges Research Fund</t>
  </si>
  <si>
    <t>Rebecca J. S. Newman</t>
  </si>
  <si>
    <t>Rebecca J. S. Newman, Jessica P. R. Thorn, Tahir A. Haji, Aziza Y. Nchimbi, Irene Musa, Charis Enns, Robert A. Marchant</t>
  </si>
  <si>
    <t>Conservation of all Lipkin’s zilches from symmetries of the standard electromagnetic action and a hidden algebra</t>
  </si>
  <si>
    <t>10.1007/s11005-023-01697-5</t>
  </si>
  <si>
    <t>WW Smith Fund and Department of Mathematics, University of York, UK</t>
  </si>
  <si>
    <t>http://orcid.org/0000-0001-9637-9702</t>
  </si>
  <si>
    <t>Agata: in-beam spectroscopy with relativistic beams</t>
  </si>
  <si>
    <t>10.1140/epja/s10050-023-01075-8</t>
  </si>
  <si>
    <t>Instituto Nazionale di Fisica Nucleare, Science and Technology Facilities Council, H2020 European Research Council</t>
  </si>
  <si>
    <t>http://orcid.org/0000-0001-8401-3455</t>
  </si>
  <si>
    <t>M. A. Bentley, G. Benzoni, K. Wimmer</t>
  </si>
  <si>
    <t>No evidence that Chinese playtime mandates reduced heavy gaming in one segment of the video games industry</t>
  </si>
  <si>
    <t>10.1038/s41562-023-01669-8</t>
  </si>
  <si>
    <t>Nature Human Behaviour</t>
  </si>
  <si>
    <t>RCUK | Engineering and Physical Sciences Research Council (EPSRC), IT-Universitetet i København (IT University of Copenhagen)</t>
  </si>
  <si>
    <t>http://orcid.org/0000-0003-0279-6439</t>
  </si>
  <si>
    <t>David Zendle, Catherine Flick, Elena Gordon-Petrovskaya, Nick Ballou, Leon Xiao, Anders Drachen</t>
  </si>
  <si>
    <t>2397-3374</t>
  </si>
  <si>
    <t>Four fundamental dimensions underlie the perception of human actions</t>
  </si>
  <si>
    <t>10.3758/s13414-023-02709-1</t>
  </si>
  <si>
    <t>Nick E. Barraclough</t>
  </si>
  <si>
    <t>http://orcid.org/0000-0003-2818-326X</t>
  </si>
  <si>
    <t>Laura C. Vinton, Catherine Preston, Stephan de la Rosa, Gabriel Mackie, Steven P. Tipper, Nick E. Barraclough</t>
  </si>
  <si>
    <t>Integrable Degenerate EE-Models from 4d Chern–Simons Theory</t>
  </si>
  <si>
    <t>10.1007/s00023-023-01317-x</t>
  </si>
  <si>
    <t>Leverhulme Trust, CONICET</t>
  </si>
  <si>
    <t>Benoît Vicedo</t>
  </si>
  <si>
    <t>Joaquin Liniado, Benoît Vicedo</t>
  </si>
  <si>
    <t>Creating a Safety Assurance Case for a Machine Learned Satellite-Based Wildfire Detection and Alert System</t>
  </si>
  <si>
    <t>10.1007/s10846-023-01905-3</t>
  </si>
  <si>
    <t>Journal of Intelligent &amp; Robotic Systems</t>
  </si>
  <si>
    <t>Assuring Autonomy International Programme</t>
  </si>
  <si>
    <t>Richard Hawkins</t>
  </si>
  <si>
    <t>http://orcid.org/0000-0001-7347-3413</t>
  </si>
  <si>
    <t>Richard Hawkins, Chiara Picardi, Lucy Donnell, Murray Ireland</t>
  </si>
  <si>
    <t>1573-0409</t>
  </si>
  <si>
    <t>Structuralism and informal provability</t>
  </si>
  <si>
    <t>10.1007/s11229-023-04274-4</t>
  </si>
  <si>
    <t>HORIZON EUROPE European Research Council, H2020 Marie Skłodowska-Curie Actions</t>
  </si>
  <si>
    <t>John Wigglesworth</t>
  </si>
  <si>
    <t>http://orcid.org/0000-0002-7305-6844</t>
  </si>
  <si>
    <t>Georg Schiemer, John Wigglesworth</t>
  </si>
  <si>
    <t>Postnatal Depression and Homelessness in Women Living in High-Income Countries: A Scoping Review</t>
  </si>
  <si>
    <t>10.1007/s12646-023-00736-4</t>
  </si>
  <si>
    <t>Psychological Studies</t>
  </si>
  <si>
    <t>The authors received no specific funding for the research.</t>
  </si>
  <si>
    <t>Laura Kelly</t>
  </si>
  <si>
    <t>http://orcid.org/0000-0002-3792-8852</t>
  </si>
  <si>
    <t>Laura Kelly, Jackie Martin-Kerry, Stephanie Prady</t>
  </si>
  <si>
    <t>0974-9861</t>
  </si>
  <si>
    <t>Social prioritisation in scene viewing and the effects of a spatial memory load</t>
  </si>
  <si>
    <t>10.3758/s13414-023-02769-3</t>
  </si>
  <si>
    <t>No funding was received for conducting this study.</t>
  </si>
  <si>
    <t>A. P. Martinez-Cedillo</t>
  </si>
  <si>
    <t>http://orcid.org/0000-0001-7327-3614</t>
  </si>
  <si>
    <t>A. P. Martinez-Cedillo, Kevin Dent, Tom Foulsham</t>
  </si>
  <si>
    <t>Emergent Lag Phase in Flux-Regulation Models of Bacterial Growth</t>
  </si>
  <si>
    <t>10.1007/s11538-023-01189-6</t>
  </si>
  <si>
    <t>Daphne Jackson Trust, Indonesia Endowment Fund for Education, Royal Society Industry Fellowship</t>
  </si>
  <si>
    <t>Fiona Bate</t>
  </si>
  <si>
    <t>http://orcid.org/0000-0002-1424-495X</t>
  </si>
  <si>
    <t>Fiona Bate, Yumechris Amekan, Dmitri O. Pushkin, James P. J. Chong, Martin Bees</t>
  </si>
  <si>
    <t>Portions and countability: A crosslinguistic investigation</t>
  </si>
  <si>
    <t>10.1007/s11049-023-09576-3</t>
  </si>
  <si>
    <t>Natural Language &amp; Linguistic Theory</t>
  </si>
  <si>
    <t>George Tsoulas</t>
  </si>
  <si>
    <t>http://orcid.org/0000-0002-5478-6569</t>
  </si>
  <si>
    <t>Hanna de Vries, George Tsoulas</t>
  </si>
  <si>
    <t>1573-0859</t>
  </si>
  <si>
    <t>Effects of Opioids on Immune and Endocrine Function in Patients with Cancer Pain</t>
  </si>
  <si>
    <t>10.1007/s11864-023-01091-2</t>
  </si>
  <si>
    <t>Current Treatment Options in Oncology</t>
  </si>
  <si>
    <t>No fuding declared</t>
  </si>
  <si>
    <t>Jason W Boland</t>
  </si>
  <si>
    <t>http://orcid.org/0000-0001-5272-3057</t>
  </si>
  <si>
    <t>Anna Bradley, Jason W Boland</t>
  </si>
  <si>
    <t>1534-6277</t>
  </si>
  <si>
    <t xml:space="preserve">Cyclic guanosine monophosphate improves salt tolerance in Solanum lycopersicum
         </t>
  </si>
  <si>
    <t>10.1007/s10265-023-01487-z</t>
  </si>
  <si>
    <t>Journal of Plant Research</t>
  </si>
  <si>
    <t>Higher Education Commision, Pakistan</t>
  </si>
  <si>
    <t>Frans JM Maathuis</t>
  </si>
  <si>
    <t>Gulnaz Bibi, Iqra Shafique, Sartaj Ali, Raza Ahmad, Mohammad Maroof Shah, Tatheer Alam Naqvi, Iftikhar Zeb, Frans JM Maathuis, Jamshaid Hussain</t>
  </si>
  <si>
    <t>1618-0860</t>
  </si>
  <si>
    <t>Revising vulnerability assessments of montane birds in the colombian páramo to account for threats from climate change</t>
  </si>
  <si>
    <t>10.1007/s10531-023-02701-z</t>
  </si>
  <si>
    <t>Jane K Hill</t>
  </si>
  <si>
    <t>http://orcid.org/0000-0003-1871-7715</t>
  </si>
  <si>
    <t>Christopher J Wheatley, Colin M Beale, Piran C L White, Adrián Villaseñor, Adriana Sanchez, Charles A Cunningham, Jane K Hill</t>
  </si>
  <si>
    <t>An experimental study of wet-cooking in organic vessels: implications for understanding the evolution of cooking technologies</t>
  </si>
  <si>
    <t>10.1007/s12520-023-01843-z</t>
  </si>
  <si>
    <t>White Rose College of Arts and Humanities</t>
  </si>
  <si>
    <t>Andy Langley</t>
  </si>
  <si>
    <t>http://orcid.org/0000-0002-7305-075X</t>
  </si>
  <si>
    <t>Andy Langley, Andy Needham, Roland Kröger, Gabriel Cifuentes-Alcobendas, Mette Adegeest, Jess Cousen, Christopher Lance, Hannah Benton, Amy-Rose Mansbridge, Amanda Satchell, Lewis Tomlinson, Francesca Rockall-Birtles, Alexandre Lucquin, Aimée Little</t>
  </si>
  <si>
    <t>Grief, smell, &amp; the olfactory air of a person</t>
  </si>
  <si>
    <t>10.1111/papq.12443</t>
  </si>
  <si>
    <t>Pacific Philosophical Quarterly</t>
  </si>
  <si>
    <t>Wiley_OABLE_requests-202301-202308</t>
  </si>
  <si>
    <t>https://orcid.org/0000-0002-6308-2379</t>
  </si>
  <si>
    <t>1468-0114</t>
  </si>
  <si>
    <t>Structure of the imine reductase from Ajellomyces dermatitidis in three crystal forms</t>
  </si>
  <si>
    <t>10.1107/s2053230x23006672</t>
  </si>
  <si>
    <t>Acta Crystallographica Section F: Structural Biology Communications</t>
  </si>
  <si>
    <t>https://orcid.org/0000-0003-1383-7056</t>
  </si>
  <si>
    <t>Justice and feasibility</t>
  </si>
  <si>
    <t>10.1111/newe.12354</t>
  </si>
  <si>
    <t>IPPR Progressive Review</t>
  </si>
  <si>
    <t>Louise Haagh</t>
  </si>
  <si>
    <t>louise.haagh@york.ac.uk</t>
  </si>
  <si>
    <t>2573-2331</t>
  </si>
  <si>
    <t>Dehydropolymerization of Amine-Boranes using Bis(imino)pyridine Rhodium Pre-Catalysis: ?-Amine-Borane Complexes, Nanoparticles, and Low Residual-Metal BN-Polymers that can be Chemically Repurposed</t>
  </si>
  <si>
    <t>10.1002/chem.202302110</t>
  </si>
  <si>
    <t>Engineering and Physical Sciences Research Council; SCG Chemicals</t>
  </si>
  <si>
    <t>https://orcid.org/0000-0003-1646-8081</t>
  </si>
  <si>
    <t>David Ryan, david.ryan@pnnl.gov, ; Antonio Mart&amp;iacute;nez-Mart&amp;iacute;nez, antonio.martinez@ciqso.uhu.es, ; Mathew Cross, mjc635@york.ac.uk, ; Joe Goodall, jcg536@york.ac.uk, ; Dana Crivoi, dg.crivoi@gmail.com, ; Claire Brodie, cnb3@st-andrews.ac.uk,</t>
  </si>
  <si>
    <t>Heterogeneous responses to corporate marginal tax rates: Evidence from small and large firms</t>
  </si>
  <si>
    <t>10.1002/jae.3000</t>
  </si>
  <si>
    <t>Journal of Applied Econometrics</t>
  </si>
  <si>
    <t>RUHOLLAH ESKANDARI</t>
  </si>
  <si>
    <t>r.eskandari@york.ac.uk</t>
  </si>
  <si>
    <t>Use of word lists in a high?stakes, low?exposure context: Topic?driven or frequency?informed</t>
  </si>
  <si>
    <t>10.1111/modl.12866</t>
  </si>
  <si>
    <t>The Modern Language Journal</t>
  </si>
  <si>
    <t>Department for Education, UK Government; University of York; Research England; Higher Education Innovation Fund; Economic and Social Research Council Impact Acceleration Account</t>
  </si>
  <si>
    <t>Amber Dudley</t>
  </si>
  <si>
    <t>amber.dudley@york.ac.uk</t>
  </si>
  <si>
    <t>https://orcid.org/0000-0003-2904-9150</t>
  </si>
  <si>
    <t>EMMA J. MARSDEN, emma.marsden@york.ac.uk, https://orcid.org/0000-0003-4086-5765; Rachel Hawkes, rhawkes@combertonvc.org,</t>
  </si>
  <si>
    <t>1540-4781</t>
  </si>
  <si>
    <t>Geometric morphometric analysis of Pleuronectiformes vertebrae: A new tool to identify archaeological fish remains?</t>
  </si>
  <si>
    <t>10.1111/joa.13934</t>
  </si>
  <si>
    <t>Journal of Anatomy</t>
  </si>
  <si>
    <t>H2020 Marie Skłodowska-Curie Actions</t>
  </si>
  <si>
    <t>Katrien Dierickx</t>
  </si>
  <si>
    <t>katrien.dierickx.icht@gmail.com</t>
  </si>
  <si>
    <t>https://orcid.org/0000-0002-9028-7652</t>
  </si>
  <si>
    <t>Antonio Profico, antonioprofico@gmail.com, ; Tarek Oueslati, tarek.oueslati@univ-lille.fr,</t>
  </si>
  <si>
    <t>The health, economic and social burden of smoking in Argentina, and the impact of increasing tobacco taxes in a context of illicit trade</t>
  </si>
  <si>
    <t>10.1002/hec.4741</t>
  </si>
  <si>
    <t>Cancer Research UK; International Development Research Centre</t>
  </si>
  <si>
    <t>Alfredo Palacios</t>
  </si>
  <si>
    <t>alfredopalacios77@gmail.com</t>
  </si>
  <si>
    <t>https://orcid.org/0000-0001-7684-0880</t>
  </si>
  <si>
    <t>Dario Balan, dariojbalan@gmail.com, ; Federico Rodr&amp;iacute;guez Cairoli, fcairoli@iecs.org.ar, ; Agust&amp;iacute;n Casarini, acasarini@iecs.org.ar, https://orcid.org/0000-0003-4952-0691; Natalia Espinola, nespinola@iecs.org.ar, ; Andr&amp;eacute;s Pichon-Riviere, apichon@iecs.org.ar, ; LUCAS PERELLI, lperelli@iecs.org.ar, ; Andrea Alcaraz, aalcaraz@iecs.org.ar, ; Ariel BARDACH, abardach@iecs.org.ar, https://orcid.org/0000-0003-4437-0073; Federico Augustovski, faugustovski@iecs.org.ar,</t>
  </si>
  <si>
    <t>Looking Beyond Jerusalem: A Fifteenth-Century Exercise in Image Comparison</t>
  </si>
  <si>
    <t>10.1111/1467-8365.12741</t>
  </si>
  <si>
    <t>HANNA VORHOLT</t>
  </si>
  <si>
    <t>hanna.vorholt@york.ac.uk</t>
  </si>
  <si>
    <t>A longitudinal study of sibling bullying and mental health in autistic adolescents: The role of self‐esteem</t>
  </si>
  <si>
    <t>10.1002/aur.2987</t>
  </si>
  <si>
    <t>Autism Research</t>
  </si>
  <si>
    <t>Republic of Turkey Ministry of National Education General Directorate of Higher and Foreign Education</t>
  </si>
  <si>
    <t>https://orcid.org/0000-0002-7536-2722</t>
  </si>
  <si>
    <t>Emre Deniz, emre.deniz@york.ac.uk, https://orcid.org/0000-0001-7083-5562</t>
  </si>
  <si>
    <t>1939-3806</t>
  </si>
  <si>
    <t>Module walking using an SH3-like cell-wall-binding domain leads to a new GH184 family of muramidases</t>
  </si>
  <si>
    <t>10.1107/s2059798323005004</t>
  </si>
  <si>
    <t>KEITH S. WILSON</t>
  </si>
  <si>
    <t>keith.wilson@york.ac.uk</t>
  </si>
  <si>
    <t>Site-Selective Aryl Diazonium Installation onto Protein Surfaces at Neutral pH using a Maleimide-Functionalized Triazabutadiene</t>
  </si>
  <si>
    <t>10.1002/cbic.202300313</t>
  </si>
  <si>
    <t>UK Research and Innovation; UK Research and Innovation; UK Research and Innovation; UK Research and Innovation</t>
  </si>
  <si>
    <t>Alison Parkin</t>
  </si>
  <si>
    <t>alison.parkin@york.ac.uk</t>
  </si>
  <si>
    <t>https://orcid.org/0000-0003-4715-7200</t>
  </si>
  <si>
    <t>Martin  A Fascione, martin.fascione@york.ac.uk, https://orcid.org/0000-0002-0066-4419; Nicholas David James Yates, nicholas.yates@york.ac.uk, ; Natasha Emily Hatton, natasha.hatton@york.ac.uk,</t>
  </si>
  <si>
    <t>Uptake of Pharmaceuticals by Crops: A Systematic Review and Meta‐analysis</t>
  </si>
  <si>
    <t>10.1002/etc.5700</t>
  </si>
  <si>
    <t>Harriet Sleight</t>
  </si>
  <si>
    <t>hls566@york.ac.uk</t>
  </si>
  <si>
    <t>https://orcid.org/0000-0003-2810-0217</t>
  </si>
  <si>
    <t>ALISTAIR B.A. BOXALL, alistair.boxall@york.ac.uk, https://orcid.org/0000-0003-3823-7516; Sylvia Toet, sylvia.toet@york.ac.uk, https://orcid.org/0000-0001-7657-4607</t>
  </si>
  <si>
    <t>The global challenge of cancer governance</t>
  </si>
  <si>
    <t>10.1002/wmh3.577</t>
  </si>
  <si>
    <t>World Medical &amp; Health Policy</t>
  </si>
  <si>
    <t>https://orcid.org/0000-0002-4501-1999</t>
  </si>
  <si>
    <t>1948-4682</t>
  </si>
  <si>
    <t>Limited Evidence of an Association Between Language, Literacy, and Procedural Learning in Typical and Atypical Development: A Meta‐Analysis</t>
  </si>
  <si>
    <t>10.1111/cogs.13310</t>
  </si>
  <si>
    <t>Cognitive Science</t>
  </si>
  <si>
    <t>Fundação para a Ciência e a Tecnologia</t>
  </si>
  <si>
    <t>Catia Margarida Oliveira</t>
  </si>
  <si>
    <t>catia.oliveira@york.ac.uk</t>
  </si>
  <si>
    <t>https://orcid.org/0000-0002-2976-3330</t>
  </si>
  <si>
    <t>LISA M HENDERSON, lisa-marie.henderson@york.ac.uk, ; Marianna Hayiou-Thomas, emma.hayiou-thomas@york.ac.uk, https://orcid.org/0000-0003-1163-2671</t>
  </si>
  <si>
    <t>1551-6709</t>
  </si>
  <si>
    <t>Chapter 6 “… and his wife Sally”: The Binford Legacy and Uncredited Work in Archaeology</t>
  </si>
  <si>
    <t>10.1111/apaa.12170</t>
  </si>
  <si>
    <t>Archaeological Papers of the American Anthropological Association</t>
  </si>
  <si>
    <t>Liz Quinlan</t>
  </si>
  <si>
    <t>lizq14@gmail.com</t>
  </si>
  <si>
    <t>1551-8248</t>
  </si>
  <si>
    <t>A computerized facial approximation method for &lt;fi&gt;Homo sapiens&lt;/fi&gt; based on facial soft tissue thickness depths and geometric morphometrics</t>
  </si>
  <si>
    <t>10.1111/joa.13920</t>
  </si>
  <si>
    <t>the Strategic Priority Research Program</t>
  </si>
  <si>
    <t>wuyang shui</t>
  </si>
  <si>
    <t>sissun@126.com</t>
  </si>
  <si>
    <t>https://orcid.org/0000-0002-1596-852X</t>
  </si>
  <si>
    <t>Xiujie Wu, wuxiujie@ivpp.com, ; Mingquan Zhou, mqzhou@bnu.edu.cn,</t>
  </si>
  <si>
    <t>Thermostable homologues of the periplasmic siderophore?binding protein CeuE from &lt;i&gt;Geobacillus stearothermophilus&lt;/i&gt; and &lt;i&gt;Parageobacillus thermoglucosidasius&lt;/i&gt;</t>
  </si>
  <si>
    <t>10.1107/s2059798323004473</t>
  </si>
  <si>
    <t>?It feels like I'm back to being a teacher?: A longitudinal trajectory analysis of teachers' experiences during the first 8 months of COVID?19 in England</t>
  </si>
  <si>
    <t>10.1111/bjep.12622</t>
  </si>
  <si>
    <t>https://orcid.org/0000-0001-9724-2396</t>
  </si>
  <si>
    <t>Diana Fields, diana.fields@york.ac.uk, ; Kathryn Asbury, kathryn.asbury@york.ac.uk,</t>
  </si>
  <si>
    <t>Hybrid metalens for miniaturised ultraviolet fluorescence detection</t>
  </si>
  <si>
    <t>10.1002/adom.202300852</t>
  </si>
  <si>
    <t>Advanced Optical Materials</t>
  </si>
  <si>
    <t>Engineering and Physical Sciences Research Council; Engineering and Physical Sciences Research Council; Fundação de Amparo à Pesquisa do Estado de São Paulo; Fundação de Amparo à Pesquisa do Estado de São Paulo; CNPQ; Engineering and Physical Sciences Research Council; Canadian Foundation for AIDS Research</t>
  </si>
  <si>
    <t>Kezheng Li</t>
  </si>
  <si>
    <t>kezheng.li@york.ac.uk</t>
  </si>
  <si>
    <t>https://orcid.org/0000-0002-9234-3312</t>
  </si>
  <si>
    <t>Thomas F. Krauss, thomas.krauss@york.ac.uk, ; Ashim Dhakal, ad@pinstitute.org, ; Emiliano Rezende martins, erm@usp.br, ; Augusto Martins, augusto.m4r@gmail.com, https://orcid.org/0000-0002-9554-6481; Sanket Bohora, sanket.bohora@pinstitute.org,</t>
  </si>
  <si>
    <t>2195-1071</t>
  </si>
  <si>
    <t>Loss of MID in English: Free Peasantry and Their Linguistic Advantage</t>
  </si>
  <si>
    <t>10.1111/1467-968x.12268</t>
  </si>
  <si>
    <t>Transactions of the Philological Society</t>
  </si>
  <si>
    <t>Rongkun Liu</t>
  </si>
  <si>
    <t>1445496077@qq.com</t>
  </si>
  <si>
    <t>https://orcid.org/0000-0003-3954-3523</t>
  </si>
  <si>
    <t>1467-968X</t>
  </si>
  <si>
    <t>Investigating the Cusp Between Dendritic and Supermolecular Architectures in Self-organizing Liquid Crystals</t>
  </si>
  <si>
    <t>10.1002/hlca.202300041</t>
  </si>
  <si>
    <t>Helvetica Chimica Acta</t>
  </si>
  <si>
    <t>Department of Chemistry, University of Hull</t>
  </si>
  <si>
    <t>Stephen Cowling</t>
  </si>
  <si>
    <t>stephen.cowling@york.ac.uk</t>
  </si>
  <si>
    <t>https://orcid.org/0000-0002-4771-9886</t>
  </si>
  <si>
    <t>Susan Sia, susan.sia@gmail.com, ; John  W Goodby, john.goodby@york.ac.uk, ; Isabel M Saez, crapims1907@gmail.com,</t>
  </si>
  <si>
    <t>1522-2675</t>
  </si>
  <si>
    <t>Phylogenetic distance–decay patterns are not explained by local community assembly processes in freshwater lake microbial communities</t>
  </si>
  <si>
    <t>10.1111/1462-2920.16437</t>
  </si>
  <si>
    <t>China Postdoctoral Science Foundation; National Natural Science Foundation of China</t>
  </si>
  <si>
    <t>VILLE-PETRI FRIMAN</t>
  </si>
  <si>
    <t>vifriman@gmail.com</t>
  </si>
  <si>
    <t>https://orcid.org/0000-0002-1592-157X</t>
  </si>
  <si>
    <t>Rui Wang, ruiwang2013@njtech.edu.cn, ; peng lei, lei-peng@njtech.edu.cn, ; Hong Xu, xuh@njtech.edu.cn, https://orcid.org/0000-0001-9298-1237; Zhidan Li, 202161118031@njtech.edu.cn,</t>
  </si>
  <si>
    <t>Rhizobium nodule diversity and composition are influenced by clover host selection and local growth conditions</t>
  </si>
  <si>
    <t>10.1111/mec.17028</t>
  </si>
  <si>
    <t>Daphne Jackson Trust; Royal Society of Biology; UK Research and Innovation; Innovationsfonden</t>
  </si>
  <si>
    <t>Bryden Fields, brydenfields@gmail.com, https://orcid.org/0000-0003-1251-6867; EMMA MOFFAT, emmamoffat2@gmail.com, ; SARA MOESKJ&amp;AElig;R, s.moeskjaer@sheffield.ac.uk, https://orcid.org/0000-0003-4987-0130; Niels Roulund, nr@dlf.dk, ; Peter Young, peter.young@york.ac.uk, https://orcid.org/0000-0001-5259-4830; STIG UGGERH&amp;Oslash;J ANDERSEN, sua@mbg.au.dk, https://orcid.org/0000-0002-1096-1468; William Deakin, bill.deakin@york.ac.uk,</t>
  </si>
  <si>
    <t>The CCP4 suite: integrative software for macromolecular crystallography</t>
  </si>
  <si>
    <t>10.1107/s2059798323003595</t>
  </si>
  <si>
    <t>https://orcid.org/0000-0002-1086-0253</t>
  </si>
  <si>
    <t>Analysis and validation of overall N-glycan conformation in Privateer</t>
  </si>
  <si>
    <t>10.1107/s2059798323003510</t>
  </si>
  <si>
    <t>Mechanisms of regulatory capture: Testing claims of industry influence in the case of &lt;fc&gt;Vioxx&lt;/fc&gt;</t>
  </si>
  <si>
    <t>10.1111/rego.12531</t>
  </si>
  <si>
    <t>Regulation &amp; Governance</t>
  </si>
  <si>
    <t>Eva Heims</t>
  </si>
  <si>
    <t>eva.heims@york.ac.uk</t>
  </si>
  <si>
    <t>https://orcid.org/0000-0003-0696-4970</t>
  </si>
  <si>
    <t>Sophie Moxon, sophie.moxon@york.ac.uk,</t>
  </si>
  <si>
    <t>1748-5991</t>
  </si>
  <si>
    <t>A Critical Conceptualization of Conspiracy Theory</t>
  </si>
  <si>
    <t>10.1111/1467-8675.12683</t>
  </si>
  <si>
    <t>Constellations</t>
  </si>
  <si>
    <t>Adam Koper</t>
  </si>
  <si>
    <t>adam.koper@york.ac.uk</t>
  </si>
  <si>
    <t>https://orcid.org/0000-0002-5277-8549</t>
  </si>
  <si>
    <t>1467-8675</t>
  </si>
  <si>
    <t>Evidence of biotic resistance to exotic plant invasion in degraded Bornean forests</t>
  </si>
  <si>
    <t>10.1111/btp.13227</t>
  </si>
  <si>
    <t>Author affiliation not current</t>
  </si>
  <si>
    <t>Emily Waddell</t>
  </si>
  <si>
    <t>emilyhelen22@hotmail.com</t>
  </si>
  <si>
    <t>Lindsay Banin, libanin@ceh.ac.uk, https://orcid.org/0000-0002-1168-3914; Azlin Bin Sailim, azzdvfc18@gmail.com, ; Mark Hughes, mhughes@rbge.org.uk, ; Joseph Tangah, joseph.tangah@sabah.gov.my, ; JANE K. HILL, jane.hill@york.ac.uk, https://orcid.org/0000-0003-1871-7715</t>
  </si>
  <si>
    <t>Comparing the Importance of Iodine and Isoprene on Tropospheric Photochemistry</t>
  </si>
  <si>
    <t>10.1029/2022gl100997</t>
  </si>
  <si>
    <t>Geophysical Research Letters</t>
  </si>
  <si>
    <t>European Research Council; National Centre for Atmospheric Science; Natural Environment Research Council</t>
  </si>
  <si>
    <t>Ryan Pound</t>
  </si>
  <si>
    <t>ryan.pound@york.ac.uk</t>
  </si>
  <si>
    <t>https://orcid.org/0000-0003-1547-6565</t>
  </si>
  <si>
    <t>MATHEW, J. EVANS, mat.evans@york.ac.uk, ; Dominic, Patrick Durcan, dpd506@york.ac.uk, ; LUCY, J. CARPENTER, lucy.carpenter@york.ac.uk, https://orcid.org/0000-0002-6257-3950</t>
  </si>
  <si>
    <t>1944-8007</t>
  </si>
  <si>
    <t>Co‐expression network analysis of diverse wheat landraces reveals markers of early thermotolerance and a candidate master regulator of thermotolerance genes</t>
  </si>
  <si>
    <t>10.1111/tpj.16248</t>
  </si>
  <si>
    <t>https://orcid.org/0000-0003-3859-1152</t>
  </si>
  <si>
    <t>Alison Fellgett, af719@york.ac.uk, ; Liam Barratt, lb1309@york.ac.uk, ; Ian Bancroft, ian.bancroft@york.ac.uk, https://orcid.org/0000-0001-7707-1171; ZHESI He, zhesi.he@york.ac.uk, ; Simon McQueen-Mason, simon.mcqueenmason@york.ac.uk, ; Lihong Wang, sophia.cheng@york.ac.uk,</t>
  </si>
  <si>
    <t>Structural and functional characterization of a multi-domain GH92 α-1,2-mannosidase from Neobacillus novalis</t>
  </si>
  <si>
    <t>10.1107/s2059798323001663</t>
  </si>
  <si>
    <t>Biomass Derived, Hierarchically Porous, Activated Starbons® as Adsorbents for Volatile Organic Compounds</t>
  </si>
  <si>
    <t>10.1002/cssc.202300370</t>
  </si>
  <si>
    <t>https://orcid.org/0000-0002-6668-5503</t>
  </si>
  <si>
    <t>Siyu Meng, siyu.meng2021@outlook.com, ; Benjamin Longhurst, longhurst.ba@yahoo.com, ; Rob McElroy, rob.mcelroy@york.ac.uk, ; Victoria Baird, victoria.baird7@gmail.com, ; Ryan E. Barker, reb576@york.ac.uk, ; Junzhong Wang, junzhong.wang@york.ac.uk,</t>
  </si>
  <si>
    <t>The Iraqi state's legitimacy deficit: Input, output and identity‐based legitimacy challenges</t>
  </si>
  <si>
    <t>10.1111/1758-5899.13208</t>
  </si>
  <si>
    <t>Global Policy</t>
  </si>
  <si>
    <t>Jacob Eriksson</t>
  </si>
  <si>
    <t>jacob.eriksson@york.ac.uk</t>
  </si>
  <si>
    <t>https://orcid.org/0000-0003-0124-7219</t>
  </si>
  <si>
    <t>Isaac Toman Grief, ietg500@york.ac.uk,</t>
  </si>
  <si>
    <t>1758-5899</t>
  </si>
  <si>
    <t>Collaborative evaluation of a pilot involvement opportunity: Cochrane Common Mental Disorders Voice of Experience College</t>
  </si>
  <si>
    <t>10.1111/hex.13835</t>
  </si>
  <si>
    <t>National Institute for Health Research (NIHR) via Cochrane Infrastructure Funding to the Cochrane Common Mental Disorders Review Group</t>
  </si>
  <si>
    <t>SARAH KNOWLES</t>
  </si>
  <si>
    <t>sarah.knowles@york.ac.uk</t>
  </si>
  <si>
    <t>Jessica Hendon, jessica.l.hendon@gmail.com, ; Fiona Rose, fi2rose@gmail.com, ; Emma Williams, emma_l_williams@hotmail.com, ; Karen Morley, artemisashwyn@hotmail.com, ; Semra Pinar, semra.pinar@alumni.york.ac.uk, https://orcid.org/0000-0002-5270-5905; Rob Foster, robfoster31@aol.co.uk, ; Amy Middleton, amy.middleton@york.ac.uk, ; Rachel Churchill, rachel.churchill@york.ac.uk,</t>
  </si>
  <si>
    <t>Social media and &lt;fc&gt;COVID&lt;/fc&gt;?19 vaccination hesitancy during pregnancy: a mixed methods analysis</t>
  </si>
  <si>
    <t>10.1111/1471-0528.17481</t>
  </si>
  <si>
    <t>BJOG: An International Journal of Obstetrics and Gynaecology</t>
  </si>
  <si>
    <t>National Institutes of Health</t>
  </si>
  <si>
    <t>https://orcid.org/0000-0002-8987-5211</t>
  </si>
  <si>
    <t>Florencia Polite, florencia.polite@pennmedicine.upenn.edu, ; Aiden McRobbie-Johnson, amcrobbiejohnson@email.arizona.edu, ; Graciela Gonzalez Hernandez, graciela.gonzalezhernandez@cshs.org, ; Ari Klein, ariklein@pennmedicine.upenn.edu,</t>
  </si>
  <si>
    <t>1471-0528</t>
  </si>
  <si>
    <t>Short T$$ T $$ dynamic panel data models with individual, time and interactive effects</t>
  </si>
  <si>
    <t>10.1002/jae.2981</t>
  </si>
  <si>
    <t>Economic and Social Research Council; Japan Society for the Promotion of Science</t>
  </si>
  <si>
    <t>L. VANESSA SMITH</t>
  </si>
  <si>
    <t>vanessa.smith@york.ac.uk</t>
  </si>
  <si>
    <t>Buccaneer model building with neural network fragment selection</t>
  </si>
  <si>
    <t>10.1107/s205979832300181x</t>
  </si>
  <si>
    <t>Biotechnology and Biological Sciences Research Council; University of Tabuk</t>
  </si>
  <si>
    <t>https://orcid.org/0000-0001-8476-4865</t>
  </si>
  <si>
    <t>How do valence and meaning interact? The contribution of semantic control</t>
  </si>
  <si>
    <t>10.1111/jnp.12312</t>
  </si>
  <si>
    <t>https://orcid.org/0000-0002-0999-1811</t>
  </si>
  <si>
    <t>Jake Walker, jakewalker1707@gmail.com, ; Julian Davolos, juliancarlosmarino.davolos@york.ac.uk, ; Ariyana Reddy, ariyana.reddy@nhs.net, ; Elizabeth Jefferies, beth.jefferies@york.ac.uk,</t>
  </si>
  <si>
    <t>A plausible role of imagination in pretend play, counterfactual reasoning, and executive functions</t>
  </si>
  <si>
    <t>10.1111/bjop.12650</t>
  </si>
  <si>
    <t>Research Centre for Play Education Development and Learning, Faculty of Education, University of Cambridge; Economic and Social Research Council</t>
  </si>
  <si>
    <t>https://orcid.org/0000-0002-0795-2544</t>
  </si>
  <si>
    <t>Jenny Louise Gibson, jlg53@cam.ac.uk, https://orcid.org/0000-0002-6172-6265</t>
  </si>
  <si>
    <t>(Why) Are Open Research Practices the Future for the Study of Language Learning?</t>
  </si>
  <si>
    <t>10.1111/lang.12568</t>
  </si>
  <si>
    <t>EMMA J. MARSDEN</t>
  </si>
  <si>
    <t>emma.marsden@york.ac.uk</t>
  </si>
  <si>
    <t>https://orcid.org/0000-0003-4086-5765</t>
  </si>
  <si>
    <t>Glad to be alive: How we can compare a person's existence and her non‐existence in terms of what is better or worse for this person</t>
  </si>
  <si>
    <t>10.1111/phib.12302</t>
  </si>
  <si>
    <t>Analytic Philosophy</t>
  </si>
  <si>
    <t>Christian Piller</t>
  </si>
  <si>
    <t>christian.piller@york.ac.uk</t>
  </si>
  <si>
    <t>https://orcid.org/0000-0001-9883-641X</t>
  </si>
  <si>
    <t>2153-960X</t>
  </si>
  <si>
    <t>Fiscal policy under constraints: Fiscal capacity and austerity during the Great Depression</t>
  </si>
  <si>
    <t>10.1111/ehr.13253</t>
  </si>
  <si>
    <t>The Economic History Review</t>
  </si>
  <si>
    <t>Economic History Society; MacroFinance and MacroHistory Lab; Banca d'Italia; London School of Economics and Political Science; Pierre Werner Chair of the Robert Schuman Centre for Advanced Studies &amp; Max Weber Program, European University Institute</t>
  </si>
  <si>
    <t>Andrea Papadia</t>
  </si>
  <si>
    <t>andrea.papadia@gmail.com</t>
  </si>
  <si>
    <t>1468-0289</t>
  </si>
  <si>
    <t>From the tobacco industry's uses of science for public relations purposes to the alcohol industry: Tobacco industry documents study</t>
  </si>
  <si>
    <t>10.1111/dar.13649</t>
  </si>
  <si>
    <t>https://orcid.org/0000-0002-6927-0899</t>
  </si>
  <si>
    <t>Jim McCambridge, jim.mccambridge@york.ac.uk, https://orcid.org/0000-0002-5461-7001; Jack Garry, jack.garry@york.ac.uk, https://orcid.org/0000-0001-8938-6859</t>
  </si>
  <si>
    <t>Spatial Lipidomic Profiling of Mouse Joint Tissue Demonstrates the Essential Role of PHOSPHO1 in Growth Plate Homeostasis</t>
  </si>
  <si>
    <t>10.1002/jbmr.4796</t>
  </si>
  <si>
    <t>Journal of Bone and Mineral Research</t>
  </si>
  <si>
    <t>Biotechnology and Biological Sciences Research Council; Versus Arthritis</t>
  </si>
  <si>
    <t>PAUL GENEVER</t>
  </si>
  <si>
    <t>paul.genever@york.ac.uk</t>
  </si>
  <si>
    <t>https://orcid.org/0000-0002-5730-8976</t>
  </si>
  <si>
    <t>Jordan Tzvetkov, jordan.tzvetkov@york.ac.uk, https://orcid.org/0000-0002-0172-716X; Cosimo De Bari, c.debari@abdn.ac.uk, ; Colin Farquharson, colin.farquharson@roslin.ed.ac.uk, https://orcid.org/0000-0002-4970-4039; LOUISE A STEPHEN, louise.stephen@roslin.ed.ac.uk, https://orcid.org/0000-0001-6795-0383; Scott Dillon, sd723@cam.ac.uk, ; Jose Luis Millan, millan@sbpdiscovery.org, https://orcid.org/0000-0002-1547-2671; Tony Larson, tony.larson@york.ac.uk, https://orcid.org/0000-0003-1337-3482; Anke Roelofs, a.roelofs@abdn.ac.uk,</t>
  </si>
  <si>
    <t>1523-4681</t>
  </si>
  <si>
    <t>How Different are the Diamagnetic and Paramagnetic Contributions to Off-Nucleus Shielding in Aromatic and Antiaromatic Rings?</t>
  </si>
  <si>
    <t>10.1002/cphc.202300038</t>
  </si>
  <si>
    <t>ChemPhysChem</t>
  </si>
  <si>
    <t>https://orcid.org/0000-0002-2673-6804</t>
  </si>
  <si>
    <t>Machine learning for accelerating screening in evidence reviews</t>
  </si>
  <si>
    <t>10.1002/cesm.12021</t>
  </si>
  <si>
    <t>Cochrane Evidence Synthesis and Methods</t>
  </si>
  <si>
    <t>Mary Chappell</t>
  </si>
  <si>
    <t>mary.chappell@york.ac.uk</t>
  </si>
  <si>
    <t>https://orcid.org/0000-0002-3789-0727</t>
  </si>
  <si>
    <t>Deborah Watkins, deborah.watkins@york.ac.uk, ; Chris Marshall, chris.marshall@york.ac.uk, ; Mary Edwards, mary.edwards@york.ac.uk, ; Sara Graziadio, sara.gaziadio@york.ac.uk,</t>
  </si>
  <si>
    <t>2832-9023</t>
  </si>
  <si>
    <t>Supporting the revision of the health benefits package in Uganda: A constrained optimisation approach</t>
  </si>
  <si>
    <t>10.1002/hec.4664</t>
  </si>
  <si>
    <t>https://orcid.org/0000-0002-1268-1769</t>
  </si>
  <si>
    <t>Elizabeth Ekirapa Kiracho, ekky@musph.ac.ug, ; Freddie Ssengooba, sengooba@musph.ac.ug, ; Aloysius Ssennyonjo, ssennyonjo@musph.ac.ug, ; Chrispus Mayora, cmayora@musph.ac.ug, ; Simon Walker, simon.walker@york.ac.uk, https://orcid.org/0000-0002-5750-3691; Paul Revill, paul.revill@york.ac.uk, ; Candia Aliti, candia.tom@gmail.com,</t>
  </si>
  <si>
    <t>Amelioration, Inclusion, and Legal Recognition: On Sex, Gender, and the UK’s Gender Recognition Act</t>
  </si>
  <si>
    <t>10.1111/jopp.12295</t>
  </si>
  <si>
    <t>The Journal of Political Philosophy</t>
  </si>
  <si>
    <t>MARY LENG</t>
  </si>
  <si>
    <t>mary.leng@york.ac.uk</t>
  </si>
  <si>
    <t>1467-9760</t>
  </si>
  <si>
    <t>Halogen-bonded Liquid Crystals</t>
  </si>
  <si>
    <t>10.1002/hlca.202300008</t>
  </si>
  <si>
    <t>Engineering and Physical Sciences Research Council; University of York; Royal Society; Royal Society of Chemistry</t>
  </si>
  <si>
    <t>Duncan W Bruce</t>
  </si>
  <si>
    <t>https://orcid.org/0000-0002-1365-2222</t>
  </si>
  <si>
    <t>Carsten Pr&amp;auml;sang, c.praesang@mx.uni-saarland.de,</t>
  </si>
  <si>
    <t>Barriers and enablers for young people, parents and therapists undertaking behavioural activation for depression: A qualitative evaluation within a randomised controlled trial</t>
  </si>
  <si>
    <t>10.1111/papt.12452</t>
  </si>
  <si>
    <t>Psychology and Psychotherapy: Theory, Research and Practice</t>
  </si>
  <si>
    <t>Tees Esk and Wear Valleys NHS Foundation Trust; Economic and Social Research Council</t>
  </si>
  <si>
    <t>https://orcid.org/0000-0002-9323-0061</t>
  </si>
  <si>
    <t>David Ekers, david.ekers@nhs.net, ; Lina Gega, lina.gega@york.ac.uk, ; Paul Tiffin, paul.tiffin@york.ac.uk, https://orcid.org/0000-0003-1770-5034; Sue Lewis, s.j.lewis@ed.ac.uk,</t>
  </si>
  <si>
    <t>2044-8341</t>
  </si>
  <si>
    <t>Levelling Up the UK: If not the Conservatives, will Labour Learn the Lessons from Past Policy Failings?</t>
  </si>
  <si>
    <t>10.1111/1467-923x.13234</t>
  </si>
  <si>
    <t>The Political Quarterly</t>
  </si>
  <si>
    <t>Productivity Institute</t>
  </si>
  <si>
    <t>Anna SANDERS</t>
  </si>
  <si>
    <t>anna.sanders@york.ac.uk</t>
  </si>
  <si>
    <t>1467-923X</t>
  </si>
  <si>
    <t>Spatial analysis of the ancient proteome of archeological teeth using mass spectrometry imaging</t>
  </si>
  <si>
    <t>10.1002/rcm.9486</t>
  </si>
  <si>
    <t>Rapid Communications in Mass Spectrometry</t>
  </si>
  <si>
    <t>University of York; Nederlandse Organisatie voor Wetenschappelijk Onderzoek; Leverhulme Trust</t>
  </si>
  <si>
    <t>Joannes Dekker</t>
  </si>
  <si>
    <t>jan.dekker@york.ac.uk</t>
  </si>
  <si>
    <t>https://orcid.org/0000-0002-3952-4448</t>
  </si>
  <si>
    <t>Richard Hagan, richard.hagan@york.ac.uk, ; Marie Soressi, m.a.soressi@arch.leidenuniv.nl, ; Adam Dowle, adam.dowle@york.ac.uk, ; Tony Larson, tony.larson@york.ac.uk, https://orcid.org/0000-0003-1337-3482; Jessica Hendy, jessica.hendy@york.ac.uk, ; PAUL GENEVER, paul.genever@york.ac.uk, ; Sarah Schrader, s.a.schrader@arch.leidenuniv.nl, https://orcid.org/0000-0003-0424-6748; Virginia Harvey, virginia@palaeome.org, ; Jordan Tzvetkov, jordan.tzvetkov@york.ac.uk,</t>
  </si>
  <si>
    <t>1097-0231</t>
  </si>
  <si>
    <t>Ring Expansion Strategies for the Synthesis of Medium Sized Ring and Macrocyclic Sulfonamides</t>
  </si>
  <si>
    <t>10.1002/anie.202217178</t>
  </si>
  <si>
    <t>China Scholarship Council</t>
  </si>
  <si>
    <t>https://orcid.org/0000-0002-9169-5156</t>
  </si>
  <si>
    <t>Adrian C. Whitwood, adrian.whitwood@york.ac.uk, ; Illya Zalessky, iz543@york.ac.uk, ; Ryan Epton, rge500@york.ac.uk, https://orcid.org/0000-0001-7717-7339; Jason Lynam, jason.lynam@york.ac.uk, https://orcid.org/0000-0003-0103-9479; Zhongzhen Yang, zy1079@york.ac.uk,</t>
  </si>
  <si>
    <t>Organizational resilience and interorganizational relationships: An exploration of Chinese business service firms</t>
  </si>
  <si>
    <t>10.1111/emre.12558</t>
  </si>
  <si>
    <t>European Management Review</t>
  </si>
  <si>
    <t>Economic and Social Research Council (ESRC)</t>
  </si>
  <si>
    <t>Christopher Williams</t>
  </si>
  <si>
    <t>chris.williams3@york.ac.uk</t>
  </si>
  <si>
    <t>https://orcid.org/0000-0003-2682-4318</t>
  </si>
  <si>
    <t>Jacqueline Jing You, jing.you@durham.ac.uk,</t>
  </si>
  <si>
    <t>1740-4762</t>
  </si>
  <si>
    <t>Coercive Human Rights and the Forgotten History of the Council of Europe's iReport on Decriminalisation/i</t>
  </si>
  <si>
    <t>10.1111/1468-2230.12793</t>
  </si>
  <si>
    <t>Modern Law Review Seminar Funding; LSE PhD Scholarship; Modern Law Review Scholarship 2021–22</t>
  </si>
  <si>
    <t>Mattia Pinto</t>
  </si>
  <si>
    <t>mattia.pinto@york.ac.uk</t>
  </si>
  <si>
    <t>https://orcid.org/0000-0001-7537-3942</t>
  </si>
  <si>
    <t>The histidine brace: nature's copper alternative to haem?</t>
  </si>
  <si>
    <t>10.1002/1873-3468.14579</t>
  </si>
  <si>
    <t>FEBS Letters</t>
  </si>
  <si>
    <t>Paul Walton</t>
  </si>
  <si>
    <t>paul.walton@york.ac.uk</t>
  </si>
  <si>
    <t>https://orcid.org/0000-0002-1152-1480</t>
  </si>
  <si>
    <t>Jo&amp;atilde;o Franco Cairo, joao.lourencofrancocairo@york.ac.uk, ; Daniel Diaz, daniel.diaz.romero@gmail.com, ; Gideon Davies, gideon.davies@york.ac.uk, https://orcid.org/0000-0002-7343-776X</t>
  </si>
  <si>
    <t>1873-3468</t>
  </si>
  <si>
    <t>Exploring the inclusion of anatomical variation in medical education</t>
  </si>
  <si>
    <t>10.1002/ase.2254</t>
  </si>
  <si>
    <t>Peter Bazira</t>
  </si>
  <si>
    <t>peter.bazira@york.ac.uk</t>
  </si>
  <si>
    <t>Ikemsinachi Nzenwa, ikemnzenwa@gmail.com, https://orcid.org/0000-0002-1131-5505; Hassan Iqbal, abs_iqbal@yahoo.co.uk,</t>
  </si>
  <si>
    <t>Coumarin C?H Functionalization by Mn(I) Carbonyls: Mechanistic Insight by Ultra-Fast IR Spectroscopic Analysis</t>
  </si>
  <si>
    <t>10.1002/chem.202203038</t>
  </si>
  <si>
    <t>Engineering and Physical Sciences Research Council; Central Laser Facility, Science and Technology Facilities Council; Syngenta International</t>
  </si>
  <si>
    <t>ijsf1@york.ac.uk</t>
  </si>
  <si>
    <t>Theo F N Tanner, tt730@york.ac.uk, ; Adrian C Whitwood, adrian.whitwood@york.ac.uk, ; Kathryn P. R. Fernandez, katie.fernandez.95@gmail.com, ; Thomas J Burden, tjb573@york.ac.uk, ; Michael Towrie, mike.towrie@stfc.ac.uk, ; Jean-Philippe Krieger, jean-philippe.krieger@syngenta.com, ; Jonathan Eastwood, je748@york.ac.uk, ; Mary Kagoro, kagoromary@yahoo.com, ; Ian P Clark, ian.p.clark@stfc.ac.uk,</t>
  </si>
  <si>
    <t>The rapid growth of cryptocurrencies: How profitable is trading in digital money?</t>
  </si>
  <si>
    <t>10.1002/ijfe.2778</t>
  </si>
  <si>
    <t>Revisiting the War in the Receipt, 1572–1609</t>
  </si>
  <si>
    <t>10.1111/1750-0206.12668</t>
  </si>
  <si>
    <t>KIRSTY WRIGHT</t>
  </si>
  <si>
    <t>kmw532@york.ac.uk</t>
  </si>
  <si>
    <t>Welcome to the Shopping Revolution!</t>
  </si>
  <si>
    <t>10.1177/00380261231194504</t>
  </si>
  <si>
    <t>Sage monthly report: University of York 01-01-2023 to 01-09-2023</t>
  </si>
  <si>
    <t>Emma Casey</t>
  </si>
  <si>
    <t>emma.casey@york.ac.uk</t>
  </si>
  <si>
    <t>Managing uncertainty and risk in access to the solicitors profession in England: Classed pathways?</t>
  </si>
  <si>
    <t>10.1177/00380385231196101</t>
  </si>
  <si>
    <t>The author received no financial support for the research, authorship and/or publication of this article.</t>
  </si>
  <si>
    <t>Caroline Casey</t>
  </si>
  <si>
    <t>caroline.casey@york.ac.uk</t>
  </si>
  <si>
    <t>0000-0002-3201-3274</t>
  </si>
  <si>
    <t>Depression and mindfulness: Reclaiming the past, present, and future</t>
  </si>
  <si>
    <t>10.1177/00221678231197870</t>
  </si>
  <si>
    <t>Journal of Humanistic Psychology</t>
  </si>
  <si>
    <t>No funding reported by publisher</t>
  </si>
  <si>
    <t>Angelos Sofocleous</t>
  </si>
  <si>
    <t>angelos.sofocleous@york.ac.uk</t>
  </si>
  <si>
    <t>0000-0002-8400-4222</t>
  </si>
  <si>
    <t>1552-650X</t>
  </si>
  <si>
    <t>0022-1678</t>
  </si>
  <si>
    <t>The International Turn in Far-Right Studies: A Critical Assessment</t>
  </si>
  <si>
    <t>10.1177/03058298231198992</t>
  </si>
  <si>
    <t>Rodrigo Campos</t>
  </si>
  <si>
    <t>rdc521@york.ac.uk</t>
  </si>
  <si>
    <t>0000-0002-7509-6911</t>
  </si>
  <si>
    <t>In the footsteps of Ohthere: biomolecular analysis of early Viking Age hair combs from Hedeby (Haithabu)</t>
  </si>
  <si>
    <t>10.15184/aqy.2023.118</t>
  </si>
  <si>
    <t>CUP monthly report Aug 2023</t>
  </si>
  <si>
    <t>This project has received funding from the European Union's EU Framework Programme for Research and Innovation Horizon 2020 under Marie Curie Actions Grant Agreement No. 676154.</t>
  </si>
  <si>
    <t>Steven Ashby</t>
  </si>
  <si>
    <t>On the structure of lower bounded HNN extensions</t>
  </si>
  <si>
    <t>10.1017/S001708952300023X</t>
  </si>
  <si>
    <t>Glasgow Mathematical Journal</t>
  </si>
  <si>
    <t>The second author was partially supported by grants APVV-19-0308 and VEGA 1/0437/23.</t>
  </si>
  <si>
    <t>Paul  Bennett</t>
  </si>
  <si>
    <t>1469-509X</t>
  </si>
  <si>
    <t>0017-0895</t>
  </si>
  <si>
    <t>War and the Demos: The War Powers Resolution in the Context of the Draft's Demise</t>
  </si>
  <si>
    <t>10.1017/mah.2023.24</t>
  </si>
  <si>
    <t>Modern American History</t>
  </si>
  <si>
    <t>Shaul  Mitelpunkt</t>
  </si>
  <si>
    <t>2397-1851</t>
  </si>
  <si>
    <t>2515-0456</t>
  </si>
  <si>
    <t>Creative Industries Spatial Policy in the UK, 1995 to Present</t>
  </si>
  <si>
    <t>10.1177/02690942231202213</t>
  </si>
  <si>
    <t>Local Economy</t>
  </si>
  <si>
    <t>Sage monthly report: University of York 01-10-2023</t>
  </si>
  <si>
    <t>Arts and Humanities Research Council (http://dx.doi.org/10.13039/501100000267)</t>
  </si>
  <si>
    <t>Jon Swords</t>
  </si>
  <si>
    <t>jon.swords@york.ac.uk</t>
  </si>
  <si>
    <t>0000-0003-2318-9566</t>
  </si>
  <si>
    <t>Rebecca Prescott</t>
  </si>
  <si>
    <t>1470-9325</t>
  </si>
  <si>
    <t>0269-0942</t>
  </si>
  <si>
    <t>Learning through interdisciplinary dialogue: Methodological approaches for bridging epistemological divides</t>
  </si>
  <si>
    <t>10.1177/20597991231202887</t>
  </si>
  <si>
    <t>Methodological Innovations</t>
  </si>
  <si>
    <t xml:space="preserve">CC BY </t>
  </si>
  <si>
    <t>British Academy (http://dx.doi.org/10.13039/501100000286)</t>
  </si>
  <si>
    <t>Eleanor Brown</t>
  </si>
  <si>
    <t>eleanor.brown@york.ac.uk</t>
  </si>
  <si>
    <t>0000-0003-4987-801X</t>
  </si>
  <si>
    <t>Joshua Kirshner, Lynda Dunlop, Richard Friend, Sally Brooks, Kelly Redeker, Ana Cristina Zimmermann, Paul Walton, Joao Paulo Franco Cairo, Fernanda Veneu</t>
  </si>
  <si>
    <t>2059-7991</t>
  </si>
  <si>
    <t>Satellite Poetics and Provocations</t>
  </si>
  <si>
    <t>10.1177/14744740231203714</t>
  </si>
  <si>
    <t>Cultural Geographies</t>
  </si>
  <si>
    <t>Richard Carter</t>
  </si>
  <si>
    <t>richard.a.carter@york.ac.uk</t>
  </si>
  <si>
    <t>0000-0002-2024-2491</t>
  </si>
  <si>
    <t>1477-0881</t>
  </si>
  <si>
    <t>1474-4740</t>
  </si>
  <si>
    <t>Brothers in Arms No Longer: Who Do Regime Change Coup-Entry Dictators Purge?</t>
  </si>
  <si>
    <t>10.1177/00220027231206775</t>
  </si>
  <si>
    <t>0000-0002-7457-6809</t>
  </si>
  <si>
    <t>Austin Matthews</t>
  </si>
  <si>
    <t>Do recruitment SWAT interventions have an impact on participant retention in randomised controlled trials? A systematic review</t>
  </si>
  <si>
    <t>10.1177/17407745231206283</t>
  </si>
  <si>
    <t>0000-0003-0512-4339</t>
  </si>
  <si>
    <t>Laura Clark</t>
  </si>
  <si>
    <t>Probabilistic robotic logic programming with hybrid Boolean and Bayesian inference</t>
  </si>
  <si>
    <t>10.1017/S0263574723001339</t>
  </si>
  <si>
    <t>Robotica</t>
  </si>
  <si>
    <t>CUP monthly report Sept 2023</t>
  </si>
  <si>
    <t>This research received no specific grant from any funding agency, commercial, or not-for-profit sectors.</t>
  </si>
  <si>
    <t>Mark Post</t>
  </si>
  <si>
    <t>1469-8668</t>
  </si>
  <si>
    <t>0263-5747</t>
  </si>
  <si>
    <t>New Materialism and Posthumanism in Roman Archaeology: When Objects Speak for Others</t>
  </si>
  <si>
    <t>10.1017/S0959774323000124</t>
  </si>
  <si>
    <t>Eva Mol</t>
  </si>
  <si>
    <t>Patient and primary care practitioners’ perspectives on consultations for fibromyalgia: a qualitative evidence synthesis</t>
  </si>
  <si>
    <t>10.1017/S1463423623000506</t>
  </si>
  <si>
    <t>Primary Health Care Research &amp; Development</t>
  </si>
  <si>
    <t xml:space="preserve">Ailish Byrne (Pre-Doctoral Research Fellow, NIHR301986) is funded by the NIHR for this research project. </t>
  </si>
  <si>
    <t>Ailish  Byrne</t>
  </si>
  <si>
    <t>1477-1128</t>
  </si>
  <si>
    <t>1463-4236</t>
  </si>
  <si>
    <t>Covo, Entrepots</t>
  </si>
  <si>
    <t>10.1093/fh/crad030</t>
  </si>
  <si>
    <t>French History</t>
  </si>
  <si>
    <t>OUP monthly report Sept 2023</t>
  </si>
  <si>
    <t>Forrest, Alan</t>
  </si>
  <si>
    <t>alan.forrest@york.ac.uk</t>
  </si>
  <si>
    <t>1477-4542</t>
  </si>
  <si>
    <t>Beta spectral power during sleep is associated with impaired recall of extinguished fear</t>
  </si>
  <si>
    <t>10.1093/sleep/zsad209</t>
  </si>
  <si>
    <t>SLEEP</t>
  </si>
  <si>
    <t>Congressionally Directed Medical Research Programs; VA San Diego Healthcare System; National Institute of Mental Health</t>
  </si>
  <si>
    <t>Denis, Dan</t>
  </si>
  <si>
    <t>dan.denis@york.ac.uk</t>
  </si>
  <si>
    <t>1550-9109</t>
  </si>
  <si>
    <t>PORCK SOPER Early Medieval English Life Courses: Cultural-Historical Perspectives</t>
  </si>
  <si>
    <t>10.1093/ehr/cead146</t>
  </si>
  <si>
    <t>Traves, Alex</t>
  </si>
  <si>
    <t>alex.traves@york.ac.uk</t>
  </si>
  <si>
    <t>Attitudes towards standardization of mesenchymal stromal cells  a qualitative exploration of expert views</t>
  </si>
  <si>
    <t>10.1093/stcltm/szad056</t>
  </si>
  <si>
    <t>Stem Cells Translational Medicine</t>
  </si>
  <si>
    <t>Versus Arthritis</t>
  </si>
  <si>
    <t>Wilson, Alison</t>
  </si>
  <si>
    <t>ajw638@york.ac.uk</t>
  </si>
  <si>
    <t>2157-6580</t>
  </si>
  <si>
    <t>Families and inequalities</t>
  </si>
  <si>
    <t>10.1093/ooec/odad031</t>
  </si>
  <si>
    <t>Oxford Open Economics</t>
  </si>
  <si>
    <t>OUP reported as ineligible, but don't know why. Published OA anyway (fully OA journal). Is a research article.</t>
  </si>
  <si>
    <t>Kiernan, Kathleen</t>
  </si>
  <si>
    <t>kathleen.kiernan@york.ac.uk</t>
  </si>
  <si>
    <t>2752-5074</t>
  </si>
  <si>
    <t>Playing with second language metaphor: An exploration with advanced Chinese learners of English</t>
  </si>
  <si>
    <t>10.1093/applin/amad067</t>
  </si>
  <si>
    <t>Applied Linguistics</t>
  </si>
  <si>
    <t>O'Reilly, David</t>
  </si>
  <si>
    <t>david.oreilly@york.ac.uk</t>
  </si>
  <si>
    <t>1477-450X</t>
  </si>
  <si>
    <t>I drew it in as simply as my breath: absence, presence, and ideal beauty in Dante Gabriel Rossettis Sibylla Palmifera (186670) double work of art</t>
  </si>
  <si>
    <t>10.1093/english/efad026</t>
  </si>
  <si>
    <t>Dunn-McAfee, Nicholas</t>
  </si>
  <si>
    <t>nicholas.dunn-mcafee@york.ac.uk</t>
  </si>
  <si>
    <t>Recruiting a person-centred direct care workforce through Situational Judgement Tests: a pilot study in the community support of older people in England</t>
  </si>
  <si>
    <t>10.1093/geroni/igad112</t>
  </si>
  <si>
    <t>Innovation in Aging</t>
  </si>
  <si>
    <t>Wilberforce, Mark</t>
  </si>
  <si>
    <t>2399-5300</t>
  </si>
  <si>
    <t>Revealing priors from posteriors with an application to inï¬ation forecasting in the UK</t>
  </si>
  <si>
    <t>10.1093/ectj/utad021</t>
  </si>
  <si>
    <t>OUP reported as not made OA under deal but as eligible and as under CC BY. Not clear what this means.</t>
  </si>
  <si>
    <t>Correction to: Myofibrillar myopathy hallmarks associated with ZAK deficiency</t>
  </si>
  <si>
    <t>10.1093/hmg/ddad168</t>
  </si>
  <si>
    <t>Correction</t>
  </si>
  <si>
    <t>Do selfies make women look slimmer? the effect of viewing angle on aesthetic and weight judgments of women's bodies.</t>
  </si>
  <si>
    <t>10.1371/journal.pone.0291987</t>
  </si>
  <si>
    <t>PLOS monthly report Sept 2023</t>
  </si>
  <si>
    <t>Corresponding author is at York St Johns, so probably shouldn't have been covered under deal, but co-author is at York, so decided not to take any action.</t>
  </si>
  <si>
    <t>A quasi-experimental effectiveness evaluation of the 'Incredible Years Toddler' parenting programme on children's development aged 5: A study protocol</t>
  </si>
  <si>
    <t>10.1371/journal.pone.0291557</t>
  </si>
  <si>
    <t>This study has received funding from the National Lottery Community Fund (previously the Big Lottery Fund) as part of the A Better Start programme (Ref 10094849). The funder was not involved in the design of the study and collection, analysis, and interpretation of data nor in writing the manuscript.  SLB, TB, JD, SH, JW and GR are also supported by the NIHR Yorkshire and Humber Applied Research Collaboration (ARC-YH; Ref: NIHR200166, see https://www.arc-yh.nihr.ac.uk,). The views in this publication are those of the authors and not necessarily those of the NIHR or the Department of Health and Social Care.</t>
  </si>
  <si>
    <t>Exploiting breakdown in nonhost effector-target interactions to boost host disease resistance</t>
  </si>
  <si>
    <t>10.1073/pnas.2114064119</t>
  </si>
  <si>
    <t>Two CAs, one at York, one not. Not reported by PNAS as under our deal.</t>
  </si>
  <si>
    <t>Mechanism based heparanase inhibitors reduce cancer metastasis in vivo</t>
  </si>
  <si>
    <t>10.1073/pnas.2203167119</t>
  </si>
  <si>
    <t>Gene discovery and virus induced gene silencing reveal branched pathways to major classes of bioactive diterpenoids in Euphorbia peplus</t>
  </si>
  <si>
    <t>10.1073/pnas.2203890119</t>
  </si>
  <si>
    <t>The impact of farming on prehistoric culinary practices throughout Northern Europe</t>
  </si>
  <si>
    <t>10.1073/pnas.2310138120</t>
  </si>
  <si>
    <t>PNAS TA 2023</t>
  </si>
  <si>
    <t>Dating the Paleolithic</t>
  </si>
  <si>
    <t>10.1073/pnas.2109324119</t>
  </si>
  <si>
    <t>Marked as 'free' access on PNAS website, but is under CC BY-NC-ND. I think this means that it went 'open' after the PNAS 6 month embargo, so not really OA. Not reported by PNAS as under our deal.</t>
  </si>
  <si>
    <t>Oxidative desulfurization pathway for complete catabolism of sulfoquinovose by bacteria</t>
  </si>
  <si>
    <t>10.1073/pnas.2116022119</t>
  </si>
  <si>
    <t xml:space="preserve">Marked as 'free' access on PNAS website, but is under CC BY-NC-ND.  I think this means that it went 'open' after the PNAS 6 month embargo, so not really OA. Three CAs, one at York, two not. Not reported by PNAS as under our deal.
</t>
  </si>
  <si>
    <t>Declarative referential gesturing in a wild chimpanzee (Pan troglodytes)</t>
  </si>
  <si>
    <t>10.1073/pnas.2206486119</t>
  </si>
  <si>
    <t>Discrimination at the interface: The Equality Act 2010 and platform interface design</t>
  </si>
  <si>
    <t>10.1111/1468-2230.12855</t>
  </si>
  <si>
    <t>Wiley_OABLE_requests_YTD_30_Oct_2023</t>
  </si>
  <si>
    <t>https://orcid.org/0000-0001-7993-3062</t>
  </si>
  <si>
    <t>Nitrogen-Doped Starbons®: Methodology Development and Carbon Dioxide Capture Capability.</t>
  </si>
  <si>
    <t>10.1002/chem.202303436</t>
  </si>
  <si>
    <t>Musical taste preferences in Chinese hip‐hop: Between cultural openness and the rejection of vulgarity</t>
  </si>
  <si>
    <t>10.1111/soc4.13168</t>
  </si>
  <si>
    <t>Sociology Compass</t>
  </si>
  <si>
    <t>https://orcid.org/0000-0002-5761-4922</t>
  </si>
  <si>
    <t>1751-9020</t>
  </si>
  <si>
    <t>Non‐Targeted Screening of Contaminants of Emerging Concern in the Glen Valley Wastewater Treatment Plant, Botswana</t>
  </si>
  <si>
    <t>10.1002/etc.5775</t>
  </si>
  <si>
    <t>https://orcid.org/0000-0003-4944-0413</t>
  </si>
  <si>
    <t>The Wellbeing of Nurses Working in General Practice during the COVID-19 Pandemic: A qualitative study (The GenCo Study)</t>
  </si>
  <si>
    <t>10.1111/jan.15919</t>
  </si>
  <si>
    <t>General Nursing Council for England and Wales Trust</t>
  </si>
  <si>
    <t>https://orcid.org/0000-0002-6945-0590</t>
  </si>
  <si>
    <t>Remote and technology-mediated working during the COVID-19 pandemic: A qualitative exploration of experiences of nurses working in general practice (The GenCo Study)</t>
  </si>
  <si>
    <t>10.1111/jan.15921</t>
  </si>
  <si>
    <t>Effects of Form?Focused Practice and Feedback: A Multisite Replication Study of Yang and Lyster (2010)</t>
  </si>
  <si>
    <t>10.1111/lang.12623</t>
  </si>
  <si>
    <t>Nadia Mifka-Profozic</t>
  </si>
  <si>
    <t>nadia.mifka-profozic@york.ac.uk</t>
  </si>
  <si>
    <t>https://orcid.org/0000-0002-5616-8895</t>
  </si>
  <si>
    <t>Pharmaceuticals and Personal Care Products in the Aquatic Environment: How Can Regions at Risk be Identified in the Future?</t>
  </si>
  <si>
    <t>10.1002/etc.5763</t>
  </si>
  <si>
    <t>John Wilkinson</t>
  </si>
  <si>
    <t>john.wilkinson@york.ac.uk</t>
  </si>
  <si>
    <t>https://orcid.org/0000-0002-6993-216X</t>
  </si>
  <si>
    <t>On the abc Conjecture in Algebraic Number Fields</t>
  </si>
  <si>
    <t>10.1112/mtk.12230</t>
  </si>
  <si>
    <t>Mathematika</t>
  </si>
  <si>
    <t>ANDREW SCOONES</t>
  </si>
  <si>
    <t>andrew.scoones@cs.ox.ac.uk</t>
  </si>
  <si>
    <t>2041-7942</t>
  </si>
  <si>
    <t>Motivations for violent extremism: Evidence from lone offenders? manifestos</t>
  </si>
  <si>
    <t>10.1111/josi.12593</t>
  </si>
  <si>
    <t>Journal of Social Issues</t>
  </si>
  <si>
    <t>Lusine Grigoryan</t>
  </si>
  <si>
    <t>lusine.grigoryan@york.ac.uk</t>
  </si>
  <si>
    <t>https://orcid.org/0000-0002-2077-1975</t>
  </si>
  <si>
    <t>1540-4560</t>
  </si>
  <si>
    <t>The Metaverse - not a new frontier for crime.</t>
  </si>
  <si>
    <t>10.1002/wfs2.1505</t>
  </si>
  <si>
    <t>WIREs Forensic Science</t>
  </si>
  <si>
    <t>Angus Marshall</t>
  </si>
  <si>
    <t>angus.marshall@york.ac.uk</t>
  </si>
  <si>
    <t>https://orcid.org/0000-0003-2074-5053</t>
  </si>
  <si>
    <t>2573-9468</t>
  </si>
  <si>
    <t>The cross?cutting edge: Medical selection and education viewed through the lens of emotional intelligence</t>
  </si>
  <si>
    <t>10.1111/medu.15244</t>
  </si>
  <si>
    <t>https://orcid.org/0000-0003-1770-5034</t>
  </si>
  <si>
    <t>Educational impact of COVID?19 on foundation doctors and the decision to take a break from structured approved training programmes in the United Kingdom</t>
  </si>
  <si>
    <t>10.1111/tct.13667</t>
  </si>
  <si>
    <t>Colin Kilday</t>
  </si>
  <si>
    <t>colin.kilday@nhs.net</t>
  </si>
  <si>
    <t>https://orcid.org/0000-0002-6391-1034</t>
  </si>
  <si>
    <t>Controlling in planta gold nanoparticle synthesis and size for catalysis</t>
  </si>
  <si>
    <t>Biotechnology and Biological Sciences Research Council; National Research Council of Thailand</t>
  </si>
  <si>
    <t>Elizabeth L Rylott</t>
  </si>
  <si>
    <t>liz.rylott@york.ac.uk</t>
  </si>
  <si>
    <t>Increased dispersal explains increasing local diversity with global biodiversity declines</t>
  </si>
  <si>
    <t>10.1111/gcb.16948</t>
  </si>
  <si>
    <t>Leverhulme Centre for Anthropocene Biodiversity</t>
  </si>
  <si>
    <t>brennen.fagan@york.ac.uk</t>
  </si>
  <si>
    <t>https://orcid.org/0000-0002-8451-920X</t>
  </si>
  <si>
    <t>How climate, Indigenous people, and fire shaped Brazil's Araucaria Forests through the Late Holocene</t>
  </si>
  <si>
    <t>Natural Environment Research Council; Fundação de Amparo à Pesquisa do Estado de São Paulo; University of Reading; Agencia Nacional de Investigación y Desarrollo; Arts and Humanities Research Council</t>
  </si>
  <si>
    <t>Oliver Wilson</t>
  </si>
  <si>
    <t>oliver.wilson@york.ac.uk</t>
  </si>
  <si>
    <t>Privacy, Publicity, and the Right to Be Forgotten</t>
  </si>
  <si>
    <t>10.1111/jopp.12308</t>
  </si>
  <si>
    <t>HANNAH CARNEGY-ARBUTHNOTT</t>
  </si>
  <si>
    <t>hannah.carnegy-arbuthnott@york.ac.uk</t>
  </si>
  <si>
    <t>Glued on for the grandkids: The gendered politics of care in the global environmental movement</t>
  </si>
  <si>
    <t>10.1111/soc4.13148</t>
  </si>
  <si>
    <t>https://orcid.org/0000-0003-2402-7809</t>
  </si>
  <si>
    <t>Debate: Better use of existing services, not more new pathways, is required for psychosis prevention in young people – Commentary on Salazar de Pablo and Arango: ‘Prevention of psychosis in adolescents: does &lt;fc&gt;CAMHS&lt;/fc&gt; have a role?’</t>
  </si>
  <si>
    <t>10.1111/camh.12676</t>
  </si>
  <si>
    <t>The ups and downs in perceived societal appreciation of the teaching profession during COVID‐19: A longitudinal trajectory analysis</t>
  </si>
  <si>
    <t>10.1002/berj.3914</t>
  </si>
  <si>
    <t>Are schools doing enough? An exploration of how primary schools in England support the well‐being of their teachers</t>
  </si>
  <si>
    <t>10.1002/pits.23061</t>
  </si>
  <si>
    <t>Psychology in the Schools</t>
  </si>
  <si>
    <t>William Cotson</t>
  </si>
  <si>
    <t>william.cotson@nhs.net</t>
  </si>
  <si>
    <t>https://orcid.org/0000-0001-5921-7579</t>
  </si>
  <si>
    <t>1520-6807</t>
  </si>
  <si>
    <t>A bioinformatic workflow for in silico secretome prediction with the lignocellulose degrading ascomycete fungus &lt;fi&gt;Parascedosporium putredinis&lt;/fi&gt; NO1</t>
  </si>
  <si>
    <t>10.1111/mmi.15144</t>
  </si>
  <si>
    <t>Molecular Microbiology</t>
  </si>
  <si>
    <t>Conor Scott</t>
  </si>
  <si>
    <t>cs1535@york.ac.uk</t>
  </si>
  <si>
    <t>https://orcid.org/0000-0001-7404-7619</t>
  </si>
  <si>
    <t>1365-2958</t>
  </si>
  <si>
    <t>Laser Interfaced Mass Spectrometry of the Sunscreen Molecule Octocrylene Demonstrates that Protonation Does not Impact Photostability</t>
  </si>
  <si>
    <t>10.1002/cptc.202300133</t>
  </si>
  <si>
    <t>ChemPhotoChem</t>
  </si>
  <si>
    <t>2367-0932</t>
  </si>
  <si>
    <t>COVIDAssist: Exploring the perspectives on student assistance during the COVID‐19 pandemic</t>
  </si>
  <si>
    <t>10.1111/tct.13650</t>
  </si>
  <si>
    <t>. Incision UK collaborative</t>
  </si>
  <si>
    <t>vigneshwarraj@hotmail.com</t>
  </si>
  <si>
    <t>Style Classification of Media Painting Images by Integrating ResNet and Attention Mechanism</t>
  </si>
  <si>
    <t>IET Image Processing</t>
  </si>
  <si>
    <t>Xinyun Zhang</t>
  </si>
  <si>
    <t>chichi0707@163.com</t>
  </si>
  <si>
    <t>1751-9667</t>
  </si>
  <si>
    <t>Robotic animal interventions for people with dementia: ?what works' in inpatient dementia care</t>
  </si>
  <si>
    <t>Alzheimer's &amp; Dementia: The Journal of the Alzheimer's Association</t>
  </si>
  <si>
    <t>1552-5279</t>
  </si>
  <si>
    <t>1552-5260</t>
  </si>
  <si>
    <t>Commonality of virulence-promoting function in Rhodococcus equi virulence associated proteins (Vaps)</t>
  </si>
  <si>
    <t>10.1155/2023/9141112</t>
  </si>
  <si>
    <t>Cellular Microbiology</t>
  </si>
  <si>
    <t>This work was funded by the Horserace Betting Levy Board (Prj784) to PRP and AJW.</t>
  </si>
  <si>
    <t>1462-5822</t>
  </si>
  <si>
    <t>Examining the relationship between inflammatory biomarkers during COVID‐19 hospitalization and subsequent long‐COVID symptoms: A longitudinal and retrospective study</t>
  </si>
  <si>
    <t>10.1002/iid3.1052</t>
  </si>
  <si>
    <t>Immunity, Inflammation and Disease</t>
  </si>
  <si>
    <t>https://orcid.org/0000-0001-6925-8956</t>
  </si>
  <si>
    <t>2050-4527</t>
  </si>
  <si>
    <t>Revealing the Demographic History of the European nightjar (Caprimulgus europaeus).</t>
  </si>
  <si>
    <t>Journal of Avian Biology</t>
  </si>
  <si>
    <t>NERC Environmental Bioinformatics Centre; Natural Environment Research Council</t>
  </si>
  <si>
    <t>George Day</t>
  </si>
  <si>
    <t>gwd500@york.ac.uk</t>
  </si>
  <si>
    <t>1600-048X</t>
  </si>
  <si>
    <t>The effectiveness of ablative and non‐surgical therapies for early hepatocellular carcinoma: Systematic review and network meta‐analysis of randomised controlled trials</t>
  </si>
  <si>
    <t>10.1002/cam4.6643</t>
  </si>
  <si>
    <t>Emily South</t>
  </si>
  <si>
    <t>emily.south@york.ac.uk</t>
  </si>
  <si>
    <t>https://orcid.org/0000-0003-2187-4762</t>
  </si>
  <si>
    <t>Improved device–independent randomness expansion rates using two sided randomness</t>
  </si>
  <si>
    <t>10.1088/1367-2630/acf393</t>
  </si>
  <si>
    <t>New Journal of Physics</t>
  </si>
  <si>
    <t>Requested email report: York - Articles Published Under Jisc-IOPP 2023 YTD 30.10.2023.</t>
  </si>
  <si>
    <t>Professor Roger Colbeck</t>
  </si>
  <si>
    <t>1367-2630</t>
  </si>
  <si>
    <t>Application of linear electron Bernstein current drive models in reactor–relevant spherical tokamaks</t>
  </si>
  <si>
    <t>10.1088/1741-4326/acf724</t>
  </si>
  <si>
    <t>Dr Bodhi Biswas</t>
  </si>
  <si>
    <t>Drift kinetic theory of neoclassical tearing modes in tokamak plasmas: polarisation current and its effect on magnetic island threshold physics</t>
  </si>
  <si>
    <t>10.1088/1741-4326/acfe8c</t>
  </si>
  <si>
    <t>Quantum Energy Inequalities along stationary worldlines</t>
  </si>
  <si>
    <t>10.1088/1361-6382/ace233</t>
  </si>
  <si>
    <t>Professor Christopher J Fewster</t>
  </si>
  <si>
    <t>Adding integrable defects to the Boussinesq equation</t>
  </si>
  <si>
    <t>10.1088/1751-8121/aceec9</t>
  </si>
  <si>
    <t>Professor Edward Corrigan</t>
  </si>
  <si>
    <t>Absorption of hybrid fibre modes by Cs atoms inquadrupole transitions</t>
  </si>
  <si>
    <t>10.1088/1361-6455/acfd71</t>
  </si>
  <si>
    <t>Journal of Physics B: Atomic, Molecular and Optical Physics</t>
  </si>
  <si>
    <t>Professor Mohamed Babiker</t>
  </si>
  <si>
    <t>1361-6455</t>
  </si>
  <si>
    <t>0953-4075</t>
  </si>
  <si>
    <t>Directional dependence of band gap modulation via uniaxial strain in MoS2 and TiS3</t>
  </si>
  <si>
    <t>10.1088/1361-6528/acfb12</t>
  </si>
  <si>
    <t>Mr Alex Armstrong</t>
  </si>
  <si>
    <t>Nanoscale Si Fishbone Structures for Manipulating Heat TransportUsing Phononic Resonators for Thermoelectric Applications</t>
  </si>
  <si>
    <t>10.1088/1402-4896/aced72</t>
  </si>
  <si>
    <t>Physica Scripta</t>
  </si>
  <si>
    <t>Dr James Lees</t>
  </si>
  <si>
    <t>1402-4896</t>
  </si>
  <si>
    <t>0031-8949</t>
  </si>
  <si>
    <t>Measuring the moment of inertia of a rigid body using a swing–pendulum</t>
  </si>
  <si>
    <t>10.1088/1361-6552/acf816</t>
  </si>
  <si>
    <t>Dr John Bissell</t>
  </si>
  <si>
    <t>Nonlinear microtearing modes in MAST and their stochastic layer formation</t>
  </si>
  <si>
    <t>10.1088/1361-6587/aceb89</t>
  </si>
  <si>
    <t>Dr Maurizio Giacomin</t>
  </si>
  <si>
    <t>Surface production of negative deuterium ions from plasma–exposed boron doped diamond and graphite: work function measurements using photoemission yield spectroscopy</t>
  </si>
  <si>
    <t>10.1088/1361-6595/ace6d1</t>
  </si>
  <si>
    <t>EPSRC Centre for Doctoral Training in Fusion Energy Science and Technology</t>
  </si>
  <si>
    <t>Mr Ryan Magee</t>
  </si>
  <si>
    <t>The spatial density distribution of H&lt;sub&gt;2&lt;/sub&gt;O&lt;sub&gt;2&lt;/sub&gt; in the effluent of the COST–Jet and the kINPen–sci operated with a humidified helium feed gas</t>
  </si>
  <si>
    <t>10.1088/1361-6595/ad0742</t>
  </si>
  <si>
    <t>Mr Benjamin Harris</t>
  </si>
  <si>
    <t>Heterogeneity of Grain Boundary Properties in Cu: A First-Principles Study</t>
  </si>
  <si>
    <t>10.1063/5.0147435</t>
  </si>
  <si>
    <t>Requested email report: AIP Payment Activity Report for University of York January to October 30 2023</t>
  </si>
  <si>
    <t>EPSRC EP/K003151/1, EP/P006051/1, EP/L000202/1, EP/R029431/1</t>
  </si>
  <si>
    <t>Keith McKenna</t>
  </si>
  <si>
    <t>keith.mckenna@york.ac.uk</t>
  </si>
  <si>
    <t>0000-0003-0975-3626</t>
  </si>
  <si>
    <t>Dirac field in $\mathrm{AdS}_2$ and representations of $\widetilde{\mathrm{SL}}(2,\mathbb{R})$</t>
  </si>
  <si>
    <t>10.1063/5.0135971</t>
  </si>
  <si>
    <t>0000-0003-1222-2404</t>
  </si>
  <si>
    <t>An alternative justification for the stationary assumption made by many reduced models for nonlocal electron heat flow in plasmas</t>
  </si>
  <si>
    <t>10.1063/5.0134966</t>
  </si>
  <si>
    <t>EPSRC EP/K504178/1, EP/M011372/1, EuroFusion CfP-AWP17-IFE-CCFE- 01</t>
  </si>
  <si>
    <t>Christopher Ridgers</t>
  </si>
  <si>
    <t>christopher.ridgers@york.ac.uk</t>
  </si>
  <si>
    <t>0000-0002-4078-0887</t>
  </si>
  <si>
    <t>Testing image-velocimetry methods for turbulence diagnostics</t>
  </si>
  <si>
    <t>10.1063/5.0133453</t>
  </si>
  <si>
    <t>EPSRC EP/R034737/1</t>
  </si>
  <si>
    <t>Yorick Walter Enters</t>
  </si>
  <si>
    <t>ye525@york.ac.uk</t>
  </si>
  <si>
    <t>0000-0002-5133-2537</t>
  </si>
  <si>
    <t>Perfect and imperfect pitchfork bifurcations in a V-shaped spring-mass system : comment on C. Ong [Am. J. Phys., 89, pp.~663-667 (2021)]</t>
  </si>
  <si>
    <t>10.1119/5.0079561</t>
  </si>
  <si>
    <t>American Journal of Physics</t>
  </si>
  <si>
    <t>No funding declared on paper</t>
  </si>
  <si>
    <t>john.bissell@york.ac.uk</t>
  </si>
  <si>
    <t>0000-0002-8364-8085</t>
  </si>
  <si>
    <t>1943-2909</t>
  </si>
  <si>
    <t>0002-9505</t>
  </si>
  <si>
    <t>The influence of pulse repetition frequency on reactive oxygen species production in pulsed He+HO plasmas at atmospheric pressure</t>
  </si>
  <si>
    <t>10.1063/5.0161825</t>
  </si>
  <si>
    <t>EPSRC EP/S026584/1, EP/S025790/1, EP/H003797/2</t>
  </si>
  <si>
    <t>Benjamin Harris</t>
  </si>
  <si>
    <t>benjamin.harris@york.ac.uk</t>
  </si>
  <si>
    <t>0000-0002-4036-8585</t>
  </si>
  <si>
    <t>Born Again French: Explaining Inconsistency in Citizenship Declarations in French Longitudinal Data</t>
  </si>
  <si>
    <t>10.1177/00031224231207392</t>
  </si>
  <si>
    <t>American Sociological Review</t>
  </si>
  <si>
    <t>Sage monthly report Nov 2023</t>
  </si>
  <si>
    <t>agence nationale de la recherche (10.13039/501100001665)</t>
  </si>
  <si>
    <t>Louise Caron, Mirna Safi</t>
  </si>
  <si>
    <t>1939-8271</t>
  </si>
  <si>
    <t>0003-1224</t>
  </si>
  <si>
    <t>Understanding Performance Responses: Instructional transitions in Musical Masterclasses.</t>
  </si>
  <si>
    <t>10.1177/14614456231205801</t>
  </si>
  <si>
    <t>Discourse Studies</t>
  </si>
  <si>
    <t>Darren Reed</t>
  </si>
  <si>
    <t>darren.reed@york.ac.uk</t>
  </si>
  <si>
    <t>1461-7080</t>
  </si>
  <si>
    <t>1461-4456</t>
  </si>
  <si>
    <t>The role of uncertainty in planning for self-funded social care for older people with a diagnosis of dementia</t>
  </si>
  <si>
    <t>10.1017/S0144686X23000594</t>
  </si>
  <si>
    <t>CUP monthly report Oct 2023</t>
  </si>
  <si>
    <t>The DETERMIND study was supported by the UK Economic and Social Research Council (ESRC) and the UK National Institute for Health Research (NIHR) (grant number ES/S010351/1; ‘Determinants of quality of life, care and costs, and consequences of inequalities in people with dementia and their carers’; investigators: S. Banerjee, K. Baxter, Y. Birks, C. Brayne, M. Dangoor, J. Dixon, P. Harris, B. Hu, M. Knapp, S. Read, L. Robinson, J. Rusted, R. Stewart, A. Thomas and R. Wittenberg). The support of the ESRC and NIHR is gratefully acknowledged.</t>
  </si>
  <si>
    <t>Kate Baxter</t>
  </si>
  <si>
    <t>Compulsory civic duty and turnout: evidence from a natural experiment</t>
  </si>
  <si>
    <t>10.1017/psrm.2023.44</t>
  </si>
  <si>
    <t>Political Science Research and Methods</t>
  </si>
  <si>
    <t>2049-8489</t>
  </si>
  <si>
    <t>2049-8470</t>
  </si>
  <si>
    <t>Molecular mechanisms of action of negative pressure wound therapy: a systematic review</t>
  </si>
  <si>
    <t>10.1017/erm.2023.24</t>
  </si>
  <si>
    <t>Expert Reviews in Molecular Medicine</t>
  </si>
  <si>
    <t>On list of papers that can be converted to OA supplied by CUP Feb 2024. Contacted author to ask them to convert to OA.</t>
  </si>
  <si>
    <t>Bharadhwaj  Ravindhran</t>
  </si>
  <si>
    <t>1462-3994</t>
  </si>
  <si>
    <t>If Not Now, Then When? Pathways to Embed Climate Change Within Social Policy</t>
  </si>
  <si>
    <t>10.1017/S1474746423000167</t>
  </si>
  <si>
    <t>The support of the Social Policy Association in funding our Climate Justice and Social Policy group is gratefully acknowledged. We would also like to thank our workshop participants for their time and ideas, with specific thanks to the following people who supported with facilitating the workshops: Karla Ricalde, Anna O’Connor, Lisa O’Malley, Ruth McKie, Lee Gregory, Gill Main, Anne Luke, Kelli Kennedy, Lucie Middlemiss, Matthew Lariviere, Becky Ince, Peter Matthews, Paul Bridgen, Jennifer Allsopp, Jess Cook, Elke Heins, Meron Fikru, Evandro Coggo, Emma Thackray, David Beck, Courtney Stephenson, Katie Zwerger, Trudi Tokarczyk, Larissa Nenning, Natasha Nicholls, Angus Lee, Yongxin Ye.</t>
  </si>
  <si>
    <t>Carolyn  Snell</t>
  </si>
  <si>
    <t>Manto and the Mad Muselmann</t>
  </si>
  <si>
    <t>10.1177/00219894231211571</t>
  </si>
  <si>
    <t>Journal of Commonwealth Literature</t>
  </si>
  <si>
    <t xml:space="preserve">N </t>
  </si>
  <si>
    <t>Sage monthly report Dec 2023</t>
  </si>
  <si>
    <t>Reason reported by Sage: Author Offer Time out</t>
  </si>
  <si>
    <t>Sana Chaudhry</t>
  </si>
  <si>
    <t>shahzadchaudhry.sana@gmail.com</t>
  </si>
  <si>
    <t>0000-0001-9349-641X</t>
  </si>
  <si>
    <t>1741-6442</t>
  </si>
  <si>
    <t>0021-9894</t>
  </si>
  <si>
    <t>The Virtue of Calculative Mindset:  A Community-Based View of Entrepreneurial Action and its Implications to Altruistic Venturing</t>
  </si>
  <si>
    <t>10.1177/03063070231212533</t>
  </si>
  <si>
    <t>Journal of General Management</t>
  </si>
  <si>
    <t>Shu-Jung Sunny Yang</t>
  </si>
  <si>
    <t>sj.sunny.yang@gmail.com</t>
  </si>
  <si>
    <t>Yanto Chandra, Yan Emma Liu</t>
  </si>
  <si>
    <t>1759-6106</t>
  </si>
  <si>
    <t>0306-3070</t>
  </si>
  <si>
    <t>Assessing the suitability of the Carer Support Needs Assessment Tool (CSNAT-Paediatric) for use with parents of children with a life-limiting condition: a qualitative secondary analysis</t>
  </si>
  <si>
    <t>10.1177/02692163231214471</t>
  </si>
  <si>
    <t>National Institute for Health and Care Research (http://dx.doi.org/10.13039/501100000272)</t>
  </si>
  <si>
    <t>0000-0002-1497-1241</t>
  </si>
  <si>
    <t>Karl Atkin, Gail Ewing, Gunn Grande, Lorna Fraser</t>
  </si>
  <si>
    <t>Green electoral performance and national climate change commitment: The conditional effect of EU membership</t>
  </si>
  <si>
    <t>10.1177/13540688231216282</t>
  </si>
  <si>
    <t>Party Politics</t>
  </si>
  <si>
    <t>Liam Clegg</t>
  </si>
  <si>
    <t>liam.clegg@york.ac.uk</t>
  </si>
  <si>
    <t>0000-0002-0773-5988</t>
  </si>
  <si>
    <t>Julio Galindo-Gutierrez</t>
  </si>
  <si>
    <t>1460-3683</t>
  </si>
  <si>
    <t>1354-0688</t>
  </si>
  <si>
    <t>The leaderful quality of resistance within human-nonhuman encounters at work</t>
  </si>
  <si>
    <t>10.1177/17427150231217587</t>
  </si>
  <si>
    <t>Victor Perez Moraga</t>
  </si>
  <si>
    <t>victor.perez@york.ac.uk</t>
  </si>
  <si>
    <t>0000-0003-3621-4492</t>
  </si>
  <si>
    <t>Evaluating the impact of the Storegga tsunami on Mesolithic communities in Northumberland</t>
  </si>
  <si>
    <t>10.1002/jqs.3586</t>
  </si>
  <si>
    <t>Wiley_OABLE_requests_YTD_6_Dec_2023.xlsx</t>
  </si>
  <si>
    <t>Patrick Sharrocks</t>
  </si>
  <si>
    <t>patricksharrocks74@gmail.com</t>
  </si>
  <si>
    <t>https://orcid.org/0009-0000-5810-0635</t>
  </si>
  <si>
    <t>Talking cervixes: How times materialize during the first stage of labour</t>
  </si>
  <si>
    <t>10.1111/1467-9566.13735</t>
  </si>
  <si>
    <t>SIÂN M BEYNON-JONES</t>
  </si>
  <si>
    <t>sian.beynon-jones@york.ac.uk</t>
  </si>
  <si>
    <t>https://orcid.org/0000-0002-1269-1836</t>
  </si>
  <si>
    <t>Dissecting cell death pathways in fed‐batch bioreactors</t>
  </si>
  <si>
    <t>10.1002/biot.202300257</t>
  </si>
  <si>
    <t>Biotechnology Journal</t>
  </si>
  <si>
    <t>Biotechnology and Biological Sciences Research Council; Engineering and Physical Sciences Research Council</t>
  </si>
  <si>
    <t>Nia Bryant</t>
  </si>
  <si>
    <t>nia.bryant@york.ac.uk</t>
  </si>
  <si>
    <t>1860-7314</t>
  </si>
  <si>
    <t>Aromaticity in the Electronic Ground and Lowest Triplet States of Molecules with Fused Thiophene Rings</t>
  </si>
  <si>
    <t>10.1002/chem.202303724</t>
  </si>
  <si>
    <t>The authors are grateful for the support of this work by the University of York.</t>
  </si>
  <si>
    <t>The Pad, the ‘Fat' Belly and the Politics of Female Appetite</t>
  </si>
  <si>
    <t>10.1111/1754-0208.12917</t>
  </si>
  <si>
    <t>Journal for Eighteenth-Century Studies</t>
  </si>
  <si>
    <t>Charlotte Goodge</t>
  </si>
  <si>
    <t>charlotte.goodge@hotmail.co.uk</t>
  </si>
  <si>
    <t>https://orcid.org/0000-0002-2441-5011</t>
  </si>
  <si>
    <t>1754-0208</t>
  </si>
  <si>
    <t>Pathways to care for Long COVID and for long‐term conditions from patients' and clinicians' perspective</t>
  </si>
  <si>
    <t>10.1111/jebm.12563</t>
  </si>
  <si>
    <t>Journal of Evidence-Based Medicine</t>
  </si>
  <si>
    <t>Fidan Turk</t>
  </si>
  <si>
    <t>fidan.turk@york.ac.uk</t>
  </si>
  <si>
    <t>https://orcid.org/0000-0003-1487-318X</t>
  </si>
  <si>
    <t>1756-5391</t>
  </si>
  <si>
    <t>Scalable Quantum Spin Networks from Unitary Construction</t>
  </si>
  <si>
    <t>10.1002/qute.202300238</t>
  </si>
  <si>
    <t>https://orcid.org/0000-0001-7108-9805</t>
  </si>
  <si>
    <t>A systematic review of early phase studies for children and young people with relapsed and refractory rhabdomyosarcoma: The &lt;fc&gt;REFoRMS?SR&lt;/fc&gt; project</t>
  </si>
  <si>
    <t>10.1002/ijc.34808</t>
  </si>
  <si>
    <t>International Journal of Cancer</t>
  </si>
  <si>
    <t>Children's Cancer and Leukaemia Group</t>
  </si>
  <si>
    <t>https://orcid.org/0000-0001-8087-8638</t>
  </si>
  <si>
    <t>1097-0215</t>
  </si>
  <si>
    <t>Feminism in organization studies? It is a long story: A conversation between Silvia Gherardi and Lynne Baxter</t>
  </si>
  <si>
    <t>10.1111/gwao.13101</t>
  </si>
  <si>
    <t>https://orcid.org/0000-0003-1202-0204</t>
  </si>
  <si>
    <t>Divergent Cascade Ring Expansion Reactions of Acryloyl Imides</t>
  </si>
  <si>
    <t>10.1002/chem.202303270</t>
  </si>
  <si>
    <t>Human modification of land cover alters net primary productivity, species richness and their relationship</t>
  </si>
  <si>
    <t>10.1111/geb.13795</t>
  </si>
  <si>
    <t>Global Ecology and Biogeography</t>
  </si>
  <si>
    <t>China Scholarship Council; Leverhulme Trust</t>
  </si>
  <si>
    <t>Shuyu Deng</t>
  </si>
  <si>
    <t>sd1645@york.ac.uk</t>
  </si>
  <si>
    <t>https://orcid.org/0000-0002-7049-5649</t>
  </si>
  <si>
    <t>1466-8238</t>
  </si>
  <si>
    <t>α-Functionalisation of Cyclic Sulfides Enabled by Lithiation Trapping</t>
  </si>
  <si>
    <t>10.1002/anie.202314423</t>
  </si>
  <si>
    <t>Engineering and Physical Sciences Research Council; Engineering and Physical Sciences Research Council; Royal Society</t>
  </si>
  <si>
    <t>https://orcid.org/0000-0002-9966-1962</t>
  </si>
  <si>
    <t>The role of task on the human brain's responses to, and representation of, visual regularity defined by reflection and rotation</t>
  </si>
  <si>
    <t>Antony B Morland</t>
  </si>
  <si>
    <t>antony.morland@york.ac.uk</t>
  </si>
  <si>
    <t>A perspective into full cost recovery within a core facility/shared resource lab</t>
  </si>
  <si>
    <t>10.1111/jmi.13246</t>
  </si>
  <si>
    <t>PETER J O’TOOLE</t>
  </si>
  <si>
    <t>PETER.OTOOLE@YORK.AC.UK</t>
  </si>
  <si>
    <t>Constraints on avian seed dispersal reduce potential for resilience in degraded tropical forests</t>
  </si>
  <si>
    <t>10.1111/1365-2435.14471</t>
  </si>
  <si>
    <t>Functional Ecology</t>
  </si>
  <si>
    <t>Leverhulme Trust; Natural Environment Research Council</t>
  </si>
  <si>
    <t>https://orcid.org/0000-0002-6361-0629</t>
  </si>
  <si>
    <t>1365-2435</t>
  </si>
  <si>
    <t>Disentangling genetic and environmental influences on early language development: The interplay of genetic propensity for negative emotionality and surgency, and parenting behavior effects on early language skills in an adoption study</t>
  </si>
  <si>
    <t>10.1111/cdev.14021</t>
  </si>
  <si>
    <t>Child Development</t>
  </si>
  <si>
    <t>National Institute of Child Health and Human Development; National Institute of Child Health and Human Development; National Institute of Mental Health; National Institute of Mental Health; National Institute of Mental Health; National Institute on Drug Abuse; National Institute on Drug Abuse; National Institutes of Health; National Institutes of Health; National Institutes of Health; National Institutes of Health; National Institutes of Health</t>
  </si>
  <si>
    <t>Dr. Rachael W Cheung</t>
  </si>
  <si>
    <t>rachael.cheung@york.ac.uk</t>
  </si>
  <si>
    <t>1467-8624</t>
  </si>
  <si>
    <t>A smartphone app effectively facilitates mothers' mind‐mindedness: A randomized controlled trial</t>
  </si>
  <si>
    <t>10.1111/cdev.14039</t>
  </si>
  <si>
    <t>Economic and Social Research Council; Economic and Social Research Council</t>
  </si>
  <si>
    <t>Elizabeth Meins</t>
  </si>
  <si>
    <t>elizabeth.meins@york.ac.uk</t>
  </si>
  <si>
    <t>https://orcid.org/0000-0002-5375-6448</t>
  </si>
  <si>
    <t>Hybrid Meta-Heuristic Algorithm for Detecting Anonymous Addresses in Virtual Currency Transactions</t>
  </si>
  <si>
    <t>International Journal of Intelligent Systems</t>
  </si>
  <si>
    <t>Mominul Ahsan</t>
  </si>
  <si>
    <t>mominul.ahsan@york.ac.uk</t>
  </si>
  <si>
    <t>1098-111X</t>
  </si>
  <si>
    <t>Assessing inconsistencies in historical land-use reconstructions for Africa at 1800 CE</t>
  </si>
  <si>
    <t>Tabitha Kabora</t>
  </si>
  <si>
    <t>tabitha.kabora@york.ac.uk</t>
  </si>
  <si>
    <t>Chronic myeloid leukaemia: a qualitative study of patient and practitioner experiences of managing treatment</t>
  </si>
  <si>
    <t>10.1155/2023/6646271</t>
  </si>
  <si>
    <t>European Journal of Cancer Care</t>
  </si>
  <si>
    <t>HMRN is supported by funding from Cancer Research UK (CRUK) [grant number 29685] (https://www.cancerresearchuk.org/) and Blood Cancer UK (BCUK) [grant number 15037].</t>
  </si>
  <si>
    <t>1365-2354</t>
  </si>
  <si>
    <t>A Series of Unfortunate Events: Do those who catastrophize learn more after negative outcomes?</t>
  </si>
  <si>
    <t>10.1002/mhs2.49</t>
  </si>
  <si>
    <t>Alexandra Pike</t>
  </si>
  <si>
    <t>alex.pike@york.ac.uk</t>
  </si>
  <si>
    <t>https://orcid.org/0000-0003-1972-5530</t>
  </si>
  <si>
    <t>Genomics of predictive radiation mutagenesis in oilseed rape: modifying seed oil composition</t>
  </si>
  <si>
    <t>10.1111/pbi.14220</t>
  </si>
  <si>
    <t>Biotechnology and Biological Sciences Research Council; Biotechnology and Biological Sciences Research Council; Biotechnology and Biological Sciences Research Council; Key Research Projects of Hubei Province; National Natural Science Foundation of China; Natural Science Foundation of Guangdong Province</t>
  </si>
  <si>
    <t>Ian Bancroft</t>
  </si>
  <si>
    <t>ian.bancroft@york.ac.uk</t>
  </si>
  <si>
    <t>https://orcid.org/0000-0001-7707-1171</t>
  </si>
  <si>
    <t>A Discrete Choice Experiment of Older Self-funders' Preferences when Navigating Community Social Care.</t>
  </si>
  <si>
    <t>10.1155/2023/6642636</t>
  </si>
  <si>
    <t>Health &amp; Social Care in the Community</t>
  </si>
  <si>
    <t>The PRESENCE study received funding from the National Institute of Health and Care Research School for Social Care Research (C969/CM/UYYB-P140). This document presents independent research funded by the National Institute for Health and Care Research (NIHR) School for Social Care Research. The views expressed are those of the authors and not necessarily those of the NIHR or the Department of Health and Social Care.</t>
  </si>
  <si>
    <t>Computer vision for plant pathology: A review with examples from cocoa agriculture</t>
  </si>
  <si>
    <t>10.1002/aps3.11559</t>
  </si>
  <si>
    <t>Applications in Plant Sciences</t>
  </si>
  <si>
    <t>The Doctoral Centre for Safe, Ethical and Secure Computing</t>
  </si>
  <si>
    <t>Jamie  Robert Sykes</t>
  </si>
  <si>
    <t>jrs596@york.ac.uk</t>
  </si>
  <si>
    <t>https://orcid.org/0000-0002-0715-8746</t>
  </si>
  <si>
    <t>2168-0450</t>
  </si>
  <si>
    <t>Changes in sea floor productivity are crucial to understanding the impact of climate change in temperate coastal ecosystems according to a new size-based model</t>
  </si>
  <si>
    <t>10.1371/journal.pbio.3002392</t>
  </si>
  <si>
    <t>PLOS monthly report October 2023</t>
  </si>
  <si>
    <t>This study was supported by the ARC Discovery grant DP170104240 (https://www.arc.gov.au/) and Pew Fellows Program in Marine Conservation (https://www.pewtrusts.org/en/projects/marine-fellows). The funders had no role in study design, data collection and analysis, decision to publish, or preparation of the manuscript.</t>
  </si>
  <si>
    <t>Gustav Delius</t>
  </si>
  <si>
    <t>gustav.delius@york.ac.uk</t>
  </si>
  <si>
    <t>Costs and cost-effectiveness of treatment setting for children with wasting, oedema and growth failure/faltering: a systematic review</t>
  </si>
  <si>
    <t>10.1371/journal.pgph.0002551</t>
  </si>
  <si>
    <t>This work was supported by the World Health Organization (Purchase order 202760343 to NDM, SDM, NM, MC, and FS). The funder had no role in study design, data collection and analysis, decision to publish, or preparation of the manuscript. The findings and conclusions in this report are those of the authors and do not necessarily represent the official position of the World Health Organization.</t>
  </si>
  <si>
    <t>Noreen Dadirai Mdege</t>
  </si>
  <si>
    <t>noreen.mdege@york.ac.uk</t>
  </si>
  <si>
    <t>Investigating early agriculture, plant use and culinary practices at Neolithic Jarmo (Iraqi Kurdistan)</t>
  </si>
  <si>
    <t>10.1016/j.jasrep.2023.104264</t>
  </si>
  <si>
    <t>Elsevier_dashboard_report_all_to_13_Dec_23</t>
  </si>
  <si>
    <t>323842,515892,526079 (LAHP)</t>
  </si>
  <si>
    <t>Stakeholder perspectives on cross-border climate risks in the Brazil-Europe soy supply chain</t>
  </si>
  <si>
    <t>10.1016/j.jclepro.2023.139292</t>
  </si>
  <si>
    <t>Defining affordability and adaptation resource prioritisation</t>
  </si>
  <si>
    <t>10.1016/j.crm.2023.100569</t>
  </si>
  <si>
    <t>Climate Risk Management</t>
  </si>
  <si>
    <t>13N13017</t>
  </si>
  <si>
    <t>OA journal reported via dashboard for APC payment</t>
  </si>
  <si>
    <t>2212-0963</t>
  </si>
  <si>
    <t>Evaluating Roman influence in southeast Europe by zooarchaeological meta-analysis</t>
  </si>
  <si>
    <t>10.1016/j.quaint.2023.10.005</t>
  </si>
  <si>
    <t>Quaternary International</t>
  </si>
  <si>
    <t>AH/R012733/1</t>
  </si>
  <si>
    <t>1040-6182</t>
  </si>
  <si>
    <t>Design and development of a digital intervention for workplace stress and mental health (EMPOWER)</t>
  </si>
  <si>
    <t>10.1016/j.invent.2023.100689</t>
  </si>
  <si>
    <t>Internet Interventions</t>
  </si>
  <si>
    <t>Horizon Europe No 848180,APP1195937</t>
  </si>
  <si>
    <t>2214-7829</t>
  </si>
  <si>
    <t>Time to Die 2: Improved in-game death prediction in Dota 2</t>
  </si>
  <si>
    <t>10.1016/j.mlwa.2023.100466</t>
  </si>
  <si>
    <t>EP/M023265/1,104775</t>
  </si>
  <si>
    <t>A narrow band of image dimensions is critical for face recognition</t>
  </si>
  <si>
    <t>10.1016/j.visres.2023.108297</t>
  </si>
  <si>
    <t>The role of salmon fishing in the adoption of pottery technology in subarctic Alaska</t>
  </si>
  <si>
    <t>10.1016/j.jas.2023.105824</t>
  </si>
  <si>
    <t>Journal of Archaeological Science</t>
  </si>
  <si>
    <t>Faculty of Arts</t>
  </si>
  <si>
    <t>0305-4403</t>
  </si>
  <si>
    <t>Reconceptualising men's loneliness: An interpretivist interview study of UK-based men</t>
  </si>
  <si>
    <t>10.1016/j.socscimed.2023.116129</t>
  </si>
  <si>
    <t>Structure of the thrombopoietin-MPL receptor complex is a blueprint for biasing hematopoiesis</t>
  </si>
  <si>
    <t>10.1016/j.cell.2023.07.037</t>
  </si>
  <si>
    <t>Cell</t>
  </si>
  <si>
    <t>1097-4172</t>
  </si>
  <si>
    <t>0092-8674</t>
  </si>
  <si>
    <t>“I don't want to introduce it into new places in my life”: The marketing and consumption of no and low alcohol drinks</t>
  </si>
  <si>
    <t>10.1016/j.drugpo.2023.104149</t>
  </si>
  <si>
    <t>Health System Financing and Resource Allocation in Humanitarian Settings: Toward a Collaborative Policy Research Agenda in the Eastern Mediterranean Region</t>
  </si>
  <si>
    <t>10.1016/j.vhri.2023.07.005</t>
  </si>
  <si>
    <t>Ethanol, not water, should be used as the dispersant when measuring microplastic particle size distribution by laser diffraction</t>
  </si>
  <si>
    <t>10.1016/j.scitotenv.2023.166129</t>
  </si>
  <si>
    <t>Fostering interdisciplinary working within global surgery at an undergraduate level: A hackathon based approach</t>
  </si>
  <si>
    <t>10.1016/j.sopen.2023.07.021</t>
  </si>
  <si>
    <t>Surgery Open Science</t>
  </si>
  <si>
    <t>2589-8450</t>
  </si>
  <si>
    <t>Diagnostic accuracy of the Dutch version of the Somatic Symptom Disorder – B Criteria Scale (SSD-12) compared to the Whiteley Index (WI) and PHQ-15 in a clinical population</t>
  </si>
  <si>
    <t>10.1016/j.jpsychores.2023.111460</t>
  </si>
  <si>
    <t>Is Tobacco Use Associated With Risk of Recurrence and Mortality Among People With TB? : A Systematic Review and Meta-Analysis</t>
  </si>
  <si>
    <t>10.1016/j.chest.2023.08.021</t>
  </si>
  <si>
    <t>Chest</t>
  </si>
  <si>
    <t>0012-3692</t>
  </si>
  <si>
    <t>Acting like a state: Armed violence in post-war Abkhazia</t>
  </si>
  <si>
    <t>10.1016/j.geoforum.2023.103850</t>
  </si>
  <si>
    <t>767-2009-2189,MR/T040653/1</t>
  </si>
  <si>
    <t>On the conjugation action for quantum general linear groups</t>
  </si>
  <si>
    <t>10.1016/j.jalgebra.2023.08.040</t>
  </si>
  <si>
    <t>Introducing MultilingProfiler : An adaptable tool for analysing the vocabulary in French, German, and Spanish texts</t>
  </si>
  <si>
    <t>10.1016/j.system.2023.103122</t>
  </si>
  <si>
    <t>System</t>
  </si>
  <si>
    <t>This work was supported by The Department for Education (MFL Hubs, 30365), Research England (York, 2019), and ESRC (Impact Acceleration Account, York, 2018).</t>
  </si>
  <si>
    <t>0346-251X</t>
  </si>
  <si>
    <t>Valorisation strategies for brown seaweed biomass production in a European context</t>
  </si>
  <si>
    <t>10.1016/j.algal.2023.103248</t>
  </si>
  <si>
    <t>727892,BB/S009779/1</t>
  </si>
  <si>
    <t>GAM-based individual difference measures for L2 ERP studies</t>
  </si>
  <si>
    <t>10.1016/j.rmal.2023.100079</t>
  </si>
  <si>
    <t>277.70.009</t>
  </si>
  <si>
    <t>Chronic myeloid leukaemia: A qualitative interview study exploring disease impact from patient and practitioner perspectives</t>
  </si>
  <si>
    <t>10.1016/j.ejon.2023.102421</t>
  </si>
  <si>
    <t>29685,Blood Cancer UK,15037</t>
  </si>
  <si>
    <t>Neoliberal urban development and the polarization of urban governance</t>
  </si>
  <si>
    <t>10.1016/j.cities.2023.104570</t>
  </si>
  <si>
    <t>Ref: ES/P011020/1</t>
  </si>
  <si>
    <t>Schumpeterian creative destruction and temporal changes in business models of US banks</t>
  </si>
  <si>
    <t>10.1016/j.irfa.2023.102951</t>
  </si>
  <si>
    <t>International Review of Financial Analysis</t>
  </si>
  <si>
    <t>1057-5219</t>
  </si>
  <si>
    <t>Building on value-based health care: Towards a health system perspective</t>
  </si>
  <si>
    <t>10.1016/j.healthpol.2023.104918</t>
  </si>
  <si>
    <t>not available,not avaiable</t>
  </si>
  <si>
    <t>Swings and merry go rounds: Transgression and opportunities for fatherhood in pandemic Britain</t>
  </si>
  <si>
    <t>10.1016/j.wsif.2023.102838</t>
  </si>
  <si>
    <t>Women's Studies International Forum</t>
  </si>
  <si>
    <t>0277-5395</t>
  </si>
  <si>
    <t>Can an online scenario-based learning intervention influence preservice teachers’ self-efficacy, career intentions, and perceived fit with the profession?</t>
  </si>
  <si>
    <t>10.1016/j.compedu.2023.104935</t>
  </si>
  <si>
    <t>Computers &amp; Education</t>
  </si>
  <si>
    <t>ES/X002144/1</t>
  </si>
  <si>
    <t>0360-1315</t>
  </si>
  <si>
    <t>Jorvik: A membrane-containing phage that will likely found a new family within Vinavirales</t>
  </si>
  <si>
    <t>10.1016/j.isci.2023.108104</t>
  </si>
  <si>
    <t>224067/Z/21/Z,206377,109363/Z/15/A,LX22NPO5103</t>
  </si>
  <si>
    <t>Investigating the potential of African land snail shells (Gastropoda: Achatininae) for amino acid geochronology</t>
  </si>
  <si>
    <t>10.1016/j.quageo.2023.101473</t>
  </si>
  <si>
    <t>Quaternary Geochronology</t>
  </si>
  <si>
    <t>NE/S00713X/1,GEFNE38-12,856488</t>
  </si>
  <si>
    <t>1871-1014</t>
  </si>
  <si>
    <t>The partition algebra and the plethysm coefficients I: Stability and Foulkes' conjecture</t>
  </si>
  <si>
    <t>10.1016/j.jalgebra.2023.08.042</t>
  </si>
  <si>
    <t>Field dynamics as context – A multi-perspective combined analysis of the effects of context on entrepreneurship</t>
  </si>
  <si>
    <t>10.1016/j.jbvi.2023.e00431</t>
  </si>
  <si>
    <t>Journal of Business Venturing Insights</t>
  </si>
  <si>
    <t>2352-6734</t>
  </si>
  <si>
    <t>Adapting Economic Evaluation Methods to Shifting Global Health Priorities: Assessing the Value of Health System Inputs</t>
  </si>
  <si>
    <t>10.1016/j.vhri.2023.08.005</t>
  </si>
  <si>
    <t>Non-crossing convex quantile regression</t>
  </si>
  <si>
    <t>10.1016/j.econlet.2023.111396</t>
  </si>
  <si>
    <t>Nanophotonic and hydrogel-based diagnostic system for the monitoring of chronic wounds</t>
  </si>
  <si>
    <t>10.1016/j.bios.2023.115743</t>
  </si>
  <si>
    <t>EP/V047434/1,EP/R51181X/1</t>
  </si>
  <si>
    <t>Exploring complex models with picto web Image 1</t>
  </si>
  <si>
    <t>10.1016/j.scico.2023.103037</t>
  </si>
  <si>
    <t>Science of Computer Programming</t>
  </si>
  <si>
    <t>The work in this paper has been funded through the HICLASS InnovateUK project (contract no. 113213).</t>
  </si>
  <si>
    <t>0167-6423</t>
  </si>
  <si>
    <t>Bio-inspired polydopamine layer as a versatile functionalisation protocol for silicon-based photonic biosensors</t>
  </si>
  <si>
    <t>10.1016/j.talanta.2023.125300</t>
  </si>
  <si>
    <t>Talanta</t>
  </si>
  <si>
    <t>EP/V047434/1,EP/V047663/1,Grant 221349/Z/ 20/Z</t>
  </si>
  <si>
    <t>0039-9140</t>
  </si>
  <si>
    <t>Demands for Intersectoral Actions to Meet Health Challenges in East and Southern Africa and Methods for Their Evaluation</t>
  </si>
  <si>
    <t>10.1016/j.vhri.2023.09.001</t>
  </si>
  <si>
    <t>Appropriate Categorization of Inequality to Inform Policy Decisions: Estimating Distribution of Lifetime Health Using Alternative Approaches to Socioeconomic Stratification</t>
  </si>
  <si>
    <t>10.1016/j.jval.2023.10.001</t>
  </si>
  <si>
    <t>NIHR200166</t>
  </si>
  <si>
    <t>Scoping Review of Health Economics Research on Refugee Health in Sub-Saharan Africa</t>
  </si>
  <si>
    <t>10.1016/j.vhri.2023.10.008</t>
  </si>
  <si>
    <t>EP/T023619/1</t>
  </si>
  <si>
    <t>Knowledge infrastructures, conflictual coproduction, and the politics of planning: A post-foundational approach to political capability in Nepal and Thailand</t>
  </si>
  <si>
    <t>10.1016/j.polgeo.2023.103002</t>
  </si>
  <si>
    <t>Political Geography</t>
  </si>
  <si>
    <t>ES/T00259X/1</t>
  </si>
  <si>
    <t>0962-6298</t>
  </si>
  <si>
    <t>The impact on passenger car emissions associated with the promotion and demise of diesel fuel</t>
  </si>
  <si>
    <t>10.1016/j.envint.2023.108330</t>
  </si>
  <si>
    <t>Environment International</t>
  </si>
  <si>
    <t>Internal</t>
  </si>
  <si>
    <t>0160-4120</t>
  </si>
  <si>
    <t>The influence of coiled-coil motif of serine recombinase toward the directionality regulation</t>
  </si>
  <si>
    <t>10.1016/j.bpj.2023.11.009</t>
  </si>
  <si>
    <t>Biophysical Journal</t>
  </si>
  <si>
    <t>112-2113-M-110 -001 -,109363/Z/15/A</t>
  </si>
  <si>
    <t>1542-0086</t>
  </si>
  <si>
    <t>0006-3495</t>
  </si>
  <si>
    <t>The implications of virtual money on travel and tourism</t>
  </si>
  <si>
    <t>10.1016/j.annals.2023.103686</t>
  </si>
  <si>
    <t>Annals of Tourism Research</t>
  </si>
  <si>
    <t>0160-7383</t>
  </si>
  <si>
    <t>Comparison of modelled pursuits with ESPRIT and the matrix pencil method in the modelling of medical percussion signals</t>
  </si>
  <si>
    <t>10.1016/j.bspc.2023.105777</t>
  </si>
  <si>
    <t>Biomedical Signal Processing and Control</t>
  </si>
  <si>
    <t>This project was supported by the University of York through their institutional impact acceleration account from EPSRC (EP/R51181X/1).</t>
  </si>
  <si>
    <t>1746-8094</t>
  </si>
  <si>
    <t>Tetrameric UvrD Helicase Is Located at the E. Coli Replisome due to Frequent Replication Blocks</t>
  </si>
  <si>
    <t>10.1016/j.jmb.2023.168369</t>
  </si>
  <si>
    <t>BB/N006453/1,BB/R001235/1,BB/N014863/1</t>
  </si>
  <si>
    <t>Multi-purpose pots: Reconstructing early farmer behaviour at Lydenburg Heads site, South Africa, using organic residue analysis</t>
  </si>
  <si>
    <t>10.1016/j.jas.2023.105894</t>
  </si>
  <si>
    <t>N/A,N/A,N/A,N/A</t>
  </si>
  <si>
    <t>Forging Partnership Between Health Economics Researchers and Policy Makers: Better Methods, Better Policy, Better Health</t>
  </si>
  <si>
    <t>10.1016/j.vhri.2023.11.002</t>
  </si>
  <si>
    <t>MR/P028004/1,N/A</t>
  </si>
  <si>
    <t>A variational principle in the parametric geometry of numbers</t>
  </si>
  <si>
    <t>10.1016/j.aim.2023.109435</t>
  </si>
  <si>
    <t>2017-2018  Faculty Research Grant,245708,EP/J018260/1,URF\R1\180649,DMS-1361677</t>
  </si>
  <si>
    <t>Alcohol, cardiovascular disease and industry funding: A co-authorship network analysis of epidemiological studies</t>
  </si>
  <si>
    <t>10.1016/j.addbeh.2023.107932</t>
  </si>
  <si>
    <t>Addictive Behaviors</t>
  </si>
  <si>
    <t>200321/Z/15/Z</t>
  </si>
  <si>
    <t>0306-4603</t>
  </si>
  <si>
    <t>The super-chirality of vector twisted light</t>
  </si>
  <si>
    <t>10.1016/j.optcom.2023.130185</t>
  </si>
  <si>
    <t>Self-Supervised Adversarial Variational Learning</t>
  </si>
  <si>
    <t>10.1016/j.patcog.2023.110156</t>
  </si>
  <si>
    <t>Pattern Recognition</t>
  </si>
  <si>
    <t>0031-3203</t>
  </si>
  <si>
    <t>Public priorities for local action to reduce the health impacts of climate change: Evidence from a UK survey</t>
  </si>
  <si>
    <t>10.1016/j.puhip.2022.100346</t>
  </si>
  <si>
    <t>Public Health in Practice</t>
  </si>
  <si>
    <t>PR_PRU_1217_20901</t>
  </si>
  <si>
    <t>2666-5352</t>
  </si>
  <si>
    <t>The Personalized Acne Treatment Tool — Recommendations to facilitate a patient-centered approach to acne management from the Personalizing Acne: Consensus of Experts</t>
  </si>
  <si>
    <t>10.1016/j.jdin.2023.03.013</t>
  </si>
  <si>
    <t>JAAD International</t>
  </si>
  <si>
    <t>2666-3287</t>
  </si>
  <si>
    <t>Consolidated Health Economic Evaluation Reporting Standards Value of Information: Explanation and Elaboration</t>
  </si>
  <si>
    <t>10.1016/j.jval.2023.06.014</t>
  </si>
  <si>
    <t>RGPIN-2021-03366,NFRFE-2020-00749</t>
  </si>
  <si>
    <t>Author not / no longer affiliated</t>
  </si>
  <si>
    <t>Burden of adult-onset Still's disease: A systematic review of health-related quality of life, utilities, costs and resource use</t>
  </si>
  <si>
    <t>10.1016/j.semarthrit.2023.152264</t>
  </si>
  <si>
    <t>Seminars in Arthritis and Rheumatism</t>
  </si>
  <si>
    <t>Research grant held elsewhere</t>
  </si>
  <si>
    <t>0049-0172</t>
  </si>
  <si>
    <t>Blockchain adoption in supply chains:  Implications for sustainability</t>
  </si>
  <si>
    <t>10.1080/09537287.2023.2296669</t>
  </si>
  <si>
    <t>NYP</t>
  </si>
  <si>
    <t>Dashboard report: Taylor and Francis, Approved Articles, 2023-12-18</t>
  </si>
  <si>
    <t>["Fu Jia"]</t>
  </si>
  <si>
    <t>["jeff_fujia@hotmail.com"]</t>
  </si>
  <si>
    <t>The death of the self in posttraumatic experience</t>
  </si>
  <si>
    <t>10.1080/09515089.2023.2294776</t>
  </si>
  <si>
    <t>["White Rose College of the Arts and Humanities","Arts and Humanities Research Council"]</t>
  </si>
  <si>
    <t>["Jake Dorothy"]</t>
  </si>
  <si>
    <t>["jake.dorothy@york.ac.uk"]</t>
  </si>
  <si>
    <t>["0000-0002-7829-8498"]</t>
  </si>
  <si>
    <t>Party politics and the effectiveness of local climate change policy frameworks: Green influence from the sidelines</t>
  </si>
  <si>
    <t>10.1080/03003930.2023.2292662</t>
  </si>
  <si>
    <t>Local Government Studies</t>
  </si>
  <si>
    <t>["Liam Clegg"]</t>
  </si>
  <si>
    <t>["liam.clegg@york.ac.uk"]</t>
  </si>
  <si>
    <t>1743-9388</t>
  </si>
  <si>
    <t>0300-3930</t>
  </si>
  <si>
    <t>Dependency theory meets Feminist Economics: a research agenda</t>
  </si>
  <si>
    <t>10.1080/01436597.2023.2292176</t>
  </si>
  <si>
    <t>["Belén Villegas Plá"]</t>
  </si>
  <si>
    <t>["mbvp500@york.ac.uk"]</t>
  </si>
  <si>
    <t>People and places: towards an understanding and categorisation of reasons for place attachment – case studies from the north of England</t>
  </si>
  <si>
    <t>10.1080/01426397.2023.2289970</t>
  </si>
  <si>
    <t>["Arts and Humanities Research Council"]</t>
  </si>
  <si>
    <t>["Martina Tenzer"]</t>
  </si>
  <si>
    <t>["mt1451@york.ac.uk"]</t>
  </si>
  <si>
    <t>Social Landscape Characterisation: a people-centred, place-based approach to inclusive and transparent heritage and landscape management</t>
  </si>
  <si>
    <t>10.1080/13527258.2023.2289424</t>
  </si>
  <si>
    <t>["University of York"]</t>
  </si>
  <si>
    <t>["martina.tenzer@york.ac.uk"]</t>
  </si>
  <si>
    <t>Myth of the near future? Assessing the European Green Deal’s potential to become a political myth for the European Union</t>
  </si>
  <si>
    <t>10.1080/14782804.2023.2288908</t>
  </si>
  <si>
    <t>Journal of Contemporary European Studies</t>
  </si>
  <si>
    <t>["Jeremy F. G. Moulton"]</t>
  </si>
  <si>
    <t>["jeremy.moulton@york.ac.uk"]</t>
  </si>
  <si>
    <t>["0000-0002-7402-4772"]</t>
  </si>
  <si>
    <t>1478-2790</t>
  </si>
  <si>
    <t>1478-2804</t>
  </si>
  <si>
    <t>Nabeul . . . Taroudant . El Jadida . . Tangier: Beckett in the Postcolonies</t>
  </si>
  <si>
    <t>10.1080/1369801X.2023.2288111</t>
  </si>
  <si>
    <t>Interventions</t>
  </si>
  <si>
    <t>["Emilie Morin"]</t>
  </si>
  <si>
    <t>["emilie.morin@york.ac.uk"]</t>
  </si>
  <si>
    <t>1469-929X</t>
  </si>
  <si>
    <t>1369-801X</t>
  </si>
  <si>
    <t>What is the employability value of a degree in Politics and International Relations?</t>
  </si>
  <si>
    <t>10.1080/15512169.2023.2284821</t>
  </si>
  <si>
    <t>Journal of Political Science Education</t>
  </si>
  <si>
    <t>1551-2177</t>
  </si>
  <si>
    <t>1551-2169</t>
  </si>
  <si>
    <t>Against Imperial Knowledges: Lisa Lowe and Ariella Aïsha Azoulay in Conversation</t>
  </si>
  <si>
    <t>10.1080/13534645.2023.2271731</t>
  </si>
  <si>
    <t>Parallax</t>
  </si>
  <si>
    <t>["0000-0003-2763-2756"]</t>
  </si>
  <si>
    <t>1460-700X</t>
  </si>
  <si>
    <t>1353-4645</t>
  </si>
  <si>
    <t>‘You don’t have revolution without sound’: A Conversation between Christina Sharpe, Françoise Vergès and K’eguro Macharia</t>
  </si>
  <si>
    <t>10.1080/13534645.2023.2271736</t>
  </si>
  <si>
    <t>Place based understandings of ‘risk’ and ‘danger’ through a gendered lens – experiences of sexual violence in a deprived coastal town in the UK</t>
  </si>
  <si>
    <t>10.1080/13676261.2023.2283513</t>
  </si>
  <si>
    <t>["Economic and Social Research Council"]</t>
  </si>
  <si>
    <t>Emailed T&amp;F to see if it can be made CC BY 19/12/23</t>
  </si>
  <si>
    <t>["Aniela Wenham"]</t>
  </si>
  <si>
    <t>["aniela.wenham@york.ac.uk"]</t>
  </si>
  <si>
    <t>What do the measures of utterance fluency employed in Automatic Speech Evaluation (ASE) tell us about oral proficiency?</t>
  </si>
  <si>
    <t>10.1080/15434303.2023.2283839</t>
  </si>
  <si>
    <t>Language Assessment Quarterly</t>
  </si>
  <si>
    <t>["British Council","British Academy"]</t>
  </si>
  <si>
    <t>["Zoe Handley"]</t>
  </si>
  <si>
    <t>["zoe.handley@york.ac.uk"]</t>
  </si>
  <si>
    <t>["0000-0002-4732-3443"]</t>
  </si>
  <si>
    <t>1543-4311</t>
  </si>
  <si>
    <t>1543-4303</t>
  </si>
  <si>
    <t>Servicewomen's Experiences of the Aftermath of Sexual Assault in the British Military: Blame, Shame and Betrayal</t>
  </si>
  <si>
    <t>10.1080/03071847.2023.2276305</t>
  </si>
  <si>
    <t>The RUSI Journal</t>
  </si>
  <si>
    <t>["Harriet Gray"]</t>
  </si>
  <si>
    <t>["harriet.gray@york.ac.uk"]</t>
  </si>
  <si>
    <t>1744-0378</t>
  </si>
  <si>
    <t>0307-1847</t>
  </si>
  <si>
    <t>TripAdvisor as a ‘geo-pastoral technology’</t>
  </si>
  <si>
    <t>10.1080/14616688.2023.2275734</t>
  </si>
  <si>
    <t>Tourism Geographies</t>
  </si>
  <si>
    <t>["Kath Bassett"]</t>
  </si>
  <si>
    <t>["kath.bassett@york.ac.uk"]</t>
  </si>
  <si>
    <t>["0000-0002-3241-4908"]</t>
  </si>
  <si>
    <t>1470-1340</t>
  </si>
  <si>
    <t>1461-6688</t>
  </si>
  <si>
    <t>Manufacturer’s service relationships as a gateway to circular supply chains: Merging insights from two literature fields</t>
  </si>
  <si>
    <t>10.1080/09537287.2023.2274920</t>
  </si>
  <si>
    <t>["Melanie E. Kreye"]</t>
  </si>
  <si>
    <t>Researching education for environmental sustainability through intergenerational dialogue</t>
  </si>
  <si>
    <t>10.1080/10382046.2023.2270399</t>
  </si>
  <si>
    <t>International Research in Geographical and Environmental Education</t>
  </si>
  <si>
    <t>["British Educational Research Association"]</t>
  </si>
  <si>
    <t>["Lynda Dunlop"]</t>
  </si>
  <si>
    <t>["Lynda.dunlop@york.ac.uk"]</t>
  </si>
  <si>
    <t>1747-7611</t>
  </si>
  <si>
    <t>1038-2046</t>
  </si>
  <si>
    <t>“WE ARE SHEPHERDS, BUT NOT SHEEP”: FARMER PROTEST AND RURAL IDENTITY IN BULGARIA</t>
  </si>
  <si>
    <t>10.1080/10371656.2023.2270851</t>
  </si>
  <si>
    <t>Rural Society</t>
  </si>
  <si>
    <t>["Thomas O’Brien"]</t>
  </si>
  <si>
    <t>["t.obrien@york.ac.uk"]</t>
  </si>
  <si>
    <t>["0000-0002-5031-736X"]</t>
  </si>
  <si>
    <t>2204-0536</t>
  </si>
  <si>
    <t>1037-1656</t>
  </si>
  <si>
    <t>“Vertical drinking” in the night-time economy: alcohol licencing and proxies for “uncivilised” drinking bodies</t>
  </si>
  <si>
    <t>10.1080/02614367.2023.2271181</t>
  </si>
  <si>
    <t>Leisure Studies</t>
  </si>
  <si>
    <t>1466-4496</t>
  </si>
  <si>
    <t>0261-4367</t>
  </si>
  <si>
    <t>Provoked overt recognition in acquired prosopagnosia using multiple different images of famous faces.</t>
  </si>
  <si>
    <t>10.1080/02643294.2023.2269648</t>
  </si>
  <si>
    <t>Cognitive Neuropsychology</t>
  </si>
  <si>
    <t>["Laidlaw Foundation","Biotechnology and Biological Sciences Research Council"]</t>
  </si>
  <si>
    <t>["Anthony Michael Burton"]</t>
  </si>
  <si>
    <t>["mike.burton@york.ac.uk"]</t>
  </si>
  <si>
    <t>["0000-0002-2035-2084"]</t>
  </si>
  <si>
    <t>1464-0627</t>
  </si>
  <si>
    <t>0264-3294</t>
  </si>
  <si>
    <t>Capitalist Accumulation and its Historical Foundation and Logical Premise: On Primitive Accumulation</t>
  </si>
  <si>
    <t>10.1080/03017605.2023.2267281</t>
  </si>
  <si>
    <t>Critique</t>
  </si>
  <si>
    <t>["Werner Bonefeld"]</t>
  </si>
  <si>
    <t>["werner.bonefeld@york.ac.uk"]</t>
  </si>
  <si>
    <t>["0000-0001-6709-5313"]</t>
  </si>
  <si>
    <t>1748-8605</t>
  </si>
  <si>
    <t>0301-7605</t>
  </si>
  <si>
    <t>Automation hesitancy: Confidence deficits, established limits and notional horizons in the application of algorithms within the private rental sector in the UK</t>
  </si>
  <si>
    <t>10.1080/1369118X.2023.2264954</t>
  </si>
  <si>
    <t>["Nuffield Foundation"]</t>
  </si>
  <si>
    <t>["David Beer"]</t>
  </si>
  <si>
    <t>["david.beer@york.ac.uk"]</t>
  </si>
  <si>
    <t>A kinematic model generates non-circular human proxemics zones</t>
  </si>
  <si>
    <t>10.1080/01691864.2023.2263062</t>
  </si>
  <si>
    <t>Advanced Robotics</t>
  </si>
  <si>
    <t>["EU H2020 project interACT"]</t>
  </si>
  <si>
    <t>["Fanta Camara"]</t>
  </si>
  <si>
    <t>["fanta.camara@york.ac.uk"]</t>
  </si>
  <si>
    <t>1568-5535</t>
  </si>
  <si>
    <t>0169-1864</t>
  </si>
  <si>
    <t>Indigenous youth activism: the role of education in creating capabilities</t>
  </si>
  <si>
    <t>10.1080/13676261.2023.2261865</t>
  </si>
  <si>
    <t>["Chevening"]</t>
  </si>
  <si>
    <t>["lynda.dunlop@york.ac.uk"]</t>
  </si>
  <si>
    <t>Refused gifts: Understanding the over and above work of Medical School Anatomy Unit staff when donor bodies cannot be accepted</t>
  </si>
  <si>
    <t>10.1080/13576275.2023.2248024</t>
  </si>
  <si>
    <t>["University of Hull"]</t>
  </si>
  <si>
    <t>["Zivarna Murphy"]</t>
  </si>
  <si>
    <t>["zivarna.murphy@york.ac.uk"]</t>
  </si>
  <si>
    <t>["0000-0001-6792-007X"]</t>
  </si>
  <si>
    <t>Proof of the small angle approximation sin(θ)≈θusing the geometry and motion of a simple pendulum</t>
  </si>
  <si>
    <t>10.1080/0020739X.2023.2258885</t>
  </si>
  <si>
    <t>["J. J. Bissell"]</t>
  </si>
  <si>
    <t>["john.bissell@york.ac.uk"]</t>
  </si>
  <si>
    <t>["0000-0002-8364-8085"]</t>
  </si>
  <si>
    <t>Assessment and practical science: identifying generalizable characteristics of written assessments that reward and incentivise effective practices in practical science lessons</t>
  </si>
  <si>
    <t>10.1080/09500693.2023.2253366</t>
  </si>
  <si>
    <t>International Journal of Science Education</t>
  </si>
  <si>
    <t>["Wellcome Trust","Royal Society","Gatsby Charitable Foundation"]</t>
  </si>
  <si>
    <t>["Alistair Moore"]</t>
  </si>
  <si>
    <t>["alistair.moore@york.ac.uk"]</t>
  </si>
  <si>
    <t>["0000-0002-8816-918X"]</t>
  </si>
  <si>
    <t>1464-5289</t>
  </si>
  <si>
    <t>0950-0693</t>
  </si>
  <si>
    <t>Students’ perceptions of studying A-levels: factors facilitating and frustrating positive learning experiences</t>
  </si>
  <si>
    <t>10.1080/0309877X.2023.2258807</t>
  </si>
  <si>
    <t>["Joshua Stubbs"]</t>
  </si>
  <si>
    <t>["joshua.stubbs@york.ac.uk"]</t>
  </si>
  <si>
    <t>["0000-0002-0703-2342"]</t>
  </si>
  <si>
    <t>Rethinking Harlow Gale: The Psychical Influences on His Contributions to Advertising and Their Enduring Reverberations</t>
  </si>
  <si>
    <t>10.1080/00913367.2023.2249055</t>
  </si>
  <si>
    <t>Journal of Advertising</t>
  </si>
  <si>
    <t>["Mark Tadajewski"]</t>
  </si>
  <si>
    <t>["marktadajewski@gmail.com"]</t>
  </si>
  <si>
    <t>1557-7805</t>
  </si>
  <si>
    <t>0091-3367</t>
  </si>
  <si>
    <t>Creating space for teacher voice: insights on professional development in two
diverse settings.</t>
  </si>
  <si>
    <t>10.1080/14767724.2023.2252428</t>
  </si>
  <si>
    <t>Globalisation, Societies and Education</t>
  </si>
  <si>
    <t>["Lucy Atkinson"]</t>
  </si>
  <si>
    <t>["lucy.atkinson@york.ac.uk"]</t>
  </si>
  <si>
    <t>["0000-0002-6384-2227"]</t>
  </si>
  <si>
    <t>1476-7732</t>
  </si>
  <si>
    <t>1476-7724</t>
  </si>
  <si>
    <t>The impact of service user involvement in health and social care education: A scoping review</t>
  </si>
  <si>
    <t>10.1080/09503153.2023.2248414</t>
  </si>
  <si>
    <t>["School for Social Care Research"]</t>
  </si>
  <si>
    <t>["Hannah Jobling"]</t>
  </si>
  <si>
    <t>["hannah.jobling@york.ac.uk"]</t>
  </si>
  <si>
    <t>["0000-0003-3749-0990"]</t>
  </si>
  <si>
    <t>Knowledge or science-based economy? The employment of UK PhD graduates in research roles beyond academia.</t>
  </si>
  <si>
    <t>10.1080/03075079.2023.2249023</t>
  </si>
  <si>
    <t>Studies in Higher Education</t>
  </si>
  <si>
    <t>["Society for Research into Higher Education"]</t>
  </si>
  <si>
    <t>["Sally Hancock"]</t>
  </si>
  <si>
    <t>["sally.hancock@york.ac.uk"]</t>
  </si>
  <si>
    <t>["0000-0001-8488-2765"]</t>
  </si>
  <si>
    <t>1470-174X</t>
  </si>
  <si>
    <t>0307-5079</t>
  </si>
  <si>
    <t>Deepening Precarity - the Impact of COVID-19 on Freelancers in the UK Television industry</t>
  </si>
  <si>
    <t>10.1080/09548963.2023.2247375</t>
  </si>
  <si>
    <t>Cultural Trends</t>
  </si>
  <si>
    <t>["Research England"]</t>
  </si>
  <si>
    <t>1469-3690</t>
  </si>
  <si>
    <t>0954-8963</t>
  </si>
  <si>
    <t>Starting gendered career pathways early? Differences between women and men students in optional module composition among UK law school undergraduates</t>
  </si>
  <si>
    <t>10.1080/03069400.2023.2246347</t>
  </si>
  <si>
    <t>The Law Teacher</t>
  </si>
  <si>
    <t>1943-0353</t>
  </si>
  <si>
    <t>0306-9400</t>
  </si>
  <si>
    <t>Cyanobiphenyls and Metallomesogens – Where it Started and Where it Went</t>
  </si>
  <si>
    <t>10.1080/02678292.2023.2245362</t>
  </si>
  <si>
    <t>["University of Sheffield","University of Exeter","Johnson Matthey","European Commission","Engineering and Physical Sciences Research Council","University of York","Royal Society","British Council France"]</t>
  </si>
  <si>
    <t>["Duncan Bruce"]</t>
  </si>
  <si>
    <t>["duncan.bruce@york.ac.uk"]</t>
  </si>
  <si>
    <t>["0000-0002-1365-2222"]</t>
  </si>
  <si>
    <t>Whose procedural fairness?</t>
  </si>
  <si>
    <t>10.1080/09649069.2023.2243150</t>
  </si>
  <si>
    <t>Resonating Across an Anglican-Xhosa Mission Soundscape:  A Case Study of Instruments, Bells, and Processions</t>
  </si>
  <si>
    <t>10.1080/13688790.2023.2243073</t>
  </si>
  <si>
    <t>["Oppenheimer Memorial Trust"]</t>
  </si>
  <si>
    <t>["Philip Burnett"]</t>
  </si>
  <si>
    <t>["philip.burnett@york.ac.uk"]</t>
  </si>
  <si>
    <t>Those scary migrants: feanxiety and Brexit in Agnieszka Dale’s Fox Season and Other Short Stories</t>
  </si>
  <si>
    <t>10.1080/0950236X.2023.2243902</t>
  </si>
  <si>
    <t>["Wiktoria Tunska"]</t>
  </si>
  <si>
    <t>["wmt504@york.ac.uk"]</t>
  </si>
  <si>
    <t>Adaptation of Connecting People to address loneliness and social isolation in university students: a feasibility study</t>
  </si>
  <si>
    <t>10.1080/1360080X.2023.2242079</t>
  </si>
  <si>
    <t>Journal of Higher Education Policy and Management</t>
  </si>
  <si>
    <t>["No funding"]</t>
  </si>
  <si>
    <t>["Jonny Lovell"]</t>
  </si>
  <si>
    <t>["jonny.lovell@york.ac.uk"]</t>
  </si>
  <si>
    <t>["0000-0003-2571-9604"]</t>
  </si>
  <si>
    <t>1469-9508</t>
  </si>
  <si>
    <t>1360-080X</t>
  </si>
  <si>
    <t>Low interest rates, low productivity, low growth? A multi-sector case study of UK-based firms’ funding and investment strategies in the context of loose monetary policy</t>
  </si>
  <si>
    <t>10.1080/13563467.2023.2240237</t>
  </si>
  <si>
    <t>["John Evemy"]</t>
  </si>
  <si>
    <t>["john.evemy@york.ac.uk"]</t>
  </si>
  <si>
    <t>["0000-0002-1281-1092"]</t>
  </si>
  <si>
    <t>Implementing motivational interviewing in adult mental health social work practice: an analysis of postgraduate student assessed placement reports</t>
  </si>
  <si>
    <t>10.1080/02615479.2023.2239838</t>
  </si>
  <si>
    <t>Social Work Education</t>
  </si>
  <si>
    <t>["Martin Paul Webber"]</t>
  </si>
  <si>
    <t>["martin.webber@york.ac.uk"]</t>
  </si>
  <si>
    <t>1470-1227</t>
  </si>
  <si>
    <t>0261-5479</t>
  </si>
  <si>
    <t>Intimate evictability: Urban displacement, familial violence, and women’s claim to home in urban Sri Lanka</t>
  </si>
  <si>
    <t>10.1080/00141844.2023.2240537</t>
  </si>
  <si>
    <t>Ethnos</t>
  </si>
  <si>
    <t>["Urban Studies Foundation","UKRI-GCRF","Global Challenges Research Fund"]</t>
  </si>
  <si>
    <t>["Asha Abeyasekera"]</t>
  </si>
  <si>
    <t>1469-588X</t>
  </si>
  <si>
    <t>0014-1844</t>
  </si>
  <si>
    <t>The relationship between Mute Swan &lt;i&gt;Cygnus olor &lt;/i&gt;population trends in Great Britain and environmental change</t>
  </si>
  <si>
    <t>10.1080/00063657.2023.2239554</t>
  </si>
  <si>
    <t>Bird Study</t>
  </si>
  <si>
    <t>["Tiffany Ki"]</t>
  </si>
  <si>
    <t>["tltk500@york.ac.uk"]</t>
  </si>
  <si>
    <t>["0000-0003-4389-5097"]</t>
  </si>
  <si>
    <t>1944-6705</t>
  </si>
  <si>
    <t>0006-3657</t>
  </si>
  <si>
    <t>Unpacking L2 explicit linguistic knowledge and online processing of the English modals may and can: A comparison of acceptability judgments and self-paced reading</t>
  </si>
  <si>
    <t>10.1017/S0272263123000475</t>
  </si>
  <si>
    <t>CUP monthly report Nov 2023</t>
  </si>
  <si>
    <t>No funding on paper</t>
  </si>
  <si>
    <t>Risk factors associated with overweight and obesity in people with severe mental illness in South Asia: cross-sectional study in Bangladesh, India, and Pakistan</t>
  </si>
  <si>
    <t>10.1017/jns.2023.100</t>
  </si>
  <si>
    <t>Journal of Nutritional Science</t>
  </si>
  <si>
    <t xml:space="preserve">This research was funded by the National Institute for Health Research (NIHR) (Grant: GHRG 17/63/130:) using UK aid from the UK Government to support global health research. </t>
  </si>
  <si>
    <t>Koralagamage Kavindu Appuhamy</t>
  </si>
  <si>
    <t>2048-6790</t>
  </si>
  <si>
    <t>Fiction Beyond Words: Music in J. M. Coetzee’s Jesus Novels</t>
  </si>
  <si>
    <t>10.1017/pli.2023.30</t>
  </si>
  <si>
    <t>Cambridge Journal of Postcolonial Literary Inquiry</t>
  </si>
  <si>
    <t>Diana Mudura</t>
  </si>
  <si>
    <t>2052-2622</t>
  </si>
  <si>
    <t>2052-2614</t>
  </si>
  <si>
    <t>Assessing professionalism in mental health clinicians: development and validation of a situational judgement test</t>
  </si>
  <si>
    <t>10.1192/bjo.2023.582</t>
  </si>
  <si>
    <t>This work was supported by Hull York Medical School (L.M.E.A., PhD Scholarship) and the National Institute for Health Research (P.A.T., grant number CDF 2015-08-011). The views expressed are those of the authors and not necessarily those of Hull York Medical School, the NHS, the National Institute for Health Research or the Department of Health and Social Care.</t>
  </si>
  <si>
    <t>Lauren Aylott</t>
  </si>
  <si>
    <t>Interpreting identity effects in sociolinguistic variation and change: The role of local identity in the usage and recognition of Anglo-Cornish dialect lexis</t>
  </si>
  <si>
    <t>10.1177/00754242231220343</t>
  </si>
  <si>
    <t>Sage monthly report: University of York 01-01-2023 to 01-01-2024.</t>
  </si>
  <si>
    <t>- (-)</t>
  </si>
  <si>
    <t>r.sandow@qmul.ac.uk</t>
  </si>
  <si>
    <t>0000-0001-6199-609X</t>
  </si>
  <si>
    <t>Nonsuicidal Self-injury and Intersubjective Recognition: &amp;lsquo;You Can&amp;rsquo;t Argue with Wounds&amp;rsquo;</t>
  </si>
  <si>
    <t>10.1177/00380261231221661</t>
  </si>
  <si>
    <t>wellcome trust (10.13039/100010269)</t>
  </si>
  <si>
    <t>Steph Lawler</t>
  </si>
  <si>
    <t>steph.lawler@york.ac.uk</t>
  </si>
  <si>
    <t>Peter  Steggals, Ruth  Graham</t>
  </si>
  <si>
    <t>Metacognitive Feelings: A Predictive Processing Perspective</t>
  </si>
  <si>
    <t>10.1177/17456916231221976</t>
  </si>
  <si>
    <t>Perspectives on Psychological Science</t>
  </si>
  <si>
    <t>Pablo Fernandez-Velasco</t>
  </si>
  <si>
    <t>p.fernandezvelasco@gmail.com</t>
  </si>
  <si>
    <t>0000-0001-7563-8170</t>
  </si>
  <si>
    <t>Slawa Loev</t>
  </si>
  <si>
    <t>Lest We Forget : Dr. Paul Farmer (1959-2022) A Global Health Leader at Harvard</t>
  </si>
  <si>
    <t>10.1177/09677720231223501</t>
  </si>
  <si>
    <t>Journal of Medical Biography</t>
  </si>
  <si>
    <t>Sakshi Roy</t>
  </si>
  <si>
    <t>sroy06@qub.ac.uk</t>
  </si>
  <si>
    <t>0000-0002-3519-9318</t>
  </si>
  <si>
    <t>1758-1087</t>
  </si>
  <si>
    <t>0967-7720</t>
  </si>
  <si>
    <t>The Rule of Law in an Ethnocracy: Indias Citizenship Amendment Act and the will of the Hindu ethnos</t>
  </si>
  <si>
    <t>10.1177/09646639231225436</t>
  </si>
  <si>
    <t>Indrajit ROY</t>
  </si>
  <si>
    <t>Rejecting resistance: everyday resistance and harmony in Chinese hip-hop</t>
  </si>
  <si>
    <t>10.1177/00380261231223018</t>
  </si>
  <si>
    <t>yehan.wang1@gmail.com</t>
  </si>
  <si>
    <t>The evolution of Commonwealth, post- and decolonial scholarship: Tracing the impact of field transformation on JCL and vice versa</t>
  </si>
  <si>
    <t>10.1177/00219894231226043</t>
  </si>
  <si>
    <t>Rachael Gilmour</t>
  </si>
  <si>
    <t>Ive learned a lot about myself this year: Young womens perceptions of their cumulative use of digital fitness technologies across the Covid-19 pandemic</t>
  </si>
  <si>
    <t>10.1177/13591053231225598</t>
  </si>
  <si>
    <t>Journal of Health Psychology</t>
  </si>
  <si>
    <t>Beth Bell</t>
  </si>
  <si>
    <t>beth.bell@york.ac.uk</t>
  </si>
  <si>
    <t>0000-0002-6587-0336</t>
  </si>
  <si>
    <t>Sarah Norminton, Kora Dollimore</t>
  </si>
  <si>
    <t>1461-7277</t>
  </si>
  <si>
    <t>1359-1053</t>
  </si>
  <si>
    <t>Multisystem measurements in generalized probabilistic theories and their role in information processing</t>
  </si>
  <si>
    <t>10.1103/PhysRevA.108.062212</t>
  </si>
  <si>
    <t>Physical Review A</t>
  </si>
  <si>
    <t>American Physical Society</t>
  </si>
  <si>
    <t>American Physical Society TA 2023</t>
  </si>
  <si>
    <t>Requested email report for 2023: APS - York OA Publishing FY 2023</t>
  </si>
  <si>
    <t>Engineering and Physical Sciences Research Council, Österreichischen Akademie der Wissenschaften</t>
  </si>
  <si>
    <t>Colbeck,Roger</t>
  </si>
  <si>
    <t>0000-0003-3591-0576</t>
  </si>
  <si>
    <t>2469-9934</t>
  </si>
  <si>
    <t>Landau sum rules with noncentral quasiparticle interactions</t>
  </si>
  <si>
    <t>10.1103/PhysRevC.108.034003</t>
  </si>
  <si>
    <t>Physical Review C</t>
  </si>
  <si>
    <t>Pastore,A.</t>
  </si>
  <si>
    <t>0000-0003-3354-6432</t>
  </si>
  <si>
    <t>2469-9993</t>
  </si>
  <si>
    <t>Feasibility and stability in large Lotka Volterra systems with interaction structure</t>
  </si>
  <si>
    <t>10.1103/PhysRevE.107.054301</t>
  </si>
  <si>
    <t>Physical Review E</t>
  </si>
  <si>
    <t>Liu,Xiaoyuan</t>
  </si>
  <si>
    <t>0000-0001-9056-6443</t>
  </si>
  <si>
    <t>2470-0053</t>
  </si>
  <si>
    <t>Quantum-enhanced cluster detection in physical images</t>
  </si>
  <si>
    <t>10.1103/PhysRevApplied.19.054031</t>
  </si>
  <si>
    <t>Physical Review Applied</t>
  </si>
  <si>
    <t>Horizon 2020 Framework Programme, U.S. Department of Energy, Office of Science</t>
  </si>
  <si>
    <t>Pereira,Jason L.</t>
  </si>
  <si>
    <t>0000-0002-0568-5737</t>
  </si>
  <si>
    <t>2331-7019</t>
  </si>
  <si>
    <t>Analytical bounds for nonasymptotic asymmetric state discrimination</t>
  </si>
  <si>
    <t>10.1103/PhysRevApplied.19.054030</t>
  </si>
  <si>
    <t>Measurement of magnetic cavitation driven by heat flow in a plasma</t>
  </si>
  <si>
    <t>10.1103/PhysRevLett.131.015101</t>
  </si>
  <si>
    <t>Physical Review Letters</t>
  </si>
  <si>
    <t>Lawrence Livermore National Laboratory, EUROfusion, Engineering and Physical Sciences Research Council, University of York, Viking Society for Northern Research</t>
  </si>
  <si>
    <t>Arran,C.</t>
  </si>
  <si>
    <t>0000-0002-8644-8118</t>
  </si>
  <si>
    <t>1079-7114</t>
  </si>
  <si>
    <t>0031-9007</t>
  </si>
  <si>
    <t>Virus-induced changes in root volatiles attract soil nematode vectors to infected plants</t>
  </si>
  <si>
    <t>10.1111/nph.19518</t>
  </si>
  <si>
    <t>Wiley_OABLE_requests_1_Dec_2023-3_Jan_2024</t>
  </si>
  <si>
    <t>Biotechnology and Biological Sciences Research Council; Rural and Environment Science and Analytical Services Division</t>
  </si>
  <si>
    <t>https://orcid.org/0000-0002-1903-2286</t>
  </si>
  <si>
    <t>Existence and rotatability of the two?colored Jones?Wenzl projector</t>
  </si>
  <si>
    <t>10.1112/blms.12983</t>
  </si>
  <si>
    <t>Bulletin of the London Mathematical Society</t>
  </si>
  <si>
    <t>Engineering and Physical Sciences Research Council; Royal Commission for the Exhibition of 1851</t>
  </si>
  <si>
    <t>AMIT HAZI</t>
  </si>
  <si>
    <t>amit.hazi@york.ac.uk</t>
  </si>
  <si>
    <t>1469-2120</t>
  </si>
  <si>
    <t>N,N-DIMETHYL FORMAMIDE EUROPEAN RESTRICTION DEMANDS SOLVENT SUBSTITUTION IN RESEARCH AND DEVELOPMENT</t>
  </si>
  <si>
    <t>10.1002/cssc.202301639</t>
  </si>
  <si>
    <t>James Sherwood</t>
  </si>
  <si>
    <t>james.sherwood@york.ac.uk</t>
  </si>
  <si>
    <t>https://orcid.org/0000-0001-5431-2032</t>
  </si>
  <si>
    <t>Crises of the Welfare State, resilience, and pessimism of the intellect</t>
  </si>
  <si>
    <t>10.1111/spol.12996</t>
  </si>
  <si>
    <t>Zoe Irving</t>
  </si>
  <si>
    <t>zoe.irving@york.ac.uk</t>
  </si>
  <si>
    <t>https://orcid.org/0000-0001-5014-0261</t>
  </si>
  <si>
    <t>Accessing care for Long Covid from the perspectives of patients and healthcare practitioners: A qualitative study</t>
  </si>
  <si>
    <t>10.1111/hex.14008</t>
  </si>
  <si>
    <t>This study was funded by NIHR (COV-LT2-0043) as part of the STIMULATE-ICP study. Carolyn A. Chew-Graham is part-funded by National Institute for Health and Care Research Applied Research Collaboration (NIHR ARC) West Midlands. Mark Gabbay is part-funded by National Institute for Health Research (NIHR) Applied Research Collaboration North West Coast (NIHR ARC NWC). The views expressed are those of the authors and not necessarily those of the National Institute of Health and Care Research or the Department of Health and Social Care.</t>
  </si>
  <si>
    <t>Financial incentives and prescribing behavior in primary care</t>
  </si>
  <si>
    <t>10.1002/hec.4793</t>
  </si>
  <si>
    <t>Nils Gutacker</t>
  </si>
  <si>
    <t>nils.gutacker@york.ac.uk</t>
  </si>
  <si>
    <t>https://orcid.org/0000-0002-2833-0621</t>
  </si>
  <si>
    <t>Analyzing the effect of sibling number on input and output in the first 18 months</t>
  </si>
  <si>
    <t>10.1111/infa.12578</t>
  </si>
  <si>
    <t>Catherine Laing</t>
  </si>
  <si>
    <t>catherinelaing24@gmail.com</t>
  </si>
  <si>
    <t>https://orcid.org/0000-0001-8022-2655</t>
  </si>
  <si>
    <t>Tory Travails and Collegiate Confusion: The Oxford University Election of 1722</t>
  </si>
  <si>
    <t>10.1111/1750-0206.12723</t>
  </si>
  <si>
    <t>CC -BY-NC</t>
  </si>
  <si>
    <t>Nigel Aston</t>
  </si>
  <si>
    <t>na1292@york.ac.uk</t>
  </si>
  <si>
    <t>Bankruptcy Resolution: Misery or Strategy</t>
  </si>
  <si>
    <t>10.1111/abac.12311</t>
  </si>
  <si>
    <t>Abacus</t>
  </si>
  <si>
    <t>JAIRAJ GUPTA</t>
  </si>
  <si>
    <t>jairaj.gupta@york.ac.uk</t>
  </si>
  <si>
    <t>1467-6281</t>
  </si>
  <si>
    <t>Work statistics and Entanglement across the fermionic superfluid-insulator transition</t>
  </si>
  <si>
    <t>10.1002/qute.202300237</t>
  </si>
  <si>
    <t>Conselho Nacional de Desenvolvimento Científico e Tecnológico; Conselho Nacional de Desenvolvimento Científico e Tecnológico; Coordenação de Aperfeiçoamento de Pessoal de Nível Superior; European Research Council; Fundação de Amparo à Pesquisa do Estado de São Paulo; Fundação de Amparo à Pesquisa do Estado de São Paulo</t>
  </si>
  <si>
    <t>https://orcid.org/0000-0002-4794-1348</t>
  </si>
  <si>
    <t>Distinguishing the role of the default mode network in perceptually coupled and decoupled states</t>
  </si>
  <si>
    <t>Not yet accepted</t>
  </si>
  <si>
    <t>Still under review 11/6/24</t>
  </si>
  <si>
    <t>Meichao Zhang</t>
  </si>
  <si>
    <t>zhangmc@psych.ac.cn</t>
  </si>
  <si>
    <t>At one with nature: Exploring mindfulness, nature connection, and pro-nature conservation behaviours in urban surroundings</t>
  </si>
  <si>
    <t>Wiley_OABLE_all_2023_requests.xlsx</t>
  </si>
  <si>
    <t>under-review as of end of 2023</t>
  </si>
  <si>
    <t>Nikki E M Paterson</t>
  </si>
  <si>
    <t>nikki.paterson@york.ac.uk</t>
  </si>
  <si>
    <t>Shaping research for people living with co-existing mental and physical health conditions: a research priority setting initiative from the United Kingdom</t>
  </si>
  <si>
    <t>10.1111/hex.14044</t>
  </si>
  <si>
    <t xml:space="preserve">This report is independent research funded by the National Institute for Health and Care Research Yorkshire and Humber Applied Research Collaboration. </t>
  </si>
  <si>
    <t>Olivia Taylor</t>
  </si>
  <si>
    <t>Olivia.taylor@york.ac.uk</t>
  </si>
  <si>
    <t>?They like to try and boss them around a little?: reablement service staff's experiences of managing adult children's efforts to assert control</t>
  </si>
  <si>
    <t>under-review as of 11/6/2024</t>
  </si>
  <si>
    <t>Bryony Beresford</t>
  </si>
  <si>
    <t>bryony.beresford@york.ac.uk</t>
  </si>
  <si>
    <t>Depression Care Integration in Tuberculosis Services: A Feasibility Assessment in Pakistan</t>
  </si>
  <si>
    <t>10.1111/hex.13985</t>
  </si>
  <si>
    <t>The National Institute for Health Research (NIHR)(17/63/130) funded this research through UK aid from the UKGovernment to support global health research.</t>
  </si>
  <si>
    <t>Saima Afaq</t>
  </si>
  <si>
    <t>saima.afaq@york.ac.uk</t>
  </si>
  <si>
    <t>Mapping the functional and structural connectivity of the scene network</t>
  </si>
  <si>
    <t>10.1002/hbm.26628</t>
  </si>
  <si>
    <t>Data were provided in part by the Human Connectome Project, WU-Minn Consortium (Principal Investigators: David Van Essen and KamilUgurbil; 1U54MH091657) funded by the 16 NIH Institutes and Cen-tres that support the NIH Blueprint for Neuroscience Research; andby the McDonnell Centre for Systems Neuroscience at WashingtonUniversity.</t>
  </si>
  <si>
    <t>Qualitative insights into the factors impacting information sharing in people with chronic haematological malignancies</t>
  </si>
  <si>
    <t>10.1155/2024/9999977</t>
  </si>
  <si>
    <t>This work was funded by the National Institute for Health Research (RP-PG-0613-2002), Cancer Research UK (29685) and Blood Cancer UK (15037).</t>
  </si>
  <si>
    <t>Default mode network shows distinct emotional and contextual responses yet common effects of retrieval demands across tasks</t>
  </si>
  <si>
    <t>10.1002/hbm.26703</t>
  </si>
  <si>
    <t>This project was funded by a EuropeanResearch Council Consolidator grant (FLEXSEM—771863) to Eliza-beth Jefferies.</t>
  </si>
  <si>
    <t>Nicholas E. Souter</t>
  </si>
  <si>
    <t>n.souter@sussex.ac.uk</t>
  </si>
  <si>
    <t>Co-production and adaptation of a prison-based problem-solving workbook to support the mental health of patients housed within a medium- and low-secure forensic service</t>
  </si>
  <si>
    <t>10.1111/hex.13997</t>
  </si>
  <si>
    <t>Research Capability Funds from TEWV in 2020/21</t>
  </si>
  <si>
    <t>under-review as of end of 2023. Title as originally reported: Forensic in-patient coproduction and adaptation of a prison-based problem-solving workbook to support mental health in a forensic mental health hospital</t>
  </si>
  <si>
    <t>Amanda Perry E</t>
  </si>
  <si>
    <t>amanda.perry@york.ac.uk</t>
  </si>
  <si>
    <t>Glucose-1-phosphate thymidylyltransferase promotes the production of 3-O-?-mycarosylerythronolide B in &lt;i&gt;Streptomyces coelicolor&lt;/i&gt;</t>
  </si>
  <si>
    <t>Science City York; Biotechnology and Biological Sciences Research Council</t>
  </si>
  <si>
    <t>under-review as of 11/06/2024</t>
  </si>
  <si>
    <t>Hong Gao</t>
  </si>
  <si>
    <t>h.gao@tees.ac.uk</t>
  </si>
  <si>
    <t>Archetypes of Nature-based solutions for farming in the North York Moors National Park</t>
  </si>
  <si>
    <t>Luisana Barrios Renteria</t>
  </si>
  <si>
    <t>luisana.barrios@alumni.york.ac.uk</t>
  </si>
  <si>
    <t>Abdominal Wall Reconstruction Following Full Thickness Bilateral Rupture of the Rectus Abdominis</t>
  </si>
  <si>
    <t>Case Reports in Surgery</t>
  </si>
  <si>
    <t>Dernas Suhail</t>
  </si>
  <si>
    <t>hyds24@hyms.ac.uk</t>
  </si>
  <si>
    <t>2090-6919</t>
  </si>
  <si>
    <t>Individual word representations dissociate from linguistic context along a cortical unimodal to heteromodal gradient</t>
  </si>
  <si>
    <t>10.1002/hbm.26607</t>
  </si>
  <si>
    <t>European Research Council, Grant/AwardNumber: 771863</t>
  </si>
  <si>
    <t>Susanne Eisenhauer</t>
  </si>
  <si>
    <t>susanne.eisenhauer@york.ac.uk</t>
  </si>
  <si>
    <t>Flood Management in Rwanda: An analysis of Policy Implementation Perspective</t>
  </si>
  <si>
    <t>Journal of Flood Risk Management</t>
  </si>
  <si>
    <t>Vincent HABUMUGISHA</t>
  </si>
  <si>
    <t>vincenthaba@yahoo.fr</t>
  </si>
  <si>
    <t>1753-318X</t>
  </si>
  <si>
    <t>Distributions of easy axes and reversal processes in patterned MRAM arrays</t>
  </si>
  <si>
    <t>10.1038/s41598-023-47629-0</t>
  </si>
  <si>
    <t>Scientific Reports</t>
  </si>
  <si>
    <t>Springer_dashboard_approved_2023.xlsx</t>
  </si>
  <si>
    <t>Springer fully OA journal approved via dashboard and paid by APC</t>
  </si>
  <si>
    <t>William Frost</t>
  </si>
  <si>
    <t>William Frost, Robert Carpenter, Sebastien Couet, Kevin O’Grady, Gonzalo Vallejo Fernandez</t>
  </si>
  <si>
    <t>2045-2322</t>
  </si>
  <si>
    <t>Dynamic inconsistency under ambiguity: An experiment</t>
  </si>
  <si>
    <t>10.1007/s11166-023-09418-y</t>
  </si>
  <si>
    <t>Universita degli Studi di Bari Aldo Moro</t>
  </si>
  <si>
    <t>John D. Hey</t>
  </si>
  <si>
    <t>http://orcid.org/0000-0001-6692-1484</t>
  </si>
  <si>
    <t>Rocco Caferra, John D. Hey, Andrea Morone, Marco Santorsola</t>
  </si>
  <si>
    <t>“Doing the Right Thing” and “Making a Difference”: The Role of Personal Ethical Values in Diversity and Inclusion Consulting</t>
  </si>
  <si>
    <t>10.1007/s10551-023-05514-w</t>
  </si>
  <si>
    <t>http://orcid.org/0000-0002-0695-3182</t>
  </si>
  <si>
    <t>Anne-marie Greene, Gill Kirton</t>
  </si>
  <si>
    <t>Unitary, Anomalous Master Ward Identity and its Connections to the Wess–Zumino Condition, BV Formalism and L∞-algebras</t>
  </si>
  <si>
    <t>10.1007/s00023-023-01388-w</t>
  </si>
  <si>
    <t>Kasia Rejzner</t>
  </si>
  <si>
    <t>http://orcid.org/0000-0001-7101-5806</t>
  </si>
  <si>
    <t>Romeo Brunetti, Michael Dütsch, Klaus Fredenhagen, Kasia Rejzner</t>
  </si>
  <si>
    <t>Comparing body image dissatisfaction between pregnant women and non-pregnant women: a systematic review and meta-analysis</t>
  </si>
  <si>
    <t>10.1186/s12884-023-05930-w</t>
  </si>
  <si>
    <t>BMC Pregnancy and Childbirth</t>
  </si>
  <si>
    <t>Anna Crossland</t>
  </si>
  <si>
    <t>Anna Crossland, Lydia Munns, Elizabeth Kirk, Catherine Preston</t>
  </si>
  <si>
    <t>1471-2393</t>
  </si>
  <si>
    <t>A comparison of language control while switching within versus between languages in younger and older adults</t>
  </si>
  <si>
    <t>10.1038/s41598-023-43886-1</t>
  </si>
  <si>
    <t>This work was funded by an INSPIRE grant generously awarded to Hull York Medical School by the Academy of Medical Sciences through the Wellcome Trust [Ref: IR5 1018]</t>
  </si>
  <si>
    <t>https://orcid.org/0000-0001-8326-0294</t>
  </si>
  <si>
    <t>Angela de Bruin, Heidi Kressel, Daisy Hemmings</t>
  </si>
  <si>
    <t>Priorities for research to support local authority action on health and climate change: a study in England</t>
  </si>
  <si>
    <t>10.1186/s12889-023-16717-1</t>
  </si>
  <si>
    <t>BMC Public Health</t>
  </si>
  <si>
    <t>Pete Lampard</t>
  </si>
  <si>
    <t>Pete Lampard, Shainur Premji, Joy Adamson, Laura Bojke, Karen Glerum-Brooks, Su Golder, Hilary Graham, Dina Jankovic, Dagmar Zeuner</t>
  </si>
  <si>
    <t>1471-2458</t>
  </si>
  <si>
    <t>The ascending chain condition on principal right ideals for semigroup constructions</t>
  </si>
  <si>
    <t>10.1007/s10998-023-00570-1</t>
  </si>
  <si>
    <t>The great crypto crash in September 2018: why did the cryptocurrency market collapse?</t>
  </si>
  <si>
    <t>10.1007/s10479-023-05575-0</t>
  </si>
  <si>
    <t>http://orcid.org/0000-0002-6092-1843</t>
  </si>
  <si>
    <t>Bioarchaeological approaches to understanding the long-term development of mountain societies</t>
  </si>
  <si>
    <t>10.1007/s12520-023-01889-z</t>
  </si>
  <si>
    <t>Arts and Humanities Research Council, Aix-Marseille Université</t>
  </si>
  <si>
    <t>Kevin Walsh</t>
  </si>
  <si>
    <t>http://orcid.org/0000-0003-1621-2625</t>
  </si>
  <si>
    <t>Kevin Walsh, Juliette Knockaert, Katharina Dulias, Charline Giguet-Covex, Dianne Unsain, Sylvain Burri, Pierre Magniez, Alistair Pike, David Orton, Florence Mocci</t>
  </si>
  <si>
    <t>Structural conservation of insulin/IGF signalling axis at the insulin receptors level in Drosophila and humans</t>
  </si>
  <si>
    <t>10.1038/s41467-023-41862-x</t>
  </si>
  <si>
    <t>Nature Communications</t>
  </si>
  <si>
    <t>RCUK | Medical Research Council (MRC), RCUK | Biotechnology and Biological Sciences Research Council (BBSRC), Research Councils UK (RCUK), Novo Nordisk</t>
  </si>
  <si>
    <t>Andrzej M. Brzozowski</t>
  </si>
  <si>
    <t>http://orcid.org/0000-0001-7426-8948</t>
  </si>
  <si>
    <t>Cristina M. Viola, Orsolya Frittmann, Huw T. Jenkins, Talha Shafi, Pierre De Meyts, Andrzej M. Brzozowski</t>
  </si>
  <si>
    <t>2041-1723</t>
  </si>
  <si>
    <t>Understanding the impact of Covid-19 on the delivery and receipt of prison healthcare: an international scoping review</t>
  </si>
  <si>
    <t>10.1186/s40352-023-00242-9</t>
  </si>
  <si>
    <t>Health &amp; Justice</t>
  </si>
  <si>
    <t>Pip Hearty</t>
  </si>
  <si>
    <t>http://orcid.org/0000-0002-0172-505X</t>
  </si>
  <si>
    <t>Pip Hearty, Krysia Canvin, Sue Bellass, Sarah Hampton, Nat Wright, Laura Sheard</t>
  </si>
  <si>
    <t>2194-7899</t>
  </si>
  <si>
    <t>Examining the Relationship Between Screening for Postpartum Depression and Associated Child Health Service Utilization and Costs: A Study Using the All Our Families Cohort and Administrative Data</t>
  </si>
  <si>
    <t>10.1007/s10995-023-03831-0</t>
  </si>
  <si>
    <t>Cumming School of Medicine, University of Calgary, Institute of Health Economics</t>
  </si>
  <si>
    <t>Shainur Premji</t>
  </si>
  <si>
    <t>http://orcid.org/0000-0002-9951-5244</t>
  </si>
  <si>
    <t>Shainur Premji, Deborah Ann McNeil, Maria Jose Santana, Eldon Spackman</t>
  </si>
  <si>
    <t>Constructing public–private partnerships to undermine the public interest: critical discourse analysis of working together published by the international alliance for responsible drinking</t>
  </si>
  <si>
    <t>10.1186/s12992-023-01000-0</t>
  </si>
  <si>
    <t>Globalization and Health</t>
  </si>
  <si>
    <t>Mary Madden</t>
  </si>
  <si>
    <t>http://orcid.org/0000-0001-5749-2665</t>
  </si>
  <si>
    <t>Mary Madden, Andrew Bartlett, Jim McCambridge</t>
  </si>
  <si>
    <t>1744-8603</t>
  </si>
  <si>
    <t>Virtue, Authenticity and Irony: Themes from Sartre and Williams</t>
  </si>
  <si>
    <t>10.1007/s11245-023-09985-4</t>
  </si>
  <si>
    <t>Alan Thomas</t>
  </si>
  <si>
    <t>http://orcid.org/0000-0002-8053-7195</t>
  </si>
  <si>
    <t>A is for Aesthetics: The Multisensory Beauty of Baby Books</t>
  </si>
  <si>
    <t>10.1007/s10583-023-09550-y</t>
  </si>
  <si>
    <t>Clémentine Beauvais</t>
  </si>
  <si>
    <t>http://orcid.org/0000-0002-5854-4866</t>
  </si>
  <si>
    <t>Digital health literacy and digital engagement for people with severe mental ill health across the course of the COVID-19 pandemic in England</t>
  </si>
  <si>
    <t>10.1186/s12911-023-02299-w</t>
  </si>
  <si>
    <t>BMC Medical Informatics and Decision Making</t>
  </si>
  <si>
    <t>Medical Research Council, Welcome Trust, UK Research and Innovation</t>
  </si>
  <si>
    <t>P Spanakis</t>
  </si>
  <si>
    <t>P Spanakis, B Lorimer, E Newbronner, R Wadman, S Crosland, S Gilbody, G Johnston, L. Walker, E Peckham</t>
  </si>
  <si>
    <t>1472-6947</t>
  </si>
  <si>
    <t>Adaptive learning from outcome contingencies in eating-disorder risk groups</t>
  </si>
  <si>
    <t>10.1038/s41398-023-02633-w</t>
  </si>
  <si>
    <t>Translational Psychiatry</t>
  </si>
  <si>
    <t>RCUK | Medical Research Council (MRC)</t>
  </si>
  <si>
    <t>Alexandra C. Pike</t>
  </si>
  <si>
    <t>http://orcid.org/0000-0003-1972-5530</t>
  </si>
  <si>
    <t>Alexandra C. Pike, Ann L. Sharpley, Rebecca J. Park, Philip J. Cowen, Michael Browning, Erdem Pulcu</t>
  </si>
  <si>
    <t>2158-3188</t>
  </si>
  <si>
    <t>Decoupling speciation and extinction reveals both abiotic and biotic drivers shaped 250 million years of diversity in crocodile-line archosaurs</t>
  </si>
  <si>
    <t>10.1038/s41559-023-02244-0</t>
  </si>
  <si>
    <t>Nature Ecology &amp; Evolution</t>
  </si>
  <si>
    <t>Palaeontological Association (PalAss), Royal Society, Leverhulme Trust</t>
  </si>
  <si>
    <t>Katie E. Davis</t>
  </si>
  <si>
    <t>http://orcid.org/0000-0002-9235-7853</t>
  </si>
  <si>
    <t>Alexander R. D. Payne, Philip D. Mannion, Graeme T. Lloyd, Katie E. Davis</t>
  </si>
  <si>
    <t>2397-334X</t>
  </si>
  <si>
    <t>Clonal selection of hematopoietic stem cells after gene therapy for sickle cell disease</t>
  </si>
  <si>
    <t>10.1038/s41591-023-02636-6</t>
  </si>
  <si>
    <t>Nature Medicine</t>
  </si>
  <si>
    <t>Bill and Melinda Gates Foundation (Bill &amp; Melinda Gates Foundation), EC | EU Framework Programme for Research and Innovation H2020 | H2020 Priority Excellent Science | H2020 European Research Council (H2020 Excellent Science - European Research Council), Cancer Research UK (CRUK), U.S. Department of Health &amp; Human Services | NIH | National Heart, Lung, and Blood Institute (NHLBI), Wellcome Trust (Wellcome)</t>
  </si>
  <si>
    <t>David G. Kent</t>
  </si>
  <si>
    <t>http://orcid.org/0000-0001-7871-8811</t>
  </si>
  <si>
    <t>Michael Spencer Chapman, Alyssa H. Cull, Marioara F. Ciuculescu, Erica B. Esrick, Emily Mitchell, Hyunchul Jung, Laura O’Neill, Kirsty Roberts, Margarete A. Fabre, Nicholas Williams, Jyoti Nangalia, Joanne Quinton, James M. Fox, Danilo Pellin, Julie Makani, Myriam Armant, David A. Williams, Peter J. Campbell, David G. Kent</t>
  </si>
  <si>
    <t>1546-170X</t>
  </si>
  <si>
    <t>Multisensory processing and proprioceptive plasticity during resizing illusions</t>
  </si>
  <si>
    <t>10.1007/s00221-023-06759-7</t>
  </si>
  <si>
    <t>Pain Relief Foundation, Biotechnology and Biological Sciences Research Council</t>
  </si>
  <si>
    <t>Kirralise J. Hansford</t>
  </si>
  <si>
    <t>http://orcid.org/0000-0002-5738-6843</t>
  </si>
  <si>
    <t>Kirralise J. Hansford, Daniel H. Baker, Kirsten J. McKenzie, Catherine E. J. Preston</t>
  </si>
  <si>
    <t>Markets as dualistic, semi-decentralized organizations</t>
  </si>
  <si>
    <t>10.1007/s43253-023-00111-z</t>
  </si>
  <si>
    <t>Review of Evolutionary Political Economy</t>
  </si>
  <si>
    <t>William A. Jackson</t>
  </si>
  <si>
    <t>http://orcid.org/0000-0001-5194-7307</t>
  </si>
  <si>
    <t>2662-6144</t>
  </si>
  <si>
    <t>Negotiating with the Past: China’s Tactical Use of History, Emotion and Identity in the Sino-British Talks on the Future of Hong Kong</t>
  </si>
  <si>
    <t>10.1007/s12140-023-09422-8</t>
  </si>
  <si>
    <t>East Asia</t>
  </si>
  <si>
    <t>Matthew Hurst</t>
  </si>
  <si>
    <t>http://orcid.org/0000-0002-1005-3662</t>
  </si>
  <si>
    <t>1874-6284</t>
  </si>
  <si>
    <t>Measurement of the helicity asymmetry E for the γ p → pπ0 reaction in the resonance region</t>
  </si>
  <si>
    <t>10.1140/epja/s10050-023-01123-3</t>
  </si>
  <si>
    <t>Russian Science Foundation, Nuclear Physics, Science and Technology Facilities Council</t>
  </si>
  <si>
    <t>N. Zachariou</t>
  </si>
  <si>
    <t>http://orcid.org/0000-0001-7621-5612</t>
  </si>
  <si>
    <t>C. W. Kim, N. Zachariou, M. Bashkanov, W. J. Briscoe, S. Fegan, V. L. Kashevarov, K. Nikonov, A. Sarantsev, A. Schmidt, I. I. Strakovsky, D. P. Watts, R. L. Workman, P. Achenbach, Z. Akbar, M. J. Amaryan, G. Angelini, W. R. Armstrong, H. Atac, L. Baashen, N. A. Baltzell, L. Barion, M. Battaglieri, I. Bedlinskiy, B. Benkel, F. Benmokhtar, N. Benmouna, A. Bianconi, A. S. Biselli, W. A. Booth, F. Bossù, S. Boiarinov, K. T. Brinkmann, J. Brock, D. Bulumulla, V. D. Burkert, T. Cao, C. Carlin, D. S. Carman, J. C. Carvajal, P. Chatagnon, V. Chesnokov, T. Chetry, G. Ciullo, G. Clash, P. L. Cole, M. Contalbrigo, O. Cortes Becerra, G. Costantini, V. Crede, A. D’Angelo, N. Dashyan, R. De Vita, M. Defurne, A. Deur, S. Diehl, C. Djalali, M. Dugger, R. Dupre, H. Egiyan, A. El Alaoui, L. El Fassi, L. Elouadrhiri, P. Eugenio, A. Filippi, C. Fogler, G. Gavalian, G. P. Gilfoyle, A. A. Golubenko, G. Gosta, R. W. Gothe, K. A. Griffioen, K. Hafidi, H. Hakobyan, M. Hattawy, F. Hauenstein, T. B. Hayward, D. Heddle, A. Hobart, M. Holtrop, Y. Ilieva, I. Illari, D. G. Ireland, E. L. Isupov, H. Iwamoto, D. Jenkins, H. S. Jo, R. Johnston, K. Joo, S. Joosten, T. Kageya, C. D. Keith, D. Keller, A. Khanal, A. Kim, W. Kim, F. J. Klein, V. Klimenko, A. Kripko, V. Kubarovsky, L. Lanza, M. Leali, S. Lee, X. Li, K. Livingston, I. J. D. MacGregor, D. Marchand, V. Mascagna, B. McKinnon, S. Migliorati, R. G. Milner, T. Mineeva, V. Mokeev, C. Munoz Camacho, P. Nadel-Turonski, K. Neupane, S. Niccolai, M. Osipenko, A. I. Ostrovidov, P. Pandey, M. Paolone, L. L. Pappalardo, R. Paremuzyan, E. Pasyuk, S. J. Paul, N. Pilleux, M. Pokhrel, J. Poudel, J. W. Price, Y. Prok, A. Radic, N. Ramasubramanian, S. Ratliff, T. Reed, J. Richards, M. Ripani, B. G. Ritchie, J. Ritman, G. Rosner, C. Salgado, S. Schadmand, D. Schott, R. A. Schumacher, M. B. C. Scott, M. L. Seely, E. M. Seroka, E. V. Shirokov, U. Shrestha, D. Sokhan, N. Sparveris, M. Spreafico, S. Strauch, J. Tan, R. Tyson, M. Ungaro, S. Vallarino, L. Venturelli, H. Voskanyan, E. Voutier, X. Wei, R. Williams, R. Wishart, M. H. Wood, M. Yurov, J. Zhang, M. Zurek</t>
  </si>
  <si>
    <t>Computing Synthetic Controls Using Bilevel Optimization</t>
  </si>
  <si>
    <t>10.1007/s10614-023-10471-7</t>
  </si>
  <si>
    <t>Computational Economics</t>
  </si>
  <si>
    <t>Xun Zhou</t>
  </si>
  <si>
    <t>https://orcid.org/0000-0003-2093-4508</t>
  </si>
  <si>
    <t>Pekka Malo, Juha Eskelinen, Xun Zhou, Timo Kuosmanen</t>
  </si>
  <si>
    <t>1572-9974</t>
  </si>
  <si>
    <t>Is it feasible to nest a Trial within a Cohort Study (TwiCS) to evaluate an early years parenting programme? A Born in Bradford’s Better Start study protocol</t>
  </si>
  <si>
    <t>10.1186/s40814-023-01441-9</t>
  </si>
  <si>
    <t>Pilot and Feasibility Studies</t>
  </si>
  <si>
    <t>National Lottery Community Fund, National Institute for Health Research Collaboration for Leadership in Applied Health Research and Care Yorkshire and Humber</t>
  </si>
  <si>
    <t>Kate E. Mooney</t>
  </si>
  <si>
    <t>http://orcid.org/0000-0003-4231-1643</t>
  </si>
  <si>
    <t>Kate E. Mooney, Charlie Welch, Kirsty Crossley, Tracey Bywater, John Wright, Josie Dickerson, Sarah Blower</t>
  </si>
  <si>
    <t>2055-5784</t>
  </si>
  <si>
    <t>Naturalistic Scene Modelling: Deep Learning with Insights from Biology</t>
  </si>
  <si>
    <t>10.1007/s11265-023-01894-4</t>
  </si>
  <si>
    <t>Journal of Signal Processing Systems</t>
  </si>
  <si>
    <t>Kunshan Municipal Government</t>
  </si>
  <si>
    <t>Kofi Appiah</t>
  </si>
  <si>
    <t>http://orcid.org/0000-0002-9480-0679</t>
  </si>
  <si>
    <t>Kofi Appiah, Zhiyong Jin, Lei Shi, Sze Chai Kwok</t>
  </si>
  <si>
    <t>1939-8115</t>
  </si>
  <si>
    <t>Developing research skills in medical students online using an active research study</t>
  </si>
  <si>
    <t>10.1186/s12909-023-04781-5</t>
  </si>
  <si>
    <t>BMC Medical Education</t>
  </si>
  <si>
    <t>Heidi A. Baseler</t>
  </si>
  <si>
    <t>http://orcid.org/0000-0003-0995-8453</t>
  </si>
  <si>
    <t>Aziz U. R. Asghar, Murat Aksoy, Alison I. Graham, Heidi A. Baseler</t>
  </si>
  <si>
    <t>1472-6920</t>
  </si>
  <si>
    <t>Learning to select SAT encodings for pseudo-Boolean and linear integer constraints</t>
  </si>
  <si>
    <t>10.1007/s10601-023-09364-1</t>
  </si>
  <si>
    <t>Constraints</t>
  </si>
  <si>
    <t>Felix Ulrich-Oltean</t>
  </si>
  <si>
    <t>http://orcid.org/0000-0001-5162-5826</t>
  </si>
  <si>
    <t>Felix Ulrich-Oltean, Peter Nightingale, James Alfred Walker</t>
  </si>
  <si>
    <t>1572-9354</t>
  </si>
  <si>
    <t xml:space="preserve">
            AePUb promoter length modulates gene expression in Aedes aegypti
         </t>
  </si>
  <si>
    <t>10.1038/s41598-023-47777-3</t>
  </si>
  <si>
    <t>Defense Advanced Research Projects Agency, Wellcome Trust, Biotechnology and Biological Sciences Research Council</t>
  </si>
  <si>
    <t>Michelle A.E. Anderson</t>
  </si>
  <si>
    <t>Michelle A. E. Anderson, Philip T. Leftwich, Ray Wilson, Leonela Z. Carabajal Paladino, Sanjay Basu, Sara Rooney, Zach N. Adelman, Luke Alphey</t>
  </si>
  <si>
    <t>A new scale assessing the stressors and rewards of children’s hospice work</t>
  </si>
  <si>
    <t>10.1186/s12904-023-01246-w</t>
  </si>
  <si>
    <t>BMC Palliative Care</t>
  </si>
  <si>
    <t>Andrew Papworth</t>
  </si>
  <si>
    <t>Andrew Papworth, Andre Bedendo, Jo Taylor, Bryony Beresford, Suzanne Mukherjee, Lorna K Fraser, Lucy Ziegler</t>
  </si>
  <si>
    <t>1472-684X</t>
  </si>
  <si>
    <t>Plasma-Induced Interfacial Processes in Metal Halides FTIR Gas Cell Windows</t>
  </si>
  <si>
    <t>10.1007/s41664-023-00274-y</t>
  </si>
  <si>
    <t>Journal of Analysis and Testing</t>
  </si>
  <si>
    <t>UK Engineering and Physical Sciences Research Council (EPSRC), Public Agency for Research Activity of the Republic of Slovenia, NATO</t>
  </si>
  <si>
    <t>James L. Walsh</t>
  </si>
  <si>
    <t>http://orcid.org/0000-0002-6318-0892</t>
  </si>
  <si>
    <t>Jaka Olenik, Vasyl Shvalya, Martina Modic, Jernej Ekar, Janez Kovač, Uros Cvelbar, James L. Walsh</t>
  </si>
  <si>
    <t>2509-4696</t>
  </si>
  <si>
    <t>Purposefully purple: understanding the technological transition from late Medieval green to purple glazed Humber wares</t>
  </si>
  <si>
    <t>10.1007/s12520-023-01905-2</t>
  </si>
  <si>
    <t>Gareth Perry</t>
  </si>
  <si>
    <t>http://orcid.org/0000-0003-3227-4017</t>
  </si>
  <si>
    <t>Gareth Perry, Tom Watson, Caroline Jackson</t>
  </si>
  <si>
    <t>Understanding the social determinants of child mortality in Latin America over the last two decades: a machine learning approach</t>
  </si>
  <si>
    <t>10.1038/s41598-023-47994-w</t>
  </si>
  <si>
    <t>Carlos Chivardi, Alejandro Zamudio Sosa, Daniella Medeiros Cavalcanti, José Alejandro Ordoñez, Juan Felipe Diaz, Daniela Zuluaga, Cristina Almeida, Edson Serván-Mori, Philipp Hessel, Ana L. Moncayo, Davide Rasella</t>
  </si>
  <si>
    <t>Ventral and dorsal aspects of the inferior frontal-occipital fasciculus support verbal semantic access and visually-guided behavioural control</t>
  </si>
  <si>
    <t>10.1007/s00429-023-02729-5</t>
  </si>
  <si>
    <t>HORIZON EUROPE European Research Council</t>
  </si>
  <si>
    <t>Tirso R. J. Gonzalez Alam</t>
  </si>
  <si>
    <t>Tirso R. J. Gonzalez Alam, Juan Cruz Arias, Elizabeth Jefferies, Jonathan Smallwood, Alexander Leemans, Julian Marino Davolos</t>
  </si>
  <si>
    <t>Establishing counterpoints in the sonic framing of AI narratives</t>
  </si>
  <si>
    <t>10.1007/s43681-023-00404-3</t>
  </si>
  <si>
    <t>http://orcid.org/0000-0002-9716-820X</t>
  </si>
  <si>
    <t>Jennifer Chubb, David Beer</t>
  </si>
  <si>
    <t>How do schools influence the emotional and behavioural health of their pupils? A multi-level analysis of 135 schools in the Born in Bradford inner city multi-ethnic birth cohort</t>
  </si>
  <si>
    <t>10.1007/s00127-023-02608-8</t>
  </si>
  <si>
    <t>Springer Nature TA 2024</t>
  </si>
  <si>
    <t>National Institute for Health and Care Research, Wellcome Trust, UK Prevention Research Partnership</t>
  </si>
  <si>
    <t>Ruth Wadman</t>
  </si>
  <si>
    <t>http://orcid.org/0000-0003-4205-0631</t>
  </si>
  <si>
    <t>Dan Lewer, Simon Gilbody, Gemma Lewis, Joseph Pryce, Gillian Santorelli, Ruth Wadman, Aidan Watmuff, John Wright</t>
  </si>
  <si>
    <t>Blocking channels to metastasis: targeting sodium transport in breast cancer</t>
  </si>
  <si>
    <t>10.1186/s13058-023-01741-1</t>
  </si>
  <si>
    <t>Breast Cancer Research</t>
  </si>
  <si>
    <t>Cancer Research UK, Medical Research Council, Liverpool Experimental Cancer Medicine Centre</t>
  </si>
  <si>
    <t>William J. Brackenbury</t>
  </si>
  <si>
    <t>William J. Brackenbury, Carlo Palmieri</t>
  </si>
  <si>
    <t>1465-542X</t>
  </si>
  <si>
    <t>1465-5411</t>
  </si>
  <si>
    <t>Community-centred scenarios development for water–energy–food security on Zanzibar</t>
  </si>
  <si>
    <t>10.1007/s11625-023-01443-9</t>
  </si>
  <si>
    <t>Rebecca J. S. Newman, Claudia Capitani, Charis Enns, Robert A. Marchant</t>
  </si>
  <si>
    <t>Chemical analysis of pottery reveals the transition from a maritime to a plant-based economy in pre-colonial coastal Brazil</t>
  </si>
  <si>
    <t>10.1038/s41598-023-42662-5</t>
  </si>
  <si>
    <t>Springer_dashboard_rejected_2023.xslx</t>
  </si>
  <si>
    <t>To be paid from the project directly, from funds based at the University of Barcelona - 2023-10-02</t>
  </si>
  <si>
    <t>Springer fully OA journal via dashboard. Author requested us not to pay APC via YOAF.</t>
  </si>
  <si>
    <t>Marjolein Admiraal</t>
  </si>
  <si>
    <t>Marjolein Admiraal, Andre C. Colonese, Rafael G. Milheira, Dione da Rocha Bandeira, Alexandro Demathe, Adriana M. Pereira dos Santos, Thiago Fossile, Helen M. Talbot, Manon Bondetti, Alexandre Lucquin, Javier Montalvo-Cabrera, Luciano Prates, Alejandro Serna, Oliver E. Craig</t>
  </si>
  <si>
    <t>Plus Sutures for preventing surgical site infection: a systematic review of clinical outcomes with economic and environmental models</t>
  </si>
  <si>
    <t>10.1186/s12893-023-02187-0</t>
  </si>
  <si>
    <t>BMC Surgery</t>
  </si>
  <si>
    <t>Johnson and Johnson</t>
  </si>
  <si>
    <t>Author requested rejection as client-funded manuscript. - 2023-09-27</t>
  </si>
  <si>
    <t>M. Edwards</t>
  </si>
  <si>
    <t>M. Edwards, S. Graziadio, J. Shore, N. D. Schmitz, T. Galvain, W. A. Danker, M. Kocaman, D. J. Pournaras, D. M. Bowley, K. J. Hardy</t>
  </si>
  <si>
    <t>1471-2482</t>
  </si>
  <si>
    <t>Factor structure of the Oxford Shoulder Score: secondary analyses of the UK FROST and PROFHER trial populations</t>
  </si>
  <si>
    <t>10.1186/s13018-023-04319-x</t>
  </si>
  <si>
    <t>Journal of Orthopaedic Surgery and Research</t>
  </si>
  <si>
    <t>J. Simpson</t>
  </si>
  <si>
    <t>J. Simpson, A. Keding, S. Spencer, S. Brealey, A. Rangan</t>
  </si>
  <si>
    <t>1749-799X</t>
  </si>
  <si>
    <t>A Broad Spectrum Enantioselective Amide Bond Synthetase from Streptoalloteichus hindustanus</t>
  </si>
  <si>
    <t>10.1021/acscatal.3c05656</t>
  </si>
  <si>
    <t>ACS_CCC_1_Jan_2023-9_Jan_2024.xslx</t>
  </si>
  <si>
    <t>GlaxoSmithKline 10.13039/100004330 Royal Society 10.13039/5011000002882021-25 Biotechnology and Biological Sciences Research Council 10.13039/501100000268 Engineering and Physical Sciences Research Council 10.13039/501100000266 EP/T01430X/1</t>
  </si>
  <si>
    <t>Metal-mediated catalytic polarisation transfer from parahydrogen to 3,5-dihalogenated pyridines</t>
  </si>
  <si>
    <t>10.1021/acscatal.3c05378</t>
  </si>
  <si>
    <t>University of York 10.13039/100009001N0013902 UK Research and Innovation 10.13039/100014013 ST/W004852/1 EP/X023672/1</t>
  </si>
  <si>
    <t>Metallomimetic CF activation catalysis by simple phosphines</t>
  </si>
  <si>
    <t>10.1021/jacs.3c10614</t>
  </si>
  <si>
    <t>Royal Society10.13039/501100000288INF\R1\221057H2020 Marie Sklodowska-Curie Actions10.13039/100010665860322</t>
  </si>
  <si>
    <t>John Slattery</t>
  </si>
  <si>
    <t>john.slattery@york.ac.uk</t>
  </si>
  <si>
    <t>Actual Amount Adsorbed as Estimated from Surface Excess Isotherm</t>
  </si>
  <si>
    <t>10.1021/acs.langmuir.3c02597</t>
  </si>
  <si>
    <t>Ministry of Education, Culture, Sports, Science and Technology 10.13039/501100001700 JPMXP1020230325 JPMXP1122714694</t>
  </si>
  <si>
    <t>Crossing the Solubility Rubicon: 15-Crown-5 Facilitates the Preparation of Water-Soluble Sulfo-NHS Esters in Organic Solvents</t>
  </si>
  <si>
    <t>10.1021/acs.bioconjchem.3c00396</t>
  </si>
  <si>
    <t>Bioconjugate Chemistry</t>
  </si>
  <si>
    <t>Wellcome Trust 10.13039/100010269225257/Z/22/Z UK Research and Innovation 10.13039/100014013 EP/X023680/1 EP/X027724/1</t>
  </si>
  <si>
    <t>0000-0003-4715-7200</t>
  </si>
  <si>
    <t>1520-4812</t>
  </si>
  <si>
    <t>1043-1802</t>
  </si>
  <si>
    <t>Optical Screening and Classification of Drug-binding to Proteins in Human Blood Serum</t>
  </si>
  <si>
    <t>10.1021/acs.analchem.3c03713</t>
  </si>
  <si>
    <t>Analytical Chemistry</t>
  </si>
  <si>
    <t>Engineering and Physical Sciences Research Council10.13039/501100000266EP/T014318/1</t>
  </si>
  <si>
    <t>1520-6882</t>
  </si>
  <si>
    <t>0003-2700</t>
  </si>
  <si>
    <t>Fabricating Shaped and Patterned Supramolecular Multi-Gelator Objects via Diffusion-Adhesion Gel Assembly</t>
  </si>
  <si>
    <t>10.1021/jacs.3c07376</t>
  </si>
  <si>
    <t>Bromodomain Factor 5 as a Target for Antileishmanial Drug Discovery</t>
  </si>
  <si>
    <t>10.1021/acsinfecdis.3c00431</t>
  </si>
  <si>
    <t>ACS Infectious Diseases</t>
  </si>
  <si>
    <t>Biotechnology and Biological Sciences Research Council10.13039/501100000268BB/M011151/1GlaxoSmithKline10.13039/100004330Wellcome Trust10.13039/100010269204829Medical Research Council10.13039/501100000265MR/P027989/1</t>
  </si>
  <si>
    <t>Nathaniel Jones</t>
  </si>
  <si>
    <t>nathaniel.jones@york.ac.uk</t>
  </si>
  <si>
    <t>0000-0001-7328-4487</t>
  </si>
  <si>
    <t>2373-8227</t>
  </si>
  <si>
    <t>Hydrogel crosslinking via thiol-reactive pyridazinediones</t>
  </si>
  <si>
    <t>10.1021/acs.biomac.3c00290</t>
  </si>
  <si>
    <t>Biomacromolecules</t>
  </si>
  <si>
    <t>Wellcome10.13039/100004440225257/Z/22/ZLeverhulme Trust10.13039/501100000275RPG-2020-010RPG-2022-174Medical Research Council10.13039/501100000265MR/X007146/1European Hematology Association10.13039/100008594</t>
  </si>
  <si>
    <t>1526-4602</t>
  </si>
  <si>
    <t>1525-7797</t>
  </si>
  <si>
    <t>Cooperativity in Sorption Isotherms</t>
  </si>
  <si>
    <t>10.1021/acs.langmuir.3c01243</t>
  </si>
  <si>
    <t>Japan Society for the Promotion of Science10.13039/501100001691JP23H02622JP22F21756Ministry of Education, Culture, Sports, Science and Technology10.13039/501100001700JPMXP1122714694</t>
  </si>
  <si>
    <t>Mapping the Initial Stages of a Protective Pathway that Enhances Catalytic Turnover by a Lytic Polysaccharide Monooxygenase</t>
  </si>
  <si>
    <t>10.1021/jacs.3c06607</t>
  </si>
  <si>
    <t>UK Research and Innovation10.13039/100014013BB/S011986/1European Research Council10.13039/501100000781757991Biotechnology and Biological Sciences Research Council10.13039/501100000268BB/M027023/1BB/V004069/1</t>
  </si>
  <si>
    <t>0000-0002-1152-1480</t>
  </si>
  <si>
    <t>Sorption from Solution: A Statistical Thermodynamic Fluctuation Theory</t>
  </si>
  <si>
    <t>10.1021/acs.langmuir.3c00804</t>
  </si>
  <si>
    <t>Ministry of Education, Culture, Sports, Science and Technology10.13039/501100001700JPMXP1020230325JPMXP1020230327</t>
  </si>
  <si>
    <t>Do Accent and Input Modality Modulate Processing of Language Switches in Bilingual Language Comprehension?</t>
  </si>
  <si>
    <t>10.1037/xhp0001190</t>
  </si>
  <si>
    <t>Journal of Experimental Psychology: Human Perception and Performance</t>
  </si>
  <si>
    <t>American Psychological Association TA 2023-2024</t>
  </si>
  <si>
    <t>APA_CCC_1_Jan_2023-10_Jan_2024.xslx</t>
  </si>
  <si>
    <t>1939-1277</t>
  </si>
  <si>
    <t>0096-1523</t>
  </si>
  <si>
    <t>Southern Rhodesia’s Adherence to the 1929 Geneva Convention on the Treatment of Italian and German Internees, 1939–1945</t>
  </si>
  <si>
    <t>10.1163/24680966-bja10021</t>
  </si>
  <si>
    <t>Journal of African Military History</t>
  </si>
  <si>
    <t>Brill monthly report: University of York - Brill-JISC Jan-Nov 2023</t>
  </si>
  <si>
    <t>n/a</t>
  </si>
  <si>
    <t>Mujere, Joseph</t>
  </si>
  <si>
    <t>2468-0966</t>
  </si>
  <si>
    <t>2468-0958</t>
  </si>
  <si>
    <t>The Emergence of a New Identity</t>
  </si>
  <si>
    <t>10.1163/27732142-bja00007</t>
  </si>
  <si>
    <t>Journal of Religious Minorities under Muslim Rule</t>
  </si>
  <si>
    <t>Yengimolki, Ahmad</t>
  </si>
  <si>
    <t>2773-2142</t>
  </si>
  <si>
    <t>2773-2134</t>
  </si>
  <si>
    <t>Insight into manta ray behaviour using animal-borne Crittercams</t>
  </si>
  <si>
    <t>10.1163/1568539x-bja10242</t>
  </si>
  <si>
    <t>Behaviour</t>
  </si>
  <si>
    <t>US Federal Funders; National Geographic Waitt Grant (414-15)</t>
  </si>
  <si>
    <t>Pelletier, Nicole A.</t>
  </si>
  <si>
    <t>1568-539X</t>
  </si>
  <si>
    <t>0005-7959</t>
  </si>
  <si>
    <t>Witnessing Colonial Warfare in Early-20th Century Portugal: The Photographic Reportage of the Kwamato Campaign in South Angola (1907)</t>
  </si>
  <si>
    <t>10.1163/24683302-bja10056</t>
  </si>
  <si>
    <t>International Journal of Military History and Historiography</t>
  </si>
  <si>
    <t>National Funds through fct – Fundação para a Ciência e a Tecnologia, I.P. (piddac/oe), under Unit ciuhct – Interuniversity Centre for the History of Science and Technology (uidb/00286/2020)</t>
  </si>
  <si>
    <t>Pereira, Hugo Silveira</t>
  </si>
  <si>
    <t>2468-3302</t>
  </si>
  <si>
    <t>2468-3299</t>
  </si>
  <si>
    <t>Knowledge flows and industrial clusters: assessing the sources of competitive advantage in two English regions.</t>
  </si>
  <si>
    <t>10.1017/eso.2023.55</t>
  </si>
  <si>
    <t>Enterprise &amp; Society</t>
  </si>
  <si>
    <t>CUP CCC 1 Jan 2023-10 Jan 2024.xslx</t>
  </si>
  <si>
    <t>Chris Corker</t>
  </si>
  <si>
    <t>1467-2235</t>
  </si>
  <si>
    <t>1467-2227</t>
  </si>
  <si>
    <t>‘When intuitions (don’t) fail’: Combining syntax and sociolinguistics in the analysis of Scots</t>
  </si>
  <si>
    <t>10.1017/S1360674323000679</t>
  </si>
  <si>
    <t>Arts and Humanities Research Council10.13039/501100000267AH/M005550/1</t>
  </si>
  <si>
    <t>E Jamieson</t>
  </si>
  <si>
    <t>The effect of verb surprisal on the acquisition of second language syntactic structures in adults: An artificial language learning study</t>
  </si>
  <si>
    <t>10.1017/S0142716423000334</t>
  </si>
  <si>
    <t>Applied Psycholinguistics</t>
  </si>
  <si>
    <t>1469-1817</t>
  </si>
  <si>
    <t>0142-7164</t>
  </si>
  <si>
    <t>Intermittency of density fluctuations and zonal-flow generation in MAST edge plasmas</t>
  </si>
  <si>
    <t>10.1017/S0022377823001277</t>
  </si>
  <si>
    <t>Journal of Plasma Physics</t>
  </si>
  <si>
    <t>Rutherford Appleton Laboratory10.13039/100014570ST/W000903/1Simons Foundation10.13039/100000893Simons Investigation Award</t>
  </si>
  <si>
    <t>Alsu Sladkomedova</t>
  </si>
  <si>
    <t>1469-7807</t>
  </si>
  <si>
    <t>0022-3778</t>
  </si>
  <si>
    <t>An Investigation of Treatment Return after Psychological Therapy for Depression and Anxiety</t>
  </si>
  <si>
    <t>10.1017/S1352465823000322</t>
  </si>
  <si>
    <t>Economic and Social Research Council10.13039/501100000269ES/R500975/1</t>
  </si>
  <si>
    <t>Complexity of Vocal Vibrato in Opera and Jazz Recordings: Insights From Entropy and Recurrence Analyses</t>
  </si>
  <si>
    <t>10.1016/j.jvoice.2023.11.020</t>
  </si>
  <si>
    <t>Elsevier TA 2024</t>
  </si>
  <si>
    <t>Elsevier_dashboard_report_all_approved_to_10_Jan_2024</t>
  </si>
  <si>
    <t>This research was partially funded by a CONACYTFINBA scholarship (No 795214) for interdisciplinary research on arts and technology. Funders had no role in study design, collection, analysis, or publication decisions of the research</t>
  </si>
  <si>
    <t>1873-4588</t>
  </si>
  <si>
    <t>Lymphoid blood cancers, incidence and survival 2005-2023: A report from the UK’s Haematological Malignancy Research Network</t>
  </si>
  <si>
    <t>10.1016/j.canep.2023.102513</t>
  </si>
  <si>
    <t>Cancer Epidemiology</t>
  </si>
  <si>
    <t xml:space="preserve">This work was supported by Cancer Research UK and Blood Cancer UK [Grant Number 29685]. ER and AS are supported in part by the National Institute for Health and Care Research (NIHR) Leeds Biomedical Research Centre. </t>
  </si>
  <si>
    <t>1877-783X</t>
  </si>
  <si>
    <t>1877-7821</t>
  </si>
  <si>
    <t>Inclusive climate resilient transport challenges in Africa</t>
  </si>
  <si>
    <t>10.1016/j.cities.2023.104740</t>
  </si>
  <si>
    <t>This paper is an output of the Applied Research Programme in High Volume Transport funded by the Foreign, Commonwealth &amp; Development Office (FCDO). The work was undertaken in partnership with United Nations Environment Programme ‘Share the Road’ Programme. We would also like to thank all the participants in the surveys and focus groups for their time and comments. The views expressed are not necessarily those of the FCDO, or UNEP.</t>
  </si>
  <si>
    <t>1873-6084</t>
  </si>
  <si>
    <t>COVID-19, deaths at home and end-of-life cancer care</t>
  </si>
  <si>
    <t>10.1016/j.ehb.2023.101338</t>
  </si>
  <si>
    <t>This study is funded by the National Institute for Health and Care Research (NIHR) Policy Research Programme , conducted through the NIHR Policy Research Unit in Economics of Health Systems and Interface with Social Care, PR-PRU-1217-20301. The views expressed are those of the authors and not necessarily those of the NIHR or the Department of Health and Social Care. This work uses data provided by patients and collected by the NHS as part of their care and support. Hospital Episode Statistics are copyright © 2012–2021, NHS England. Re-used with the permission of NHS England. All rights reserved. This project was undertaken on the Data Safe Heaven, which is an ISO 27001 certified environment for handling sensitive data, and is provided by the University of York. We are grateful for support by the York Data Safe Heaven team and the Research Computing team. We would like to thank Tim Doran, Daniel Howdon, participants at seminars at CINCH, University of Duisberg-Essen and CERGAS, Bocconi University for helpful comments on this paper.</t>
  </si>
  <si>
    <t>1873-6130</t>
  </si>
  <si>
    <t>Polyethylene microplastic can adsorb phosphate but is unlikely to limit its availability in soil</t>
  </si>
  <si>
    <t>10.1016/j.heliyon.2023.e23179</t>
  </si>
  <si>
    <t xml:space="preserve">The research was funded by the Commonwealth Scholarship Commission in the United Kingdom. </t>
  </si>
  <si>
    <t>Fully OA journal through Elsevier dashboard. Paid by APC from YOAF.</t>
  </si>
  <si>
    <t>Developing the Teacher mentoring self-efficacy scale (TMSES) using the Delphi method and exploratory factor analysis</t>
  </si>
  <si>
    <t>10.1016/j.tate.2023.104452</t>
  </si>
  <si>
    <t>Teaching and Teacher Education</t>
  </si>
  <si>
    <t>0742-051X</t>
  </si>
  <si>
    <t>Formally verified animation for RoboChart using interaction trees</t>
  </si>
  <si>
    <t>10.1016/j.jlamp.2023.100940</t>
  </si>
  <si>
    <t>Journal of Logical and Algebraic Methods in Programming</t>
  </si>
  <si>
    <t>EP/S001190/1,EP/M025756/1,EP/R025479/1</t>
  </si>
  <si>
    <t>2352-2208</t>
  </si>
  <si>
    <t>A generalized feature projection scheme for multi-step traffic forecasting</t>
  </si>
  <si>
    <t>10.1016/j.eswa.2023.122962</t>
  </si>
  <si>
    <t>Expert Systems with Applications</t>
  </si>
  <si>
    <t>1873-6793</t>
  </si>
  <si>
    <t>0957-4174</t>
  </si>
  <si>
    <t>The potential solutions to the challenges faced by leaders of small schools in the UK: A systematic review</t>
  </si>
  <si>
    <t>10.1016/j.ijer.2023.102301</t>
  </si>
  <si>
    <t>International Journal of Educational Research</t>
  </si>
  <si>
    <t>York Policy Engine</t>
  </si>
  <si>
    <t>1873-538X</t>
  </si>
  <si>
    <t>0883-0355</t>
  </si>
  <si>
    <t>Determinants of workload-related clinician stress levels in general hospital consultation liaison psychiatry services during the COVID-19 pandemic in England and Ireland. Short report</t>
  </si>
  <si>
    <t>10.1016/j.jpsychores.2023.111584</t>
  </si>
  <si>
    <t>Improved structure and function in early detected second eye neovascular age-related macular degeneration; FASBAT/EDNA report 1</t>
  </si>
  <si>
    <t>10.1016/j.oret.2023.12.012</t>
  </si>
  <si>
    <t>Ophthalmology Retina</t>
  </si>
  <si>
    <t>Funding was received from Novartis Pharmaceuticals UK Ltd to RPG via an Investigator Initiated Trial (OAP030A2401T). The funding organisation had no role in the design or conduct of this research.</t>
  </si>
  <si>
    <t>2468-6530</t>
  </si>
  <si>
    <t>2468-7219</t>
  </si>
  <si>
    <t>Size- and Concentration-Dependent Effects of Microplastics on Soil Aggregate Formation and Properties</t>
  </si>
  <si>
    <t>10.1016/j.jhazmat.2023.133395</t>
  </si>
  <si>
    <t xml:space="preserve">This work was supported by the University of York – China Scholarships Council joint research scholarship (CSC NO: 202208890030). </t>
  </si>
  <si>
    <t>1873-3336</t>
  </si>
  <si>
    <t>Flipping the switch: dynamic modulation of membrane transporter activity in bacteria</t>
  </si>
  <si>
    <t>10.1099/mic.0.001412</t>
  </si>
  <si>
    <t>Microbiology Society CCC 1 Jan 2023-15 Jan 2024</t>
  </si>
  <si>
    <t>0000-0002-9763-1313</t>
  </si>
  <si>
    <t>Study protocol for a systems evaluation of an infant mental health service: integration of Ã¢Â€Â˜Little Minds MatterÃ¢Â€Â™ into the early years system</t>
  </si>
  <si>
    <t>10.1371/journal.pone.0286835</t>
  </si>
  <si>
    <t>PLOS monthly report Dec 2023.</t>
  </si>
  <si>
    <t>This research is funded by two awards.  The National Lottery Community Fund (previously the Big Lottery Fund) as part of the A Better Start programme (Ref 10094849). Awarded to JD, SA, SB   NIHR Yorkshire and Humber Applied Research Collaboration (ARC-YH; Ref: NIHR200166). Awarded to JD, SB  No commercial companies funded the study or provided a salary to the authors of this paper.  The study sponsor is Bradford Teaching Hospital Foundation Trust Research Management &amp; Support Office - Bradford Institute for Health Research (bradfordresearch.nhs.uk)  The funders did not and will not have a role in study design, data collection and analysis, decision to publish, or preparation of the manuscript</t>
  </si>
  <si>
    <t>Sarah Blower</t>
  </si>
  <si>
    <t>sarah.blower@york.ac.uk</t>
  </si>
  <si>
    <t>Self-management of chronic, non-communicable diseases in South Asian settings: A systematic mixed-studies review</t>
  </si>
  <si>
    <t>10.1371/journal.pgph.0001668</t>
  </si>
  <si>
    <t>Faraz Siddiqui</t>
  </si>
  <si>
    <t>faraz.siddiqui@york.ac.uk</t>
  </si>
  <si>
    <t>Six-month post-intensive care outcomes during high and low bed occupancy due to the COVID-19 pandemic: a multicenter prospective cohort study</t>
  </si>
  <si>
    <t>10.1371/journal.pone.0294631</t>
  </si>
  <si>
    <t>IMPACCT COVID-19 study was funded by Universidad del Desarrollo (Grant number 2020-78) and sponsored by the Chilean National Agency for Research and Development (ANID-0772). The funders had no role in the design, collection, analysis of the study, and writing of this manuscript. Received by CM-O.</t>
  </si>
  <si>
    <t>Ana Castro-Avila</t>
  </si>
  <si>
    <t>anacastro@udd.cl</t>
  </si>
  <si>
    <t>The long-term impact of the Covid-19 pandemic on financial insecurity in vulnerable families: findings from the Born in Bradford Covid-19 longitudinal study.</t>
  </si>
  <si>
    <t>10.1371/journal.pone.0295064</t>
  </si>
  <si>
    <t>PLOS monthly report Nov 2023</t>
  </si>
  <si>
    <t>This study was funded by The Health Foundation (https://www.health.org.uk) COVID-19 Award (2301201), with further contributions from a Wellcome Trust (https://wellcome.org) infrastructure grant (WT101597MA); a joint grant from the UK Medical Research Council (MRC) (https://www.ukri.org/councils/mrc/) and UK Economic and Social Science Research Council (ESRC) (https://www.ukri.org/councils/esrc/) (MR/N024391/1); the National Institute for Health and Care Research (NIHR) (https://www.nihr.ac.uk) under its Applied Research Collaboration Yorkshire and Humber (NIHR200166); ActEarly UK Prevention Research Partnership Consortium (https://ukprp.org/what-we-fund/actearly/) (MR/S037527/1); Better Start Bradford through The National Lottery Community Fund (https://www.tnlcommunityfund.org.uk); and the British Heart Foundation (https://www.bhf.org.uk/) (CS/16/4/32482).     SR is in receipt of an NIHR doctoral research fellowship (https://www.nihr.ac.uk) (NIHR300677).     None of the sponsors or ...</t>
  </si>
  <si>
    <t>Sian Reece</t>
  </si>
  <si>
    <t>sianreece@doctors.org.uk</t>
  </si>
  <si>
    <t>Neural reactivation in human sleep</t>
  </si>
  <si>
    <t>10.1042/ETLS20230109</t>
  </si>
  <si>
    <t>Portland Press TA 2023</t>
  </si>
  <si>
    <t>Portland CCC 1 Jan 2023-15 Jan 2024</t>
  </si>
  <si>
    <t>EC | H2020 | PRIORITY 'Excellent science' | H2020 Marie Skłodowska-Curie Actions (MSCA)</t>
  </si>
  <si>
    <t>Dan Denis</t>
  </si>
  <si>
    <t>0000-0003-3740-7587</t>
  </si>
  <si>
    <t>In Crystallo Lattice Adaptivity Triggered by Solid-Gas Reactions of Cationic Group 7 Pincer Complexes</t>
  </si>
  <si>
    <t>10.1039/D3CC03201A</t>
  </si>
  <si>
    <t>Email report: University of York all accepted articles 2023</t>
  </si>
  <si>
    <t>Engineering and Physical Sciences Research Council; Royal Society; Wellcome Trust</t>
  </si>
  <si>
    <t>Professor Andrew Weller</t>
  </si>
  <si>
    <t>A measurement and modelling investigation of the indoor air chemistry following cooking activities</t>
  </si>
  <si>
    <t>10.1039/D3EM00167A</t>
  </si>
  <si>
    <t>Dr Nicola Carslaw</t>
  </si>
  <si>
    <t>Photodissociative Decay Pathways of the Flavin Mononucleotide Anion and its Complexes with Tryptophan and Glutamic Acid</t>
  </si>
  <si>
    <t>10.1039/D3CP04359B</t>
  </si>
  <si>
    <t>American Chemical Society Petroleum Research Fund; Royal Society of Chemistry; University of York; Yorkshire Forward</t>
  </si>
  <si>
    <t>Dr Caroline Elizabeth Helen Dessent</t>
  </si>
  <si>
    <t>Supramolecular gels - A panorama of low-molecular-weight gelators from ancient origins to next-generation technologies</t>
  </si>
  <si>
    <t>10.1039/D3SM01301D</t>
  </si>
  <si>
    <t>Soft Matter</t>
  </si>
  <si>
    <t>Engineering and Physical Sciences Research Council; HORIZON EUROPE Marie Sklodowska-Curie Actions</t>
  </si>
  <si>
    <t>Professor David Smith</t>
  </si>
  <si>
    <t>1744-6848</t>
  </si>
  <si>
    <t>4’-pentyl-4-cyanobiphenyl - 5CB</t>
  </si>
  <si>
    <t>10.1080/02678292.2023.2299277</t>
  </si>
  <si>
    <t>Taylor &amp; Francis TA 2024</t>
  </si>
  <si>
    <t>Dashboard report: Taylor and Francis, Approved Articles, 2024-01-15</t>
  </si>
  <si>
    <t>["John Goodby"]</t>
  </si>
  <si>
    <t>The Origins and Legacies of Unpredictability in Rebel-Incumbent Rule</t>
  </si>
  <si>
    <t>10.1080/13698249.2024.2302731</t>
  </si>
  <si>
    <t>["Gerda Henkel Foundation"]</t>
  </si>
  <si>
    <t>Title originally reported as: Bringing Unpredictability ‘Back-In’: The Origins and Legacies Unpredictability in Rebel and Rebel-Incumbent Rule</t>
  </si>
  <si>
    <t>["Rebecca Tapscott"]</t>
  </si>
  <si>
    <t>["rebecca.tapscott@york.ac.uk"]</t>
  </si>
  <si>
    <t>Young people’s engagement in online research: challenges and lessons from conducting focus groups with young people online</t>
  </si>
  <si>
    <t>10.1080/13676261.2023.2288833</t>
  </si>
  <si>
    <t>["Joseph Rowntree Reform Trust"]</t>
  </si>
  <si>
    <t>["Katherine A Smith"]</t>
  </si>
  <si>
    <t>["katherine.a.smith@york.ac.uk"]</t>
  </si>
  <si>
    <t>What role can ‘public switching’ play in researching public perceptions of controversial issues?</t>
  </si>
  <si>
    <t>10.1080/13645579.2024.2303033</t>
  </si>
  <si>
    <t>International Journal of Social Research Methodology</t>
  </si>
  <si>
    <t>["UK Research and Innovation","Royal Society of Arts"]</t>
  </si>
  <si>
    <t>["0000-0002-0936-8149"]</t>
  </si>
  <si>
    <t>1464-5300</t>
  </si>
  <si>
    <t>1364-5579</t>
  </si>
  <si>
    <t>On Light</t>
  </si>
  <si>
    <t>10.1080/23322551.2023.2295688</t>
  </si>
  <si>
    <t>Theatre and Performance Design</t>
  </si>
  <si>
    <t>Editorial</t>
  </si>
  <si>
    <t>["Katherine Graham"]</t>
  </si>
  <si>
    <t>["katherine.graham@york.ac.uk"]</t>
  </si>
  <si>
    <t>["0000-0002-1044-6837"]</t>
  </si>
  <si>
    <t>2332-2578</t>
  </si>
  <si>
    <t>2332-2551</t>
  </si>
  <si>
    <t>Funding Climate Action but Financing Climate Destruction? An Exploration of Hybridity in Climate Philanthropy and Investments</t>
  </si>
  <si>
    <t>10.1080/2833115X.2023.2296981</t>
  </si>
  <si>
    <t>Finance and Space</t>
  </si>
  <si>
    <t>["Felicia Ho Ming Liu"]</t>
  </si>
  <si>
    <t>["felicia.liu@york.ac.uk"]</t>
  </si>
  <si>
    <t>2833-115X</t>
  </si>
  <si>
    <t>Chinese Journalists’ Tactics for Reporting on Sexual Violence against Women</t>
  </si>
  <si>
    <t>10.1080/17512786.2023.2297780</t>
  </si>
  <si>
    <t>Journalism Practice</t>
  </si>
  <si>
    <t>["China Scholarship Council"]</t>
  </si>
  <si>
    <t>["Siyu Chen"]</t>
  </si>
  <si>
    <t>["siyu.chen@york.ac.uk"]</t>
  </si>
  <si>
    <t>1751-2794</t>
  </si>
  <si>
    <t>1751-2786</t>
  </si>
  <si>
    <t>Social Work with No Recourse to Public Fund (NRPF) Migrants: Obstacles and Strategies</t>
  </si>
  <si>
    <t>10.1093/bjsw/bcad224</t>
  </si>
  <si>
    <t>DISTINCT PATTERNS OF NEURAL RESPONSE TO FACES FROM DIFFERENT RACES IN HUMANS AND DEEP NETWORKS</t>
  </si>
  <si>
    <t>10.1093/scan/nsad059</t>
  </si>
  <si>
    <t>Social Cognitive And Affective Neuroscience</t>
  </si>
  <si>
    <t>Andrews, Tim</t>
  </si>
  <si>
    <t>1749-5016</t>
  </si>
  <si>
    <t>1749-5024</t>
  </si>
  <si>
    <t>Becoming Humanist: Worldview Formation and the Emergence of Atheist Britain</t>
  </si>
  <si>
    <t>10.1093/socrel/srad050</t>
  </si>
  <si>
    <t>Sociology of Religion: A Quarterly Review</t>
  </si>
  <si>
    <t>Strhan, Anna</t>
  </si>
  <si>
    <t>anna.strhan@york.ac.uk</t>
  </si>
  <si>
    <t>1759-8818</t>
  </si>
  <si>
    <t>The Haunted Island: Medieval History and the Old English Elegies in Brenda Chamberlains Tide-race (1962)</t>
  </si>
  <si>
    <t>10.1093/res/hgad092</t>
  </si>
  <si>
    <t>Brooks, Francesca</t>
  </si>
  <si>
    <t>francesca.a.brooks@gmail.com</t>
  </si>
  <si>
    <t>Early childhood inequalities: The rocky path from observation to action.</t>
  </si>
  <si>
    <t>10.1093/ooec/odad070</t>
  </si>
  <si>
    <t>Reported by OUP as 'not eligible' but don't know why. Journal is on list of covered journals and article type should be covered.</t>
  </si>
  <si>
    <t>von Stumm, Sophie</t>
  </si>
  <si>
    <t>A Bayesian change-point detection approach to the economic evaluation of risky projects: an application to health-care technology assessment</t>
  </si>
  <si>
    <t>10.1093/jrsssa/qnad129</t>
  </si>
  <si>
    <t>Journal of the Royal Statistical Society: Series A</t>
  </si>
  <si>
    <t>Thijssen, Jacco</t>
  </si>
  <si>
    <t>jacco.thijssen@york.ac.uk</t>
  </si>
  <si>
    <t>The redistributive effect of the public health system: the case of Sierra Leone</t>
  </si>
  <si>
    <t>10.1093/heapol/czad100</t>
  </si>
  <si>
    <t>Gabani, Jacopo</t>
  </si>
  <si>
    <t>On Stochastic Modelling of Actuarial Compensation for Loss of Future Earnings in Turkey</t>
  </si>
  <si>
    <t>10.1093/lpr/mgad009</t>
  </si>
  <si>
    <t>Law, Probability and Risk</t>
  </si>
  <si>
    <t>Sahin, Sule</t>
  </si>
  <si>
    <t>sule.sahin@york.ac.uk</t>
  </si>
  <si>
    <t>1470-840X</t>
  </si>
  <si>
    <t>Roundhead Reputations Twenty Years On: Cultural Memory Studies and the English Civil Wars</t>
  </si>
  <si>
    <t>10.1093/ehr/cead181</t>
  </si>
  <si>
    <t>Betts, Sarah</t>
  </si>
  <si>
    <t>skc501@york.ac.uk</t>
  </si>
  <si>
    <t>TMS disruption of the lateral prefrontal cortex increases neural activity in the default mode network when naming facial expressions</t>
  </si>
  <si>
    <t>10.1093/scan/nsad072</t>
  </si>
  <si>
    <t>Deutsche Forschungsgemeinschaft; European Research Council; Biotechnology and Biological Sciences Research Council</t>
  </si>
  <si>
    <t>Revisiting Human Rights and Practice: Introduction to the Special Collection</t>
  </si>
  <si>
    <t>10.1093/jhuman/huad061</t>
  </si>
  <si>
    <t>Reported by OUP as 'Eligible'. Author opt out?</t>
  </si>
  <si>
    <t>Gready, Paul</t>
  </si>
  <si>
    <t>pg526@york.ac.uk</t>
  </si>
  <si>
    <t>Introduction to the Special Issue on Human Computer Interaction and the Coronavirus Pandemic</t>
  </si>
  <si>
    <t>10.1093/iwc/iwad049</t>
  </si>
  <si>
    <t>Interacting with Computers</t>
  </si>
  <si>
    <t>Petrie, Helen</t>
  </si>
  <si>
    <t>1873-7951</t>
  </si>
  <si>
    <t>AtIAR1 is a Zn transporter that regulates auxin metabolism and auxin-related phenotypes in Arabidopsis thaliana</t>
  </si>
  <si>
    <t>10.1093/jxb/erad468</t>
  </si>
  <si>
    <t>John Innes Foundation</t>
  </si>
  <si>
    <t>Sanders, Dale</t>
  </si>
  <si>
    <t>ds10@york.ac.uk</t>
  </si>
  <si>
    <t>Organizational Dominance and the Rise of Corporate Professionalism: The Case of Management Consultancy in the UK</t>
  </si>
  <si>
    <t>10.1093/jpo/joad025</t>
  </si>
  <si>
    <t>Laws of Timed State Machines</t>
  </si>
  <si>
    <t>10.1093/comjnl/bxad124</t>
  </si>
  <si>
    <t>The Computer Journal</t>
  </si>
  <si>
    <t>National Council for Scientific and Technological Development; Engineering and Physical Sciences Research Council; Fundação de Amparo à Ciência e Tecnologia de Pernambuco; Royal Academy of Engineering</t>
  </si>
  <si>
    <t>Cavalcanti, Ana Lucia Caneca</t>
  </si>
  <si>
    <t>ana.cavalcanti@york.ac.uk</t>
  </si>
  <si>
    <t>1460-2067</t>
  </si>
  <si>
    <t>The Trans Middle Ages: Incorporating Transgender and Intersex Studies into the History of Medieval Sexuality</t>
  </si>
  <si>
    <t>10.1093/ehr/cead214</t>
  </si>
  <si>
    <t>Wingard, Tess</t>
  </si>
  <si>
    <t>tess.wingard@york.ac.uk</t>
  </si>
  <si>
    <t>Factors influencing the technical efficiency of diabetes care at primary care level in Mexico</t>
  </si>
  <si>
    <t>10.1093/heapol/czad122</t>
  </si>
  <si>
    <t>Chivardi, Carlos</t>
  </si>
  <si>
    <t>krloschivardi@gmail.com</t>
  </si>
  <si>
    <t>Complex epistatic interactions between ELF3, PRR9, and PRR7 regulates the circadian clock and plant physiology</t>
  </si>
  <si>
    <t>10.1093/genetics/iyad217</t>
  </si>
  <si>
    <t>GENETICS</t>
  </si>
  <si>
    <t>1943-2631</t>
  </si>
  <si>
    <t>CRISPR-Cas in Pseudomonas aeruginosa provides transient population-level immunity against high phage exposures</t>
  </si>
  <si>
    <t>10.1093/ismejo/wrad039</t>
  </si>
  <si>
    <t>This work was funded by a grant from the European Research Council under the European Union’s Horizon 2020 research and innovation programme (ERC-STG-2016-714 478 to E.R.W.). E.R.W. further acknowledges the Natural Environment Research Council (NE/M018350/1) and the Biotechnology and Biological Sciences Research Council (BB/N017412/1) for funding. B.N.J.W. acknowledges support from the Biotechnology and Biological Sciences Research Council (BB/X010600/1). S.M. acknowledges support from the BBSRC (BB/X009793/1). A.B. acknowledges the Natural Environment Research Council, the Biotechnology and Biological Sciences Research Council and the Royal Society, the Leverhulme Trust, and the AXA research fund for funding. S.V.H. acknowledges funding from BBSRC (grant number BB/R010781/1). Whole-genome sequencing was provided by MicrobesNG (http://www.microbesng.uk), which is supported by the BBSRC (grant number BB/L024209/1). RNA-sequencing was conducted at the University of Exeter sequencing center, which is supported by the Wellcome Trust.</t>
  </si>
  <si>
    <t>Reported by OUP as not covered under deal, but I think the author just hadn't signed the licence yet and subsequently did, so counting as under TA.</t>
  </si>
  <si>
    <t>Meaden, Sean</t>
  </si>
  <si>
    <t>sean.meaden@york.ac.uk</t>
  </si>
  <si>
    <t>Heusler–alloy based magnetoresistive sensor with synthetic antiferromagnet</t>
  </si>
  <si>
    <t>10.1088/1361-6463/ad1728</t>
  </si>
  <si>
    <t>Email report: York - Articles Published Under Jisc-IOPP 2023 Full</t>
  </si>
  <si>
    <t>Mahasarakham University</t>
  </si>
  <si>
    <t>Dr Phanwadee Chureemart</t>
  </si>
  <si>
    <t>Thermodynamic properties and switching dynamics of perpendicular shape anisotropy MRAM</t>
  </si>
  <si>
    <t>10.1088/1361-648X/ad19a0</t>
  </si>
  <si>
    <t>Mr Wayne Lack</t>
  </si>
  <si>
    <t>Particle–in–cell simulations of high frequency capacitively coupled plasmas including spatially localised inductive–like heating</t>
  </si>
  <si>
    <t>10.1088/1361-6595/ad0fb1</t>
  </si>
  <si>
    <t>Dr Michel Osca Engelbrecht</t>
  </si>
  <si>
    <t>An interaction network approach predicts protein cage architectures in bionanotechnology</t>
  </si>
  <si>
    <t>10.1073/pnas.2303580120</t>
  </si>
  <si>
    <t>Proceedings of the National Academy of Sciences</t>
  </si>
  <si>
    <t>PNAS publications under TA 2021-2023 (emailed in response to query)</t>
  </si>
  <si>
    <t>R.T.  thanks  the  Wellcome  Trust  for  financial  supportthrough the Joint Investigator Award (110145 &amp; 110146), the Engineering &amp;Physical Sciences Research Council (EPSRC) for an Established Career Fellowship(EP/R023204/1) which also provided funding for F.F., and the Royal Society fora Royal Society Wolfson Fellowship (RSWF/R1/180009).</t>
  </si>
  <si>
    <t>Farzad Fatehi</t>
  </si>
  <si>
    <t>Grain boundaries in polycrystalline materials for energy applications: First principles modeling and electron microscopy</t>
  </si>
  <si>
    <t>10.1063/5.0175150</t>
  </si>
  <si>
    <t>Applied Physics Reviews</t>
  </si>
  <si>
    <t>AIP November 1 2023 to December 31 2023 University of York Payment Activity Report</t>
  </si>
  <si>
    <t>European Cooperation in Science and Technology (COST) 501100000921, Bundesministerium fÃ¼r Wirtschaft und Energie (BMWi) 501100006360, Bundesministerium fÃ¼r Wirtschaft und Energie (BMWi) 501100006360</t>
  </si>
  <si>
    <t>1931-9401</t>
  </si>
  <si>
    <t>Prevalence of mental disorders in South Asia: A systematic review of reviews</t>
  </si>
  <si>
    <t>10.1017/gmh.2023.72</t>
  </si>
  <si>
    <t>CUP monthly report Dec 2023</t>
  </si>
  <si>
    <t>This research is funded by the National Institute for Health Research (NIHR) – Grant 17/63/130 NIHR Global Health Research Group: Improving Outcomes in Mental and Physical Multi-morbidity and Developing Research Capacity (IMPACT) in South Asia at the University of York, using UK aid from the UK Government to support global health research. The views expressed in this publication are those of the author(s) and not necessarily those of the NIHR or the UK government.</t>
  </si>
  <si>
    <t>Aishwarya L.  Vidyasagaran</t>
  </si>
  <si>
    <t>SWAT 119: The effectiveness of a thank you card to improve trial follow up; a randomised study within a trial (SWAT).</t>
  </si>
  <si>
    <t>10.1177/26320843241229934</t>
  </si>
  <si>
    <t>Sage TA 2024</t>
  </si>
  <si>
    <t>Sage monthly report: University of York 01-02-2024</t>
  </si>
  <si>
    <t>Health Technology Assessment Programme (http://dx.doi.org/10.13039/501100000664)</t>
  </si>
  <si>
    <t>Charlie Welch, Puvanendran Tharmanathan, Joseph Dias</t>
  </si>
  <si>
    <t>Ill-gotten gains: Partisan alignment, politicised grant transfers, and English local election outcomes</t>
  </si>
  <si>
    <t>10.1177/02633957241229375</t>
  </si>
  <si>
    <t>Politics</t>
  </si>
  <si>
    <t>Liam  Clegg</t>
  </si>
  <si>
    <t>Graeme AM Davies</t>
  </si>
  <si>
    <t>1467-9256</t>
  </si>
  <si>
    <t>0263-3957</t>
  </si>
  <si>
    <t>Mental Health Social Work Practitioner Research: A Narrative Review</t>
  </si>
  <si>
    <t>10.1177/10497315241230667</t>
  </si>
  <si>
    <t>Research on Social Work Practice</t>
  </si>
  <si>
    <t>Martin Paul Webber</t>
  </si>
  <si>
    <t>0000-0003-3604-1376</t>
  </si>
  <si>
    <t>Nicola Moran, Ruth Naughton-Doe</t>
  </si>
  <si>
    <t>1552-7581</t>
  </si>
  <si>
    <t>1049-7315</t>
  </si>
  <si>
    <t>Experiences of Music Therapy in Paediatric Palliative Care from multiple stakeholder perspectives:  a systematic review and qualitative evidence synthesis</t>
  </si>
  <si>
    <t>10.1177/02692163241230664</t>
  </si>
  <si>
    <t>Martin House Research Centre studentship (-), National Institute for Health Research (NIHR) Academy (-)</t>
  </si>
  <si>
    <t>Victoria Kammin</t>
  </si>
  <si>
    <t>vlvk500@york.ac.uk</t>
  </si>
  <si>
    <t>0000-0001-9327-2010</t>
  </si>
  <si>
    <t>Lorna Fraser, Kate Flemming, Julia Hackett</t>
  </si>
  <si>
    <t>Political dynamics behind different policy options: Long-term care insurance policymaking in Beijing and Shanghai from the perspective of local policymakers</t>
  </si>
  <si>
    <t>10.1017/ics.2023.15</t>
  </si>
  <si>
    <t>Journal of International and Comparative Social Policy</t>
  </si>
  <si>
    <t>Cambridge University Press TA 2024</t>
  </si>
  <si>
    <t>CUP monthly report: Jan 2024</t>
  </si>
  <si>
    <t>No funding was received in support of this study.</t>
  </si>
  <si>
    <t>Chunhua Chen</t>
  </si>
  <si>
    <t>2169-978X</t>
  </si>
  <si>
    <t>2169-9763</t>
  </si>
  <si>
    <t>Mental maps, practical mastery and environmental experience: an analysis of the wayfinding culture of Evenki reindeer herders and hunters</t>
  </si>
  <si>
    <t>10.1017/S0373463324000018</t>
  </si>
  <si>
    <t>Journal of Navigation</t>
  </si>
  <si>
    <t>No funding reported on paper</t>
  </si>
  <si>
    <t>Pablo  Fernández Velasco</t>
  </si>
  <si>
    <t>1469-7785</t>
  </si>
  <si>
    <t>0373-4633</t>
  </si>
  <si>
    <t>Reliability of the Serial Reaction Time task: If at first you don't succeed, try try try again</t>
  </si>
  <si>
    <t>10.1177/17470218241232347</t>
  </si>
  <si>
    <t>Sage monthly report: University of York  01-01-2023 to 01-03-2024</t>
  </si>
  <si>
    <t>Fundacao para a Ciencia e a Tecnologia (http://dx.doi.org/10.13039/501100001871)</t>
  </si>
  <si>
    <t>0000-0002-2976-3330</t>
  </si>
  <si>
    <t>Emma Hayiou-Thomas, Lisa M. Henderson</t>
  </si>
  <si>
    <t>Going meta: Interaction at the normative boundaries of the news interview</t>
  </si>
  <si>
    <t>10.1177/14648849241234446</t>
  </si>
  <si>
    <t>Journalism</t>
  </si>
  <si>
    <t>Ian Hutchby</t>
  </si>
  <si>
    <t>iphutchby@gmail.com</t>
  </si>
  <si>
    <t>0000-0002-8469-1667</t>
  </si>
  <si>
    <t>1741-3001</t>
  </si>
  <si>
    <t>1464-8849</t>
  </si>
  <si>
    <t>Are retention strategies used in NIHR HTA trials supported by evidence for their effectiveness? A systematic mapping review.</t>
  </si>
  <si>
    <t>10.1177/26320843241235580</t>
  </si>
  <si>
    <t>National Institute for Health Research  (NIHR) Advanced Fellowship (-)</t>
  </si>
  <si>
    <t>Rosalind Way</t>
  </si>
  <si>
    <t>rosieway17@gmail.com</t>
  </si>
  <si>
    <t>0000-0003-2238-575X</t>
  </si>
  <si>
    <t>Adwoa Parker, David Torgerson</t>
  </si>
  <si>
    <t>From Fan Citizenship to Fanspiracies?</t>
  </si>
  <si>
    <t>10.1177/13548565241236005</t>
  </si>
  <si>
    <t>0000-0001-7727-2387</t>
  </si>
  <si>
    <t>Simone Driessen, Benjamin Litherland</t>
  </si>
  <si>
    <t>What do parents of nonverbal and minimally verbal autistic children think about genomic autism research?</t>
  </si>
  <si>
    <t>10.1177/13623613231213431</t>
  </si>
  <si>
    <t>Wellcome Trust (http://dx.doi.org/10.13039/100010269)</t>
  </si>
  <si>
    <t>Kathryn Asbury</t>
  </si>
  <si>
    <t>kathryn.asbury@york.ac.uk</t>
  </si>
  <si>
    <t>0000-0003-0011-457X</t>
  </si>
  <si>
    <t>Umar Toseeb, Naomi Barrow</t>
  </si>
  <si>
    <t>Difficulty-skill balance does not affect engagement and enjoyment: a pre-registered study using artificial intelligence-controlled difficulty</t>
  </si>
  <si>
    <t>10.1098/rsos.220274</t>
  </si>
  <si>
    <t>RS end of year email report: Royal Society Read &amp; Publish: 2023 published articles full year report- University of York</t>
  </si>
  <si>
    <t>This work was supported by the Digital Creativity Labs jointly funded by EPSRC/ AHRC/InnovateUK under grant no EP/M023265/1 and a University of York EPSRC Impact Accelerator Account Proof of Concept Award.</t>
  </si>
  <si>
    <t>Joe Cutting</t>
  </si>
  <si>
    <t>A registered report testing the effect of sleep on Deese-Roediger-McDermott false memory: greater lure and veridical recall but fewer intrusions after sleep</t>
  </si>
  <si>
    <t>10.1098/rsos.220595</t>
  </si>
  <si>
    <t>This research was supported by a BA/Leverhulme Small Research Grant (Number: SRG21\210150) awarded to Dr Matthew Mak and Prof. Gareth Gaskell, who were also supported by a grant from the Economic and Social Research Council (ESRC; ES/T008571/1). Dr Aidan Horner was supported by an ESRC grant no. (ES/R007454/1).</t>
  </si>
  <si>
    <t>Matthew Mak</t>
  </si>
  <si>
    <t>Deepfakes and the Promise of Algorithmic Detectability</t>
  </si>
  <si>
    <t>10.1177/13675494241240028</t>
  </si>
  <si>
    <t>Sage monthly report: University of York 01-01-2023 to 01-04-2024</t>
  </si>
  <si>
    <t>benjamin.jacobsen@york.ac.uk</t>
  </si>
  <si>
    <t>0000-0002-6656-8892</t>
  </si>
  <si>
    <t>Border Penality as Antagonistic Politics</t>
  </si>
  <si>
    <t>10.1177/13624806241241068</t>
  </si>
  <si>
    <t>Theoretical Criminology</t>
  </si>
  <si>
    <t>0000-0001-7537-3942</t>
  </si>
  <si>
    <t>1461-7439</t>
  </si>
  <si>
    <t>1362-4806</t>
  </si>
  <si>
    <t>Adolescents&amp;rsquo; perceptions of household chaos predict their adult mental health: A twin difference longitudinal cohort study</t>
  </si>
  <si>
    <t>10.1177/09567976241242105</t>
  </si>
  <si>
    <t>medical research council (10.13039/501100000265), national institutes of health (10.13039/100000002)</t>
  </si>
  <si>
    <t>0000-0002-0447-5471</t>
  </si>
  <si>
    <t>Rendering, Waste Disposal, and the Production of Value</t>
  </si>
  <si>
    <t>10.1177/00380261241244874</t>
  </si>
  <si>
    <t>Daniel Robins</t>
  </si>
  <si>
    <t>daniel.robins@york.ac.uk</t>
  </si>
  <si>
    <t>Marketisation and the public good: A typology of responses among museum professionals</t>
  </si>
  <si>
    <t>10.1177/09500170241247117</t>
  </si>
  <si>
    <t>Armed group formation in civil war: ‘Movement’, ‘insurgent’, and ‘state splinter’ origins</t>
  </si>
  <si>
    <t>10.1017/S0260210524000020</t>
  </si>
  <si>
    <t>Review of International Studies</t>
  </si>
  <si>
    <t>CUP monthly report Feb 2024</t>
  </si>
  <si>
    <t>This research was funded by the UK Research and Innovation Future Leaders Fellowship (Grant Title: ‘Understanding Civil War from Pre- to Post-War Stages: A Comparative Approach’; Grant Reference: MR/T040653/1; start date 1 January 2021). We would like to thank participants in the Civil War Paths expert workshop, including Joel Blaxland, Jessica Maves Braithwaite, Henk-Jan Brinkman, David Cunningham, Christopher Day, Véronique Dudouet, Adrian Florea, Yvan Guichaoua, Wolfram Lacher, Florian Weigand, Joseph Wright, and Marie-Joëlle Zahar, the Civil War Paths research team – Eduardo Álvarez-Vanegas, Hanna Ketola, Toni Rouhana, and Sayra van den Berg – and fellows of the Centre for the Comparative Study of Civil War for insightful comments on earlier drafts. We also benefited from engagement with the article at annual meetings of American Political Science Association, British International Studies Association, and Conflict Research Society and research seminars at University of Bath, University of Oslo, Yale University, and Geneva Graduate Institute, including discussant comments prepared by Danielle Gilbert and Bilal Salayme. We are grateful to Theodore McLauchlin and Jennifer Welsh for helping us clarify the intra-regime fragmentation aspect of our framework at the Université de Montréal and to Gilles Dorronsoro and the research team of the European Research Council Social Dynamics of Civil Wars project for earlier collaborative efforts to theorise armed group origins. Constructive feedback and guidance of the editors and three anonymous reviewers greatly strengthened the article in the process of publication.</t>
  </si>
  <si>
    <t>Anastasia  Shesterinina</t>
  </si>
  <si>
    <t>1469-9044</t>
  </si>
  <si>
    <t>0260-2105</t>
  </si>
  <si>
    <t>Social Security, Gender and Class: The impacts of the New Conditionality Regime on Unpaid Care and Paid Work</t>
  </si>
  <si>
    <t>10.1017/S1474746424000071</t>
  </si>
  <si>
    <t>No funding recorded on article</t>
  </si>
  <si>
    <t>Kate  Andersen</t>
  </si>
  <si>
    <t>Gold(III), Mercury(II) and Palladium(II) Complexes of a Series of Isomeric Bis(Mono- and Di-alkoxy-phenyl)pyridines: Introduction of Gold through Transmetallation and Catalysis</t>
  </si>
  <si>
    <t>10.1021/acs.inorgchem.3c03791</t>
  </si>
  <si>
    <t>American Chemical Society TA 2024</t>
  </si>
  <si>
    <t>ACS_CCC_15-04-2024_ytd</t>
  </si>
  <si>
    <t>Science and Engineering Research Board, , , Royal Society, INF\R1\221057, , University of York, , , , ,</t>
  </si>
  <si>
    <t>A Practical Guide to Large Amplitude Fourier-Transformed Alternating Current Voltammetry  What, How and Why</t>
  </si>
  <si>
    <t>10.1021/acsmeasuresciau.4c00008</t>
  </si>
  <si>
    <t>Engineering and Physical Sciences Research Council, EP/X027724/1, , Australian Research Council, DP210100606, , , , , , ,</t>
  </si>
  <si>
    <t>Noise tolerant photonic bowtie grating environmental sensor</t>
  </si>
  <si>
    <t>10.1021/acssensors.3c02419</t>
  </si>
  <si>
    <t>ACS Sensors</t>
  </si>
  <si>
    <t>Engineering and Physical Sciences Research Council, EP/V047434/1, , Innovate UK, 10022456, , , , , , ,</t>
  </si>
  <si>
    <t>Nyasha Suliali</t>
  </si>
  <si>
    <t>nyasha.suliali@york.ac.uk</t>
  </si>
  <si>
    <t>0000-0003-3217-899X</t>
  </si>
  <si>
    <t>2379-3694</t>
  </si>
  <si>
    <t>Applications of Transition Metal-Catalyzed ortho-Fluorine-Directed CH Functionalization of (Poly)fluoroarenes in Organic Synthesis</t>
  </si>
  <si>
    <t>10.1021/acs.chemrev.3c00793</t>
  </si>
  <si>
    <t>Chemical Reviews</t>
  </si>
  <si>
    <t>Universitas Padjadjaran, 1549/UN6.3.1/PT.00.2023, 2203/UN6.3.1/PT.00/2022, Julius-Maximilians-Universität Würzburg, , , Deutsche Forschungsgemeinschaft, , , , ,</t>
  </si>
  <si>
    <t>Todd Marder</t>
  </si>
  <si>
    <t>todd.marder@uni-wuerzburg.de</t>
  </si>
  <si>
    <t>0000-0002-9990-0169</t>
  </si>
  <si>
    <t>1520-6890</t>
  </si>
  <si>
    <t>0009-2665</t>
  </si>
  <si>
    <t>Replacing the Langmuir Isotherm with the Statistical Thermodynamic Fluctuation Theory</t>
  </si>
  <si>
    <t>10.1021/acs.jpclett.4c00281</t>
  </si>
  <si>
    <t>Maruho, , , Ministry of Education, Culture, Sports, Science and Technology, JPMXP1020230325, JPMXP1020230327, , , , , ,</t>
  </si>
  <si>
    <t>Silver-N-Heterocyclic Carbenes in -Activation: Synergistic Effects between the Ligand Ring Size and the Anion</t>
  </si>
  <si>
    <t>10.1021/acs.organomet.3c00476</t>
  </si>
  <si>
    <t>University of Leeds, , , , , , , , , , ,</t>
  </si>
  <si>
    <t>Charlotte Willans</t>
  </si>
  <si>
    <t>charlotte.willans@york.ac.uk</t>
  </si>
  <si>
    <t>0000-0003-0412-8821</t>
  </si>
  <si>
    <t>A modular strategy for the synthesis of macrocycles and medium-sized rings via cyclisation/ring expansion cascade reactions</t>
  </si>
  <si>
    <t>10.1021/jacs.4c00659</t>
  </si>
  <si>
    <t>GlaxoSmithKline, , , Royal Society, INF\R1\221057, , University of York, , , , ,</t>
  </si>
  <si>
    <t>William Unsworth</t>
  </si>
  <si>
    <t>Using 2D-IR spectroscopy to measure the structure, dynamics and intermolecular interactions of proteins in H2O</t>
  </si>
  <si>
    <t>10.1021/acs.accounts.3c00682</t>
  </si>
  <si>
    <t>Accounts of Chemical Research</t>
  </si>
  <si>
    <t>Engineering and Physical Sciences Research Council, EP/T014318/1, , , , , , , , , ,</t>
  </si>
  <si>
    <t>1520-4898</t>
  </si>
  <si>
    <t>0001-4842</t>
  </si>
  <si>
    <t>Unveiling Mechanistic Complexity in Manganese-Catalyzed CH Bond Functionalization Using IR Spectroscopy Over 16 orders of Magnitude in Time</t>
  </si>
  <si>
    <t>10.1021/acs.accounts.3c00774</t>
  </si>
  <si>
    <t>Royal Society, INF\R1\221057, INF\R2\202122, Syngenta International, , , Engineering and Physical Sciences Research Council, EP/W031914/1, , University of York, ,</t>
  </si>
  <si>
    <t>The effect of ligand substituents on spectroscopic and catalytic properties of water-compatible Cp*Ir-(pyridinylmethyl)sulfonamide-based transfer hydrogenation catalysts</t>
  </si>
  <si>
    <t>10.1021/acs.inorgchem.3c04040</t>
  </si>
  <si>
    <t>Biotechnology and Biological Sciences Research Council, BB/W011131/1, , Engineering and Physical Sciences Research Council, EP/L024829/1, EP/T007338/1, , , , , ,</t>
  </si>
  <si>
    <t>Catch-and-Release: The Assembly, Immobilisation and Recycling of Redox-reversible Artificial Metalloenzymes</t>
  </si>
  <si>
    <t>10.1021/acscatal.3c05294</t>
  </si>
  <si>
    <t>Biotechnology and Biological Sciences Research Council, BB/W011131/1, , Engineering and Physical Sciences Research Council, EP/T007338/1, EP/N509802/1, , , , , ,</t>
  </si>
  <si>
    <t>Using a Temporal Systems Thinking Framework to Design and Redesign a Biorefinery</t>
  </si>
  <si>
    <t>10.1021/acs.jchemed.3c01126</t>
  </si>
  <si>
    <t>0000-0002-0786-312X</t>
  </si>
  <si>
    <t>Understanding the [NiFe] hydrogenase active site environment through ultrafast infrared and 2D-IR spectroscopy of the subsite analogue K[CpFe(CO)(CN)&lt;sub&gt;2&lt;/sub&gt;] in polar and protic solvents</t>
  </si>
  <si>
    <t>10.1021/acs.jpcb.3c07965</t>
  </si>
  <si>
    <t>Leverhulme Trust, RPG-2018-188, , , , , , , , , ,</t>
  </si>
  <si>
    <t>Barbara Procacci</t>
  </si>
  <si>
    <t>barbara.procacci@york.ac.uk</t>
  </si>
  <si>
    <t>0000-0001-7044-0560</t>
  </si>
  <si>
    <t>Testing for proficiency effects and crosslinguistic influence in L2 processing: filler-gap dependencies in L2 English by Jordanian-Arabic and Mandarin speakers</t>
  </si>
  <si>
    <t>10.1017/S027226312400007X</t>
  </si>
  <si>
    <t>CUP monthly report Mar 2024</t>
  </si>
  <si>
    <t>We would like to acknowledge that this research was supported by a PhD scholarship to the first author from Al al-Bayt University (Grant Ref: 4/2/2/6063).</t>
  </si>
  <si>
    <t>Heather Marsden</t>
  </si>
  <si>
    <t>Unraveling Island Economies through Organic Residue Analysis: The Case of Mocha Island (Southern Chile)</t>
  </si>
  <si>
    <t>10.1017/laq.2023.58</t>
  </si>
  <si>
    <t>Latin American Antiquity</t>
  </si>
  <si>
    <t>This project was funded by the Department of Archaeology, University of York.</t>
  </si>
  <si>
    <t xml:space="preserve">Reported as not OA in CUP report, but is OA. </t>
  </si>
  <si>
    <t>Javier  Andres Montalvo-Cabrera</t>
  </si>
  <si>
    <t>2325-5080</t>
  </si>
  <si>
    <t>1045-6635</t>
  </si>
  <si>
    <t>The validity of the selection methods for recruitment to UK core psychiatry training: cohort study</t>
  </si>
  <si>
    <t>10.1192/bjb.2024.9</t>
  </si>
  <si>
    <t>BJPsych Bulletin</t>
  </si>
  <si>
    <t>This work is partly funded by Health Education England (HEE). The views expressed are those of the authors and not necessarily those of HEE, the NHS or the Department of Health and Social Care.</t>
  </si>
  <si>
    <t>2056-4708</t>
  </si>
  <si>
    <t>2056-4694</t>
  </si>
  <si>
    <t>Resurrecting, reinterpreting and reusing stratigraphy: an afterlife for archaeological data</t>
  </si>
  <si>
    <t>10.15184/aqy.2024.60</t>
  </si>
  <si>
    <t>CUP monthly report Apr 2024</t>
  </si>
  <si>
    <t>This work was supported by the Arts and Humanities Research Council via funding under their grants (ref. AH/T002093/1), without which this research could not have taken place.</t>
  </si>
  <si>
    <t>James Taylor</t>
  </si>
  <si>
    <t>True ‘contradictions’ and conflicts in the Talmud</t>
  </si>
  <si>
    <t>10.1017/S003441252400012X</t>
  </si>
  <si>
    <t>Religious Studies</t>
  </si>
  <si>
    <t>Owen Hulatt</t>
  </si>
  <si>
    <t>1469-901X</t>
  </si>
  <si>
    <t>0034-4125</t>
  </si>
  <si>
    <t>Developing a Critical Understanding of Environmental Activism through Active Learning</t>
  </si>
  <si>
    <t>10.1017/S1049096524000143</t>
  </si>
  <si>
    <t>PS: Political Science &amp; Politics</t>
  </si>
  <si>
    <t>Jeremy Moulton</t>
  </si>
  <si>
    <t>1537-5935</t>
  </si>
  <si>
    <t>1049-0965</t>
  </si>
  <si>
    <t>Eloquent Blood: A Historical Microsociology of Blushing</t>
  </si>
  <si>
    <t>10.1177/00380385241247254</t>
  </si>
  <si>
    <t>Sage monthly report: University of York 01-06-2024</t>
  </si>
  <si>
    <t>Baptiste Brossard</t>
  </si>
  <si>
    <t>0000-0002-9539-9290</t>
  </si>
  <si>
    <t>What use is the concept of the digital? Embracing the retro</t>
  </si>
  <si>
    <t>10.1177/29768640241250261</t>
  </si>
  <si>
    <t>Dialogues on Digital Society</t>
  </si>
  <si>
    <t>Comment article. Reported by Sage as covered by deal and as under CC BY, but it isn't. Queried with Sage 03/06/2024. Sage set the article to OA and CC BY. Evidently 'article comment' is a type of research article. They admitted it was an error. 11/6/24.</t>
  </si>
  <si>
    <t>2976-8640</t>
  </si>
  <si>
    <t>Predictors of fuel poverty and the equity of local fuel poverty support: secondary analysis of data from Bradford, England</t>
  </si>
  <si>
    <t>10.1177/17579139241245346</t>
  </si>
  <si>
    <t>Amy Barnes</t>
  </si>
  <si>
    <t>amy.barnes@york.ac.uk</t>
  </si>
  <si>
    <t>Emma Little, Madeleine Power</t>
  </si>
  <si>
    <t>1476-9042</t>
  </si>
  <si>
    <t>Procedural ethics for social science research: Introducing the Research Ethics Governance Dataset</t>
  </si>
  <si>
    <t>10.1177/00223433241249352</t>
  </si>
  <si>
    <t>Schweizerischer Nationalfonds zur Forderung der Wissenschaftlichen Forschung (http://dx.doi.org/10.13039/501100001711)</t>
  </si>
  <si>
    <t>Rebecca Tapscott</t>
  </si>
  <si>
    <t>rebecca.tapscott@york.ac.uk</t>
  </si>
  <si>
    <t>0000-0002-0936-5191</t>
  </si>
  <si>
    <t>Daniel Rincon Machon</t>
  </si>
  <si>
    <t>The Emergence of Virtual Production - A Research Agenda</t>
  </si>
  <si>
    <t>10.1177/13548565241253903</t>
  </si>
  <si>
    <t>UK Homecare providers views about, and experiences of, digitalisation: a national survey</t>
  </si>
  <si>
    <t>10.1177/20552076241255477</t>
  </si>
  <si>
    <t>National Institute for Health Research (-)</t>
  </si>
  <si>
    <t>Jan Healey, Vanessa Davey, Jennifer Liddle, Gareth O'Rourke, Barbara Hanratty</t>
  </si>
  <si>
    <t>The health impact of waiting for elective procedures in the NHS in England: A modelling framework applied to Coronary Artery Bypass Graft and Total Hip Replacement</t>
  </si>
  <si>
    <t>10.1177/0272989X241256639</t>
  </si>
  <si>
    <t>NIHR Policy Research Unit in Economic Evaluation of Health and Care Interventions (-), NIHR Policy Research Unit in Economics of Health Systems and Interface with Social Care (-)</t>
  </si>
  <si>
    <t>Naomi Gibbs</t>
  </si>
  <si>
    <t>naomi.gibbs@york.ac.uk</t>
  </si>
  <si>
    <t>0000-0002-4704-8082</t>
  </si>
  <si>
    <t>Susan Griffin, Nils Gutacker, Adrian Villasenor, Simon Mark Walker</t>
  </si>
  <si>
    <t>NO EVIDENCE FOR AN OTHER RACE EFFECT IN DOMINANCE AND TRUSTWORTHY JUDGEMENTS FROM FACES</t>
  </si>
  <si>
    <t>10.1177/03010066241258204</t>
  </si>
  <si>
    <t>Ao Wang, Bartholomew Quinn, Hannah Gofton</t>
  </si>
  <si>
    <t>Unable to check funding</t>
  </si>
  <si>
    <t>Turning Complexity into a Delight to the Mind: An Integrative Framework for Teaching and Learning Complex Reasoning</t>
  </si>
  <si>
    <t>10.1177/13505076241258932</t>
  </si>
  <si>
    <t>Federica Angeli</t>
  </si>
  <si>
    <t>federica.angeli@york.ac.uk</t>
  </si>
  <si>
    <t>0000-0003-4010-3103</t>
  </si>
  <si>
    <t>Andrea Montefusco</t>
  </si>
  <si>
    <t>Rescuing the Princess - how Phronetic Wisdom was Learned and Deployed on Britains Railways</t>
  </si>
  <si>
    <t>10.1177/13505076241259132</t>
  </si>
  <si>
    <t>Lynne Frances Baxter</t>
  </si>
  <si>
    <t>Nicola Forsdike, Stephen Town</t>
  </si>
  <si>
    <t>I Feel Like I am Part of Something Bigger Than Me: Methodological Reflections from Longitudinal Online Participatory Research</t>
  </si>
  <si>
    <t>10.1177/19408447241260448</t>
  </si>
  <si>
    <t>International Review of Qualitative Research</t>
  </si>
  <si>
    <t>Nuffield Foundation (http://dx.doi.org/10.13039/501100000279)</t>
  </si>
  <si>
    <t>Maddy Power</t>
  </si>
  <si>
    <t>madeleine.power@york.ac.uk</t>
  </si>
  <si>
    <t>0000-0002-9571-1782</t>
  </si>
  <si>
    <t>Ruth Patrick, Kayleigh Garthwaite</t>
  </si>
  <si>
    <t>1940-8455</t>
  </si>
  <si>
    <t>1940-8447</t>
  </si>
  <si>
    <t>Evaluating the high-volume, low-complexity surgical hub programme: a qualitative research protocol and further reflection on designing big, complex qualitative studies</t>
  </si>
  <si>
    <t>10.1177/16094069241261880</t>
  </si>
  <si>
    <t>Arabella Scantlebury</t>
  </si>
  <si>
    <t>arabella.scantlebury@york.ac.uk</t>
  </si>
  <si>
    <t>0000-0003-3518-2740</t>
  </si>
  <si>
    <t>Higher working memory capacity and distraction-resistance associated with strategy (not action) game playing in younger adults, but puzzle game playing in older adults</t>
  </si>
  <si>
    <t>10.1016/j.heliyon.2023.e19098</t>
  </si>
  <si>
    <t>Elsevier_dashboard_approved_Requests-to_2024-06-11</t>
  </si>
  <si>
    <t>Engineering and Physical Sciences Research Council, Arts and Humanities Research Council, Centre for Future Health, University of York, EP/M023265/1,204829</t>
  </si>
  <si>
    <t>OA journal. APC paid from YOAF</t>
  </si>
  <si>
    <t>Dr Fiona McNab</t>
  </si>
  <si>
    <t>The need for One Health systems-thinking approaches to understand multiscale dissemination of antimicrobial resistance</t>
  </si>
  <si>
    <t>10.1016/S2542-5196(23)00278-4</t>
  </si>
  <si>
    <t>The Lancet Planetary Health</t>
  </si>
  <si>
    <t>EPSRC, 50096430,TARGeTED project</t>
  </si>
  <si>
    <t>Professor Kathryn E. Arnold</t>
  </si>
  <si>
    <t>2542-5196</t>
  </si>
  <si>
    <t>Complementary specificity of unspecific peroxygenases enables access to diverse products from terpene oxygenation</t>
  </si>
  <si>
    <t>10.1016/j.checat.2023.100889</t>
  </si>
  <si>
    <t>Chem Catalysis</t>
  </si>
  <si>
    <t>Engineering and Physical Sciences Research Council, 2602946</t>
  </si>
  <si>
    <t>Prof. Gideon Grogan</t>
  </si>
  <si>
    <t>2667-1093</t>
  </si>
  <si>
    <t>Understanding safety engineering practice: Comparing safety engineering practice as desired, as required, and as observed</t>
  </si>
  <si>
    <t>10.1016/j.ssci.2024.106424</t>
  </si>
  <si>
    <t>Safety Science</t>
  </si>
  <si>
    <t>Mr. Matt Osborne</t>
  </si>
  <si>
    <t>0925-7535</t>
  </si>
  <si>
    <t>Measuring the overall performance of mental healthcare providers</t>
  </si>
  <si>
    <t>10.1016/j.socscimed.2024.116582</t>
  </si>
  <si>
    <t>This project is part of the Health Foundation's Efficiency Research Programme.</t>
  </si>
  <si>
    <t>Professor Rowena Jacobs</t>
  </si>
  <si>
    <t>Spatial intersectionality and transformative justice as frameworks for equitable urban planning in divided and post-conflict cities</t>
  </si>
  <si>
    <t>10.1016/j.cities.2024.104796</t>
  </si>
  <si>
    <t>Leverhulme Trust, ECF-2020-486</t>
  </si>
  <si>
    <t>Dr Susan Forde</t>
  </si>
  <si>
    <t>Photovoltaic hotspots: A mitigation technique and its thermal cycle</t>
  </si>
  <si>
    <t>10.1016/j.ijleo.2024.171627</t>
  </si>
  <si>
    <t>Optik</t>
  </si>
  <si>
    <t>National Nuclear Security Administration,</t>
  </si>
  <si>
    <t>Dr Mahmoud Dhimish</t>
  </si>
  <si>
    <t>0030-4026</t>
  </si>
  <si>
    <t>Epileptic tissue localization using graph-based networks in the high frequency oscillation range of intracranial electroencephalography</t>
  </si>
  <si>
    <t>10.1016/j.seizure.2024.01.015</t>
  </si>
  <si>
    <t>Seizure: European Journal of Epilepsy</t>
  </si>
  <si>
    <t>This research did not receive any specific grant from funding agencies in the public, commercial, or not-for-profit sectors.</t>
  </si>
  <si>
    <t>Mr. Christos Stergiadis</t>
  </si>
  <si>
    <t>1059-1311</t>
  </si>
  <si>
    <t>Educational neuromyths and instructional practices: The case of inclusive education teachers in Hong Kong</t>
  </si>
  <si>
    <t>10.1016/j.tine.2024.100221</t>
  </si>
  <si>
    <t>Trends in Neuroscience and Education</t>
  </si>
  <si>
    <t>Ms. Po Yin Tsang</t>
  </si>
  <si>
    <t>2211-9493</t>
  </si>
  <si>
    <t>Bonding with bump: Interoceptive sensibility moderates the relationship between pregnancy body satisfaction and antenatal attachment</t>
  </si>
  <si>
    <t>10.1016/j.midw.2024.103940</t>
  </si>
  <si>
    <t>ESRC, ES/P000746/1</t>
  </si>
  <si>
    <t>Innovation through competitive experimentation</t>
  </si>
  <si>
    <t>10.1016/j.jmateco.2024.102957</t>
  </si>
  <si>
    <t>Deutsche Forschungsgemeinschaft,</t>
  </si>
  <si>
    <t>Dr. Peter A. Wagner</t>
  </si>
  <si>
    <t>Conflicting objectives in kidney exchange</t>
  </si>
  <si>
    <t>10.1016/j.jet.2024.105803</t>
  </si>
  <si>
    <t>Journal of Economic Theory</t>
  </si>
  <si>
    <t>Dr. Jörgen Kratz</t>
  </si>
  <si>
    <t>0022-0531</t>
  </si>
  <si>
    <t>The effects of yoga-based interventions on postnatal mental health and well-being: A systematic review</t>
  </si>
  <si>
    <t>10.1016/j.heliyon.2024.e25455</t>
  </si>
  <si>
    <t>Economic and Social Research Council, 2021-003,ES/P000746/1</t>
  </si>
  <si>
    <t>Ms Lydia Munns</t>
  </si>
  <si>
    <t>Social Decision-Making Analysis: A General Approach to Inform Decisions on Resources in the Public Sector</t>
  </si>
  <si>
    <t>10.1016/j.jval.2024.01.015</t>
  </si>
  <si>
    <t>This report is funded by the National Institute for Health and Care Research (NIHR) Policy Research Programme, conducted through the NIHR Policy Research Unit in Economic Evaluation of Health and Care Interventions (grant reference PR-PRU-1217-20401), and the NIHR Policy Research Unit in Economics of Health Systems and Interface with Social Care (grant reference PR-PRU-1217-20301).</t>
  </si>
  <si>
    <t>Dr Francesco Longo</t>
  </si>
  <si>
    <t>Reconceptualizing resilience and vulnerability in liberal feminist discourse during the COVID-19 pandemic</t>
  </si>
  <si>
    <t>10.1016/j.wsif.2024.102870</t>
  </si>
  <si>
    <t>The research received no financial support.</t>
  </si>
  <si>
    <t>Miss Yumeng Jing</t>
  </si>
  <si>
    <t>Earthworm lipid content and size help account for differences in pesticide bioconcentration between species</t>
  </si>
  <si>
    <t>10.1016/j.jhazmat.2024.133744</t>
  </si>
  <si>
    <t>Syngenta International,</t>
  </si>
  <si>
    <t>Dr Jun Li</t>
  </si>
  <si>
    <t>A promising pipeline of preclinical drug candidates for leishmaniasis and chronic Chagas’ disease</t>
  </si>
  <si>
    <t>10.1016/j.pt.2024.02.002</t>
  </si>
  <si>
    <t>This work was supported by the Wellcome Trust (223045/Z/21/Z) and the Medical Research Council (MR/P027989/1).</t>
  </si>
  <si>
    <t>Prof. Jeremy Mottram</t>
  </si>
  <si>
    <t>Straw digestibility in rice: Novel insights from pyrolysis GC-MS and biomass phenotyping</t>
  </si>
  <si>
    <t>10.1016/j.biombioe.2024.107099</t>
  </si>
  <si>
    <t>Biomass &amp; Bioenergy</t>
  </si>
  <si>
    <t>BBSRC, BB/P022499/1 and 9 BB/N013689/1</t>
  </si>
  <si>
    <t>Dr. Leonardo Gomez</t>
  </si>
  <si>
    <t>0961-9534</t>
  </si>
  <si>
    <t>Mobile monitoring reveals congestion penalty for vehicle emissions in London</t>
  </si>
  <si>
    <t>10.1016/j.aeaoa.2024.100241</t>
  </si>
  <si>
    <t>Atmospheric Environment: X</t>
  </si>
  <si>
    <t>Environmental Defense Fund, EDFE-1577154</t>
  </si>
  <si>
    <t>Miss. Shona E. Wilde</t>
  </si>
  <si>
    <t>2590-1621</t>
  </si>
  <si>
    <t>The effect of conflict-related violence intensity and alcohol use on mental health: The case of Colombia</t>
  </si>
  <si>
    <t>10.1016/j.ssmph.2024.101626</t>
  </si>
  <si>
    <t>SSM - Population Health</t>
  </si>
  <si>
    <t>Medical Research Council, Wellcome Trust, MR/R013667/1</t>
  </si>
  <si>
    <t>Ms Andrea Salas Ortiz</t>
  </si>
  <si>
    <t>2352-8273</t>
  </si>
  <si>
    <t>Analysis of forced aligner performance on L2 English speech</t>
  </si>
  <si>
    <t>10.1016/j.specom.2024.103042</t>
  </si>
  <si>
    <t>Speech Communication</t>
  </si>
  <si>
    <t>University of York, YGRS Overseas Research Scholarship</t>
  </si>
  <si>
    <t>Miss Samantha Williams</t>
  </si>
  <si>
    <t>0167-6393</t>
  </si>
  <si>
    <t>Co-benefits from health and health systems to education</t>
  </si>
  <si>
    <t>10.1016/j.healthpol.2024.105016</t>
  </si>
  <si>
    <t>European Observatory on Health Systems and Policies,</t>
  </si>
  <si>
    <t>Dr. Ines Lee</t>
  </si>
  <si>
    <t>Dietary Energy Density Is Associated with Biomarkers of Chronic Diseases—A Cross-Sectional Study of School-Aged Children in Rural Mexico</t>
  </si>
  <si>
    <t>10.1016/j.cdnut.2024.102096</t>
  </si>
  <si>
    <t>Current Developments in Nutrition</t>
  </si>
  <si>
    <t>University of York, 218666</t>
  </si>
  <si>
    <t>Dr Gerardo A Zavala</t>
  </si>
  <si>
    <t>2475-2991</t>
  </si>
  <si>
    <t>Role of foreign banks in promoting financial inclusion: “A time series analysis of five permanent members of UN security council”</t>
  </si>
  <si>
    <t>10.1016/j.iref.2024.02.029</t>
  </si>
  <si>
    <t>International Review of Economics &amp; Finance</t>
  </si>
  <si>
    <t>Mr. Amjad Ali Memon</t>
  </si>
  <si>
    <t>1059-0560</t>
  </si>
  <si>
    <t>Prevalence of mental health conditions and brain fog in people with long COVID: A systematic review and meta-analysis</t>
  </si>
  <si>
    <t>10.1016/j.genhosppsych.2024.02.009</t>
  </si>
  <si>
    <t>National Institute for Health and Care Research, COV-LT2-0043</t>
  </si>
  <si>
    <t>Dr Christina van der Feltz-Cornelis</t>
  </si>
  <si>
    <t>The experience of parenting a child with dyslexia – A UK perspective with single parents</t>
  </si>
  <si>
    <t>10.1016/j.ridd.2024.104713</t>
  </si>
  <si>
    <t>Research in Developmental Disabilities</t>
  </si>
  <si>
    <t>University of York,</t>
  </si>
  <si>
    <t>Dr Nicole Stephenson</t>
  </si>
  <si>
    <t>0891-4222</t>
  </si>
  <si>
    <t>Factors associated with medical consumable availability in level 1 facilities in Malawi: a secondary analysis of a facility census</t>
  </si>
  <si>
    <t>10.1016/S2214-109X(24)00095-0</t>
  </si>
  <si>
    <t>The Lancet Global Health</t>
  </si>
  <si>
    <t>Wellcome Trust, MRC, MR/P028004/1,223120/Z/21/Z,MR/R015600/1</t>
  </si>
  <si>
    <t>Ms. Sakshi Mohan</t>
  </si>
  <si>
    <t>2214-109X</t>
  </si>
  <si>
    <t>Communicating cardiovascular risk: Systematic review of qualitative evidence</t>
  </si>
  <si>
    <t>10.1016/j.pec.2024.108231</t>
  </si>
  <si>
    <t>University College London, National Institute for Health Research, PR-R6-0113-11003</t>
  </si>
  <si>
    <t>Dr Theo Lorenc</t>
  </si>
  <si>
    <t>Improving consistency in estimating future health burdens from environmental risk factors: Case study for ambient air pollution</t>
  </si>
  <si>
    <t>10.1016/j.envint.2024.108560</t>
  </si>
  <si>
    <t>Mr. Christopher S Malley</t>
  </si>
  <si>
    <t>Graded and sharp transitions in semantic function in left temporal lobe</t>
  </si>
  <si>
    <t>10.1016/j.bandl.2024.105402</t>
  </si>
  <si>
    <t>Brain and Language</t>
  </si>
  <si>
    <t>European Research Council, Institute of Psychology Chinese Academy of Sciences, FLEXSEM-771863,32300881,E1CX4725CX</t>
  </si>
  <si>
    <t>Dr Katya Krieger-Redwood</t>
  </si>
  <si>
    <t>0093-934X</t>
  </si>
  <si>
    <t>Understanding the National Institute for Health and Care Excellence Severity Premium: Exploring Its Implementation and the Implications for Decision Making and Patient Access</t>
  </si>
  <si>
    <t>10.1016/j.jval.2024.02.013</t>
  </si>
  <si>
    <t>The authors received no financial support for this research.</t>
  </si>
  <si>
    <t>Dr Robert Hodgson</t>
  </si>
  <si>
    <t>Product, individual and environmental factors impacting the consumption of no and low alcoholic drinks: A systematic review and future research agenda</t>
  </si>
  <si>
    <t>10.1016/j.foodqual.2024.105163</t>
  </si>
  <si>
    <t>Food Quality and Preference</t>
  </si>
  <si>
    <t>Dr Nadine Waehning</t>
  </si>
  <si>
    <t>0950-3293</t>
  </si>
  <si>
    <t>‘It has gotten a lot better, but it is still bad’: Experiences with the police among marginalized PWUDs in a context of depenalization</t>
  </si>
  <si>
    <t>10.1016/j.drugpo.2024.104393</t>
  </si>
  <si>
    <t>Velux Foundation, 18166</t>
  </si>
  <si>
    <t>Evaluation of models to estimate the bioaccumulation of organic chemicals in earthworms</t>
  </si>
  <si>
    <t>10.1016/j.ecoenv.2024.116240</t>
  </si>
  <si>
    <t>Ecotoxicology and Environmental Safety</t>
  </si>
  <si>
    <t xml:space="preserve">This work was funded by a grant from Syngenta Crop Protection. </t>
  </si>
  <si>
    <t>0147-6513</t>
  </si>
  <si>
    <t>In primary visual cortex fMRI responses to chromatic and achromatic stimuli are interdependent and predict contrast detection thresholds</t>
  </si>
  <si>
    <t>10.1016/j.visres.2024.108398</t>
  </si>
  <si>
    <t>BBSRC, BB/P007252</t>
  </si>
  <si>
    <t>Contextual design requirements for decision-support tools involved in weaning patients from mechanical ventilation in intensive care units</t>
  </si>
  <si>
    <t>10.1016/j.apergo.2024.104275</t>
  </si>
  <si>
    <t>Applied Ergonomics</t>
  </si>
  <si>
    <t>University of York, G/100281</t>
  </si>
  <si>
    <t>Dr Nathan Hughes</t>
  </si>
  <si>
    <t>0003-6870</t>
  </si>
  <si>
    <t>Anti–Vascular Endothelial Growth Factor Drugs Compared With Panretinal Photocoagulation for the Treatment of Proliferative Diabetic Retinopathy: A Cost-Effectiveness Analysis</t>
  </si>
  <si>
    <t>10.1016/j.jval.2024.03.007</t>
  </si>
  <si>
    <t>National Institute for Health Research, NIHR132948</t>
  </si>
  <si>
    <t>Mr Matthew Walton</t>
  </si>
  <si>
    <t>Sibling bullying and mental health in British and Turkish autistic children and adolescents: The role of social and emotional functioning</t>
  </si>
  <si>
    <t>10.1016/j.rasd.2024.102392</t>
  </si>
  <si>
    <t>Research in Autism Spectrum Disorders</t>
  </si>
  <si>
    <t>This study has been conducted as a part of a PhD study that is fully funded by the Republic of Turkey Ministry of National Education, Directorate-General for Higher and Foreign Education.</t>
  </si>
  <si>
    <t>Mr Emre Deniz</t>
  </si>
  <si>
    <t>1750-9467</t>
  </si>
  <si>
    <t>Ripe for better post-war governance? The impact of the 2016 peace agreement on the reestablishment of health services in Colombia</t>
  </si>
  <si>
    <t>10.1016/j.polgeo.2024.103090</t>
  </si>
  <si>
    <t>Medical Research Council, Economic and Social Research Council, MR/R013667/1</t>
  </si>
  <si>
    <t>Professor Nina Caspersen</t>
  </si>
  <si>
    <t>Influence of composition on the magnetisation reversal of IrMn/CoFe exchange bias systems</t>
  </si>
  <si>
    <t>10.1016/j.jmmm.2024.172035</t>
  </si>
  <si>
    <t>Dr. Gonzalo Vallejo Fernandez</t>
  </si>
  <si>
    <t>Formation of functional E3 ligase complexes with UBC2 and UEV1 of Leishmania mexicana</t>
  </si>
  <si>
    <t>10.1016/j.molbiopara.2024.111619</t>
  </si>
  <si>
    <t>Molecular and Biochemical Parasitology</t>
  </si>
  <si>
    <t>MRC MR/N018230/,MRC MR/K019384/1,Wellcome Trust 200807/Z/16/Z</t>
  </si>
  <si>
    <t>Prof ANTHONY J WILKINSON</t>
  </si>
  <si>
    <t>0166-6851</t>
  </si>
  <si>
    <t>On the endomorphism algebra of Specht modules in even characteristic</t>
  </si>
  <si>
    <t>10.1016/j.jalgebra.2024.03.023</t>
  </si>
  <si>
    <t>The Royal Society, RGF\R1\181015</t>
  </si>
  <si>
    <t>Dr. Haralampos Geranios</t>
  </si>
  <si>
    <t>Response to “A method was developed for correcting the bias in the usual study weights in meta-analyses” by Walter and Balakrishnan</t>
  </si>
  <si>
    <t>10.1016/j.jclinepi.2024.111357</t>
  </si>
  <si>
    <t>Journal of Clinical Epidemiology</t>
  </si>
  <si>
    <t>Dr. Mark Simmonds</t>
  </si>
  <si>
    <t>0895-4356</t>
  </si>
  <si>
    <t>Influences of learned verbal labels and sleep on temporal event memory</t>
  </si>
  <si>
    <t>10.1016/j.jml.2024.104529</t>
  </si>
  <si>
    <t>Dr. Silvia P. Gennari</t>
  </si>
  <si>
    <t>Simple and complex sorption−solution isotherms for membrane polymers: A statistical thermodynamic fluctuation theory</t>
  </si>
  <si>
    <t>10.1016/j.physa.2024.129753</t>
  </si>
  <si>
    <t>Physica A: Statistical Mechanics and its Applications</t>
  </si>
  <si>
    <t>We thank Jan Heyda for catalyzing our collaboration and Steven Abbott for stimulating discussions. S.S. acknowledges the travel fund from the Steven Abbott TCNF Ltd. N.M. is grateful to the Fugaku Supercomputer Project (Nos. JPMXP1020230325 and JPMXP1020230327) and the Data-Driven Material Research Project (No. JPMXP1122714694) from the Ministry of Education, Culture, Sports, Science, and Technology.</t>
  </si>
  <si>
    <t>Dr Seishi Shimizu</t>
  </si>
  <si>
    <t>0378-4371</t>
  </si>
  <si>
    <t>Toolkit for specification, validation and verification of social, legal, ethical, empathetic and cultural requirements for autonomous agents</t>
  </si>
  <si>
    <t>10.1016/j.scico.2024.103118</t>
  </si>
  <si>
    <t>The development of SLEEC-TK was funded by the EPSRC project ‘UKRI TAS Node in Resilience’, EP/V026747/1. The work of Pedro Ribeiro is funded by EPSRC RoboTest EP/R025479/1. The work of Radu Calinescu is also funded by the Institute for Software Engineering and Software Technology ‘Jose María Troya Linero’ at the University of Málaga. The work of Ana Cavalcanti is also funded by the Royal Academy of Engineering grant CiET1718/45 and ‘UKRI TAS Verifiability Node EP/V026801/1’.</t>
  </si>
  <si>
    <t>Dr. Sinem Getir Yaman</t>
  </si>
  <si>
    <t>The role of emotional factors in face processing abilities in autism spectrum conditions</t>
  </si>
  <si>
    <t>10.1016/j.rasd.2024.102400</t>
  </si>
  <si>
    <t>This project is being funded by the University of York as part of a PhD scholarship for the author Natasha Baxter.</t>
  </si>
  <si>
    <t>Ms Natasha Baxter</t>
  </si>
  <si>
    <t>New methods, persistent issues, and one solution: Gene-environment interaction studies of childhood cognitive development</t>
  </si>
  <si>
    <t>10.1016/j.intell.2024.101834</t>
  </si>
  <si>
    <t>This work was supported by a Nuffield Foundation project grant (EDO/44110). During the writing of this article, SvS was also supported by a British Academy Mid-career Fellowship (2022), a Jacobs Foundation CRISP Fellowship (2022-2027), and a fellowship from Paris Institue of Advanced Studies (2023-2024). We thank Megan Wright and Kirsty Wilding for their comments on previous versions of this paper.</t>
  </si>
  <si>
    <t>Effects of a novel, brief psychological therapy (Managing Unusual Sensory Experiences) for hallucinations in first episode psychosis (MUSE FEP): Findings from an exploratory randomised controlled trial</t>
  </si>
  <si>
    <t>10.1016/j.jpsychires.2024.04.031</t>
  </si>
  <si>
    <t>Wellcome Trust, Research for Patient Benefit Programme, NIHR201078</t>
  </si>
  <si>
    <t>Professor Robert Dudley</t>
  </si>
  <si>
    <t>Inter-subject correlation of audience facial expressions predicts audience engagement during theatrical performances</t>
  </si>
  <si>
    <t>10.1016/j.isci.2024.109843</t>
  </si>
  <si>
    <t>Arts and Humanities Research Council, AH/M004457/1</t>
  </si>
  <si>
    <t>Dr Nick Edward Barraclough</t>
  </si>
  <si>
    <t>Socioeconomic inequalities in hospital access for prostate cancer before and after COVID-19</t>
  </si>
  <si>
    <t>10.1016/j.seps.2024.101914</t>
  </si>
  <si>
    <t>Socio-Economic Planning Sciences</t>
  </si>
  <si>
    <t>National Institute for Health and Care Research, PR-PRU-1217-20301</t>
  </si>
  <si>
    <t>Dr. Jinglin Wen</t>
  </si>
  <si>
    <t>0038-0121</t>
  </si>
  <si>
    <t>Stablecoins: New perspectives for travel and tourism</t>
  </si>
  <si>
    <t>10.1016/j.annals.2024.103789</t>
  </si>
  <si>
    <t>Dr Viktor Manahov</t>
  </si>
  <si>
    <t>Using I-MAIHDA to extend understanding of engagement in early years interventions: an example using the Born in Bradford's Better Start (BiBBS) birth cohort data</t>
  </si>
  <si>
    <t>10.1016/j.ssaho.2024.100935</t>
  </si>
  <si>
    <t>NIHR-INF-1386,A Better Start programme (ref: 10094849)</t>
  </si>
  <si>
    <t>Mrs Jennie Lister</t>
  </si>
  <si>
    <t>Gene transfer agents: structural and functional properties of domesticated viruses</t>
  </si>
  <si>
    <t>10.1016/j.tim.2024.05.002</t>
  </si>
  <si>
    <t>Trends in Microbiology</t>
  </si>
  <si>
    <t>M.C. is funded by a Biotechnology and Biological Sciences Research Council (BBSRC) Doctoral Training Program Studentship, J.W. is funded by a BBSRC responsive mode grant (BB/V016288/1), and P.F. is jointly funded by a Wellcome Trust and Royal Society Sir Henry Dale Fellowship (109363/Z/15/A) and a BBSRC responsive mode grant (BB/V016288/1).</t>
  </si>
  <si>
    <t>Dr Paul Christopher Michael Fogg</t>
  </si>
  <si>
    <t>0966-842X</t>
  </si>
  <si>
    <t>From vision to reality: How human factors can inform the design of cardiac diagnostic services in community settings</t>
  </si>
  <si>
    <t>10.1016/j.hfh.2024.100075</t>
  </si>
  <si>
    <t>Human Factors in Healthcare</t>
  </si>
  <si>
    <t>NHS Health Education England, N/A</t>
  </si>
  <si>
    <t>Dr Mark Sujan</t>
  </si>
  <si>
    <t>2772-5014</t>
  </si>
  <si>
    <t>Beyond co-expression: pathway discovery for plant pharmaceuticals</t>
  </si>
  <si>
    <t>10.1016/j.copbio.2024.103147</t>
  </si>
  <si>
    <t>Current Opinion in Biotechnology</t>
  </si>
  <si>
    <t>UKRI, MR/S01862X/1,MR/X010260/1</t>
  </si>
  <si>
    <t>Dr. Benjamin R. Lichman</t>
  </si>
  <si>
    <t>0958-1669</t>
  </si>
  <si>
    <t>Chemical analyses reveal dual functionality of Early Mesolithic birch tar at Krzyż Wielkopolski (Poland)</t>
  </si>
  <si>
    <t>10.1016/j.jasrep.2024.104591</t>
  </si>
  <si>
    <t>TJK received funding from the European Union’s Horizon 2020 research and innovation programme under the Marie Skłodowska-Curie grant agreement No 956351. Archaeological research in Krzyż is possible due to financial support of the County of Krzyż Wielkopolski and the Institute of Archeology and Ethnology PAS. Experimental replication was conducted at the York Experimental Archaeology Center (YEAR).</t>
  </si>
  <si>
    <t>Dr. Tabea J. Koch</t>
  </si>
  <si>
    <t>Increased CXCL10 (IP-10) is associated with advanced myeloproliferative neoplasms and its loss dampens erythrocytosis in mouse models</t>
  </si>
  <si>
    <t>10.1016/j.exphem.2024.104246</t>
  </si>
  <si>
    <t>Work in the Prof. DG Kent laboratory was supported by a European Research Council Starting Grant (ERC-2016-STG-715371), a Cancer Research UK Programme Foundation Award (DCRPGF\100008), an MRC-AMED joint award (MR/V005502/1), and the UK Medical Research Council (MC_PC_21043). The Kent lab is also supported by the National Institute for Care and Health Research Leeds Biomedical Research Centre (NIHR203331). Dr. MS Shepherd was the recipient of a Biotechnology and Biological Sciences Research Council Industrial Collaborative Award in Science and Engineering (iCase) PhD Studentship. Dr. JLC Che was supported by an MRC PhD Studentship under the University of Cambridge Doctoral Training Programme. Dr. CA Oedekoven was supported by Wellcome PhD Studentships. Work in Cambridge was further supported by core support grants by the Wellcome and Medical Research Council (MRC) to the Wellcome-MRC Cambridge Stem Cell Institute (203151/Z/16/Z).</t>
  </si>
  <si>
    <t>Booster effects and mechanisms of web-based personalised normative feedback alcohol intervention for college students: A pragmatic randomised controlled trial</t>
  </si>
  <si>
    <t>10.1016/j.drugalcdep.2024.111337</t>
  </si>
  <si>
    <t>Drug and Alcohol Dependence</t>
  </si>
  <si>
    <t>AB received grants from the São Paulo Research Foundation (FAPESP): grants #: 2017/13831-9, 2018/12729-9 and Conselho Nacional de Desenvolvimento Científico e Tecnológico (CNPq): grant #427671/2018-3. MLOSF received grant from CNPq: #315769/2018-1, Associação Fundo de Incentivo à Pesquisa (AFIP), and Coordenação de Aperfeiçoamento de Pessoal de Nível Superior (CAPES Print). The funding agencies did not play any role in study design, collection, analysis, and interpretation of data; in the writing of the report; nor in the preparation, review, or approval of the manuscript.</t>
  </si>
  <si>
    <t>Dr André Bedendo</t>
  </si>
  <si>
    <t>0376-8716</t>
  </si>
  <si>
    <t>Sleep interventions for adults admitted to psychiatric inpatient settings: A systematic scoping review</t>
  </si>
  <si>
    <t>10.1016/j.smrv.2024.101950</t>
  </si>
  <si>
    <t>Sleep Medicine Reviews</t>
  </si>
  <si>
    <t xml:space="preserve">An.Ab and FW received funding from the National Institute for Health and Care Research (NIHR) Applied Research Collaboration (ARC) North East and North Cumbria (NENC) (NIHR200173). </t>
  </si>
  <si>
    <t>Dr Anne Aboaja</t>
  </si>
  <si>
    <t>1087-0792</t>
  </si>
  <si>
    <t>Global disparities in wellbeing from green infrastructure cooling services: A systematic review</t>
  </si>
  <si>
    <t>10.1016/j.ufug.2024.128372</t>
  </si>
  <si>
    <t>Urban Forestry &amp; Urban Greening</t>
  </si>
  <si>
    <t>This research was supported by funding from China Scholarship Council-University of York Scholarship (202106390012). This research was also supported with the financial assistance of the European Union (Grant no. DCI-PANAF/2020/420-028), through the African Research Initiative for Scientific Excellence (ARISE), pilot programme. ARISE is implemented by the African Academy of Sciences with support from the European Commission and the African Union Commission. We thank the anonymous reviewers whose comments and suggestions helped improve and clarify this manuscript.</t>
  </si>
  <si>
    <t>Dr Rui Han</t>
  </si>
  <si>
    <t>1618-8667</t>
  </si>
  <si>
    <t>Amino acid dating of Pleistocene mammalian enamel from the River Thames terrace sequence: a multi-taxon approach</t>
  </si>
  <si>
    <t>10.1016/j.quageo.2024.101543</t>
  </si>
  <si>
    <t xml:space="preserve"> Financial Support from the UK NERC through grants awarded to KEHP (NE/K500987/1, NE/F01824X/1, and NE/S010211/1) and from the European Research Council under the European Union's Horizon 2020 Research and Innovation Programme Grant 865222 (“EQuaTe—Bridging Europe: A Quaternary Timescale for the Expansion and Evolution of Humans”) awarded to KEHP.</t>
  </si>
  <si>
    <t>Dr Marc R. Dickinson</t>
  </si>
  <si>
    <t>Is the Comparator in Your Diagnostic Cost-Effectiveness Model “Standard of Care”? Recommendations from Literature Reviews and Expert Interviews on How to Identify and Operationalize It</t>
  </si>
  <si>
    <t>10.1016/j.jval.2024.02.003</t>
  </si>
  <si>
    <t>Elsevier_rejected_requests_to_11-06-2024</t>
  </si>
  <si>
    <t>Roche Diagnostics funded this research.</t>
  </si>
  <si>
    <t>Dr Sara Graziadio</t>
  </si>
  <si>
    <t>Style classification of media painting images by integrating ResNet and attention mechanism</t>
  </si>
  <si>
    <t>10.1016/j.heliyon.2024.e27178</t>
  </si>
  <si>
    <t>Not all of the article’s authors conform to criteria</t>
  </si>
  <si>
    <t>Dr. Xinyun Zhang</t>
  </si>
  <si>
    <t>Aquaponics in schools: Hands‐on learning about healthy eating and a healthy planet</t>
  </si>
  <si>
    <t>10.1111/nbu.12689</t>
  </si>
  <si>
    <t>paid</t>
  </si>
  <si>
    <t>Wiley TA 2024</t>
  </si>
  <si>
    <t>Wiley_OABLE_requests_ytd_16_Jun_2024</t>
  </si>
  <si>
    <t>Biotechnology and Biological Sciences Research Council,</t>
  </si>
  <si>
    <t>Alana kluczkovski</t>
  </si>
  <si>
    <t>alana.kluczkovski@york.ac.uk</t>
  </si>
  <si>
    <t>Does Digital Status Unlawfully Penalise EU Citizens Accessing the UK's Private Rented Sector?</t>
  </si>
  <si>
    <t>10.1111/1468-2230.12905</t>
  </si>
  <si>
    <t>Research England,</t>
  </si>
  <si>
    <t>https://orcid.org/0000-0002-4512-7799</t>
  </si>
  <si>
    <t>Inequality of opportunity in the double burden of malnutrition in Mexico</t>
  </si>
  <si>
    <t>10.1002/hec.4870</t>
  </si>
  <si>
    <t>Consejo Nacional de Ciencia y Tecnología,</t>
  </si>
  <si>
    <t>Andrea Salas Ortiz</t>
  </si>
  <si>
    <t>andrea.salasortiz@york.ac.uk</t>
  </si>
  <si>
    <t>Photopatterned Hybrid Supramolecular/Polymer Hydrogels for Controlled Heparin Release and Stem Cell Growth</t>
  </si>
  <si>
    <t>10.1002/cnma.202400183</t>
  </si>
  <si>
    <t>ChemNanoMat</t>
  </si>
  <si>
    <t>Engineering and Physical Sciences Research Council,</t>
  </si>
  <si>
    <t>David Kelham Smith</t>
  </si>
  <si>
    <t>https://orcid.org/0000-0002-9881-2714</t>
  </si>
  <si>
    <t>What is adoration? Contesting meaning in the margins of the Opus Caroli regis contra synodum (c.790–4)</t>
  </si>
  <si>
    <t>10.1111/emed.12721</t>
  </si>
  <si>
    <t>White Rose College of the Arts and Humanities,</t>
  </si>
  <si>
    <t>Huw Foden</t>
  </si>
  <si>
    <t>huw.foden@btinternet.com</t>
  </si>
  <si>
    <t>https://orcid.org/0000-0003-2913-4179</t>
  </si>
  <si>
    <t>Selective Oxidations of Toluenes and Benzyl Alcohols by an Unspecific Peroxygenase (UPO)</t>
  </si>
  <si>
    <t>10.1002/cctc.202400702</t>
  </si>
  <si>
    <t>ChemCatChem</t>
  </si>
  <si>
    <t>Visual Narratives of Care and Reproduction in Forced Migration: Women Displaced from Venezuela to Brazil</t>
  </si>
  <si>
    <t>10.1111/blar.13579</t>
  </si>
  <si>
    <t>Bulletin of Latin American Research</t>
  </si>
  <si>
    <t>Economic and Social Research Council,</t>
  </si>
  <si>
    <t>Tallulah Lines</t>
  </si>
  <si>
    <t>tallulah.lines@york.ac.uk</t>
  </si>
  <si>
    <t>https://orcid.org/0009-0004-9888-6459</t>
  </si>
  <si>
    <t>Automatic Power Direction Control of DAB/TAB Converter in Emergency Energy Supply</t>
  </si>
  <si>
    <t>IET Power Electronics</t>
  </si>
  <si>
    <t>transactions-planned</t>
  </si>
  <si>
    <t>‘My sexual desires, everything, my normal life just stops’; a qualitative study of male sexual health in inflammatory bowel disease</t>
  </si>
  <si>
    <t>10.1111/jocn.17292</t>
  </si>
  <si>
    <t>s.ma@yorksj.ac.uk</t>
  </si>
  <si>
    <t>https://orcid.org/0000-0001-8876-9700</t>
  </si>
  <si>
    <t>Finding the right plaice at the right time: Multi‐molecular analysis of flatfish reveals historical catch habitats</t>
  </si>
  <si>
    <t>10.1111/faf.12847</t>
  </si>
  <si>
    <t>H2020 Marie Skłodowska-Curie Actions, H2020 Marie Skłodowska-Curie Actions</t>
  </si>
  <si>
    <t>Visualizing Dynamic Single Atom Catalysis</t>
  </si>
  <si>
    <t>10.1002/adma.202314121</t>
  </si>
  <si>
    <t>Advanced Materials</t>
  </si>
  <si>
    <t>Engineering and Physical Sciences Research Council, UK Research and Innovation</t>
  </si>
  <si>
    <t>Pratibha Gai</t>
  </si>
  <si>
    <t>PRATIBHA.GAI@YORK.AC.UK</t>
  </si>
  <si>
    <t>https://orcid.org/0000-0003-3837-7148</t>
  </si>
  <si>
    <t>Do you like school? Social class, gender, ethnicity and pupils' educational enjoyment</t>
  </si>
  <si>
    <t>10.1111/1468-4446.13113</t>
  </si>
  <si>
    <t>Sarah Stopforth</t>
  </si>
  <si>
    <t>sarah.stopforth@york.ac.uk</t>
  </si>
  <si>
    <t>https://orcid.org/0000-0001-8635-0295</t>
  </si>
  <si>
    <t>Transferability of the NHS low‐calorie diet programme: A qualitative exploration of factors influencing the programme's transfer ahead of wide‐scale adoption</t>
  </si>
  <si>
    <t>10.1111/dme.15354</t>
  </si>
  <si>
    <t>Wendy Burton</t>
  </si>
  <si>
    <t>wendy.burton@york.ac.uk</t>
  </si>
  <si>
    <t>https://orcid.org/0000-0001-7885-5971</t>
  </si>
  <si>
    <t>Holiday Activities and Food Programme: a qualitative exploration of stakeholders' perspectives and its delivery in Yorkshire</t>
  </si>
  <si>
    <t>Patience O. Gansallo</t>
  </si>
  <si>
    <t>patience.gansallo@york.ac.uk</t>
  </si>
  <si>
    <t>Long Covid and health inequalities: what next for research and policy advocacy?</t>
  </si>
  <si>
    <t>A novel approach to quantifying mammal locomotor repertoires using scoring and cluster analysis</t>
  </si>
  <si>
    <t>cancelled</t>
  </si>
  <si>
    <t>Sophia C Anderson</t>
  </si>
  <si>
    <t>sca527@york.ac.uk</t>
  </si>
  <si>
    <t>Unspecific Peroxygenase (UPO) can be Tuned for Oxygenation or Halogenation Activity by Controlling the Reaction pH</t>
  </si>
  <si>
    <t>10.1002/chem.202401706</t>
  </si>
  <si>
    <t>Variation of terpene alkaloids in &lt;fi&gt;Daphniphyllum macropodum&lt;/fi&gt; across plants and tissues</t>
  </si>
  <si>
    <t>10.1111/nph.19814</t>
  </si>
  <si>
    <t>Biotechnology and Biological Sciences Research Council; UK Research and Innovation; UK Research and Innovation, Biotechnology and Biological Sciences Research Council, UK Research and Innovation</t>
  </si>
  <si>
    <t>Benjamin Lichman</t>
  </si>
  <si>
    <t>benjamin.lichman@york.ac.uk</t>
  </si>
  <si>
    <t>https://orcid.org/0000-0002-0033-1120</t>
  </si>
  <si>
    <t>Alkylresorcinol detection and identification in archaeological pottery using ultra‐high‐performance liquid chromatography‐quadrupole/Orbitrap mass spectrometry</t>
  </si>
  <si>
    <t>10.1002/rcm.9771</t>
  </si>
  <si>
    <t>H2020 Marie Skłodowska-Curie Actions,</t>
  </si>
  <si>
    <t>Jonica Ella Doliente</t>
  </si>
  <si>
    <t>jonica.doliente@york.ac.uk</t>
  </si>
  <si>
    <t>https://orcid.org/0000-0001-7043-6916</t>
  </si>
  <si>
    <t>‘It's the kids that suffer’: Exploring how the UK's benefit cap and two‐child limit harm children</t>
  </si>
  <si>
    <t>10.1111/spol.13034</t>
  </si>
  <si>
    <t>Nuffield Foundation, Nuffield Foundation</t>
  </si>
  <si>
    <t>https://orcid.org/0000-0002-8354-4796</t>
  </si>
  <si>
    <t>Harnessing Large Language Models Reproducibly and Responsibly</t>
  </si>
  <si>
    <t>Ecological grief as a crisis in dwelling</t>
  </si>
  <si>
    <t>10.1111/ejop.12962</t>
  </si>
  <si>
    <t>British Academy, British Academy</t>
  </si>
  <si>
    <t>Pablo Fernandez Velasco</t>
  </si>
  <si>
    <t>https://orcid.org/0000-0001-7563-8170</t>
  </si>
  <si>
    <t>Behavioural support and nicotine replacement therapy for smokeless tobacco cessation in Bangladesh, India and Pakistan: A pilot randomized controlled trial</t>
  </si>
  <si>
    <t>10.1111/add.16515</t>
  </si>
  <si>
    <t>National Institute for Health and Care Research, Economic and Social Research Council</t>
  </si>
  <si>
    <t>https://orcid.org/0000-0002-2253-3911</t>
  </si>
  <si>
    <t>Detection of Sulfoquinovosidase Activity in Cell Lysates Using Activity-Based Probes</t>
  </si>
  <si>
    <t>10.1002/anie.202401358</t>
  </si>
  <si>
    <t>Australian Research Council; Biotechnology and Biological Sciences Research Council; H2020 European Research Council; H2020 European Research Council; Nederlandse Organisatie voor Wetenschappelijk Onderzoek; Royal Society, European Research Council, Biotechnology and Biological Sciences Research Council, Australian Research Council, Nederlandse Organisatie voor Wetenschappelijk Onderzoek,</t>
  </si>
  <si>
    <t>https://orcid.org/0000-0002-7343-776X</t>
  </si>
  <si>
    <t>Examining elevation and thermoregulatory trait differences of endemic tropical swallowtail butterflies to assess their vulnerability to climate change</t>
  </si>
  <si>
    <t>10.1111/icad.12744</t>
  </si>
  <si>
    <t>The University of York Graduate Research School,</t>
  </si>
  <si>
    <t>Tiffany Ki</t>
  </si>
  <si>
    <t>tltk500@york.ac.uk</t>
  </si>
  <si>
    <t>https://orcid.org/0000-0003-4389-5097</t>
  </si>
  <si>
    <t>On feeling unable to continue as oneself</t>
  </si>
  <si>
    <t>10.1111/ejop.12958</t>
  </si>
  <si>
    <t>Arts and Humanities Research Council, Arts and Humanities Research Council</t>
  </si>
  <si>
    <t>https://orcid.org/0000-0003-4519-4833</t>
  </si>
  <si>
    <t>The role of bodily experiences during pregnancy on mother and infant outcomes</t>
  </si>
  <si>
    <t>10.1111/jnp.12370</t>
  </si>
  <si>
    <t>University of York, York University</t>
  </si>
  <si>
    <t>Lydia Munns</t>
  </si>
  <si>
    <t>lm2016@york.ac.uk</t>
  </si>
  <si>
    <t>https://orcid.org/0000-0002-6553-8480</t>
  </si>
  <si>
    <t>Guilt, shame, and antiwar action in an authoritarian country at war</t>
  </si>
  <si>
    <t>10.1111/pops.12985</t>
  </si>
  <si>
    <t>Political Psychology</t>
  </si>
  <si>
    <t>Kinship Health Relationships: Reconfiguring the “Good Death” in Mixed Species Families</t>
  </si>
  <si>
    <t>10.1002/symb.689</t>
  </si>
  <si>
    <t>Symbolic Interaction</t>
  </si>
  <si>
    <t>Wellcome Trust, Wellcome Trust</t>
  </si>
  <si>
    <t>Lindsay Hamilton</t>
  </si>
  <si>
    <t>lindsay.hamilton@york.ac.uk</t>
  </si>
  <si>
    <t>‘Land for my children’: Gendered moral economies, social reproduction and resistance against land grabs in rural Cambodia</t>
  </si>
  <si>
    <t>10.1111/joac.12586</t>
  </si>
  <si>
    <t>Journal of Agrarian Change</t>
  </si>
  <si>
    <t>Schweizerischer Nationalfonds zur Förderung der Wissenschaftlichen Forschung, Direktion für Entwicklung und Zusammenarbeit, Schweizerischer Nationalfonds zur Förderung der Wissenschaftlichen Forschung</t>
  </si>
  <si>
    <t>https://orcid.org/0000-0003-0281-0130</t>
  </si>
  <si>
    <t>Estimation of the direct health and indirect societal costs of diabetes in the &lt;fc&gt;UK&lt;/fc&gt; using a cost of illness model</t>
  </si>
  <si>
    <t>10.1111/dme.15326</t>
  </si>
  <si>
    <t>Diabetes UK,</t>
  </si>
  <si>
    <t>Nick Hex</t>
  </si>
  <si>
    <t>NICK.HEX@YORK.AC.UK</t>
  </si>
  <si>
    <t>https://orcid.org/0000-0002-6181-9429</t>
  </si>
  <si>
    <t>SAMPLE: an R package to estimate sampling effort for species' occurrence rates</t>
  </si>
  <si>
    <t>Hédi Yacine Ben Chehida</t>
  </si>
  <si>
    <t>yacine.benchehida@york.ac.uk</t>
  </si>
  <si>
    <t>Social and temporal disorientation during the Covid‐19 pandemic: An analysis of 3306 responses to a quantitative questionnaire</t>
  </si>
  <si>
    <t>10.1111/bjop.12704</t>
  </si>
  <si>
    <t>Agence Nationale de la Recherche; Agence Nationale de la Recherche; British Academy; RATP Group, Agence Nationale de la Recherche, Irish Research Council, British Academy</t>
  </si>
  <si>
    <t>A medium throughput approach for improved taxonomic identification of lipids preserved in ancient pottery</t>
  </si>
  <si>
    <t>10.1111/arcm.12976</t>
  </si>
  <si>
    <t>Archaeometry</t>
  </si>
  <si>
    <t>European Research Council, Yorkshire Forward, European Research Council, Engineering and Physical Sciences Research Council</t>
  </si>
  <si>
    <t>I think this was denied by library because the author had left prior to the submission date. Not clear from OABLE.</t>
  </si>
  <si>
    <t>Léa Drieu</t>
  </si>
  <si>
    <t>lea.drieu@cepam.cnrs.fr</t>
  </si>
  <si>
    <t>https://orcid.org/0000-0002-7324-4925</t>
  </si>
  <si>
    <t>Has artificial intelligence rendered language teaching obsolete?</t>
  </si>
  <si>
    <t>10.1111/modl.12929</t>
  </si>
  <si>
    <t>Zoe Handley</t>
  </si>
  <si>
    <t>ZOE.HANDLEY@YORK.AC.UK</t>
  </si>
  <si>
    <t>https://orcid.org/0000-0002-4732-3443</t>
  </si>
  <si>
    <t>Integrating decision modeling and machine learning to inform treatment stratification</t>
  </si>
  <si>
    <t>10.1002/hec.4834</t>
  </si>
  <si>
    <t>https://orcid.org/0000-0002-0989-1984</t>
  </si>
  <si>
    <t>Plastic Litter Emits the Foraging Infochemical Dimethyl Sulfide after Submersion in Freshwater Rivers</t>
  </si>
  <si>
    <t>10.1002/etc.5880</t>
  </si>
  <si>
    <t>katey.valentine@hotmail.com</t>
  </si>
  <si>
    <t>https://orcid.org/0000-0003-2260-8845</t>
  </si>
  <si>
    <t>Titanium Coated Extremely Sensitive SPR Biosensor for Cancer Cell Detection</t>
  </si>
  <si>
    <t>Journal of Sensors</t>
  </si>
  <si>
    <t>Optimising Low Temperature Pyrolysis of Mesoporous Alginate-Derived Starbon® for Selective Heavy Metal Adsorption</t>
  </si>
  <si>
    <t>10.1002/cssc.202400015</t>
  </si>
  <si>
    <t>Nicholas Garland</t>
  </si>
  <si>
    <t>nphg500@york.ac.uk</t>
  </si>
  <si>
    <t>https://orcid.org/0000-0002-8427-5479</t>
  </si>
  <si>
    <t>An updated biodiversity hotspot assessment of South America's Atlantic Forest</t>
  </si>
  <si>
    <t>Plants, People, Planet</t>
  </si>
  <si>
    <t>Pursuing Opacity: Geographies of Visibility in the Western Mediterranean</t>
  </si>
  <si>
    <t>10.1111/anti.13045</t>
  </si>
  <si>
    <t>Economic and Social Research Council; Gerda Henkel Foundation</t>
  </si>
  <si>
    <t>Jose Ciro Martinez</t>
  </si>
  <si>
    <t>https://orcid.org/0000-0002-7960-4055</t>
  </si>
  <si>
    <t>The lived experience of informal caregivers of people who have severe mental illness and co-existing long-term conditions: A qualitative study.</t>
  </si>
  <si>
    <t>10.1111/hex.14119</t>
  </si>
  <si>
    <t>National Institute for Health and Care Research,</t>
  </si>
  <si>
    <t>https://orcid.org/0000-0003-3781-3286</t>
  </si>
  <si>
    <t>Liquid homeownership: Navigating future horizons to turn homeownership into assets in Bucharest, Romania</t>
  </si>
  <si>
    <t>10.1002/sea2.12316</t>
  </si>
  <si>
    <t>Economic Anthropology</t>
  </si>
  <si>
    <t>Alexandra Ciocănel</t>
  </si>
  <si>
    <t>alexandra.ciocanel@york.ac.uk</t>
  </si>
  <si>
    <t>https://orcid.org/0000-0001-9550-9755</t>
  </si>
  <si>
    <t>A bloody mess? UK regulation of menopause discrimination and the need for reform</t>
  </si>
  <si>
    <t>10.1111/jols.12469</t>
  </si>
  <si>
    <t>Journal of Law and Society</t>
  </si>
  <si>
    <t>https://orcid.org/0000-0003-3875-9584</t>
  </si>
  <si>
    <t>Bimodal glycosyl donors as an emerging approach towards a general glycosylation strategy</t>
  </si>
  <si>
    <t>10.1002/chem.202400399</t>
  </si>
  <si>
    <t>UKRI, UK Research and Innovation</t>
  </si>
  <si>
    <t>MARTIN.FASCIONE@YORK.AC.UK</t>
  </si>
  <si>
    <t>https://orcid.org/0000-0002-0066-4419</t>
  </si>
  <si>
    <t>Learning from survivors: Reporting parties' perspectives on how higher education institutions should address gender‐based violence and harassment</t>
  </si>
  <si>
    <t>10.1111/hequ.12517</t>
  </si>
  <si>
    <t>Higher Education Quarterly</t>
  </si>
  <si>
    <t>Economic and Social Research Council; Higher Education Funding Council for England, Economic and Social Research Council, Higher Education Funding Council for England</t>
  </si>
  <si>
    <t>Anna Bull</t>
  </si>
  <si>
    <t>anna.bull@york.ac.uk</t>
  </si>
  <si>
    <t>https://orcid.org/0000-0003-2732-3240</t>
  </si>
  <si>
    <t>Foundational guiding principles for a flourishing Earth system</t>
  </si>
  <si>
    <t>10.1111/basr.12349</t>
  </si>
  <si>
    <t>Business and Society Review</t>
  </si>
  <si>
    <t>Adam Hejnowicz</t>
  </si>
  <si>
    <t>adam.hejnowicz@ed.ac.uk</t>
  </si>
  <si>
    <t>https://orcid.org/0000-0001-7832-6172</t>
  </si>
  <si>
    <t>NEO‐PENTECOSTAL URBAN INFRASTRUCTURES IN LAGOS, NIGERIA: Ontology, Politics, Poetics</t>
  </si>
  <si>
    <t>10.1111/1468-2427.13242</t>
  </si>
  <si>
    <t>International Journal of Urban and Regional Research</t>
  </si>
  <si>
    <t>Gareth Millington</t>
  </si>
  <si>
    <t>gareth.millington@york.ac.uk</t>
  </si>
  <si>
    <t>Gene transfer agents: The ambiguous role of selfless viruses in genetic exchange and bacterial evolution</t>
  </si>
  <si>
    <t>10.1111/mmi.15251</t>
  </si>
  <si>
    <t>Biotechnology and Biological Sciences Research Council; Royal Society; Wellcome Trust, Biotechnology and Biological Sciences Research Council, Wellcome Trust, Royal Society</t>
  </si>
  <si>
    <t>Paul Fogg</t>
  </si>
  <si>
    <t>paul.fogg@york.ac.uk</t>
  </si>
  <si>
    <t>https://orcid.org/0000-0001-5324-4293</t>
  </si>
  <si>
    <t>Tailoring Convolutional Neural Networks for Custom Botanical Data</t>
  </si>
  <si>
    <t>Jamie Robert Sykes</t>
  </si>
  <si>
    <t>A systematic review of combined surgery and brachytherapy approaches for children and young people with relapsed and refractory rhabdomyosarcoma (Local‐REFoRMS)</t>
  </si>
  <si>
    <t>10.1002/pbc.30952</t>
  </si>
  <si>
    <t>Pediatric Blood &amp; Cancer</t>
  </si>
  <si>
    <t>Theta and alpha oscillations in human hippocampus and medial parietal cortex support the formation of location‐based representations</t>
  </si>
  <si>
    <t>10.1002/hipo.23605</t>
  </si>
  <si>
    <t>Hippocampus</t>
  </si>
  <si>
    <t>Wellcome Trust, International Seafood Sustainability Foundation, Economic and Social Research Council</t>
  </si>
  <si>
    <t>Aidan Horner</t>
  </si>
  <si>
    <t>aidan.horner@york.ac.uk</t>
  </si>
  <si>
    <t>https://orcid.org/0000-0003-0882-9756</t>
  </si>
  <si>
    <t>Inflammasomes in epithelial innate immunity: front line warriors</t>
  </si>
  <si>
    <t>10.1002/1873-3468.14848</t>
  </si>
  <si>
    <t>Academy of Medical Sciences; Hull York Medical School; Royal Society, Royal Society</t>
  </si>
  <si>
    <t>Kim ROBINSON</t>
  </si>
  <si>
    <t>kim.robinson@york.ac.uk</t>
  </si>
  <si>
    <t>https://orcid.org/0000-0003-1182-8789</t>
  </si>
  <si>
    <t>The association between body mass index and health‐related quality of life in the 2017 and 2018 health survey of England data: A cross‐sectional observational analysis</t>
  </si>
  <si>
    <t>10.1111/dom.15546</t>
  </si>
  <si>
    <t>Diabetes, Obesity and Metabolism</t>
  </si>
  <si>
    <t>Novo Nordisk</t>
  </si>
  <si>
    <t>Christopher Lübker</t>
  </si>
  <si>
    <t>cjlu@novonordisk.com</t>
  </si>
  <si>
    <t>https://orcid.org/0000-0003-3220-801X</t>
  </si>
  <si>
    <t>Legal apprenticeships: Enhancing capabilities, wellbeing, and diversity in the profession?</t>
  </si>
  <si>
    <t>10.1002/berj.4003</t>
  </si>
  <si>
    <t>https://orcid.org/0000-0002-3201-3274</t>
  </si>
  <si>
    <t>Who is local and what do they know? Braiding knowledges for carnivore management in Europe</t>
  </si>
  <si>
    <t>Hanna Pettersson</t>
  </si>
  <si>
    <t>hanna.pettersson@york.ac.uk</t>
  </si>
  <si>
    <t>Journal of Electrical and Computer Engineering</t>
  </si>
  <si>
    <t>Unwilling trust: Unpacking the assumption of trust between sexual misconduct reporters and their institutions in UK higher education</t>
  </si>
  <si>
    <t>10.1111/soc4.13197</t>
  </si>
  <si>
    <t>Erin R. Shannon</t>
  </si>
  <si>
    <t>https://orcid.org/0000-0002-4765-4576</t>
  </si>
  <si>
    <t>Childhood obesity prevention trials: A systematic review and meta‐analysis on trial design and the impact of type 1 error</t>
  </si>
  <si>
    <t>10.1111/obr.13736</t>
  </si>
  <si>
    <t>Obesity Reviews</t>
  </si>
  <si>
    <t>Louise Padgett</t>
  </si>
  <si>
    <t>louise.padgett@york.ac.uk</t>
  </si>
  <si>
    <t>https://orcid.org/0000-0002-3466-7407</t>
  </si>
  <si>
    <t>The genomic and enzymatic basis for iridoid biosynthesis in cat thyme (&lt;fi&gt;Teucrium marum&lt;/fi&gt;)</t>
  </si>
  <si>
    <t>10.1111/tpj.16698</t>
  </si>
  <si>
    <t>Biotechnology and Biological Sciences Research Council; Georgia Research Alliance; Georgia Seed Development; Michigan State University; Milli Eğitim Bakanliği; UK Research and Innovation; University of Georgia, UK Research and Innovation, Georgia Research Alliance, University of Georgia, Biotechnology and Biological Sciences Research Council, Michigan State University</t>
  </si>
  <si>
    <t>Representing, Re‐presenting, or Producing the Past? Memory Work amongst Museum Employees</t>
  </si>
  <si>
    <t>10.1111/joms.13059</t>
  </si>
  <si>
    <t>Journal of Management Studies</t>
  </si>
  <si>
    <t>Jeremy.aroles@york.ac.uk</t>
  </si>
  <si>
    <t>https://orcid.org/0000-0003-3328-214X</t>
  </si>
  <si>
    <t>Exploring the Mental Health Mesosystem: Adolescents and Stakeholders' Perceptions of the Interaction between Online and School-based Mental Health Provision</t>
  </si>
  <si>
    <t>JCPP Advances</t>
  </si>
  <si>
    <t>Beth Teresa Bell</t>
  </si>
  <si>
    <t>Identifying public perceptions of managed UK woodlands in the context of the climate and biodiversity crises.</t>
  </si>
  <si>
    <t>Naomi HOLMES</t>
  </si>
  <si>
    <t>naomi.holmes@york.ac.uk</t>
  </si>
  <si>
    <t>The impact of forced migration on the perinatal mental health and wellbeing of forcibly displaced women: A scoping review</t>
  </si>
  <si>
    <t>Global Challenges</t>
  </si>
  <si>
    <t>Amanda J. Mason-Jones</t>
  </si>
  <si>
    <t>Spatio‐temporal integrated Bayesian species distribution models reveal lack of broad relationships between traits and range shifts</t>
  </si>
  <si>
    <t>10.1111/geb.13819</t>
  </si>
  <si>
    <t>Joris Wiethase</t>
  </si>
  <si>
    <t>jhw538@york.ac.uk</t>
  </si>
  <si>
    <t>https://orcid.org/0000-0003-2008-1613</t>
  </si>
  <si>
    <t>Deep CNN Fusion Models for Detecting Colorectal Cancer</t>
  </si>
  <si>
    <t>Applied Computational Intelligence and Soft Computing</t>
  </si>
  <si>
    <t>Organizations, Institutions, and Symbols: Introduction to a Point?Counterpoint Conversation</t>
  </si>
  <si>
    <t>10.1111/joms.13060</t>
  </si>
  <si>
    <t>Daniel Muzio</t>
  </si>
  <si>
    <t>Daniel.muzio@york.ac.uk</t>
  </si>
  <si>
    <t>https://orcid.org/0000-0003-1725-9011</t>
  </si>
  <si>
    <t>The lexical content of high?stakes national exams in French, German, and Spanish in England</t>
  </si>
  <si>
    <t>10.1111/flan.12751</t>
  </si>
  <si>
    <t>Department for Education, UK Government; Economic and Social Research Council; Research England; University of York,</t>
  </si>
  <si>
    <t>Object Detection using Machine Learning: A Comprehensive Review of Techniques and Applications</t>
  </si>
  <si>
    <t>International Journal of Biomedical Imaging</t>
  </si>
  <si>
    <t>Pharmaceuticals and Personal Care Products in the Environment: What Progress Has Been Made in Addressing the Big Research Questions?</t>
  </si>
  <si>
    <t>10.1002/etc.5827</t>
  </si>
  <si>
    <t>ALISTAIR B.A. BOXALL</t>
  </si>
  <si>
    <t>ALISTAIR.BOXALL@YORK.AC.UK</t>
  </si>
  <si>
    <t>https://orcid.org/0000-0003-3823-7516</t>
  </si>
  <si>
    <t>Online carbohydrate 3D structure validation with the &lt;i&gt;Privateer&lt;/i&gt; web app</t>
  </si>
  <si>
    <t>10.1107/s2053230x24000359</t>
  </si>
  <si>
    <t>Biotechnology and Biological Sciences Research Council; Royal Society, Biotechnology and Biological Sciences Research Council, Royal Society, Science and Technology Facilities Council</t>
  </si>
  <si>
    <t>The Retaining Pse5Ac7Ac Pseudaminyltransferase KpsS1 Defines a Previously Unreported Glycosyltransferase Family (GTXXX)</t>
  </si>
  <si>
    <t>10.1002/anie.202318523</t>
  </si>
  <si>
    <t>Biotechnology and Biological Sciences Research Council; Engineering and Physical Sciences Research Council; Rosetrees Trust; UK Research and Innovation, Engineering and Physical Sciences Research Council, UK Research and Innovation, Biotechnology and Biological Sciences Research Council</t>
  </si>
  <si>
    <t>A core outcome set for trials evaluating self‐management interventions in people with severe mental illness and coexisting type 2 diabetes</t>
  </si>
  <si>
    <t>10.1111/dme.15288</t>
  </si>
  <si>
    <t>National Institute for Health and Care Research, National Institute for Health and Care Research</t>
  </si>
  <si>
    <t>Flexibility for equality: Examining the impact of flexible working time arrangements on women's convergence in working hours</t>
  </si>
  <si>
    <t>10.1111/bjir.12787</t>
  </si>
  <si>
    <t>British Journal of Industrial Relations</t>
  </si>
  <si>
    <t>Filippos Maraziotis</t>
  </si>
  <si>
    <t>filippos.maraziotis@york.ac.uk</t>
  </si>
  <si>
    <t>https://orcid.org/0000-0002-1271-9165</t>
  </si>
  <si>
    <t>Achieving dynamic efficiency in pharmaceutical innovation: Identifying the optimal share of value and payments required</t>
  </si>
  <si>
    <t>10.1002/hec.4795</t>
  </si>
  <si>
    <t>Beth Woods</t>
  </si>
  <si>
    <t>BETH.WOODS@YORK.AC.UK</t>
  </si>
  <si>
    <t>https://orcid.org/0000-0002-7669-9415</t>
  </si>
  <si>
    <t>The importance of rhythms for maintaining consent in diagnostic encounters to detect cervical cancer</t>
  </si>
  <si>
    <t>10.1111/1467-9566.13752</t>
  </si>
  <si>
    <t>A model for quantifying the effectiveness of leaky barriers as a flood mitigation intervention in an agricultural landscape</t>
  </si>
  <si>
    <t>10.1002/rra.4241</t>
  </si>
  <si>
    <t>River Research and Applications</t>
  </si>
  <si>
    <t>Environment Agency, Environment Agency</t>
  </si>
  <si>
    <t>Martha Villamizar</t>
  </si>
  <si>
    <t>martha.villamizarvelez@york.ac.uk</t>
  </si>
  <si>
    <t>https://orcid.org/0000-0002-6545-3807</t>
  </si>
  <si>
    <t>Quantifying the availability of seasonal surface water and identifying the drivers of change within tropical forests in northern and eastern Cambodia</t>
  </si>
  <si>
    <t>Remote Sensing in Ecology and Conservation</t>
  </si>
  <si>
    <t>Louisa Claire Mamalis</t>
  </si>
  <si>
    <t>louisa.mamalis@york.ac.uk</t>
  </si>
  <si>
    <t>Attribution of undesirable character traits, rather than trait-based dehumanization, predicts punishment decisions</t>
  </si>
  <si>
    <t>10.1098/rsos.240087</t>
  </si>
  <si>
    <t>Royal Society TA 2024</t>
  </si>
  <si>
    <t>Royal Society CCC ytd 24 Jun 2024</t>
  </si>
  <si>
    <t>H2020 Excellent Science</t>
  </si>
  <si>
    <t>Robert A. Brennan</t>
  </si>
  <si>
    <t>rb1733@york.ac.uk</t>
  </si>
  <si>
    <t>0000-0001-7099-6788</t>
  </si>
  <si>
    <t>Multi-proxy bioarchaeological analysis of skeletal remains shows genetic discontinuity in a Medieval Sicilian community</t>
  </si>
  <si>
    <t>10.1098/rsos.240436</t>
  </si>
  <si>
    <t>H2020 European Research Council; Research Promotion Foundation</t>
  </si>
  <si>
    <t>Nathan Wales</t>
  </si>
  <si>
    <t>nathan.wales@york.ac.uk</t>
  </si>
  <si>
    <t>Hyperons in Neutron Stars -- Studies of Hyperon Spectroscopy and the Hyperon-Nucleon Interaction with the K-Long Facility</t>
  </si>
  <si>
    <t>10.1098/rsta.2023.0124</t>
  </si>
  <si>
    <t>Philosophical Transactions of the Royal Society A</t>
  </si>
  <si>
    <t>Nick Zachariou</t>
  </si>
  <si>
    <t>nick.zachariou@york.ac.uk</t>
  </si>
  <si>
    <t>0000-0001-7621-5612</t>
  </si>
  <si>
    <t>Projected future climatic forcing on the global distribution of vegetation types</t>
  </si>
  <si>
    <t>10.1098/rstb.2023.0011</t>
  </si>
  <si>
    <t>Philosophical Transactions of the Royal Society B</t>
  </si>
  <si>
    <t>Eidgenössische Technische Hochschule Zürich; Leverhulme Trust; White Rose University Consortium</t>
  </si>
  <si>
    <t>Christopher Lyon</t>
  </si>
  <si>
    <t>christopher.lyon@york.ac.uk</t>
  </si>
  <si>
    <t>Information source</t>
  </si>
  <si>
    <t>Link</t>
  </si>
  <si>
    <t>Comments</t>
  </si>
  <si>
    <t>ACS</t>
  </si>
  <si>
    <t>CCC dashboard</t>
  </si>
  <si>
    <t>AIP</t>
  </si>
  <si>
    <t>Email pcr@aip.org</t>
  </si>
  <si>
    <t>Reports provided annually via Jisc/ Publisher - but not received any. Requested reports sometimes contain papers that aren't ours. PBOD on reports means paid by OA deal.</t>
  </si>
  <si>
    <t>adcock@aps.org</t>
  </si>
  <si>
    <t>Email reports to openaccesspublishing Jan and July.</t>
  </si>
  <si>
    <t>https://scipris.aptaracorp.com/SciPrisV62204/?pc=maAYU0rzkzXOrp8Ye3kqjw%3D%3D</t>
  </si>
  <si>
    <t>Previously SciPris - replaced by CCC Dec 2023</t>
  </si>
  <si>
    <t>CCC dashboard, or email BMJ for reports</t>
  </si>
  <si>
    <t>Email openaccess@bmj.com. CCC used for article approvals, but they initially said we couldn't use it for reporting. In an email in Feb 2023 they said we could use it for reporting, but haven't tried it. BMJ will provide full reports on accepted papers, including those not under the deal on request by email.</t>
  </si>
  <si>
    <t>Half yearly email reports or email Linda Empringham empringham@brill.com</t>
  </si>
  <si>
    <t>Emailed Linda for full list of papers made OA under deal to date 15/11/21. Monthly email reports from 2023?</t>
  </si>
  <si>
    <t>Bristol University Press</t>
  </si>
  <si>
    <t>OA Switchboard</t>
  </si>
  <si>
    <t>Contact:  simon.bell@bristol.ac.uk</t>
  </si>
  <si>
    <t>Cold Spring Harbor Laboratory Press</t>
  </si>
  <si>
    <t>subscriptions@cshl.edu</t>
  </si>
  <si>
    <t>Emailed this address for stats 21/6/23 and Jan 2024, but got no reply on either occasion.</t>
  </si>
  <si>
    <t>https://apcfunding.copyright.com/</t>
  </si>
  <si>
    <t>You need to put 'The Company of Biologists' in the reporting section to get any results</t>
  </si>
  <si>
    <t>CUP</t>
  </si>
  <si>
    <t>Dashboard</t>
  </si>
  <si>
    <t>https://oap.elsevier.com/s/</t>
  </si>
  <si>
    <t>Geological Society Lyell Collection</t>
  </si>
  <si>
    <t>LyellCollection@geolsoc.org.uk</t>
  </si>
  <si>
    <t>Emailed this address for stats 21/6/23</t>
  </si>
  <si>
    <t>IOP</t>
  </si>
  <si>
    <t>On demand - email rhys.freshwater@ioppublishing.org</t>
  </si>
  <si>
    <t>According to Rhys Freshwater, IOP send quarterly reports to Jisc "so that they could be disseminated to the members", which Jisc doesn't routinely do. Other institutions email Rhys whenever they want reports.</t>
  </si>
  <si>
    <t>OA Switchboard/ 6 monthly report</t>
  </si>
  <si>
    <t>6 monthly Excel report for instititutions that don't have OA Switchboard (see email from Marten Stavenga).</t>
  </si>
  <si>
    <t>Seems to be only on CCC since 2021. Before that they sent us a couple of reports by email for 2020.</t>
  </si>
  <si>
    <t>OUP</t>
  </si>
  <si>
    <t>Monthly email reports</t>
  </si>
  <si>
    <t>https://drive.google.com/drive/u/0/folders/1oLxg7sxNAjVNB4UQnicesbR5BeYEt2Yn</t>
  </si>
  <si>
    <t>Mostly several months behind</t>
  </si>
  <si>
    <t>PLOS CAP</t>
  </si>
  <si>
    <t>https://drive.google.com/drive/u/0/folders/1Jx7ygNxQV305mcLSBQAZmwqiGZ1_C-EC</t>
  </si>
  <si>
    <t xml:space="preserve">Also on CCC since part way through 2021. You need to enter 'Public Library of Science' as publisher to get the report to work. No monthly accepted manuscript reports in OA publishing inbox for Feb and June 2021. Is this because we didn't have any accepted MSS? </t>
  </si>
  <si>
    <t>PLOS TFF</t>
  </si>
  <si>
    <t>OA switchboard or on demand</t>
  </si>
  <si>
    <t>Email Anton Bandy ABandy@nas.edu</t>
  </si>
  <si>
    <t>Started in 2021 - earlier reports were by email. They possibly still send us half yearly reports.</t>
  </si>
  <si>
    <t>Rockefeller UP</t>
  </si>
  <si>
    <t>https://rup-jps.ejpress.com/cgi-bin/prod.plex?jps_action=logout</t>
  </si>
  <si>
    <t>From April 2023 only</t>
  </si>
  <si>
    <t>CCC Dashboard</t>
  </si>
  <si>
    <t>RSC</t>
  </si>
  <si>
    <t>https://drive.google.com/drive/u/0/folders/15RmFEPuWlU2Z3xvoTGKn5IXjXDlPiioM</t>
  </si>
  <si>
    <t>RSC confirmed to me by email (Jan 2022) that the monthly reports include all papers, regardless of whether OA or not.</t>
  </si>
  <si>
    <t>Regular' email reports</t>
  </si>
  <si>
    <t>Not received any reports as of May 2023</t>
  </si>
  <si>
    <t>T&amp;F</t>
  </si>
  <si>
    <t>https://www.taylorfrancis.com/oadashboard/</t>
  </si>
  <si>
    <t>https://authorservices.wiley.com/index.html#login?returnUrl=https://openaccessaccount.wiley.com/</t>
  </si>
  <si>
    <t>Deal/year</t>
  </si>
  <si>
    <t>Total list APC value of UKRI funded papers</t>
  </si>
  <si>
    <t>APC price reported by publisher directly in connection with this article (e.g. on dashboard, email report etc)</t>
  </si>
  <si>
    <t>Average price paid from YOAF for this publisher or journal over a timespan that is comparable with the date of the article</t>
  </si>
  <si>
    <t xml:space="preserve">APC list price from publisher's website </t>
  </si>
  <si>
    <t>Where there are gaps in the APC price data provided in publishers' reports (i.e. the reports contain prices for some papers and not others), the prices that are provided can be averaged and that figure used for papers where no price is reported. Usually, the average is taken over the same year as the gaps (e.g. average price for 2020 papers used to fill gaps in 2020 price data)</t>
  </si>
  <si>
    <t>Amount we were charged VAT on as reported on VAT invoice. Applies to T&amp;F, where we are invoiced for VAT on individual papers published.</t>
  </si>
  <si>
    <t>Data from publishers, enriched and shared by Jisc</t>
  </si>
  <si>
    <t>Note: this worksheet calculates the total cost for each deal/year of papers that would be eligible for the institutional OA fund, if we hadn't had the TA. I.e.: total list APC cost of all papers in fully OA journals that do not have UKRI or WT funding.</t>
  </si>
  <si>
    <t>id_value</t>
  </si>
  <si>
    <t>capture</t>
  </si>
  <si>
    <t>citation</t>
  </si>
  <si>
    <t>socialMedia</t>
  </si>
  <si>
    <t>usage</t>
  </si>
  <si>
    <t>mention</t>
  </si>
  <si>
    <t>Snapshot date</t>
  </si>
  <si>
    <t>10.1016/j.neuroimage.2019.02.049</t>
  </si>
  <si>
    <t>10.1016/j.neuroimage.2019.116045</t>
  </si>
  <si>
    <t>10.1016/j.neuroimage.2019.116089</t>
  </si>
  <si>
    <t>10.1016/j.celrep.2019.03.107</t>
  </si>
  <si>
    <t>10.1016/j.dib.2019.104402</t>
  </si>
  <si>
    <t>10.1016/j.ssmph.2019.100397</t>
  </si>
  <si>
    <t>10.1016/j.conctc.2019.100343</t>
  </si>
  <si>
    <t>10.1016/j.aeaoa.2019.100025</t>
  </si>
  <si>
    <t>10.1016/j.aeaoa.2019.100030</t>
  </si>
  <si>
    <t>10.1016/j.pvr.2019.100174</t>
  </si>
  <si>
    <t>10.1016/j.physletb.2019.06.032</t>
  </si>
  <si>
    <t>10.1016/j.physletb.2019.134835</t>
  </si>
  <si>
    <t>10.1016/j.physletb.2019.134894</t>
  </si>
  <si>
    <t>10.1016/j.physletb.2019.135110</t>
  </si>
  <si>
    <t>10.1016/S0140-6736(20)31965-6</t>
  </si>
  <si>
    <t>10.1016/S0140-6736(20)30684-X</t>
  </si>
  <si>
    <t>10.1016/j.tics.2020.02.001</t>
  </si>
  <si>
    <t>10.1016/j.molp.2020.02.008</t>
  </si>
  <si>
    <t>10.1016/S2215-0366(20)30145-0</t>
  </si>
  <si>
    <t>10.1016/j.chembiol.2020.06.005</t>
  </si>
  <si>
    <t>10.1016/j.apacoust.2019.107183</t>
  </si>
  <si>
    <t>10.1016/j.brat.2020.103725</t>
  </si>
  <si>
    <t>10.1016/j.biocon.2020.108631</t>
  </si>
  <si>
    <t>10.1016/j.cognition.2020.104345</t>
  </si>
  <si>
    <t>10.1016/j.cortex.2020.03.033</t>
  </si>
  <si>
    <t>10.1016/j.cortex.2020.02.019</t>
  </si>
  <si>
    <t>10.1016/j.cortex.2020.04.032</t>
  </si>
  <si>
    <t>10.1016/j.cortex.2020.10.007</t>
  </si>
  <si>
    <t>10.1016/j.cryobiol.2020.01.004</t>
  </si>
  <si>
    <t>10.1016/j.cryobiol.2020.01.005</t>
  </si>
  <si>
    <t>10.1016/j.yexcr.2020.112179</t>
  </si>
  <si>
    <t>10.1016/j.ins.2020.02.061</t>
  </si>
  <si>
    <t>10.1016/j.injury.2019.10.030</t>
  </si>
  <si>
    <t>10.1016/j.injury.2019.10.031</t>
  </si>
  <si>
    <t>10.1016/j.ijnurstu.2020.103611</t>
  </si>
  <si>
    <t>10.1016/j.ijnurstu.2020.103699</t>
  </si>
  <si>
    <t>10.1016/j.jalgebra.2019.12.017</t>
  </si>
  <si>
    <t>10.1016/j.jalgebra.2020.06.001</t>
  </si>
  <si>
    <t>10.1016/j.jalgebra.2020.11.022</t>
  </si>
  <si>
    <t>10.1016/j.jcis.2020.04.101</t>
  </si>
  <si>
    <t>10.1016/j.jcomdis.2020.105984</t>
  </si>
  <si>
    <t>10.1016/j.jtbi.2020.110495</t>
  </si>
  <si>
    <t>10.1016/j.neuropsychologia.2020.107438</t>
  </si>
  <si>
    <t>10.1016/j.neuropsychologia.2020.107590</t>
  </si>
  <si>
    <t>10.1016/j.optcom.2020.126034</t>
  </si>
  <si>
    <t>10.1016/j.physio.2019.07.004</t>
  </si>
  <si>
    <t>10.1016/j.soilbio.2019.107702</t>
  </si>
  <si>
    <t>10.1016/j.tet.2020.131344</t>
  </si>
  <si>
    <t>10.1016/j.tet.2020.131392</t>
  </si>
  <si>
    <t>10.1016/j.tet.2020.131754</t>
  </si>
  <si>
    <t>10.1016/j.tet.2020.131789</t>
  </si>
  <si>
    <t>10.1016/j.visres.2020.03.004</t>
  </si>
  <si>
    <t>10.1016/j.scitotenv.2020.138056</t>
  </si>
  <si>
    <t>10.1016/j.scitotenv.2020.139688</t>
  </si>
  <si>
    <t>10.1016/j.scitotenv.2020.140493</t>
  </si>
  <si>
    <t>10.1016/j.scitotenv.2020.141509</t>
  </si>
  <si>
    <t>10.1016/j.scitotenv.2020.143019</t>
  </si>
  <si>
    <t>10.1016/j.scitotenv.2019.136491</t>
  </si>
  <si>
    <t>10.1016/j.scitotenv.2020.142102</t>
  </si>
  <si>
    <t>10.1016/j.jrp.2020.104004</t>
  </si>
  <si>
    <t>10.1016/j.jue.2020.103279</t>
  </si>
  <si>
    <t>10.1016/j.comcom.2020.04.020</t>
  </si>
  <si>
    <t>10.1016/j.chiabu.2020.104605</t>
  </si>
  <si>
    <t>10.1016/j.chiabu.2020.104633</t>
  </si>
  <si>
    <t>10.1016/j.jbusres.2018.12.015</t>
  </si>
  <si>
    <t>10.1016/j.jbusres.2020.09.038</t>
  </si>
  <si>
    <t>10.1016/j.clinthera.2019.12.002</t>
  </si>
  <si>
    <t>10.1016/j.annals.2020.102887</t>
  </si>
  <si>
    <t>10.1016/j.infbeh.2020.101473</t>
  </si>
  <si>
    <t>10.1016/j.genhosppsych.2020.05.003</t>
  </si>
  <si>
    <t>10.1016/j.jad.2020.01.057</t>
  </si>
  <si>
    <t>10.1016/j.jad.2019.11.105</t>
  </si>
  <si>
    <t>10.1016/j.regsciurbeco.2020.103523</t>
  </si>
  <si>
    <t>10.1016/j.jhealeco.2019.102282</t>
  </si>
  <si>
    <t>10.1016/j.scico.2020.102510</t>
  </si>
  <si>
    <t>10.1016/j.molliq.2019.111746</t>
  </si>
  <si>
    <t>10.1016/j.molliq.2020.114225</t>
  </si>
  <si>
    <t>10.1016/j.molliq.2020.114758</t>
  </si>
  <si>
    <t>10.1016/j.patrec.2018.03.029</t>
  </si>
  <si>
    <t>10.1016/j.healthpol.2020.02.015</t>
  </si>
  <si>
    <t>10.1016/j.aam.2020.102099</t>
  </si>
  <si>
    <t>10.1016/j.ejpsy.2020.04.002</t>
  </si>
  <si>
    <t>10.1016/j.ejpsy.2019.11.003</t>
  </si>
  <si>
    <t>10.1016/j.ejpsy.2019.11.002</t>
  </si>
  <si>
    <t>10.1016/j.jimonfin.2020.102149</t>
  </si>
  <si>
    <t>10.1016/j.landusepol.2020.104612</t>
  </si>
  <si>
    <t>10.1016/j.bjoms.2019.12.013</t>
  </si>
  <si>
    <t>10.1016/j.quascirev.2020.106281</t>
  </si>
  <si>
    <t>10.1016/j.quascirev.2020.106434</t>
  </si>
  <si>
    <t>10.1016/j.socscimed.2020.113500</t>
  </si>
  <si>
    <t>10.1016/j.socscimed.2020.113218</t>
  </si>
  <si>
    <t>10.1016/j.socscimed.2020.113230</t>
  </si>
  <si>
    <t>10.1016/j.socscimed.2020.113339</t>
  </si>
  <si>
    <t>10.1016/j.socscimed.2020.113531</t>
  </si>
  <si>
    <t>10.1016/j.jaa.2020.101225</t>
  </si>
  <si>
    <t>10.1016/j.enpol.2020.112043</t>
  </si>
  <si>
    <t>10.1016/j.exphem.2020.01.004</t>
  </si>
  <si>
    <t>10.1016/j.jenvman.2019.110027</t>
  </si>
  <si>
    <t>10.1016/j.eururo.2020.03.049</t>
  </si>
  <si>
    <t>10.1016/j.ecolmodel.2020.109258</t>
  </si>
  <si>
    <t>10.1016/j.jhazmat.2020.122469</t>
  </si>
  <si>
    <t>10.1016/j.jhazmat.2020.123400</t>
  </si>
  <si>
    <t>10.1016/j.jhazmat.2020.123490</t>
  </si>
  <si>
    <t>10.1016/j.jmmm.2020.166711</t>
  </si>
  <si>
    <t>10.1016/j.jas.2020.105080</t>
  </si>
  <si>
    <t>10.1016/j.addbeh.2020.106456</t>
  </si>
  <si>
    <t>10.1016/j.agsy.2020.102865</t>
  </si>
  <si>
    <t>10.1016/j.system.2020.102396</t>
  </si>
  <si>
    <t>10.1016/j.compedu.2020.104032</t>
  </si>
  <si>
    <t>10.1016/j.elspec.2019.02.002</t>
  </si>
  <si>
    <t>10.1016/j.pragma.2019.10.004</t>
  </si>
  <si>
    <t>10.1016/j.pragma.2020.06.009</t>
  </si>
  <si>
    <t>10.1016/j.physa.2020.125385</t>
  </si>
  <si>
    <t>10.1016/j.ejrad.2020.109215</t>
  </si>
  <si>
    <t>10.1016/j.cogdev.2020.100967</t>
  </si>
  <si>
    <t>10.1016/j.ygeno.2019.06.011</t>
  </si>
  <si>
    <t>10.1016/j.jaging.2020.100880</t>
  </si>
  <si>
    <t>10.1016/j.jvoice.2018.06.011</t>
  </si>
  <si>
    <t>10.1016/j.jvoice.2018.07.015</t>
  </si>
  <si>
    <t>10.1016/j.jclinepi.2020.03.001</t>
  </si>
  <si>
    <t>10.1016/j.ecolecon.2020.106757</t>
  </si>
  <si>
    <t>10.1016/j.snb.2019.127428</t>
  </si>
  <si>
    <t>10.1016/j.ijpe.2018.07.007</t>
  </si>
  <si>
    <t>10.1016/j.ijpe.2020.107870</t>
  </si>
  <si>
    <t>10.1016/j.apsoil.2020.103787</t>
  </si>
  <si>
    <t>10.1016/j.ceb.2020.02.006</t>
  </si>
  <si>
    <t>10.1016/j.drugpo.2019.07.020</t>
  </si>
  <si>
    <t>10.1016/j.bios.2020.112047</t>
  </si>
  <si>
    <t>10.1016/j.mechatronics.2020.102443</t>
  </si>
  <si>
    <t>10.1016/j.conb.2020.08.004</t>
  </si>
  <si>
    <t>10.1016/j.jclepro.2020.122945</t>
  </si>
  <si>
    <t>10.1016/j.renene.2020.01.002</t>
  </si>
  <si>
    <t>10.1016/j.renene.2020.01.076</t>
  </si>
  <si>
    <t>10.1016/j.biortech.2020.124499</t>
  </si>
  <si>
    <t>10.1016/j.biortech.2020.122755</t>
  </si>
  <si>
    <t>10.1016/j.ocecoaman.2020.105110</t>
  </si>
  <si>
    <t>10.1016/j.ocecoaman.2020.105221</t>
  </si>
  <si>
    <t>10.1016/j.jtv.2020.07.007</t>
  </si>
  <si>
    <t>10.1016/j.euromechflu.2019.11.004</t>
  </si>
  <si>
    <t>10.1016/j.quaint.2019.05.008</t>
  </si>
  <si>
    <t>10.1016/j.cpa.2019.102123</t>
  </si>
  <si>
    <t>10.1016/j.ymeth.2019.06.021</t>
  </si>
  <si>
    <t>10.1016/j.concog.2020.102989</t>
  </si>
  <si>
    <t>10.1016/j.concog.2020.103059</t>
  </si>
  <si>
    <t>10.1016/j.jval.2020.01.004</t>
  </si>
  <si>
    <t>10.1016/j.jval.2020.07.008</t>
  </si>
  <si>
    <t>10.1016/j.jval.2020.08.2094</t>
  </si>
  <si>
    <t>10.1016/j.apr.2020.05.023</t>
  </si>
  <si>
    <t>10.1016/j.atmosenv.2020.117376</t>
  </si>
  <si>
    <t>10.1016/j.atmosenv.2020.117784</t>
  </si>
  <si>
    <t>10.1016/j.healthplace.2019.102274</t>
  </si>
  <si>
    <t>10.1016/j.cocis.2020.03.008</t>
  </si>
  <si>
    <t>10.1016/j.cbpa.2020.07.004</t>
  </si>
  <si>
    <t>10.1016/j.sysarc.2020.101774</t>
  </si>
  <si>
    <t>10.1016/j.saa.2020.119319</t>
  </si>
  <si>
    <t>10.1016/j.ejon.2020.101730</t>
  </si>
  <si>
    <t>10.1016/j.envsci.2020.09.002</t>
  </si>
  <si>
    <t>10.1016/j.sapharm.2019.04.010</t>
  </si>
  <si>
    <t>10.1016/j.clgc.2019.12.004</t>
  </si>
  <si>
    <t>10.1016/j.asoc.2020.106073</t>
  </si>
  <si>
    <t>10.1016/j.hal.2020.101912</t>
  </si>
  <si>
    <t>10.1016/j.edurev.2020.100312</t>
  </si>
  <si>
    <t>10.1016/j.rasd.2020.101531</t>
  </si>
  <si>
    <t>10.1016/j.quageo.2020.101131</t>
  </si>
  <si>
    <t>10.1016/j.jprot.2020.103986</t>
  </si>
  <si>
    <t>10.1016/j.bbagrm.2019.194441</t>
  </si>
  <si>
    <t>10.1016/j.jocs.2019.101069</t>
  </si>
  <si>
    <t>10.1016/j.eist.2020.01.013</t>
  </si>
  <si>
    <t>10.1016/j.swevo.2020.100773</t>
  </si>
  <si>
    <t>10.1016/j.ecoser.2020.101171</t>
  </si>
  <si>
    <t>10.1016/j.erss.2020.101724</t>
  </si>
  <si>
    <t>10.1016/j.socec.2020.101522</t>
  </si>
  <si>
    <t>10.1016/j.socec.2020.101618</t>
  </si>
  <si>
    <t>10.1016/j.ara.2020.100225</t>
  </si>
  <si>
    <t>10.1016/j.copsyc.2020.07.027</t>
  </si>
  <si>
    <t>10.1016/j.jasrep.2020.102682</t>
  </si>
  <si>
    <t>10.1016/j.rsma.2020.101509</t>
  </si>
  <si>
    <t>10.1016/j.scp.2020.100230</t>
  </si>
  <si>
    <t>10.1016/j.cogsc.2019.12.002</t>
  </si>
  <si>
    <t>10.1016/j.cogsc.2020.100365</t>
  </si>
  <si>
    <t>10.1016/j.psj.2019.12.074</t>
  </si>
  <si>
    <t>10.1016/j.envint.2020.106155</t>
  </si>
  <si>
    <t>10.1016/j.nbd.2020.105047</t>
  </si>
  <si>
    <t>10.1016/j.nbd.2020.105144</t>
  </si>
  <si>
    <t>10.1016/j.neuroimage.2020.116745</t>
  </si>
  <si>
    <t>10.1016/j.neuroimage.2020.116765</t>
  </si>
  <si>
    <t>10.1016/j.neuroimage.2020.116977</t>
  </si>
  <si>
    <t>10.1016/j.neuroimage.2020.117019</t>
  </si>
  <si>
    <t>10.1016/j.neuroimage.2020.117045</t>
  </si>
  <si>
    <t>10.1016/j.neuroimage.2020.117072</t>
  </si>
  <si>
    <t>10.1016/j.neuroimage.2020.117074</t>
  </si>
  <si>
    <t>10.1016/j.neuroimage.2020.117405</t>
  </si>
  <si>
    <t>10.1016/j.brs.2020.04.011</t>
  </si>
  <si>
    <t>10.1016/j.redox.2020.101712</t>
  </si>
  <si>
    <t>10.1016/S2214-109X(20)30312-0</t>
  </si>
  <si>
    <t>10.1016/j.gecco.2020.e01028</t>
  </si>
  <si>
    <t>10.1016/j.nme.2020.100832</t>
  </si>
  <si>
    <t>10.1016/j.ijcha.2020.100471</t>
  </si>
  <si>
    <t>10.1016/j.cytox.2020.100036</t>
  </si>
  <si>
    <t>10.1016/j.xplc.2020.100029</t>
  </si>
  <si>
    <t>10.1016/j.ijnsa.2020.100013</t>
  </si>
  <si>
    <t>10.1016/j.bbih.2020.100176</t>
  </si>
  <si>
    <t>10.1016/j.euroecorev.2020.103397</t>
  </si>
  <si>
    <t>10.1016/j.euroecorev.2020.103613</t>
  </si>
  <si>
    <t>10.1016/j.physletb.2020.135575</t>
  </si>
  <si>
    <t>10.1016/j.physletb.2020.135662</t>
  </si>
  <si>
    <t>10.1016/j.physletb.2020.135678</t>
  </si>
  <si>
    <t>10.1016/j.physletb.2020.135748</t>
  </si>
  <si>
    <t>10.1016/j.physletb.2020.135873</t>
  </si>
  <si>
    <t>10.1016/j.physletb.2020.135939</t>
  </si>
  <si>
    <t>10.1016/j.csbj.2020.06.005</t>
  </si>
  <si>
    <t>10.1016/j.synbio.2020.05.006</t>
  </si>
  <si>
    <t>10.1016/j.hpe.2020.01.003</t>
  </si>
  <si>
    <t>10.1088/1741-4326/ab40ef</t>
  </si>
  <si>
    <t>10.1088/1741-4326/ab2077</t>
  </si>
  <si>
    <t>10.1088/1741-4326/ab121c</t>
  </si>
  <si>
    <t>10.1088/1741-4326/ab00ba</t>
  </si>
  <si>
    <t>10.1088/1741-4326/ab18b8</t>
  </si>
  <si>
    <t>10.1088/1741-4326/ab04cf</t>
  </si>
  <si>
    <t>10.1088/1741-4326/ab235b</t>
  </si>
  <si>
    <t>10.1088/1741-4326/ab4251</t>
  </si>
  <si>
    <t>10.1088/1741-4326/ab423e</t>
  </si>
  <si>
    <t>10.1088/1741-4326/ab394f</t>
  </si>
  <si>
    <t>10.1088/1741-4326/ab1f1a</t>
  </si>
  <si>
    <t>10.1088/1741-4326/ab2211</t>
  </si>
  <si>
    <t>NA</t>
  </si>
  <si>
    <t>10.1075/dia.00005.tay</t>
  </si>
  <si>
    <t>10.1075/jlac.00019.bul</t>
  </si>
  <si>
    <t>10.1075/lab.19079.tre</t>
  </si>
  <si>
    <t>10.1075/cf.00030.kol</t>
  </si>
  <si>
    <t>10.1075/sl.14023.sag</t>
  </si>
  <si>
    <t>10.1075/ni.20013.woo</t>
  </si>
  <si>
    <t>10.1075/lab.20084.mar</t>
  </si>
  <si>
    <t>10.1075/lab.20110.kum</t>
  </si>
  <si>
    <t>10.1075/lab.21053.deb</t>
  </si>
  <si>
    <t>10.1242/jcs.209452</t>
  </si>
  <si>
    <t>10.1242/dmm.033225</t>
  </si>
  <si>
    <t>10.1093/nar/gkz1227</t>
  </si>
  <si>
    <t>10.1093/applin/amz066</t>
  </si>
  <si>
    <t>10.1093/mind/fzz084</t>
  </si>
  <si>
    <t>10.1093/leobaeck/ybz015</t>
  </si>
  <si>
    <t>10.1093/bjsw/bcz133</t>
  </si>
  <si>
    <t>10.1093/screen/hjz035</t>
  </si>
  <si>
    <t>10.1093/brain/awz313</t>
  </si>
  <si>
    <t>10.1093/rap/rkz036</t>
  </si>
  <si>
    <t>10.1093/police/paz050</t>
  </si>
  <si>
    <t>10.1093/beheco/arz138</t>
  </si>
  <si>
    <t>10.1093/jxb/erz337</t>
  </si>
  <si>
    <t>10.1093/jhuman/huz024</t>
  </si>
  <si>
    <t>10.1093/pa/gsz025</t>
  </si>
  <si>
    <t>10.1093/fh/crz046</t>
  </si>
  <si>
    <t>10.1093/ageing/afz088</t>
  </si>
  <si>
    <t>10.1093/cid/ciz480</t>
  </si>
  <si>
    <t>10.1093/cercor/bhz125</t>
  </si>
  <si>
    <t>10.1093/ectj/utz008</t>
  </si>
  <si>
    <t>10.1093/bjsw/bcz071</t>
  </si>
  <si>
    <t>10.1093/jpo/joz006</t>
  </si>
  <si>
    <t>10.1093/arisoc/aoz010</t>
  </si>
  <si>
    <t>10.1093/molbev/msz113</t>
  </si>
  <si>
    <t>10.1093/nar/gkz298</t>
  </si>
  <si>
    <t>10.1093/bjps/axz015</t>
  </si>
  <si>
    <t>10.1093/ips/olz008</t>
  </si>
  <si>
    <t>10.1093/ips/olz006</t>
  </si>
  <si>
    <t>10.1093/camqtly/bfz007</t>
  </si>
  <si>
    <t>10.1093/nar/gkz170</t>
  </si>
  <si>
    <t>10.1093/escrit/cgz009</t>
  </si>
  <si>
    <t>10.1093/pa/gsz010</t>
  </si>
  <si>
    <t>10.1093/nar/gkz128</t>
  </si>
  <si>
    <t>10.1093/escrit/cgz007</t>
  </si>
  <si>
    <t>10.1093/pubmed/fdz016</t>
  </si>
  <si>
    <t>10.1093/camqtly/bfz033</t>
  </si>
  <si>
    <t>10.1093/jxb/erz113</t>
  </si>
  <si>
    <t>10.1093/pa/gsz003</t>
  </si>
  <si>
    <t>10.1145/3210825.3210833</t>
  </si>
  <si>
    <t>10.1145/3290688.3290748</t>
  </si>
  <si>
    <t>10.1145/3290688.3290750</t>
  </si>
  <si>
    <t>10.1145/3337722.3337765</t>
  </si>
  <si>
    <t>10.1145/3311350.3347148</t>
  </si>
  <si>
    <t>10.1145/3311350.3347192</t>
  </si>
  <si>
    <t>10.1145/3311350.3347178</t>
  </si>
  <si>
    <t>10.1145/3373017.3373067</t>
  </si>
  <si>
    <t>10.1145/3402942.3402960</t>
  </si>
  <si>
    <t>10.23919/DATE48585.2020.9116505</t>
  </si>
  <si>
    <t>10.1145/3417990.3420207</t>
  </si>
  <si>
    <t>10.1145/3366424.3383757</t>
  </si>
  <si>
    <t>10.1145/3387902.3394031</t>
  </si>
  <si>
    <t>10.1145/3469013.3469019</t>
  </si>
  <si>
    <t>10.1145/3450337.3483492</t>
  </si>
  <si>
    <t>10.1145/3491102.3501858</t>
  </si>
  <si>
    <t>10.1145/3290605.3300667</t>
  </si>
  <si>
    <t>10.1145/3394810.3394816</t>
  </si>
  <si>
    <t>10.1145/3363384.3363476</t>
  </si>
  <si>
    <t>10.4230/LIPIcs.ECRTS.2022.12</t>
  </si>
  <si>
    <t>10.1145/3290605.3300489</t>
  </si>
  <si>
    <t>10.1145/3316482.3326360</t>
  </si>
  <si>
    <t>10.1145/3313831.3376462</t>
  </si>
  <si>
    <t>10.1145/3534879.3534883</t>
  </si>
  <si>
    <t>10.1145/3534879.3534895</t>
  </si>
  <si>
    <t>10.1145/3411764.3445286</t>
  </si>
  <si>
    <t>10.1145/3311350.3347173</t>
  </si>
  <si>
    <t>10.1145/3543882.3543887</t>
  </si>
  <si>
    <t>10.1145/3491102.3502110</t>
  </si>
  <si>
    <t>10.1145/3378679.3394528</t>
  </si>
  <si>
    <t>10.1145/3555858</t>
  </si>
  <si>
    <t>10.1145/3372020.3391559</t>
  </si>
  <si>
    <t>10.1145/3366486.3366549</t>
  </si>
  <si>
    <t>10.1145/3411763.3450404</t>
  </si>
  <si>
    <t>10.1145/3311350.3347179</t>
  </si>
  <si>
    <t>10.1145/3355047.3362092</t>
  </si>
  <si>
    <t>10.1145/3313831.3376370</t>
  </si>
  <si>
    <t>10.1145/3290605.3300453</t>
  </si>
  <si>
    <t>10.1145/3417990.3420198</t>
  </si>
  <si>
    <t>10.1145/3417990.3420196</t>
  </si>
  <si>
    <t>10.1145/3394810.3394814</t>
  </si>
  <si>
    <t>10.1145/3363384.3363485</t>
  </si>
  <si>
    <t>10.1145/3290605.3300471</t>
  </si>
  <si>
    <t>10.1145/3321408.3321572</t>
  </si>
  <si>
    <t>10.1145/3317697.3323363</t>
  </si>
  <si>
    <t>10.1145/3567600.3569545</t>
  </si>
  <si>
    <t>10.1145/3394810.3394824</t>
  </si>
  <si>
    <t>10.1145/3355402.3355415</t>
  </si>
  <si>
    <t>10.1145/3313831.3376221</t>
  </si>
  <si>
    <t>10.1145/3338852.3339868</t>
  </si>
  <si>
    <t>10.1145/3321707.3321788</t>
  </si>
  <si>
    <t>10.1145/3290605.3300857</t>
  </si>
  <si>
    <t>10.1145/3358501.3361238</t>
  </si>
  <si>
    <t>10.1145/3365438.3410942</t>
  </si>
  <si>
    <t>10.1145/3321707.3321813</t>
  </si>
  <si>
    <t>10.1145/3485441</t>
  </si>
  <si>
    <t>10.1145/3290605.3300833</t>
  </si>
  <si>
    <t>10.1145/3391614.3393654</t>
  </si>
  <si>
    <t>10.1145/3391614.3393660</t>
  </si>
  <si>
    <t>10.1145/3417313.3429384</t>
  </si>
  <si>
    <t>10.1145/3378679.3394529</t>
  </si>
  <si>
    <t>10.1021/acs.jchemed.0c00363</t>
  </si>
  <si>
    <t>10.1021/acs.jchemed.0c00511</t>
  </si>
  <si>
    <t>10.1021/acs.jpclett.0c03723</t>
  </si>
  <si>
    <t>10.1021/acsinfecdis.0c00736</t>
  </si>
  <si>
    <t>10.1021/acs.orglett.0c02685</t>
  </si>
  <si>
    <t>10.1021/acs.jchemed.0c00492</t>
  </si>
  <si>
    <t>10.1021/acsaelm.0c00318</t>
  </si>
  <si>
    <t>10.1021/acs.jpcb.0c02599</t>
  </si>
  <si>
    <t>10.1021/acssuschemeng.0c04513</t>
  </si>
  <si>
    <t>10.1021/acs.analchem.0c01334</t>
  </si>
  <si>
    <t>10.1021/acs.inorgchem.0c02505</t>
  </si>
  <si>
    <t>10.1021/acs.jpca.0c08594</t>
  </si>
  <si>
    <t>10.1021/acs.orglett.0c03254</t>
  </si>
  <si>
    <t>10.1021/acs.orglett.0c03090</t>
  </si>
  <si>
    <t>10.1021/acs.jchemed.0c00116</t>
  </si>
  <si>
    <t>10.1021/acscatal.0c02189</t>
  </si>
  <si>
    <t>10.1021/acs.jchemed.0c00786</t>
  </si>
  <si>
    <t>10.1021/acssuschemeng.0c03390</t>
  </si>
  <si>
    <t>10.1021/acssuschemeng.0c06853</t>
  </si>
  <si>
    <t>10.1021/acssuschemeng.0c06751</t>
  </si>
  <si>
    <t>10.1021/acs.jchemed.0c00750</t>
  </si>
  <si>
    <t>10.1021/acscatal.0c02958</t>
  </si>
  <si>
    <t>10.1021/jacs.0c03880</t>
  </si>
  <si>
    <t>10.1021/acs.organomet.0c00695</t>
  </si>
  <si>
    <t>10.1021/acs.jpclett.0c03205</t>
  </si>
  <si>
    <t>10.1021/acssuschemeng.0c04211</t>
  </si>
  <si>
    <t>10.1021/acs.jmedchem.0c01215</t>
  </si>
  <si>
    <t>10.1021/acs.est.0c02736</t>
  </si>
  <si>
    <t>10.1021/acs.langmuir.0c01810</t>
  </si>
  <si>
    <t>10.1021/acscatal.0c02222</t>
  </si>
  <si>
    <t>10.1021/acssensors.0c01484</t>
  </si>
  <si>
    <t>10.1021/acs.jpcc.0c06052</t>
  </si>
  <si>
    <t>10.1021/acs.est.0c05839</t>
  </si>
  <si>
    <t>10.1021/acsinfecdis.0c00568</t>
  </si>
  <si>
    <t>10.1021/acscatal.0c02211</t>
  </si>
  <si>
    <t>10.1021/acs.langmuir.1c00742</t>
  </si>
  <si>
    <t>10.1021/acs.jpcc.1c03136</t>
  </si>
  <si>
    <t>10.1021/acs.est.0c08208</t>
  </si>
  <si>
    <t>10.1021/jacs.1c00738</t>
  </si>
  <si>
    <t>10.1021/acs.est.0c08363</t>
  </si>
  <si>
    <t>10.1021/acs.jpclett.1c00423</t>
  </si>
  <si>
    <t>10.1021/acs.orglett.1c00205</t>
  </si>
  <si>
    <t>10.1021/acscatal.0c04500</t>
  </si>
  <si>
    <t>10.1021/acs.inorgchem.0c03687</t>
  </si>
  <si>
    <t>10.1021/acs.est.0c05282</t>
  </si>
  <si>
    <t>10.1021/acscatal.0c01923</t>
  </si>
  <si>
    <t>10.1021/acsanm.0c01167</t>
  </si>
  <si>
    <t>10.1021/acs.jpcb.0c02583</t>
  </si>
  <si>
    <t>10.1021/acs.estlett.0c00188</t>
  </si>
  <si>
    <t>10.1021/acscatal.0c00690</t>
  </si>
  <si>
    <t>10.1021/acsanm.0c00568</t>
  </si>
  <si>
    <t>10.1021/acs.jchemed.9b01151</t>
  </si>
  <si>
    <t>10.1021/acsomega.0c00732</t>
  </si>
  <si>
    <t>10.1021/acscatal.0c00929</t>
  </si>
  <si>
    <t>10.1021/acs.jpca.0c01295</t>
  </si>
  <si>
    <t>10.1021/acs.macromol.9b02630</t>
  </si>
  <si>
    <t>10.1021/jacs.9b11351</t>
  </si>
  <si>
    <t>10.1021/acs.jchemed.9b00754</t>
  </si>
  <si>
    <t>10.1021/jacs.9b13156</t>
  </si>
  <si>
    <t>10.1021/acs.analchem.9b05601</t>
  </si>
  <si>
    <t>10.1021/acs.accounts.9b00500</t>
  </si>
  <si>
    <t>10.1021/acs.orglett.0c00053</t>
  </si>
  <si>
    <t>10.1021/acscatal.9b03727</t>
  </si>
  <si>
    <t>10.1021/acs.organomet.9b00650</t>
  </si>
  <si>
    <t>10.1021/acs.organomet.9b00610</t>
  </si>
  <si>
    <t>10.1021/jacs.9b09833</t>
  </si>
  <si>
    <t>10.1021/acs.chemrestox.9b00294</t>
  </si>
  <si>
    <t>10.1021/acs.jchemed.9b00257</t>
  </si>
  <si>
    <t>10.1021/acs.jpcb.9b08870</t>
  </si>
  <si>
    <t>10.1021/acs.iecr.9b02780</t>
  </si>
  <si>
    <t>10.1021/acs.jchemed.9b00350</t>
  </si>
  <si>
    <t>10.1021/acs.jpcc.9b08373</t>
  </si>
  <si>
    <t>10.1021/acsami.9b05793</t>
  </si>
  <si>
    <t>10.1021/acs.jchemed.9b00278</t>
  </si>
  <si>
    <t>10.1021/acs.jpcc.9b05840</t>
  </si>
  <si>
    <t>10.1021/acs.jchemed.9b00262</t>
  </si>
  <si>
    <t>10.1021/acs.jpcc.9b02639</t>
  </si>
  <si>
    <t>10.1021/acsomega.9b00612</t>
  </si>
  <si>
    <t>10.1021/acs.est.9b01024</t>
  </si>
  <si>
    <t>10.1021/acscatal.9b00778</t>
  </si>
  <si>
    <t>10.1021/acs.jchemed.1c00591</t>
  </si>
  <si>
    <t>10.1021/acsearthspacechem.1c00204</t>
  </si>
  <si>
    <t>10.1021/acs.langmuir.1c01576</t>
  </si>
  <si>
    <t>10.1021/acs.organomet.1c00347</t>
  </si>
  <si>
    <t>10.1021/acs.langmuir.1c01236</t>
  </si>
  <si>
    <t>10.1021/acsnano.1c01882</t>
  </si>
  <si>
    <t>10.1021/jacsau.1c00251</t>
  </si>
  <si>
    <t>10.1021/acs.jpca.1c04880</t>
  </si>
  <si>
    <t>10.1021/acs.biochem.1c00286</t>
  </si>
  <si>
    <t>10.1021/jacs.1c05294</t>
  </si>
  <si>
    <t>10.1136/archdischild-2020-319700</t>
  </si>
  <si>
    <t>10.1136/archdischild-2020-320353</t>
  </si>
  <si>
    <t>10.1136/bmjgh-2019-002152</t>
  </si>
  <si>
    <t>10.1136/bmjgh-2020-002763</t>
  </si>
  <si>
    <t>10.1136/bmjgh-2020-002766</t>
  </si>
  <si>
    <t>10.1136/bmjgh-2020-003006</t>
  </si>
  <si>
    <t>10.1136/bmjopen-2019-034024</t>
  </si>
  <si>
    <t>10.1136/bmjopen-2019-034244</t>
  </si>
  <si>
    <t>10.1136/bmjopen-2019-035590</t>
  </si>
  <si>
    <t>10.1136/bmjopen-2019-035676</t>
  </si>
  <si>
    <t>10.1136/bmjopen-2019-036411</t>
  </si>
  <si>
    <t>10.1136/bmjopen-2019-036458</t>
  </si>
  <si>
    <t>10.1136/bmjopen-2019-036468</t>
  </si>
  <si>
    <t>10.1136/bmjopen-2019-036592</t>
  </si>
  <si>
    <t>10.1136/bmjopen-2020-037243</t>
  </si>
  <si>
    <t>10.1136/bmjopen-2020-037843</t>
  </si>
  <si>
    <t>10.1136/bmjopen-2020-037869</t>
  </si>
  <si>
    <t>10.1136/bmjopen-2020-039092</t>
  </si>
  <si>
    <t>10.1136/bmjopen-2020-039910</t>
  </si>
  <si>
    <t>10.1136/bmjopen-2020-040378</t>
  </si>
  <si>
    <t>10.1136/bmjresp-2020-000595</t>
  </si>
  <si>
    <t>10.1136/bmjsem-2020-000888</t>
  </si>
  <si>
    <t>10.1136/bmjspcare-2019-002097</t>
  </si>
  <si>
    <t>10.1136/archdischild-2020-319103</t>
  </si>
  <si>
    <t>10.1136/heartjnl-2020-316990</t>
  </si>
  <si>
    <t>10.1136/oemed-2020-106914</t>
  </si>
  <si>
    <t>10.1136/openhrt-2020-001264</t>
  </si>
  <si>
    <t>10.1136/postgradmedj-2020-137913</t>
  </si>
  <si>
    <t>10.1136/postgradmedj-2020-138904</t>
  </si>
  <si>
    <t>10.1136/archdischild-2019-317640</t>
  </si>
  <si>
    <t>10.1136/bmjopen-2018-023444</t>
  </si>
  <si>
    <t>10.1136/bmjopen-2018-024737</t>
  </si>
  <si>
    <t>10.1136/bmjopen-2018-026095</t>
  </si>
  <si>
    <t>10.1136/bmjopen-2018-026514</t>
  </si>
  <si>
    <t>10.1136/bmjopen-2018-027205</t>
  </si>
  <si>
    <t>10.1136/bmjopen-2018-027566</t>
  </si>
  <si>
    <t>10.1136/bmjopen-2018-028201</t>
  </si>
  <si>
    <t>10.1136/bmjopen-2019-029313</t>
  </si>
  <si>
    <t>10.1136/bmjopen-2019-029690</t>
  </si>
  <si>
    <t>10.1136/bmjopen-2019-029830</t>
  </si>
  <si>
    <t>10.1136/bmjopen-2019-030741</t>
  </si>
  <si>
    <t>10.1136/bmjopen-2019-033450</t>
  </si>
  <si>
    <t>10.1136/bmjopen-2019-034437</t>
  </si>
  <si>
    <t>10.1136/bmjpo-2018-000398</t>
  </si>
  <si>
    <t>10.1136/bmjpo-2019-000483</t>
  </si>
  <si>
    <t>10.1136/bmjpo-2019-000568</t>
  </si>
  <si>
    <t>10.1136/bmjspcare-2018-001586</t>
  </si>
  <si>
    <t>10.1136/bmjspcare-2019-001823</t>
  </si>
  <si>
    <t>10.1136/bmjspcare-2019-001957</t>
  </si>
  <si>
    <t>10.1136/bmjspcare-2019-002009</t>
  </si>
  <si>
    <t>10.1136/bmjspcare-2019-002032</t>
  </si>
  <si>
    <t>10.1136/archdischild-2019-317308</t>
  </si>
  <si>
    <t>10.1136/openhrt-2018-000973</t>
  </si>
  <si>
    <t>10.1136/bmjopen-2019-030471</t>
  </si>
  <si>
    <t>10.1136/bmjopen-2019-033831</t>
  </si>
  <si>
    <t>10.1016/j.cub.2019.08.074</t>
  </si>
  <si>
    <t>10.1016/j.cub.2019.06.079</t>
  </si>
  <si>
    <t>10.1016/S2215-0366(19)30047-1</t>
  </si>
  <si>
    <t>10.1016/j.aim.2019.01.022</t>
  </si>
  <si>
    <t>10.1016/j.apacoust.2019.107041</t>
  </si>
  <si>
    <t>10.1016/j.artint.2019.103201</t>
  </si>
  <si>
    <t>10.1016/j.cognition.2019.04.027</t>
  </si>
  <si>
    <t>10.1016/j.cognition.2019.104119</t>
  </si>
  <si>
    <t>10.1016/j.cognition.2019.104073</t>
  </si>
  <si>
    <t>10.1016/j.cogpsych.2019.101260</t>
  </si>
  <si>
    <t>10.1016/j.cortex.2019.04.014</t>
  </si>
  <si>
    <t>10.1016/j.cortex.2019.07.002</t>
  </si>
  <si>
    <t>10.1016/j.cortex.2018.01.017</t>
  </si>
  <si>
    <t>10.1016/j.cortex.2018.05.015</t>
  </si>
  <si>
    <t>10.1016/j.ydbio.2019.06.001</t>
  </si>
  <si>
    <t>10.1016/j.geoforum.2019.03.024</t>
  </si>
  <si>
    <t>10.1016/j.geoforum.2019.04.013</t>
  </si>
  <si>
    <t>10.1016/j.jalgebra.2019.01.030</t>
  </si>
  <si>
    <t>10.1016/j.jalgebra.2019.06.046</t>
  </si>
  <si>
    <t>10.1016/j.jde.2019.01.025</t>
  </si>
  <si>
    <t>10.1016/j.jmaa.2019.06.004</t>
  </si>
  <si>
    <t>10.1016/j.microc.2019.05.050</t>
  </si>
  <si>
    <t>10.1016/j.neuropsychologia.2019.05.030</t>
  </si>
  <si>
    <t>10.1016/j.neuropsychologia.2019.107124</t>
  </si>
  <si>
    <t>10.1016/j.neuropsychologia.2019.107133</t>
  </si>
  <si>
    <t>10.1016/j.palaeo.2019.01.005</t>
  </si>
  <si>
    <t>10.1016/j.puhe.2019.06.001</t>
  </si>
  <si>
    <t>10.1016/j.soilbio.2019.04.017</t>
  </si>
  <si>
    <t>10.1016/j.tet.2019.130711</t>
  </si>
  <si>
    <t>10.1016/j.compeleceng.2019.03.012</t>
  </si>
  <si>
    <t>10.1016/j.jmva.2019.04.005</t>
  </si>
  <si>
    <t>10.1016/j.respol.2019.01.011</t>
  </si>
  <si>
    <t>10.1016/j.scitotenv.2019.04.077</t>
  </si>
  <si>
    <t>10.1016/j.eneco.2018.03.032</t>
  </si>
  <si>
    <t>10.1016/j.eneco.2018.04.001</t>
  </si>
  <si>
    <t>10.1016/j.ceca.2019.04.005</t>
  </si>
  <si>
    <t>10.1016/j.apgeog.2019.102133</t>
  </si>
  <si>
    <t>10.1016/j.jbusres.2018.01.029</t>
  </si>
  <si>
    <t>10.1016/j.jss.2019.01.015</t>
  </si>
  <si>
    <t>10.1016/j.jss.2019.02.055</t>
  </si>
  <si>
    <t>10.1016/j.jss.2019.05.013</t>
  </si>
  <si>
    <t>10.1016/j.econlet.2019.05.025</t>
  </si>
  <si>
    <t>10.1016/j.regsciurbeco.2019.06.001</t>
  </si>
  <si>
    <t>10.1016/j.jviromet.2019.113728</t>
  </si>
  <si>
    <t>10.1016/j.bbr.2019.112063</t>
  </si>
  <si>
    <t>10.1016/j.jhealeco.2019.102226</t>
  </si>
  <si>
    <t>10.1016/j.jhealeco.2019.102249</t>
  </si>
  <si>
    <t>10.1016/j.jhealeco.2019.102251</t>
  </si>
  <si>
    <t>10.1016/j.scico.2019.01.002</t>
  </si>
  <si>
    <t>10.1016/j.scico.2019.01.004</t>
  </si>
  <si>
    <t>10.1016/j.patrec.2019.09.026</t>
  </si>
  <si>
    <t>10.1016/j.applanim.2019.104878</t>
  </si>
  <si>
    <t>10.1016/j.healthpol.2019.07.007</t>
  </si>
  <si>
    <t>10.1016/j.jplph.2019.06.001</t>
  </si>
  <si>
    <t>10.1016/j.paid.2019.07.010</t>
  </si>
  <si>
    <t>10.1016/j.enconman.2019.01.111</t>
  </si>
  <si>
    <t>10.1016/j.electstud.2019.01.001</t>
  </si>
  <si>
    <t>10.1016/j.econmod.2018.11.005</t>
  </si>
  <si>
    <t>10.1016/j.envpol.2019.01.059</t>
  </si>
  <si>
    <t>10.1016/j.envpol.2019.05.037</t>
  </si>
  <si>
    <t>10.1016/j.quascirev.2018.08.011</t>
  </si>
  <si>
    <t>10.1016/j.quascirev.2019.03.022</t>
  </si>
  <si>
    <t>10.1016/j.socscimed.2019.112498</t>
  </si>
  <si>
    <t>10.1016/j.socscimed.2019.112551</t>
  </si>
  <si>
    <t>10.1016/j.socscimed.2019.112563</t>
  </si>
  <si>
    <t>10.1016/j.biochi.2019.08.015</t>
  </si>
  <si>
    <t>10.1016/j.enpol.2019.110924</t>
  </si>
  <si>
    <t>10.1016/j.bpc.2019.02.004</t>
  </si>
  <si>
    <t>10.1016/j.tcs.2019.09.017</t>
  </si>
  <si>
    <t>10.1016/j.jmateco.2019.07.011</t>
  </si>
  <si>
    <t>10.1016/j.jeconom.2018.10.006</t>
  </si>
  <si>
    <t>10.1016/j.bbcan.2019.07.001</t>
  </si>
  <si>
    <t>10.1016/j.jmmm.2018.12.018</t>
  </si>
  <si>
    <t>10.1016/j.jmmm.2019.04.008</t>
  </si>
  <si>
    <t>10.1016/j.jmmm.2019.165281</t>
  </si>
  <si>
    <t>10.1016/j.jas.2017.09.011</t>
  </si>
  <si>
    <t>10.1016/j.worlddev.2018.05.025</t>
  </si>
  <si>
    <t>10.1016/j.system.2019.102111</t>
  </si>
  <si>
    <t>10.1016/j.cedpsych.2019.101799</t>
  </si>
  <si>
    <t>10.1016/j.beproc.2019.103956</t>
  </si>
  <si>
    <t>10.1016/j.pragma.2018.12.020</t>
  </si>
  <si>
    <t>10.1016/j.tate.2019.102949</t>
  </si>
  <si>
    <t>10.1016/j.tate.2019.102908</t>
  </si>
  <si>
    <t>10.1016/j.jrurstud.2019.01.013</t>
  </si>
  <si>
    <t>10.1016/j.jml.2019.04.001</t>
  </si>
  <si>
    <t>10.1016/j.ijer.2019.08.012</t>
  </si>
  <si>
    <t>10.1016/j.tiv.2019.05.015</t>
  </si>
  <si>
    <t>10.1016/j.jclinepi.2018.12.007</t>
  </si>
  <si>
    <t>10.1016/j.jclinepi.2019.05.019</t>
  </si>
  <si>
    <t>10.1016/j.camwa.2018.08.009</t>
  </si>
  <si>
    <t>10.1016/j.ecolecon.2019.04.022</t>
  </si>
  <si>
    <t>10.1016/j.ejps.2019.05.004</t>
  </si>
  <si>
    <t>10.1016/j.jcorpfin.2019.01.002</t>
  </si>
  <si>
    <t>10.1016/j.drugpo.2019.06.012</t>
  </si>
  <si>
    <t>10.1016/j.gde.2019.07.017</t>
  </si>
  <si>
    <t>10.1016/j.sbi.2019.12.003</t>
  </si>
  <si>
    <t>10.1016/j.jclepro.2019.05.176</t>
  </si>
  <si>
    <t>10.1016/j.jclepro.2019.06.196</t>
  </si>
  <si>
    <t>10.1016/j.jtv.2019.03.003</t>
  </si>
  <si>
    <t>10.1016/j.trc.2019.07.025</t>
  </si>
  <si>
    <t>10.1016/j.radphyschem.2019.02.031</t>
  </si>
  <si>
    <t>10.1016/j.quaint.2017.12.019</t>
  </si>
  <si>
    <t>10.1016/j.mulfin.2019.02.005</t>
  </si>
  <si>
    <t>10.1016/j.gfj.2018.02.001</t>
  </si>
  <si>
    <t>10.1016/j.ijhcs.2019.06.010</t>
  </si>
  <si>
    <t>10.1016/j.jnca.2019.03.005</t>
  </si>
  <si>
    <t>10.1016/j.jval.2018.06.005</t>
  </si>
  <si>
    <t>10.1016/j.jval.2019.03.006</t>
  </si>
  <si>
    <t>10.1016/j.jval.2019.03.012</t>
  </si>
  <si>
    <t>10.1016/j.jval.2019.04.1926</t>
  </si>
  <si>
    <t>10.1016/j.jval.2019.05.003</t>
  </si>
  <si>
    <t>10.1016/j.atmosenv.2019.04.061</t>
  </si>
  <si>
    <t>10.1016/j.shpsb.2019.02.006</t>
  </si>
  <si>
    <t>10.1016/j.tre.2019.05.004</t>
  </si>
  <si>
    <t>10.1016/j.sysarc.2019.101691</t>
  </si>
  <si>
    <t>10.1016/j.ejon.2019.02.003</t>
  </si>
  <si>
    <t>10.1016/j.envsci.2019.01.013</t>
  </si>
  <si>
    <t>10.1016/j.sapharm.2019.03.145</t>
  </si>
  <si>
    <t>10.1016/j.ehb.2019.06.003</t>
  </si>
  <si>
    <t>10.1016/j.crpv.2018.04.006</t>
  </si>
  <si>
    <t>10.1016/j.ijsu.2019.10.001</t>
  </si>
  <si>
    <t>10.1016/j.edurev.2018.12.003</t>
  </si>
  <si>
    <t>10.1016/j.canep.2019.02.014</t>
  </si>
  <si>
    <t>10.1016/j.canep.2019.101588</t>
  </si>
  <si>
    <t>10.1016/j.canep.2019.01.008</t>
  </si>
  <si>
    <t>10.1016/j.lcsi.2018.12.002</t>
  </si>
  <si>
    <t>10.1016/j.hlpt.2018.12.001</t>
  </si>
  <si>
    <t>10.1016/j.algal.2019.101411</t>
  </si>
  <si>
    <t>10.1016/j.ecoser.2019.101000</t>
  </si>
  <si>
    <t>10.1016/j.jasrep.2019.03.017</t>
  </si>
  <si>
    <t>10.1016/j.jasrep.2019.102115</t>
  </si>
  <si>
    <t>10.1016/j.jasrep.2019.02.025</t>
  </si>
  <si>
    <t>10.1016/j.jasrep.2019.102041</t>
  </si>
  <si>
    <t>10.1016/j.sleh.2019.01.003</t>
  </si>
  <si>
    <t>10.1016/j.msksp.2019.102080</t>
  </si>
  <si>
    <t>10.1016/j.envint.2019.01.083</t>
  </si>
  <si>
    <t>10.1073/pnas.1813204116</t>
  </si>
  <si>
    <t>10.1073/pnas.1817202116</t>
  </si>
  <si>
    <t>10.1073/pnas.1902305116</t>
  </si>
  <si>
    <t>10.1073/pnas.1905618116</t>
  </si>
  <si>
    <t>10.1073/pnas.1903844116</t>
  </si>
  <si>
    <t>10.1073/pnas.1911776116</t>
  </si>
  <si>
    <t>10.1073/pnas.1803782115</t>
  </si>
  <si>
    <t>10.1073/pnas.2017983118</t>
  </si>
  <si>
    <t>10.1073/pnas.2102698118</t>
  </si>
  <si>
    <t>10.1073/pnas.2102565118</t>
  </si>
  <si>
    <t>10.1073/pnas.2008888118</t>
  </si>
  <si>
    <t>10.1073/pnas.2020646118</t>
  </si>
  <si>
    <t>10.1073/pnas.2101349118</t>
  </si>
  <si>
    <t>10.1073/pnas.2106640118</t>
  </si>
  <si>
    <t>10.1073/pnas.2015146117</t>
  </si>
  <si>
    <t>10.1073/pnas.1915646117</t>
  </si>
  <si>
    <t>10.1073/pnas.2008816117</t>
  </si>
  <si>
    <t>10.1073/pnas.1918726117</t>
  </si>
  <si>
    <t>10.1073/pnas.2014294117</t>
  </si>
  <si>
    <t>10.1073/pnas.1915848117</t>
  </si>
  <si>
    <t>10.1073/pnas.2013620117</t>
  </si>
  <si>
    <t>10.1073/pnas.2004277117</t>
  </si>
  <si>
    <t>10.1073/pnas.1719660115</t>
  </si>
  <si>
    <t>10.1073/pnas.1901169116</t>
  </si>
  <si>
    <t>10.1073/pnas.1908839116</t>
  </si>
  <si>
    <t>10.1073/pnas.1813608115</t>
  </si>
  <si>
    <t>10.1073/pnas.1814977115</t>
  </si>
  <si>
    <t>10.1073/pnas.1804876115</t>
  </si>
  <si>
    <t>10.1073/pnas.1809867115</t>
  </si>
  <si>
    <t>10.1073/pnas.1815256116</t>
  </si>
  <si>
    <t>10.1073/pnas.1720419115</t>
  </si>
  <si>
    <t>10.1073/pnas.1909706116</t>
  </si>
  <si>
    <t>10.1073/pnas.1809429115</t>
  </si>
  <si>
    <t>10.1073/pnas.1714977115</t>
  </si>
  <si>
    <t>10.1073/pnas.1721259115</t>
  </si>
  <si>
    <t>10.1073/pnas.1714691115</t>
  </si>
  <si>
    <t>10.1073/pnas.1812462116</t>
  </si>
  <si>
    <t>10.1073/pnas.1813305116</t>
  </si>
  <si>
    <t>10.1073/pnas.1806460115</t>
  </si>
  <si>
    <t>10.1073/pnas.1803667115</t>
  </si>
  <si>
    <t>10.1073/pnas.1906316116</t>
  </si>
  <si>
    <t>10.1098/rsbl.2018.0366</t>
  </si>
  <si>
    <t>10.1098/rspb.2018.0977</t>
  </si>
  <si>
    <t>10.1098/rspb.2018.1319</t>
  </si>
  <si>
    <t>10.1098/rspb.2018.2255</t>
  </si>
  <si>
    <t>10.1098/rsif.2019.0044</t>
  </si>
  <si>
    <t>10.1098/rsif.2019.0247</t>
  </si>
  <si>
    <t>10.1098/rspa.2018.0723</t>
  </si>
  <si>
    <t>10.1098/rsos.181317</t>
  </si>
  <si>
    <t>10.1098/rsos.181536</t>
  </si>
  <si>
    <t>10.1098/rsos.181842</t>
  </si>
  <si>
    <t>10.1098/rsos.182128</t>
  </si>
  <si>
    <t>10.1098/rsif.2020.0455</t>
  </si>
  <si>
    <t>10.1098/rsta.2019.0597</t>
  </si>
  <si>
    <t>10.1098/rsta.2019.0328</t>
  </si>
  <si>
    <t>10.1098/rstb.2019.0189</t>
  </si>
  <si>
    <t>10.1098/rspa.2020.0237</t>
  </si>
  <si>
    <t>10.1098/rsos.200766</t>
  </si>
  <si>
    <t>10.1098/rsos.200431</t>
  </si>
  <si>
    <t>10.1098/rsos.191172</t>
  </si>
  <si>
    <t>10.1098/rsos.191597</t>
  </si>
  <si>
    <t>10.1098/rsos.201200</t>
  </si>
  <si>
    <t>10.1098/rsos.201456</t>
  </si>
  <si>
    <t>10.1098/rsos.201715</t>
  </si>
  <si>
    <t>10.1098/rsos.210441</t>
  </si>
  <si>
    <t>10.1098/rspa.2020.0824</t>
  </si>
  <si>
    <t>10.1098/rsta.2020.0017</t>
  </si>
  <si>
    <t>10.1098/rsta.2020.0363</t>
  </si>
  <si>
    <t>10.1039/C9AN02035G</t>
  </si>
  <si>
    <t>10.1039/c6sm01772j</t>
  </si>
  <si>
    <t>10.1039/c7fd00002b</t>
  </si>
  <si>
    <t>10.1039/c4cy00617h</t>
  </si>
  <si>
    <t>10.1039/c5cy01154j</t>
  </si>
  <si>
    <t>10.1039/c5dt04596g</t>
  </si>
  <si>
    <t>10.1039/c6ce02123a</t>
  </si>
  <si>
    <t>10.1039/c7fd00057j</t>
  </si>
  <si>
    <t>10.1039/c4cc04203d</t>
  </si>
  <si>
    <t>10.1039/c6cc00515b</t>
  </si>
  <si>
    <t>10.1039/c7cc01157a</t>
  </si>
  <si>
    <t>10.1039/c6cp03823a</t>
  </si>
  <si>
    <t>10.1039/c6gc00623j</t>
  </si>
  <si>
    <t>10.1039/c6ra03594a</t>
  </si>
  <si>
    <t>10.1039/C7CC07740H</t>
  </si>
  <si>
    <t>10.1039/C7SM02364B</t>
  </si>
  <si>
    <t>10.1039/C9SM01527B</t>
  </si>
  <si>
    <t>10.1039/C8RA02075B</t>
  </si>
  <si>
    <t>10.1039/C8CC01753K</t>
  </si>
  <si>
    <t>10.1039/C8RE00027A</t>
  </si>
  <si>
    <t>10.1039/C8AN00596F</t>
  </si>
  <si>
    <t>10.1039/c8cc04826f</t>
  </si>
  <si>
    <t>10.1039/C8CY01214H</t>
  </si>
  <si>
    <t>10.1039/c8cp02473a</t>
  </si>
  <si>
    <t>10.1039/C8AN01040D</t>
  </si>
  <si>
    <t>10.1039/C8SM01389F</t>
  </si>
  <si>
    <t>10.1039/c8cp05473h</t>
  </si>
  <si>
    <t>10.1039/C8CP02768D</t>
  </si>
  <si>
    <t>10.1039/C9FD00039A</t>
  </si>
  <si>
    <t>10.1039/C9CY00396G</t>
  </si>
  <si>
    <t>10.1039/C9OB01161G</t>
  </si>
  <si>
    <t>10.1039/C9CP03581H</t>
  </si>
  <si>
    <t>10.1039/C9DT02951F</t>
  </si>
  <si>
    <t>10.1002/path.2149</t>
  </si>
  <si>
    <t>10.1002/eji.200737216</t>
  </si>
  <si>
    <t>10.1111/j.1365-2141.2009.08010.x</t>
  </si>
  <si>
    <t>10.1002/pro.263</t>
  </si>
  <si>
    <t>10.1002/eji.200939863</t>
  </si>
  <si>
    <t>10.1111/j.1365-2958.2008.06544.x</t>
  </si>
  <si>
    <t>10.1002/path.2478</t>
  </si>
  <si>
    <t>10.1111/j.1523-1739.2010.01625.x</t>
  </si>
  <si>
    <t>10.1111/j.1469-7610.2010.02329.x</t>
  </si>
  <si>
    <t>10.1111/j.1462-5822.2010.01507.x</t>
  </si>
  <si>
    <t>10.1111/j.1365-2958.2010.07203.x</t>
  </si>
  <si>
    <t>10.1002/dys.1432</t>
  </si>
  <si>
    <t>10.1111/j.1460-6984.2011.00081.x</t>
  </si>
  <si>
    <t>10.1111/j.1469-7610.2010.02312.x</t>
  </si>
  <si>
    <t>10.1111/eva.12041</t>
  </si>
  <si>
    <t>10.1111/j.1469-7610.2011.02495.x</t>
  </si>
  <si>
    <t>10.1111/j.1574-6968.2011.02417.x</t>
  </si>
  <si>
    <t>10.1111/lest.12042</t>
  </si>
  <si>
    <t>10.1002/qj.2297</t>
  </si>
  <si>
    <t>10.1111/mmi.12383</t>
  </si>
  <si>
    <t>10.1002/ange.201308334</t>
  </si>
  <si>
    <t>10.1002/ece3.879</t>
  </si>
  <si>
    <t>10.1111/tra.12128</t>
  </si>
  <si>
    <t>10.1111/pbi.12092</t>
  </si>
  <si>
    <t>10.1111/pim.12046</t>
  </si>
  <si>
    <t>10.1002/pro.2198</t>
  </si>
  <si>
    <t>10.1111/1467-9566.12020</t>
  </si>
  <si>
    <t>10.1111/2041-210X.12321</t>
  </si>
  <si>
    <t>10.1111/1365-2435.12365</t>
  </si>
  <si>
    <t>10.1111/evo.12539</t>
  </si>
  <si>
    <t>10.1002/ajpa.22647</t>
  </si>
  <si>
    <t>10.1002/anie.201407081</t>
  </si>
  <si>
    <t>10.1111/1462-2920.12625</t>
  </si>
  <si>
    <t>10.1111/gcb.12749</t>
  </si>
  <si>
    <t>10.1111/dar.12146</t>
  </si>
  <si>
    <t>10.1111/mmi.12776</t>
  </si>
  <si>
    <t>10.1111/jep.12220</t>
  </si>
  <si>
    <t>10.1111/mmi.12664</t>
  </si>
  <si>
    <t>10.1002/hec.3058</t>
  </si>
  <si>
    <t>10.1002/admi.201400078</t>
  </si>
  <si>
    <t>10.1002/mrc.4073</t>
  </si>
  <si>
    <t>10.1002/ijc.28890</t>
  </si>
  <si>
    <t>10.1002/chem.201402128</t>
  </si>
  <si>
    <t>10.1002/cplx.21524</t>
  </si>
  <si>
    <t>10.1111/ecoj.12144</t>
  </si>
  <si>
    <t>10.1111/ijmr.12028</t>
  </si>
  <si>
    <t>10.1111/pim.12300</t>
  </si>
  <si>
    <t>10.1002/chem.201503504</t>
  </si>
  <si>
    <t>10.1002/chem.201503771</t>
  </si>
  <si>
    <t>10.1111/conl.12148</t>
  </si>
  <si>
    <t>10.1111/pce.12667</t>
  </si>
  <si>
    <t>10.1002/dvdy.24358</t>
  </si>
  <si>
    <t>10.1002/cam4.553</t>
  </si>
  <si>
    <t>10.1002/jrsm.1163</t>
  </si>
  <si>
    <t>10.1111/gcb.13056</t>
  </si>
  <si>
    <t>10.1002/psp4.12018</t>
  </si>
  <si>
    <t>10.1002/ejic.201500059</t>
  </si>
  <si>
    <t>10.1111/ecoj.12282</t>
  </si>
  <si>
    <t>10.1111/jeb.12705</t>
  </si>
  <si>
    <t>10.1111/rssa.12141</t>
  </si>
  <si>
    <t>10.1002/cbic.201402701</t>
  </si>
  <si>
    <t>10.1111/1462-2920.12901</t>
  </si>
  <si>
    <t>10.1111/jan.12580</t>
  </si>
  <si>
    <t>10.1002/chem.201406372</t>
  </si>
  <si>
    <t>10.1002/hec.3173</t>
  </si>
  <si>
    <t>10.1111/eva.12243</t>
  </si>
  <si>
    <t>10.1002/hec.3150</t>
  </si>
  <si>
    <t>10.1111/mmi.12933</t>
  </si>
  <si>
    <t>10.1111/tmi.12465</t>
  </si>
  <si>
    <t>10.1002/ijc.29329</t>
  </si>
  <si>
    <t>10.1111/nph.13224</t>
  </si>
  <si>
    <t>10.1111/aje.12349</t>
  </si>
  <si>
    <t>10.1111/eva.12435</t>
  </si>
  <si>
    <t>10.1002/2211-5463.12168</t>
  </si>
  <si>
    <t>10.1002/jssc.201600561</t>
  </si>
  <si>
    <t>10.1111/pbi.12657</t>
  </si>
  <si>
    <t>10.1002/ece3.2590</t>
  </si>
  <si>
    <t>10.1002/hec.3430</t>
  </si>
  <si>
    <t>10.1002/mbo3.416</t>
  </si>
  <si>
    <t>10.1002/anie.201609186</t>
  </si>
  <si>
    <t>10.1161/JAHA.116.003903</t>
  </si>
  <si>
    <t>10.1002/chem.201604030</t>
  </si>
  <si>
    <t>10.1111/btp.12397</t>
  </si>
  <si>
    <t>10.1111/1467-9566.12522</t>
  </si>
  <si>
    <t>10.1002/2016GL070062</t>
  </si>
  <si>
    <t>10.1111/conl.12288</t>
  </si>
  <si>
    <t>10.1002/anie.201606236</t>
  </si>
  <si>
    <t>10.1002/cbic.201600316</t>
  </si>
  <si>
    <t>10.1111/1365-2435.12711</t>
  </si>
  <si>
    <t>10.1111/1365-2435.12706</t>
  </si>
  <si>
    <t>Average capture</t>
  </si>
  <si>
    <t>Average citation</t>
  </si>
  <si>
    <t>Average social media</t>
  </si>
  <si>
    <t>Average usage</t>
  </si>
  <si>
    <t>Average mentions</t>
  </si>
  <si>
    <t>Year</t>
  </si>
  <si>
    <t>Currency</t>
  </si>
  <si>
    <t>Key</t>
  </si>
  <si>
    <t>Date of average (if year not complete)</t>
  </si>
  <si>
    <t>Average exchange rate 2024 to 11/6/2024</t>
  </si>
  <si>
    <t>Data last updated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</si>
</sst>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809]#,##0.00"/>
    <numFmt numFmtId="165" formatCode="d/m/yyyy"/>
    <numFmt numFmtId="166" formatCode="d\-mmmm\-yyyy"/>
    <numFmt numFmtId="167" formatCode="dd/mm/yy"/>
    <numFmt numFmtId="168" formatCode="d/m/yy"/>
    <numFmt numFmtId="169" formatCode="d\-mmm\-yyyy"/>
    <numFmt numFmtId="170" formatCode="dd\-mmm\-yyyy"/>
    <numFmt numFmtId="171" formatCode="dd\-mmmm\-yyyy"/>
    <numFmt numFmtId="172" formatCode="d/m/yy\ hh:mm"/>
    <numFmt numFmtId="173" formatCode="dd&quot;/&quot;mm&quot;/&quot;yyyy"/>
    <numFmt numFmtId="174" formatCode="d\ mmmm\ yyyy"/>
  </numFmts>
  <fonts count="28">
    <font>
      <sz val="10"/>
      <color rgb="FF000000"/>
      <name val="Arial"/>
      <scheme val="minor"/>
    </font>
    <font>
      <b/>
      <sz val="10"/>
      <color theme="1"/>
      <name val="Arial"/>
    </font>
    <font>
      <b/>
      <sz val="11"/>
      <color rgb="FF000000"/>
      <name val="Calibri"/>
    </font>
    <font>
      <b/>
      <sz val="10"/>
      <color theme="1"/>
      <name val="Arial"/>
    </font>
    <font>
      <b/>
      <sz val="10"/>
      <color rgb="FF000000"/>
      <name val="Arial"/>
      <scheme val="minor"/>
    </font>
    <font>
      <sz val="11"/>
      <color rgb="FF000000"/>
      <name val="Calibri"/>
    </font>
    <font>
      <sz val="10"/>
      <color theme="1"/>
      <name val="Arial"/>
      <scheme val="minor"/>
    </font>
    <font>
      <sz val="10"/>
      <color theme="1"/>
      <name val="Arial"/>
    </font>
    <font>
      <sz val="10"/>
      <color theme="1"/>
      <name val="Arial"/>
    </font>
    <font>
      <sz val="10"/>
      <color rgb="FF1F1F1F"/>
      <name val="Arial"/>
      <scheme val="minor"/>
    </font>
    <font>
      <sz val="10"/>
      <color rgb="FF000000"/>
      <name val="Arial"/>
      <scheme val="minor"/>
    </font>
    <font>
      <sz val="10"/>
      <color rgb="FF000000"/>
      <name val="Roboto"/>
    </font>
    <font>
      <u/>
      <sz val="10"/>
      <color rgb="FF0000FF"/>
      <name val="Arial"/>
    </font>
    <font>
      <u/>
      <sz val="10"/>
      <color rgb="FF0000FF"/>
      <name val="Arial"/>
    </font>
    <font>
      <sz val="10"/>
      <color theme="1"/>
      <name val="Arial"/>
      <scheme val="minor"/>
    </font>
    <font>
      <sz val="10"/>
      <color rgb="FF000000"/>
      <name val="Arial"/>
    </font>
    <font>
      <sz val="10"/>
      <color rgb="FF000000"/>
      <name val="Arial"/>
    </font>
    <font>
      <u/>
      <sz val="10"/>
      <color rgb="FF0000FF"/>
      <name val="Arial"/>
    </font>
    <font>
      <u/>
      <sz val="11"/>
      <color rgb="FF0000FF"/>
      <name val="Arial"/>
    </font>
    <font>
      <u/>
      <sz val="10"/>
      <color rgb="FF1155CC"/>
      <name val="Arial"/>
    </font>
    <font>
      <u/>
      <sz val="10"/>
      <color rgb="FF1155CC"/>
      <name val="Arial"/>
    </font>
    <font>
      <sz val="11"/>
      <color rgb="FF000000"/>
      <name val="Arial"/>
    </font>
    <font>
      <sz val="9"/>
      <color rgb="FF000000"/>
      <name val="&quot;Google Sans Mono&quot;"/>
    </font>
    <font>
      <b/>
      <sz val="10"/>
      <color theme="1"/>
      <name val="Arial"/>
      <scheme val="minor"/>
    </font>
    <font>
      <b/>
      <sz val="11"/>
      <color theme="1"/>
      <name val="Calibri"/>
    </font>
    <font>
      <sz val="11"/>
      <color theme="1"/>
      <name val="Calibri"/>
    </font>
    <font>
      <sz val="11"/>
      <color rgb="FF000000"/>
      <name val="Inconsolata"/>
    </font>
    <font>
      <sz val="11"/>
      <color rgb="FF000000"/>
      <name val="Arial"/>
      <scheme val="minor"/>
    </font>
  </fonts>
  <fills count="7">
    <fill>
      <patternFill patternType="none"/>
    </fill>
    <fill>
      <patternFill patternType="gray125"/>
    </fill>
    <fill>
      <patternFill patternType="solid">
        <fgColor rgb="FFD5A6BD"/>
        <bgColor rgb="FFD5A6BD"/>
      </patternFill>
    </fill>
    <fill>
      <patternFill patternType="solid">
        <fgColor rgb="FFFFF2CC"/>
        <bgColor rgb="FFFFF2CC"/>
      </patternFill>
    </fill>
    <fill>
      <patternFill patternType="solid">
        <fgColor rgb="FFFFFFFF"/>
        <bgColor rgb="FFFFFFFF"/>
      </patternFill>
    </fill>
    <fill>
      <patternFill patternType="solid">
        <fgColor rgb="FFFFFF00"/>
        <bgColor rgb="FFFFFF00"/>
      </patternFill>
    </fill>
    <fill>
      <patternFill patternType="solid">
        <fgColor rgb="FF00FF00"/>
        <bgColor rgb="FF00FF00"/>
      </patternFill>
    </fill>
  </fills>
  <borders count="1">
    <border>
      <left/>
      <right/>
      <top/>
      <bottom/>
      <diagonal/>
    </border>
  </borders>
  <cellStyleXfs count="1">
    <xf numFmtId="0" fontId="0" fillId="0" borderId="0"/>
  </cellStyleXfs>
  <cellXfs count="94">
    <xf numFmtId="0" fontId="0" fillId="0" borderId="0" xfId="0"/>
    <xf numFmtId="0" fontId="1" fillId="0" borderId="0" xfId="0" applyFont="1" applyAlignment="1">
      <alignment wrapText="1"/>
    </xf>
    <xf numFmtId="14" fontId="1" fillId="0" borderId="0" xfId="0" applyNumberFormat="1" applyFont="1" applyAlignment="1">
      <alignment wrapText="1"/>
    </xf>
    <xf numFmtId="0" fontId="2" fillId="2" borderId="0" xfId="0" applyFont="1" applyFill="1" applyAlignment="1">
      <alignment wrapText="1"/>
    </xf>
    <xf numFmtId="0" fontId="2" fillId="0" borderId="0" xfId="0" applyFont="1" applyAlignment="1">
      <alignment wrapText="1"/>
    </xf>
    <xf numFmtId="0" fontId="2" fillId="3" borderId="0" xfId="0" applyFont="1" applyFill="1" applyAlignment="1">
      <alignment wrapText="1"/>
    </xf>
    <xf numFmtId="0" fontId="3"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xf numFmtId="14" fontId="6" fillId="0" borderId="0" xfId="0" applyNumberFormat="1" applyFont="1"/>
    <xf numFmtId="0" fontId="5" fillId="0" borderId="0" xfId="0" applyFont="1"/>
    <xf numFmtId="0" fontId="5" fillId="0" borderId="0" xfId="0" applyFont="1" applyAlignment="1">
      <alignment horizontal="right"/>
    </xf>
    <xf numFmtId="14" fontId="5" fillId="0" borderId="0" xfId="0" applyNumberFormat="1" applyFont="1" applyAlignment="1">
      <alignment horizontal="right"/>
    </xf>
    <xf numFmtId="164" fontId="5" fillId="0" borderId="0" xfId="0" applyNumberFormat="1" applyFont="1"/>
    <xf numFmtId="0" fontId="7" fillId="0" borderId="0" xfId="0" applyFont="1"/>
    <xf numFmtId="0" fontId="0" fillId="4" borderId="0" xfId="0" applyFill="1"/>
    <xf numFmtId="0" fontId="8" fillId="0" borderId="0" xfId="0" applyFont="1"/>
    <xf numFmtId="3" fontId="6" fillId="0" borderId="0" xfId="0" applyNumberFormat="1" applyFont="1"/>
    <xf numFmtId="3" fontId="5" fillId="0" borderId="0" xfId="0" applyNumberFormat="1" applyFont="1"/>
    <xf numFmtId="0" fontId="6" fillId="4" borderId="0" xfId="0" applyFont="1" applyFill="1"/>
    <xf numFmtId="0" fontId="8" fillId="4" borderId="0" xfId="0" applyFont="1" applyFill="1"/>
    <xf numFmtId="14" fontId="6" fillId="4" borderId="0" xfId="0" applyNumberFormat="1" applyFont="1" applyFill="1"/>
    <xf numFmtId="0" fontId="5" fillId="4" borderId="0" xfId="0" applyFont="1" applyFill="1"/>
    <xf numFmtId="0" fontId="5" fillId="4" borderId="0" xfId="0" applyFont="1" applyFill="1" applyAlignment="1">
      <alignment horizontal="right"/>
    </xf>
    <xf numFmtId="14" fontId="5" fillId="4" borderId="0" xfId="0" applyNumberFormat="1" applyFont="1" applyFill="1" applyAlignment="1">
      <alignment horizontal="right"/>
    </xf>
    <xf numFmtId="164" fontId="5" fillId="4" borderId="0" xfId="0" applyNumberFormat="1" applyFont="1" applyFill="1"/>
    <xf numFmtId="0" fontId="7" fillId="4" borderId="0" xfId="0" applyFont="1" applyFill="1"/>
    <xf numFmtId="165" fontId="6" fillId="0" borderId="0" xfId="0" applyNumberFormat="1" applyFont="1"/>
    <xf numFmtId="166" fontId="6" fillId="0" borderId="0" xfId="0" applyNumberFormat="1" applyFont="1"/>
    <xf numFmtId="4" fontId="6" fillId="0" borderId="0" xfId="0" applyNumberFormat="1" applyFont="1"/>
    <xf numFmtId="167" fontId="6" fillId="0" borderId="0" xfId="0" applyNumberFormat="1" applyFont="1"/>
    <xf numFmtId="168" fontId="6" fillId="0" borderId="0" xfId="0" applyNumberFormat="1" applyFont="1"/>
    <xf numFmtId="166" fontId="6" fillId="4" borderId="0" xfId="0" applyNumberFormat="1" applyFont="1" applyFill="1"/>
    <xf numFmtId="0" fontId="9" fillId="4" borderId="0" xfId="0" applyFont="1" applyFill="1"/>
    <xf numFmtId="169" fontId="6" fillId="0" borderId="0" xfId="0" applyNumberFormat="1" applyFont="1"/>
    <xf numFmtId="170" fontId="6" fillId="0" borderId="0" xfId="0" applyNumberFormat="1" applyFont="1"/>
    <xf numFmtId="171" fontId="6" fillId="0" borderId="0" xfId="0" applyNumberFormat="1" applyFont="1"/>
    <xf numFmtId="0" fontId="10" fillId="0" borderId="0" xfId="0" applyFont="1"/>
    <xf numFmtId="0" fontId="10" fillId="0" borderId="0" xfId="0" applyFont="1" applyAlignment="1">
      <alignment wrapText="1"/>
    </xf>
    <xf numFmtId="0" fontId="11" fillId="4" borderId="0" xfId="0" applyFont="1" applyFill="1"/>
    <xf numFmtId="0" fontId="12" fillId="4" borderId="0" xfId="0" applyFont="1" applyFill="1"/>
    <xf numFmtId="165" fontId="6" fillId="4" borderId="0" xfId="0" applyNumberFormat="1" applyFont="1" applyFill="1"/>
    <xf numFmtId="0" fontId="6" fillId="0" borderId="0" xfId="0" quotePrefix="1" applyFont="1"/>
    <xf numFmtId="172" fontId="6" fillId="0" borderId="0" xfId="0" applyNumberFormat="1" applyFont="1"/>
    <xf numFmtId="173" fontId="6" fillId="0" borderId="0" xfId="0" applyNumberFormat="1" applyFont="1"/>
    <xf numFmtId="0" fontId="13" fillId="0" borderId="0" xfId="0" applyFont="1"/>
    <xf numFmtId="167" fontId="6" fillId="4" borderId="0" xfId="0" applyNumberFormat="1" applyFont="1" applyFill="1"/>
    <xf numFmtId="0" fontId="6" fillId="4" borderId="0" xfId="0" quotePrefix="1" applyFont="1" applyFill="1"/>
    <xf numFmtId="3" fontId="6" fillId="4" borderId="0" xfId="0" applyNumberFormat="1" applyFont="1" applyFill="1"/>
    <xf numFmtId="14" fontId="8" fillId="0" borderId="0" xfId="0" applyNumberFormat="1" applyFont="1"/>
    <xf numFmtId="14" fontId="8" fillId="4" borderId="0" xfId="0" applyNumberFormat="1" applyFont="1" applyFill="1"/>
    <xf numFmtId="0" fontId="14" fillId="0" borderId="0" xfId="0" applyFont="1"/>
    <xf numFmtId="0" fontId="14" fillId="4" borderId="0" xfId="0" applyFont="1" applyFill="1"/>
    <xf numFmtId="0" fontId="15" fillId="4" borderId="0" xfId="0" applyFont="1" applyFill="1"/>
    <xf numFmtId="0" fontId="16" fillId="4" borderId="0" xfId="0" applyFont="1" applyFill="1"/>
    <xf numFmtId="0" fontId="6" fillId="5" borderId="0" xfId="0" applyFont="1" applyFill="1"/>
    <xf numFmtId="0" fontId="16" fillId="5" borderId="0" xfId="0" applyFont="1" applyFill="1"/>
    <xf numFmtId="14" fontId="6" fillId="5" borderId="0" xfId="0" applyNumberFormat="1" applyFont="1" applyFill="1"/>
    <xf numFmtId="14" fontId="8" fillId="5" borderId="0" xfId="0" applyNumberFormat="1" applyFont="1" applyFill="1"/>
    <xf numFmtId="0" fontId="5" fillId="5" borderId="0" xfId="0" applyFont="1" applyFill="1"/>
    <xf numFmtId="164" fontId="5" fillId="5" borderId="0" xfId="0" applyNumberFormat="1" applyFont="1" applyFill="1"/>
    <xf numFmtId="0" fontId="15" fillId="5" borderId="0" xfId="0" applyFont="1" applyFill="1"/>
    <xf numFmtId="0" fontId="14" fillId="5" borderId="0" xfId="0" applyFont="1" applyFill="1"/>
    <xf numFmtId="0" fontId="6" fillId="6" borderId="0" xfId="0" applyFont="1" applyFill="1"/>
    <xf numFmtId="14" fontId="6" fillId="6" borderId="0" xfId="0" applyNumberFormat="1" applyFont="1" applyFill="1"/>
    <xf numFmtId="14" fontId="8" fillId="6" borderId="0" xfId="0" applyNumberFormat="1" applyFont="1" applyFill="1"/>
    <xf numFmtId="0" fontId="5" fillId="6" borderId="0" xfId="0" applyFont="1" applyFill="1"/>
    <xf numFmtId="164" fontId="5" fillId="6" borderId="0" xfId="0" applyNumberFormat="1" applyFont="1" applyFill="1"/>
    <xf numFmtId="0" fontId="15" fillId="6" borderId="0" xfId="0" applyFont="1" applyFill="1"/>
    <xf numFmtId="0" fontId="14" fillId="6" borderId="0" xfId="0" applyFont="1" applyFill="1"/>
    <xf numFmtId="0" fontId="8" fillId="0" borderId="0" xfId="0" applyFont="1" applyAlignment="1">
      <alignment wrapText="1"/>
    </xf>
    <xf numFmtId="0" fontId="17" fillId="0" borderId="0" xfId="0" applyFont="1"/>
    <xf numFmtId="0" fontId="18" fillId="0" borderId="0" xfId="0" applyFont="1" applyAlignment="1">
      <alignment wrapText="1"/>
    </xf>
    <xf numFmtId="0" fontId="19" fillId="0" borderId="0" xfId="0" applyFont="1" applyAlignment="1">
      <alignment wrapText="1"/>
    </xf>
    <xf numFmtId="0" fontId="20" fillId="0" borderId="0" xfId="0" applyFont="1" applyAlignment="1">
      <alignment wrapText="1"/>
    </xf>
    <xf numFmtId="0" fontId="8" fillId="0" borderId="0" xfId="0" quotePrefix="1" applyFont="1" applyAlignment="1">
      <alignment wrapText="1"/>
    </xf>
    <xf numFmtId="0" fontId="21" fillId="4" borderId="0" xfId="0" applyFont="1" applyFill="1"/>
    <xf numFmtId="0" fontId="22" fillId="4" borderId="0" xfId="0" applyFont="1" applyFill="1"/>
    <xf numFmtId="10" fontId="6" fillId="0" borderId="0" xfId="0" applyNumberFormat="1" applyFont="1"/>
    <xf numFmtId="164" fontId="6" fillId="0" borderId="0" xfId="0" applyNumberFormat="1" applyFont="1"/>
    <xf numFmtId="0" fontId="6" fillId="0" borderId="0" xfId="0" applyFont="1" applyAlignment="1">
      <alignment wrapText="1"/>
    </xf>
    <xf numFmtId="0" fontId="23" fillId="0" borderId="0" xfId="0" applyFont="1" applyAlignment="1">
      <alignment wrapText="1"/>
    </xf>
    <xf numFmtId="164" fontId="23" fillId="0" borderId="0" xfId="0" applyNumberFormat="1" applyFont="1" applyAlignment="1">
      <alignment wrapText="1"/>
    </xf>
    <xf numFmtId="0" fontId="24" fillId="4" borderId="0" xfId="0" applyFont="1" applyFill="1"/>
    <xf numFmtId="0" fontId="25" fillId="0" borderId="0" xfId="0" applyFont="1"/>
    <xf numFmtId="0" fontId="25" fillId="0" borderId="0" xfId="0" applyFont="1" applyAlignment="1">
      <alignment horizontal="right"/>
    </xf>
    <xf numFmtId="0" fontId="26" fillId="4" borderId="0" xfId="0" applyFont="1" applyFill="1" applyAlignment="1">
      <alignment wrapText="1"/>
    </xf>
    <xf numFmtId="2" fontId="23" fillId="0" borderId="0" xfId="0" applyNumberFormat="1" applyFont="1" applyAlignment="1">
      <alignment wrapText="1"/>
    </xf>
    <xf numFmtId="2" fontId="6" fillId="0" borderId="0" xfId="0" applyNumberFormat="1" applyFont="1"/>
    <xf numFmtId="2" fontId="27" fillId="4" borderId="0" xfId="0" applyNumberFormat="1" applyFont="1" applyFill="1"/>
    <xf numFmtId="2" fontId="0" fillId="4" borderId="0" xfId="0" applyNumberFormat="1" applyFill="1"/>
    <xf numFmtId="0" fontId="23" fillId="0" borderId="0" xfId="0" applyFont="1"/>
    <xf numFmtId="174" fontId="6" fillId="0" borderId="0" xfId="0" applyNumberFormat="1" applyFont="1"/>
  </cellXfs>
  <cellStyles count="1">
    <cellStyle name="Normal" xfId="0" builtinId="0"/>
  </cellStyles>
  <dxfs count="2">
    <dxf>
      <font>
        <color rgb="FFFFFFFF"/>
      </font>
      <fill>
        <patternFill patternType="solid">
          <fgColor rgb="FFFF0000"/>
          <bgColor rgb="FFFF0000"/>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orcid.org/0000-0002-6092-1843" TargetMode="External"/><Relationship Id="rId21" Type="http://schemas.openxmlformats.org/officeDocument/2006/relationships/hyperlink" Target="http://orcid.org/0000-0001-7327-3614" TargetMode="External"/><Relationship Id="rId42" Type="http://schemas.openxmlformats.org/officeDocument/2006/relationships/hyperlink" Target="https://orcid.org/0000-0002-4771-9886" TargetMode="External"/><Relationship Id="rId63" Type="http://schemas.openxmlformats.org/officeDocument/2006/relationships/hyperlink" Target="https://orcid.org/0000-0002-1365-2222" TargetMode="External"/><Relationship Id="rId84" Type="http://schemas.openxmlformats.org/officeDocument/2006/relationships/hyperlink" Target="https://orcid.org/0000-0003-1770-5034" TargetMode="External"/><Relationship Id="rId138" Type="http://schemas.openxmlformats.org/officeDocument/2006/relationships/hyperlink" Target="http://orcid.org/0000-0003-3227-4017" TargetMode="External"/><Relationship Id="rId107" Type="http://schemas.openxmlformats.org/officeDocument/2006/relationships/hyperlink" Target="https://orcid.org/0000-0002-1903-2286" TargetMode="External"/><Relationship Id="rId11" Type="http://schemas.openxmlformats.org/officeDocument/2006/relationships/hyperlink" Target="http://orcid.org/0000-0001-8294-1733" TargetMode="External"/><Relationship Id="rId32" Type="http://schemas.openxmlformats.org/officeDocument/2006/relationships/hyperlink" Target="https://orcid.org/0000-0001-7684-0880" TargetMode="External"/><Relationship Id="rId37" Type="http://schemas.openxmlformats.org/officeDocument/2006/relationships/hyperlink" Target="https://orcid.org/0000-0002-2976-3330" TargetMode="External"/><Relationship Id="rId53" Type="http://schemas.openxmlformats.org/officeDocument/2006/relationships/hyperlink" Target="https://orcid.org/0000-0001-8476-4865" TargetMode="External"/><Relationship Id="rId58" Type="http://schemas.openxmlformats.org/officeDocument/2006/relationships/hyperlink" Target="https://orcid.org/0000-0002-6927-0899" TargetMode="External"/><Relationship Id="rId74" Type="http://schemas.openxmlformats.org/officeDocument/2006/relationships/hyperlink" Target="https://orcid.org/0000-0002-6945-0590" TargetMode="External"/><Relationship Id="rId79" Type="http://schemas.openxmlformats.org/officeDocument/2006/relationships/hyperlink" Target="https://orcid.org/0000-0003-2074-5053" TargetMode="External"/><Relationship Id="rId102" Type="http://schemas.openxmlformats.org/officeDocument/2006/relationships/hyperlink" Target="https://orcid.org/0000-0002-6361-0629" TargetMode="External"/><Relationship Id="rId123" Type="http://schemas.openxmlformats.org/officeDocument/2006/relationships/hyperlink" Target="http://orcid.org/0000-0002-8053-7195" TargetMode="External"/><Relationship Id="rId128" Type="http://schemas.openxmlformats.org/officeDocument/2006/relationships/hyperlink" Target="http://orcid.org/0000-0002-5738-6843" TargetMode="External"/><Relationship Id="rId5" Type="http://schemas.openxmlformats.org/officeDocument/2006/relationships/hyperlink" Target="http://orcid.org/0000-0002-2484-8124" TargetMode="External"/><Relationship Id="rId90" Type="http://schemas.openxmlformats.org/officeDocument/2006/relationships/hyperlink" Target="https://orcid.org/0000-0003-2187-4762" TargetMode="External"/><Relationship Id="rId95" Type="http://schemas.openxmlformats.org/officeDocument/2006/relationships/hyperlink" Target="https://orcid.org/0000-0003-1487-318X" TargetMode="External"/><Relationship Id="rId22" Type="http://schemas.openxmlformats.org/officeDocument/2006/relationships/hyperlink" Target="http://orcid.org/0000-0002-1424-495X" TargetMode="External"/><Relationship Id="rId27" Type="http://schemas.openxmlformats.org/officeDocument/2006/relationships/hyperlink" Target="https://orcid.org/0000-0002-6308-2379" TargetMode="External"/><Relationship Id="rId43" Type="http://schemas.openxmlformats.org/officeDocument/2006/relationships/hyperlink" Target="https://orcid.org/0000-0002-1592-157X" TargetMode="External"/><Relationship Id="rId48" Type="http://schemas.openxmlformats.org/officeDocument/2006/relationships/hyperlink" Target="https://orcid.org/0000-0003-1547-6565" TargetMode="External"/><Relationship Id="rId64" Type="http://schemas.openxmlformats.org/officeDocument/2006/relationships/hyperlink" Target="https://orcid.org/0000-0002-9323-0061" TargetMode="External"/><Relationship Id="rId69" Type="http://schemas.openxmlformats.org/officeDocument/2006/relationships/hyperlink" Target="https://orcid.org/0000-0002-1152-1480" TargetMode="External"/><Relationship Id="rId113" Type="http://schemas.openxmlformats.org/officeDocument/2006/relationships/hyperlink" Target="http://orcid.org/0000-0001-6692-1484" TargetMode="External"/><Relationship Id="rId118" Type="http://schemas.openxmlformats.org/officeDocument/2006/relationships/hyperlink" Target="http://orcid.org/0000-0003-1621-2625" TargetMode="External"/><Relationship Id="rId134" Type="http://schemas.openxmlformats.org/officeDocument/2006/relationships/hyperlink" Target="http://orcid.org/0000-0002-9480-0679" TargetMode="External"/><Relationship Id="rId139" Type="http://schemas.openxmlformats.org/officeDocument/2006/relationships/hyperlink" Target="http://orcid.org/0000-0002-9716-820X" TargetMode="External"/><Relationship Id="rId80" Type="http://schemas.openxmlformats.org/officeDocument/2006/relationships/hyperlink" Target="https://orcid.org/0000-0003-1770-5034" TargetMode="External"/><Relationship Id="rId85" Type="http://schemas.openxmlformats.org/officeDocument/2006/relationships/hyperlink" Target="https://orcid.org/0000-0001-9724-2396" TargetMode="External"/><Relationship Id="rId12" Type="http://schemas.openxmlformats.org/officeDocument/2006/relationships/hyperlink" Target="http://orcid.org/0000-0003-4519-4833" TargetMode="External"/><Relationship Id="rId17" Type="http://schemas.openxmlformats.org/officeDocument/2006/relationships/hyperlink" Target="http://orcid.org/0000-0003-2818-326X" TargetMode="External"/><Relationship Id="rId33" Type="http://schemas.openxmlformats.org/officeDocument/2006/relationships/hyperlink" Target="https://orcid.org/0000-0002-7536-2722" TargetMode="External"/><Relationship Id="rId38" Type="http://schemas.openxmlformats.org/officeDocument/2006/relationships/hyperlink" Target="https://orcid.org/0000-0002-1596-852X" TargetMode="External"/><Relationship Id="rId59" Type="http://schemas.openxmlformats.org/officeDocument/2006/relationships/hyperlink" Target="https://orcid.org/0000-0002-5730-8976" TargetMode="External"/><Relationship Id="rId103" Type="http://schemas.openxmlformats.org/officeDocument/2006/relationships/hyperlink" Target="https://orcid.org/0000-0002-5375-6448" TargetMode="External"/><Relationship Id="rId108" Type="http://schemas.openxmlformats.org/officeDocument/2006/relationships/hyperlink" Target="https://orcid.org/0000-0001-5431-2032" TargetMode="External"/><Relationship Id="rId124" Type="http://schemas.openxmlformats.org/officeDocument/2006/relationships/hyperlink" Target="http://orcid.org/0000-0002-5854-4866" TargetMode="External"/><Relationship Id="rId129" Type="http://schemas.openxmlformats.org/officeDocument/2006/relationships/hyperlink" Target="http://orcid.org/0000-0001-5194-7307" TargetMode="External"/><Relationship Id="rId54" Type="http://schemas.openxmlformats.org/officeDocument/2006/relationships/hyperlink" Target="https://orcid.org/0000-0002-0999-1811" TargetMode="External"/><Relationship Id="rId70" Type="http://schemas.openxmlformats.org/officeDocument/2006/relationships/hyperlink" Target="https://orcid.org/0000-0001-7993-3062" TargetMode="External"/><Relationship Id="rId75" Type="http://schemas.openxmlformats.org/officeDocument/2006/relationships/hyperlink" Target="https://orcid.org/0000-0002-6945-0590" TargetMode="External"/><Relationship Id="rId91" Type="http://schemas.openxmlformats.org/officeDocument/2006/relationships/hyperlink" Target="https://orcid.org/0009-0000-5810-0635" TargetMode="External"/><Relationship Id="rId96" Type="http://schemas.openxmlformats.org/officeDocument/2006/relationships/hyperlink" Target="https://orcid.org/0000-0001-7108-9805" TargetMode="External"/><Relationship Id="rId140" Type="http://schemas.openxmlformats.org/officeDocument/2006/relationships/hyperlink" Target="http://orcid.org/0000-0003-4205-0631" TargetMode="External"/><Relationship Id="rId1" Type="http://schemas.openxmlformats.org/officeDocument/2006/relationships/hyperlink" Target="http://orcid.org/0000-0001-8758-4739" TargetMode="External"/><Relationship Id="rId6" Type="http://schemas.openxmlformats.org/officeDocument/2006/relationships/hyperlink" Target="http://orcid.org/0000-0002-5772-0928" TargetMode="External"/><Relationship Id="rId23" Type="http://schemas.openxmlformats.org/officeDocument/2006/relationships/hyperlink" Target="http://orcid.org/0000-0002-5478-6569" TargetMode="External"/><Relationship Id="rId28" Type="http://schemas.openxmlformats.org/officeDocument/2006/relationships/hyperlink" Target="https://orcid.org/0000-0003-1383-7056" TargetMode="External"/><Relationship Id="rId49" Type="http://schemas.openxmlformats.org/officeDocument/2006/relationships/hyperlink" Target="https://orcid.org/0000-0003-3859-1152" TargetMode="External"/><Relationship Id="rId114" Type="http://schemas.openxmlformats.org/officeDocument/2006/relationships/hyperlink" Target="http://orcid.org/0000-0002-0695-3182" TargetMode="External"/><Relationship Id="rId119" Type="http://schemas.openxmlformats.org/officeDocument/2006/relationships/hyperlink" Target="http://orcid.org/0000-0001-7426-8948" TargetMode="External"/><Relationship Id="rId44" Type="http://schemas.openxmlformats.org/officeDocument/2006/relationships/hyperlink" Target="https://orcid.org/0000-0002-1086-0253" TargetMode="External"/><Relationship Id="rId60" Type="http://schemas.openxmlformats.org/officeDocument/2006/relationships/hyperlink" Target="https://orcid.org/0000-0002-2673-6804" TargetMode="External"/><Relationship Id="rId65" Type="http://schemas.openxmlformats.org/officeDocument/2006/relationships/hyperlink" Target="https://orcid.org/0000-0002-3952-4448" TargetMode="External"/><Relationship Id="rId81" Type="http://schemas.openxmlformats.org/officeDocument/2006/relationships/hyperlink" Target="https://orcid.org/0000-0002-6391-1034" TargetMode="External"/><Relationship Id="rId86" Type="http://schemas.openxmlformats.org/officeDocument/2006/relationships/hyperlink" Target="https://orcid.org/0000-0001-5921-7579" TargetMode="External"/><Relationship Id="rId130" Type="http://schemas.openxmlformats.org/officeDocument/2006/relationships/hyperlink" Target="http://orcid.org/0000-0002-1005-3662" TargetMode="External"/><Relationship Id="rId135" Type="http://schemas.openxmlformats.org/officeDocument/2006/relationships/hyperlink" Target="http://orcid.org/0000-0003-0995-8453" TargetMode="External"/><Relationship Id="rId13" Type="http://schemas.openxmlformats.org/officeDocument/2006/relationships/hyperlink" Target="http://orcid.org/0000-0002-4467-3288" TargetMode="External"/><Relationship Id="rId18" Type="http://schemas.openxmlformats.org/officeDocument/2006/relationships/hyperlink" Target="http://orcid.org/0000-0001-7347-3413" TargetMode="External"/><Relationship Id="rId39" Type="http://schemas.openxmlformats.org/officeDocument/2006/relationships/hyperlink" Target="https://orcid.org/0000-0001-9724-2396" TargetMode="External"/><Relationship Id="rId109" Type="http://schemas.openxmlformats.org/officeDocument/2006/relationships/hyperlink" Target="https://orcid.org/0000-0001-5014-0261" TargetMode="External"/><Relationship Id="rId34" Type="http://schemas.openxmlformats.org/officeDocument/2006/relationships/hyperlink" Target="https://orcid.org/0000-0003-4715-7200" TargetMode="External"/><Relationship Id="rId50" Type="http://schemas.openxmlformats.org/officeDocument/2006/relationships/hyperlink" Target="https://orcid.org/0000-0002-6668-5503" TargetMode="External"/><Relationship Id="rId55" Type="http://schemas.openxmlformats.org/officeDocument/2006/relationships/hyperlink" Target="https://orcid.org/0000-0002-0795-2544" TargetMode="External"/><Relationship Id="rId76" Type="http://schemas.openxmlformats.org/officeDocument/2006/relationships/hyperlink" Target="https://orcid.org/0000-0002-5616-8895" TargetMode="External"/><Relationship Id="rId97" Type="http://schemas.openxmlformats.org/officeDocument/2006/relationships/hyperlink" Target="https://orcid.org/0000-0001-8087-8638" TargetMode="External"/><Relationship Id="rId104" Type="http://schemas.openxmlformats.org/officeDocument/2006/relationships/hyperlink" Target="https://orcid.org/0000-0003-1972-5530" TargetMode="External"/><Relationship Id="rId120" Type="http://schemas.openxmlformats.org/officeDocument/2006/relationships/hyperlink" Target="http://orcid.org/0000-0002-0172-505X" TargetMode="External"/><Relationship Id="rId125" Type="http://schemas.openxmlformats.org/officeDocument/2006/relationships/hyperlink" Target="http://orcid.org/0000-0003-1972-5530" TargetMode="External"/><Relationship Id="rId141" Type="http://schemas.openxmlformats.org/officeDocument/2006/relationships/hyperlink" Target="http://dx.doi.org/10.1016/j.jval.2024.02.003" TargetMode="External"/><Relationship Id="rId7" Type="http://schemas.openxmlformats.org/officeDocument/2006/relationships/hyperlink" Target="http://orcid.org/0000-0001-8709-8829" TargetMode="External"/><Relationship Id="rId71" Type="http://schemas.openxmlformats.org/officeDocument/2006/relationships/hyperlink" Target="https://orcid.org/0000-0002-6668-5503" TargetMode="External"/><Relationship Id="rId92" Type="http://schemas.openxmlformats.org/officeDocument/2006/relationships/hyperlink" Target="https://orcid.org/0000-0002-1269-1836" TargetMode="External"/><Relationship Id="rId2" Type="http://schemas.openxmlformats.org/officeDocument/2006/relationships/hyperlink" Target="http://orcid.org/0000-0002-2960-1497" TargetMode="External"/><Relationship Id="rId29" Type="http://schemas.openxmlformats.org/officeDocument/2006/relationships/hyperlink" Target="https://orcid.org/0000-0003-1646-8081" TargetMode="External"/><Relationship Id="rId24" Type="http://schemas.openxmlformats.org/officeDocument/2006/relationships/hyperlink" Target="http://orcid.org/0000-0001-5272-3057" TargetMode="External"/><Relationship Id="rId40" Type="http://schemas.openxmlformats.org/officeDocument/2006/relationships/hyperlink" Target="https://orcid.org/0000-0002-9234-3312" TargetMode="External"/><Relationship Id="rId45" Type="http://schemas.openxmlformats.org/officeDocument/2006/relationships/hyperlink" Target="https://orcid.org/0000-0002-1086-0253" TargetMode="External"/><Relationship Id="rId66" Type="http://schemas.openxmlformats.org/officeDocument/2006/relationships/hyperlink" Target="https://orcid.org/0000-0002-9169-5156" TargetMode="External"/><Relationship Id="rId87" Type="http://schemas.openxmlformats.org/officeDocument/2006/relationships/hyperlink" Target="https://orcid.org/0000-0001-7404-7619" TargetMode="External"/><Relationship Id="rId110" Type="http://schemas.openxmlformats.org/officeDocument/2006/relationships/hyperlink" Target="https://orcid.org/0000-0002-2833-0621" TargetMode="External"/><Relationship Id="rId115" Type="http://schemas.openxmlformats.org/officeDocument/2006/relationships/hyperlink" Target="http://orcid.org/0000-0001-7101-5806" TargetMode="External"/><Relationship Id="rId131" Type="http://schemas.openxmlformats.org/officeDocument/2006/relationships/hyperlink" Target="http://orcid.org/0000-0001-7621-5612" TargetMode="External"/><Relationship Id="rId136" Type="http://schemas.openxmlformats.org/officeDocument/2006/relationships/hyperlink" Target="http://orcid.org/0000-0001-5162-5826" TargetMode="External"/><Relationship Id="rId61" Type="http://schemas.openxmlformats.org/officeDocument/2006/relationships/hyperlink" Target="https://orcid.org/0000-0002-3789-0727" TargetMode="External"/><Relationship Id="rId82" Type="http://schemas.openxmlformats.org/officeDocument/2006/relationships/hyperlink" Target="https://orcid.org/0000-0002-8451-920X" TargetMode="External"/><Relationship Id="rId19" Type="http://schemas.openxmlformats.org/officeDocument/2006/relationships/hyperlink" Target="http://orcid.org/0000-0002-7305-6844" TargetMode="External"/><Relationship Id="rId14" Type="http://schemas.openxmlformats.org/officeDocument/2006/relationships/hyperlink" Target="http://orcid.org/0000-0001-9637-9702" TargetMode="External"/><Relationship Id="rId30" Type="http://schemas.openxmlformats.org/officeDocument/2006/relationships/hyperlink" Target="https://orcid.org/0000-0003-2904-9150" TargetMode="External"/><Relationship Id="rId35" Type="http://schemas.openxmlformats.org/officeDocument/2006/relationships/hyperlink" Target="https://orcid.org/0000-0003-2810-0217" TargetMode="External"/><Relationship Id="rId56" Type="http://schemas.openxmlformats.org/officeDocument/2006/relationships/hyperlink" Target="https://orcid.org/0000-0003-4086-5765" TargetMode="External"/><Relationship Id="rId77" Type="http://schemas.openxmlformats.org/officeDocument/2006/relationships/hyperlink" Target="https://orcid.org/0000-0002-6993-216X" TargetMode="External"/><Relationship Id="rId100" Type="http://schemas.openxmlformats.org/officeDocument/2006/relationships/hyperlink" Target="https://orcid.org/0000-0002-7049-5649" TargetMode="External"/><Relationship Id="rId105" Type="http://schemas.openxmlformats.org/officeDocument/2006/relationships/hyperlink" Target="https://orcid.org/0000-0001-7707-1171" TargetMode="External"/><Relationship Id="rId126" Type="http://schemas.openxmlformats.org/officeDocument/2006/relationships/hyperlink" Target="http://orcid.org/0000-0002-9235-7853" TargetMode="External"/><Relationship Id="rId8" Type="http://schemas.openxmlformats.org/officeDocument/2006/relationships/hyperlink" Target="http://orcid.org/0000-0003-1933-031X" TargetMode="External"/><Relationship Id="rId51" Type="http://schemas.openxmlformats.org/officeDocument/2006/relationships/hyperlink" Target="https://orcid.org/0000-0003-0124-7219" TargetMode="External"/><Relationship Id="rId72" Type="http://schemas.openxmlformats.org/officeDocument/2006/relationships/hyperlink" Target="https://orcid.org/0000-0002-5761-4922" TargetMode="External"/><Relationship Id="rId93" Type="http://schemas.openxmlformats.org/officeDocument/2006/relationships/hyperlink" Target="https://orcid.org/0000-0002-2673-6804" TargetMode="External"/><Relationship Id="rId98" Type="http://schemas.openxmlformats.org/officeDocument/2006/relationships/hyperlink" Target="https://orcid.org/0000-0003-1202-0204" TargetMode="External"/><Relationship Id="rId121" Type="http://schemas.openxmlformats.org/officeDocument/2006/relationships/hyperlink" Target="http://orcid.org/0000-0002-9951-5244" TargetMode="External"/><Relationship Id="rId142" Type="http://schemas.openxmlformats.org/officeDocument/2006/relationships/hyperlink" Target="http://dx.doi.org/10.1016/j.heliyon.2024.e27178" TargetMode="External"/><Relationship Id="rId3" Type="http://schemas.openxmlformats.org/officeDocument/2006/relationships/hyperlink" Target="http://orcid.org/0000-0003-4918-1546" TargetMode="External"/><Relationship Id="rId25" Type="http://schemas.openxmlformats.org/officeDocument/2006/relationships/hyperlink" Target="http://orcid.org/0000-0003-1871-7715" TargetMode="External"/><Relationship Id="rId46" Type="http://schemas.openxmlformats.org/officeDocument/2006/relationships/hyperlink" Target="https://orcid.org/0000-0003-0696-4970" TargetMode="External"/><Relationship Id="rId67" Type="http://schemas.openxmlformats.org/officeDocument/2006/relationships/hyperlink" Target="https://orcid.org/0000-0003-2682-4318" TargetMode="External"/><Relationship Id="rId116" Type="http://schemas.openxmlformats.org/officeDocument/2006/relationships/hyperlink" Target="https://orcid.org/0000-0001-8326-0294" TargetMode="External"/><Relationship Id="rId137" Type="http://schemas.openxmlformats.org/officeDocument/2006/relationships/hyperlink" Target="http://orcid.org/0000-0002-6318-0892" TargetMode="External"/><Relationship Id="rId20" Type="http://schemas.openxmlformats.org/officeDocument/2006/relationships/hyperlink" Target="http://orcid.org/0000-0002-3792-8852" TargetMode="External"/><Relationship Id="rId41" Type="http://schemas.openxmlformats.org/officeDocument/2006/relationships/hyperlink" Target="https://orcid.org/0000-0003-3954-3523" TargetMode="External"/><Relationship Id="rId62" Type="http://schemas.openxmlformats.org/officeDocument/2006/relationships/hyperlink" Target="https://orcid.org/0000-0002-1268-1769" TargetMode="External"/><Relationship Id="rId83" Type="http://schemas.openxmlformats.org/officeDocument/2006/relationships/hyperlink" Target="https://orcid.org/0000-0003-2402-7809" TargetMode="External"/><Relationship Id="rId88" Type="http://schemas.openxmlformats.org/officeDocument/2006/relationships/hyperlink" Target="https://orcid.org/0000-0003-4944-0413" TargetMode="External"/><Relationship Id="rId111" Type="http://schemas.openxmlformats.org/officeDocument/2006/relationships/hyperlink" Target="https://orcid.org/0000-0001-8022-2655" TargetMode="External"/><Relationship Id="rId132" Type="http://schemas.openxmlformats.org/officeDocument/2006/relationships/hyperlink" Target="https://orcid.org/0000-0003-2093-4508" TargetMode="External"/><Relationship Id="rId15" Type="http://schemas.openxmlformats.org/officeDocument/2006/relationships/hyperlink" Target="http://orcid.org/0000-0001-8401-3455" TargetMode="External"/><Relationship Id="rId36" Type="http://schemas.openxmlformats.org/officeDocument/2006/relationships/hyperlink" Target="https://orcid.org/0000-0002-4501-1999" TargetMode="External"/><Relationship Id="rId57" Type="http://schemas.openxmlformats.org/officeDocument/2006/relationships/hyperlink" Target="https://orcid.org/0000-0001-9883-641X" TargetMode="External"/><Relationship Id="rId106" Type="http://schemas.openxmlformats.org/officeDocument/2006/relationships/hyperlink" Target="https://orcid.org/0000-0002-0715-8746" TargetMode="External"/><Relationship Id="rId127" Type="http://schemas.openxmlformats.org/officeDocument/2006/relationships/hyperlink" Target="http://orcid.org/0000-0001-7871-8811" TargetMode="External"/><Relationship Id="rId10" Type="http://schemas.openxmlformats.org/officeDocument/2006/relationships/hyperlink" Target="http://orcid.org/0000-0002-8589-9689" TargetMode="External"/><Relationship Id="rId31" Type="http://schemas.openxmlformats.org/officeDocument/2006/relationships/hyperlink" Target="https://orcid.org/0000-0002-9028-7652" TargetMode="External"/><Relationship Id="rId52" Type="http://schemas.openxmlformats.org/officeDocument/2006/relationships/hyperlink" Target="https://orcid.org/0000-0002-8987-5211" TargetMode="External"/><Relationship Id="rId73" Type="http://schemas.openxmlformats.org/officeDocument/2006/relationships/hyperlink" Target="https://orcid.org/0000-0003-4944-0413" TargetMode="External"/><Relationship Id="rId78" Type="http://schemas.openxmlformats.org/officeDocument/2006/relationships/hyperlink" Target="https://orcid.org/0000-0002-2077-1975" TargetMode="External"/><Relationship Id="rId94" Type="http://schemas.openxmlformats.org/officeDocument/2006/relationships/hyperlink" Target="https://orcid.org/0000-0002-2441-5011" TargetMode="External"/><Relationship Id="rId99" Type="http://schemas.openxmlformats.org/officeDocument/2006/relationships/hyperlink" Target="https://orcid.org/0000-0002-9169-5156" TargetMode="External"/><Relationship Id="rId101" Type="http://schemas.openxmlformats.org/officeDocument/2006/relationships/hyperlink" Target="https://orcid.org/0000-0002-9966-1962" TargetMode="External"/><Relationship Id="rId122" Type="http://schemas.openxmlformats.org/officeDocument/2006/relationships/hyperlink" Target="http://orcid.org/0000-0001-5749-2665" TargetMode="External"/><Relationship Id="rId4" Type="http://schemas.openxmlformats.org/officeDocument/2006/relationships/hyperlink" Target="http://orcid.org/0000-0002-9825-8725" TargetMode="External"/><Relationship Id="rId9" Type="http://schemas.openxmlformats.org/officeDocument/2006/relationships/hyperlink" Target="http://orcid.org/0000-0003-1839-096X" TargetMode="External"/><Relationship Id="rId26" Type="http://schemas.openxmlformats.org/officeDocument/2006/relationships/hyperlink" Target="http://orcid.org/0000-0002-7305-075X" TargetMode="External"/><Relationship Id="rId47" Type="http://schemas.openxmlformats.org/officeDocument/2006/relationships/hyperlink" Target="https://orcid.org/0000-0002-5277-8549" TargetMode="External"/><Relationship Id="rId68" Type="http://schemas.openxmlformats.org/officeDocument/2006/relationships/hyperlink" Target="https://orcid.org/0000-0001-7537-3942" TargetMode="External"/><Relationship Id="rId89" Type="http://schemas.openxmlformats.org/officeDocument/2006/relationships/hyperlink" Target="https://orcid.org/0000-0001-6925-8956" TargetMode="External"/><Relationship Id="rId112" Type="http://schemas.openxmlformats.org/officeDocument/2006/relationships/hyperlink" Target="https://orcid.org/0000-0002-4794-1348" TargetMode="External"/><Relationship Id="rId133" Type="http://schemas.openxmlformats.org/officeDocument/2006/relationships/hyperlink" Target="http://orcid.org/0000-0003-4231-1643" TargetMode="External"/><Relationship Id="rId16" Type="http://schemas.openxmlformats.org/officeDocument/2006/relationships/hyperlink" Target="http://orcid.org/0000-0003-0279-6439"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drive.google.com/drive/u/0/folders/1Jx7ygNxQV305mcLSBQAZmwqiGZ1_C-EC" TargetMode="External"/><Relationship Id="rId13" Type="http://schemas.openxmlformats.org/officeDocument/2006/relationships/hyperlink" Target="https://authorservices.wiley.com/index.html" TargetMode="External"/><Relationship Id="rId3" Type="http://schemas.openxmlformats.org/officeDocument/2006/relationships/hyperlink" Target="https://apcfunding.copyright.com/" TargetMode="External"/><Relationship Id="rId7" Type="http://schemas.openxmlformats.org/officeDocument/2006/relationships/hyperlink" Target="https://drive.google.com/drive/u/0/folders/1Jx7ygNxQV305mcLSBQAZmwqiGZ1_C-EC" TargetMode="External"/><Relationship Id="rId12" Type="http://schemas.openxmlformats.org/officeDocument/2006/relationships/hyperlink" Target="https://www.taylorfrancis.com/oadashboard/" TargetMode="External"/><Relationship Id="rId2" Type="http://schemas.openxmlformats.org/officeDocument/2006/relationships/hyperlink" Target="https://apcfunding.copyright.com/" TargetMode="External"/><Relationship Id="rId1" Type="http://schemas.openxmlformats.org/officeDocument/2006/relationships/hyperlink" Target="https://scipris.aptaracorp.com/SciPrisV62204/?pc=maAYU0rzkzXOrp8Ye3kqjw%3D%3D" TargetMode="External"/><Relationship Id="rId6" Type="http://schemas.openxmlformats.org/officeDocument/2006/relationships/hyperlink" Target="https://drive.google.com/drive/u/0/folders/1oLxg7sxNAjVNB4UQnicesbR5BeYEt2Yn" TargetMode="External"/><Relationship Id="rId11" Type="http://schemas.openxmlformats.org/officeDocument/2006/relationships/hyperlink" Target="https://drive.google.com/drive/u/0/folders/15RmFEPuWlU2Z3xvoTGKn5IXjXDlPiioM" TargetMode="External"/><Relationship Id="rId5" Type="http://schemas.openxmlformats.org/officeDocument/2006/relationships/hyperlink" Target="https://apcfunding.copyright.com/" TargetMode="External"/><Relationship Id="rId15" Type="http://schemas.openxmlformats.org/officeDocument/2006/relationships/comments" Target="../comments1.xml"/><Relationship Id="rId10" Type="http://schemas.openxmlformats.org/officeDocument/2006/relationships/hyperlink" Target="https://rup-jps.ejpress.com/cgi-bin/prod.plex?jps_action=logout" TargetMode="External"/><Relationship Id="rId4" Type="http://schemas.openxmlformats.org/officeDocument/2006/relationships/hyperlink" Target="https://oap.elsevier.com/s/" TargetMode="External"/><Relationship Id="rId9" Type="http://schemas.openxmlformats.org/officeDocument/2006/relationships/hyperlink" Target="https://apcfunding.copyright.com/" TargetMode="External"/><Relationship Id="rId1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BH3176"/>
  <sheetViews>
    <sheetView tabSelected="1" topLeftCell="D1" workbookViewId="0">
      <pane ySplit="1" topLeftCell="A3337" activePane="bottomLeft" state="frozen"/>
      <selection pane="bottomLeft" activeCell="H1" sqref="H1"/>
    </sheetView>
  </sheetViews>
  <sheetFormatPr defaultColWidth="12.6328125" defaultRowHeight="15.75" customHeight="1"/>
  <cols>
    <col min="1" max="1" width="66.7265625" customWidth="1"/>
    <col min="2" max="2" width="33.6328125" customWidth="1"/>
    <col min="3" max="3" width="27.453125" customWidth="1"/>
    <col min="4" max="4" width="23.26953125" customWidth="1"/>
    <col min="7" max="7" width="9" customWidth="1"/>
    <col min="8" max="8" width="54.36328125" customWidth="1"/>
    <col min="15" max="15" width="24.7265625" customWidth="1"/>
    <col min="19" max="19" width="11.90625" customWidth="1"/>
    <col min="20" max="20" width="23.36328125" customWidth="1"/>
    <col min="35" max="35" width="24.6328125" customWidth="1"/>
  </cols>
  <sheetData>
    <row r="1" spans="1:60" ht="43.5">
      <c r="A1" s="1" t="s">
        <v>0</v>
      </c>
      <c r="B1" s="1" t="s">
        <v>1</v>
      </c>
      <c r="C1" s="1" t="s">
        <v>2</v>
      </c>
      <c r="D1" s="1" t="s">
        <v>3</v>
      </c>
      <c r="E1" s="1" t="s">
        <v>4</v>
      </c>
      <c r="F1" s="1" t="s">
        <v>5</v>
      </c>
      <c r="G1" s="1" t="s">
        <v>6</v>
      </c>
      <c r="H1" s="1" t="s">
        <v>7</v>
      </c>
      <c r="I1" s="1" t="s">
        <v>8</v>
      </c>
      <c r="J1" s="2" t="s">
        <v>9</v>
      </c>
      <c r="K1" s="2" t="s">
        <v>10</v>
      </c>
      <c r="L1" s="2" t="s">
        <v>11</v>
      </c>
      <c r="M1" s="2" t="s">
        <v>12</v>
      </c>
      <c r="N1" s="1" t="s">
        <v>13</v>
      </c>
      <c r="O1" s="1" t="s">
        <v>14</v>
      </c>
      <c r="P1" s="1" t="s">
        <v>15</v>
      </c>
      <c r="Q1" s="1" t="s">
        <v>16</v>
      </c>
      <c r="R1" s="1" t="s">
        <v>17</v>
      </c>
      <c r="S1" s="1" t="s">
        <v>18</v>
      </c>
      <c r="T1" s="1" t="s">
        <v>19</v>
      </c>
      <c r="U1" s="1" t="s">
        <v>20</v>
      </c>
      <c r="V1" s="1" t="s">
        <v>21</v>
      </c>
      <c r="W1" s="3" t="s">
        <v>22</v>
      </c>
      <c r="X1" s="3" t="s">
        <v>23</v>
      </c>
      <c r="Y1" s="3" t="s">
        <v>24</v>
      </c>
      <c r="Z1" s="3" t="s">
        <v>25</v>
      </c>
      <c r="AA1" s="3" t="s">
        <v>26</v>
      </c>
      <c r="AB1" s="3" t="s">
        <v>27</v>
      </c>
      <c r="AC1" s="4" t="s">
        <v>28</v>
      </c>
      <c r="AD1" s="4" t="s">
        <v>29</v>
      </c>
      <c r="AE1" s="4" t="s">
        <v>30</v>
      </c>
      <c r="AF1" s="4" t="s">
        <v>31</v>
      </c>
      <c r="AG1" s="4" t="s">
        <v>32</v>
      </c>
      <c r="AH1" s="5" t="s">
        <v>33</v>
      </c>
      <c r="AI1" s="5" t="s">
        <v>34</v>
      </c>
      <c r="AJ1" s="5" t="s">
        <v>35</v>
      </c>
      <c r="AK1" s="5" t="s">
        <v>36</v>
      </c>
      <c r="AL1" s="5" t="s">
        <v>37</v>
      </c>
      <c r="AM1" s="5" t="s">
        <v>38</v>
      </c>
      <c r="AN1" s="4" t="s">
        <v>39</v>
      </c>
      <c r="AO1" s="4" t="s">
        <v>40</v>
      </c>
      <c r="AP1" s="1" t="s">
        <v>41</v>
      </c>
      <c r="AQ1" s="6" t="s">
        <v>42</v>
      </c>
      <c r="AR1" s="7" t="s">
        <v>43</v>
      </c>
      <c r="AS1" s="7" t="s">
        <v>44</v>
      </c>
      <c r="AT1" s="8"/>
      <c r="AU1" s="8"/>
      <c r="AV1" s="8"/>
      <c r="AW1" s="8"/>
      <c r="AX1" s="8"/>
      <c r="AY1" s="8"/>
      <c r="AZ1" s="8"/>
      <c r="BA1" s="8"/>
      <c r="BB1" s="8"/>
      <c r="BC1" s="8"/>
      <c r="BD1" s="8"/>
      <c r="BE1" s="8"/>
      <c r="BF1" s="8"/>
      <c r="BG1" s="8"/>
      <c r="BH1" s="8"/>
    </row>
    <row r="2" spans="1:60" ht="14.5">
      <c r="A2" s="9" t="s">
        <v>45</v>
      </c>
      <c r="B2" s="9" t="s">
        <v>46</v>
      </c>
      <c r="C2" s="9" t="s">
        <v>47</v>
      </c>
      <c r="D2" s="9" t="s">
        <v>48</v>
      </c>
      <c r="E2" s="9" t="s">
        <v>49</v>
      </c>
      <c r="F2" s="9" t="s">
        <v>50</v>
      </c>
      <c r="G2" s="9" t="s">
        <v>51</v>
      </c>
      <c r="H2" s="9"/>
      <c r="K2" s="10">
        <v>42740</v>
      </c>
      <c r="L2" s="10">
        <v>43696</v>
      </c>
      <c r="M2" s="10"/>
      <c r="N2" s="9">
        <v>2019</v>
      </c>
      <c r="O2" s="9" t="s">
        <v>52</v>
      </c>
      <c r="P2" s="9" t="s">
        <v>53</v>
      </c>
      <c r="Q2" s="9" t="s">
        <v>53</v>
      </c>
      <c r="R2" s="9" t="s">
        <v>54</v>
      </c>
      <c r="T2" s="9" t="s">
        <v>55</v>
      </c>
      <c r="U2" s="9" t="s">
        <v>56</v>
      </c>
      <c r="V2" s="9"/>
      <c r="W2" s="11">
        <f>IFERROR(VLOOKUP(B2, PlumX_snapshot!$A:$B, 2, FALSE), " ")</f>
        <v>41</v>
      </c>
      <c r="X2" s="11">
        <f>IFERROR(VLOOKUP(B2, PlumX_snapshot!$A:$C, 3, FALSE), " ")</f>
        <v>17</v>
      </c>
      <c r="Y2" s="12">
        <f>IFERROR(VLOOKUP(B2, PlumX_snapshot!$A:$D, 4, FALSE), " ")</f>
        <v>19</v>
      </c>
      <c r="Z2" s="12">
        <f>IFERROR(VLOOKUP(B2, PlumX_snapshot!$A:$E, 5, FALSE), " ")</f>
        <v>741</v>
      </c>
      <c r="AA2" s="12">
        <f>IFERROR(VLOOKUP(B2, PlumX_snapshot!$A:$F, 6, FALSE), " ")</f>
        <v>0</v>
      </c>
      <c r="AB2" s="13">
        <v>44978</v>
      </c>
      <c r="AC2" s="12"/>
      <c r="AD2" s="12"/>
      <c r="AE2" s="12"/>
      <c r="AF2" s="12"/>
      <c r="AG2" s="11"/>
      <c r="AH2" s="11"/>
      <c r="AI2" s="11"/>
      <c r="AJ2" s="11" t="s">
        <v>57</v>
      </c>
      <c r="AK2" s="11" t="str">
        <f t="shared" ref="AK2:AK256" si="0">CONCATENATE(N2,AJ2)</f>
        <v>2019USD</v>
      </c>
      <c r="AL2" s="11" t="e">
        <f>VLOOKUP(AK2, Exchange_rates!$C:$D, 2, FALSE)</f>
        <v>#N/A</v>
      </c>
      <c r="AM2" s="14" t="str">
        <f t="shared" ref="AM2:AM256" si="1">IFERROR(((AH2*AL2)*1.2), "")</f>
        <v/>
      </c>
      <c r="AN2" s="11"/>
      <c r="AO2" s="11"/>
      <c r="AP2" s="9"/>
      <c r="AQ2" s="15" t="s">
        <v>49</v>
      </c>
      <c r="AR2" t="s">
        <v>58</v>
      </c>
      <c r="AS2" s="16" t="s">
        <v>59</v>
      </c>
      <c r="AT2" s="11"/>
      <c r="AU2" s="11"/>
      <c r="AV2" s="12"/>
      <c r="AW2" s="12"/>
      <c r="AX2" s="11"/>
      <c r="AY2" s="11"/>
      <c r="AZ2" s="12"/>
      <c r="BA2" s="12"/>
      <c r="BB2" s="11"/>
      <c r="BC2" s="11"/>
      <c r="BD2" s="11"/>
      <c r="BE2" s="11"/>
      <c r="BF2" s="11"/>
      <c r="BG2" s="11"/>
      <c r="BH2" s="11"/>
    </row>
    <row r="3" spans="1:60" ht="14.5">
      <c r="A3" s="9" t="s">
        <v>60</v>
      </c>
      <c r="B3" s="9" t="s">
        <v>61</v>
      </c>
      <c r="C3" s="9" t="s">
        <v>47</v>
      </c>
      <c r="D3" s="9" t="s">
        <v>48</v>
      </c>
      <c r="E3" s="9" t="s">
        <v>49</v>
      </c>
      <c r="F3" s="9" t="s">
        <v>50</v>
      </c>
      <c r="G3" s="9" t="s">
        <v>51</v>
      </c>
      <c r="H3" s="9"/>
      <c r="K3" s="10">
        <v>42949</v>
      </c>
      <c r="L3" s="10">
        <v>43696</v>
      </c>
      <c r="M3" s="10"/>
      <c r="N3" s="9">
        <v>2019</v>
      </c>
      <c r="O3" s="9" t="s">
        <v>52</v>
      </c>
      <c r="P3" s="9" t="s">
        <v>53</v>
      </c>
      <c r="Q3" s="9" t="s">
        <v>53</v>
      </c>
      <c r="T3" s="9" t="s">
        <v>55</v>
      </c>
      <c r="U3" s="9" t="s">
        <v>56</v>
      </c>
      <c r="V3" s="9"/>
      <c r="W3" s="11">
        <f>IFERROR(VLOOKUP(B3, PlumX_snapshot!$A:$B, 2, FALSE), " ")</f>
        <v>62</v>
      </c>
      <c r="X3" s="11">
        <f>IFERROR(VLOOKUP(B3, PlumX_snapshot!$A:$C, 3, FALSE), " ")</f>
        <v>23</v>
      </c>
      <c r="Y3" s="12">
        <f>IFERROR(VLOOKUP(B3, PlumX_snapshot!$A:$D, 4, FALSE), " ")</f>
        <v>1</v>
      </c>
      <c r="Z3" s="12">
        <f>IFERROR(VLOOKUP(B3, PlumX_snapshot!$A:$E, 5, FALSE), " ")</f>
        <v>161</v>
      </c>
      <c r="AA3" s="12">
        <f>IFERROR(VLOOKUP(B3, PlumX_snapshot!$A:$F, 6, FALSE), " ")</f>
        <v>0</v>
      </c>
      <c r="AB3" s="13">
        <v>44978</v>
      </c>
      <c r="AC3" s="12"/>
      <c r="AD3" s="12"/>
      <c r="AE3" s="12"/>
      <c r="AF3" s="12"/>
      <c r="AG3" s="11"/>
      <c r="AH3" s="11"/>
      <c r="AI3" s="11"/>
      <c r="AJ3" s="11" t="s">
        <v>57</v>
      </c>
      <c r="AK3" s="11" t="str">
        <f t="shared" si="0"/>
        <v>2019USD</v>
      </c>
      <c r="AL3" s="11" t="e">
        <f>VLOOKUP(AK3, Exchange_rates!$C:$D, 2, FALSE)</f>
        <v>#N/A</v>
      </c>
      <c r="AM3" s="14" t="str">
        <f t="shared" si="1"/>
        <v/>
      </c>
      <c r="AN3" s="11"/>
      <c r="AO3" s="11"/>
      <c r="AP3" s="9"/>
      <c r="AQ3" s="15" t="s">
        <v>49</v>
      </c>
      <c r="AR3" t="s">
        <v>58</v>
      </c>
      <c r="AS3" s="16" t="s">
        <v>59</v>
      </c>
      <c r="AT3" s="11"/>
      <c r="AU3" s="11"/>
      <c r="AV3" s="12"/>
      <c r="AW3" s="12"/>
      <c r="AX3" s="11"/>
      <c r="AY3" s="11"/>
      <c r="AZ3" s="12"/>
      <c r="BA3" s="12"/>
      <c r="BB3" s="11"/>
      <c r="BC3" s="11"/>
      <c r="BD3" s="11"/>
      <c r="BE3" s="11"/>
      <c r="BF3" s="11"/>
      <c r="BG3" s="11"/>
      <c r="BH3" s="11"/>
    </row>
    <row r="4" spans="1:60" ht="14.5">
      <c r="A4" s="9" t="s">
        <v>62</v>
      </c>
      <c r="B4" s="9" t="s">
        <v>63</v>
      </c>
      <c r="C4" s="9" t="s">
        <v>47</v>
      </c>
      <c r="D4" s="9" t="s">
        <v>48</v>
      </c>
      <c r="E4" s="9" t="s">
        <v>49</v>
      </c>
      <c r="F4" s="9" t="s">
        <v>50</v>
      </c>
      <c r="G4" s="9" t="s">
        <v>51</v>
      </c>
      <c r="H4" s="9"/>
      <c r="K4" s="10">
        <v>43538</v>
      </c>
      <c r="L4" s="10">
        <v>43696</v>
      </c>
      <c r="M4" s="10"/>
      <c r="N4" s="9">
        <v>2019</v>
      </c>
      <c r="O4" s="9" t="s">
        <v>52</v>
      </c>
      <c r="P4" s="9" t="s">
        <v>53</v>
      </c>
      <c r="Q4" s="9" t="s">
        <v>53</v>
      </c>
      <c r="T4" s="9" t="s">
        <v>55</v>
      </c>
      <c r="U4" s="9" t="s">
        <v>56</v>
      </c>
      <c r="V4" s="9"/>
      <c r="W4" s="11">
        <f>IFERROR(VLOOKUP(B4, PlumX_snapshot!$A:$B, 2, FALSE), " ")</f>
        <v>8</v>
      </c>
      <c r="X4" s="11">
        <f>IFERROR(VLOOKUP(B4, PlumX_snapshot!$A:$C, 3, FALSE), " ")</f>
        <v>1</v>
      </c>
      <c r="Y4" s="12">
        <f>IFERROR(VLOOKUP(B4, PlumX_snapshot!$A:$D, 4, FALSE), " ")</f>
        <v>17</v>
      </c>
      <c r="Z4" s="12">
        <f>IFERROR(VLOOKUP(B4, PlumX_snapshot!$A:$E, 5, FALSE), " ")</f>
        <v>207</v>
      </c>
      <c r="AA4" s="12">
        <f>IFERROR(VLOOKUP(B4, PlumX_snapshot!$A:$F, 6, FALSE), " ")</f>
        <v>0</v>
      </c>
      <c r="AB4" s="13">
        <v>44978</v>
      </c>
      <c r="AC4" s="12"/>
      <c r="AD4" s="12"/>
      <c r="AE4" s="12"/>
      <c r="AF4" s="12"/>
      <c r="AG4" s="11"/>
      <c r="AH4" s="11"/>
      <c r="AI4" s="11"/>
      <c r="AJ4" s="11" t="s">
        <v>57</v>
      </c>
      <c r="AK4" s="11" t="str">
        <f t="shared" si="0"/>
        <v>2019USD</v>
      </c>
      <c r="AL4" s="11" t="e">
        <f>VLOOKUP(AK4, Exchange_rates!$C:$D, 2, FALSE)</f>
        <v>#N/A</v>
      </c>
      <c r="AM4" s="14" t="str">
        <f t="shared" si="1"/>
        <v/>
      </c>
      <c r="AN4" s="11"/>
      <c r="AO4" s="11"/>
      <c r="AP4" s="9"/>
      <c r="AQ4" s="15" t="s">
        <v>49</v>
      </c>
      <c r="AR4" t="s">
        <v>58</v>
      </c>
      <c r="AS4" s="16" t="s">
        <v>59</v>
      </c>
      <c r="AT4" s="11"/>
      <c r="AU4" s="11"/>
      <c r="AV4" s="12"/>
      <c r="AW4" s="12"/>
      <c r="AX4" s="11"/>
      <c r="AY4" s="11"/>
      <c r="AZ4" s="11"/>
      <c r="BA4" s="12"/>
      <c r="BB4" s="11"/>
      <c r="BC4" s="11"/>
      <c r="BD4" s="11"/>
      <c r="BE4" s="11"/>
      <c r="BF4" s="11"/>
      <c r="BG4" s="11"/>
      <c r="BH4" s="11"/>
    </row>
    <row r="5" spans="1:60" ht="14.5">
      <c r="A5" s="9" t="s">
        <v>64</v>
      </c>
      <c r="B5" s="9" t="s">
        <v>65</v>
      </c>
      <c r="C5" s="9" t="s">
        <v>47</v>
      </c>
      <c r="D5" s="9" t="s">
        <v>48</v>
      </c>
      <c r="E5" s="9" t="s">
        <v>49</v>
      </c>
      <c r="F5" s="9" t="s">
        <v>50</v>
      </c>
      <c r="G5" s="9" t="s">
        <v>51</v>
      </c>
      <c r="H5" s="9"/>
      <c r="K5" s="10">
        <v>43544</v>
      </c>
      <c r="L5" s="10">
        <v>43696</v>
      </c>
      <c r="M5" s="10"/>
      <c r="N5" s="9">
        <v>2019</v>
      </c>
      <c r="O5" s="9" t="s">
        <v>52</v>
      </c>
      <c r="P5" s="9" t="s">
        <v>53</v>
      </c>
      <c r="Q5" s="9" t="s">
        <v>53</v>
      </c>
      <c r="T5" s="9" t="s">
        <v>55</v>
      </c>
      <c r="U5" s="9" t="s">
        <v>56</v>
      </c>
      <c r="V5" s="9"/>
      <c r="W5" s="11">
        <f>IFERROR(VLOOKUP(B5, PlumX_snapshot!$A:$B, 2, FALSE), " ")</f>
        <v>46</v>
      </c>
      <c r="X5" s="11">
        <f>IFERROR(VLOOKUP(B5, PlumX_snapshot!$A:$C, 3, FALSE), " ")</f>
        <v>24</v>
      </c>
      <c r="Y5" s="12">
        <f>IFERROR(VLOOKUP(B5, PlumX_snapshot!$A:$D, 4, FALSE), " ")</f>
        <v>20</v>
      </c>
      <c r="Z5" s="12">
        <f>IFERROR(VLOOKUP(B5, PlumX_snapshot!$A:$E, 5, FALSE), " ")</f>
        <v>0</v>
      </c>
      <c r="AA5" s="12">
        <f>IFERROR(VLOOKUP(B5, PlumX_snapshot!$A:$F, 6, FALSE), " ")</f>
        <v>0</v>
      </c>
      <c r="AB5" s="13">
        <v>44978</v>
      </c>
      <c r="AC5" s="12"/>
      <c r="AD5" s="12"/>
      <c r="AE5" s="12"/>
      <c r="AF5" s="12"/>
      <c r="AG5" s="11"/>
      <c r="AH5" s="11"/>
      <c r="AI5" s="11"/>
      <c r="AJ5" s="11" t="s">
        <v>57</v>
      </c>
      <c r="AK5" s="11" t="str">
        <f t="shared" si="0"/>
        <v>2019USD</v>
      </c>
      <c r="AL5" s="11" t="e">
        <f>VLOOKUP(AK5, Exchange_rates!$C:$D, 2, FALSE)</f>
        <v>#N/A</v>
      </c>
      <c r="AM5" s="14" t="str">
        <f t="shared" si="1"/>
        <v/>
      </c>
      <c r="AN5" s="11"/>
      <c r="AO5" s="11"/>
      <c r="AP5" s="9"/>
      <c r="AQ5" s="15" t="s">
        <v>49</v>
      </c>
      <c r="AR5" t="s">
        <v>58</v>
      </c>
      <c r="AS5" s="16" t="s">
        <v>59</v>
      </c>
      <c r="AT5" s="11"/>
      <c r="AU5" s="11"/>
      <c r="AV5" s="11"/>
      <c r="AW5" s="11"/>
      <c r="AX5" s="11"/>
      <c r="AY5" s="11"/>
      <c r="AZ5" s="11"/>
      <c r="BA5" s="11"/>
      <c r="BB5" s="11"/>
      <c r="BC5" s="11"/>
      <c r="BD5" s="11"/>
      <c r="BE5" s="11"/>
      <c r="BF5" s="11"/>
      <c r="BG5" s="11"/>
      <c r="BH5" s="11"/>
    </row>
    <row r="6" spans="1:60" ht="14.5">
      <c r="A6" s="9" t="s">
        <v>66</v>
      </c>
      <c r="B6" s="9" t="s">
        <v>67</v>
      </c>
      <c r="C6" s="9" t="s">
        <v>68</v>
      </c>
      <c r="D6" s="9" t="s">
        <v>48</v>
      </c>
      <c r="E6" s="9" t="s">
        <v>49</v>
      </c>
      <c r="F6" s="9" t="s">
        <v>69</v>
      </c>
      <c r="G6" s="9" t="s">
        <v>70</v>
      </c>
      <c r="H6" s="9" t="s">
        <v>71</v>
      </c>
      <c r="I6" s="9" t="s">
        <v>72</v>
      </c>
      <c r="J6" s="10">
        <v>44577</v>
      </c>
      <c r="K6" s="10">
        <v>44676</v>
      </c>
      <c r="L6" s="10">
        <v>44676</v>
      </c>
      <c r="M6" s="10">
        <v>44687</v>
      </c>
      <c r="N6" s="9">
        <v>2022</v>
      </c>
      <c r="O6" s="9" t="s">
        <v>73</v>
      </c>
      <c r="P6" s="9" t="s">
        <v>53</v>
      </c>
      <c r="Q6" s="9" t="s">
        <v>53</v>
      </c>
      <c r="R6" s="9" t="s">
        <v>74</v>
      </c>
      <c r="T6" s="9"/>
      <c r="V6" s="9"/>
      <c r="W6" s="11">
        <f>IFERROR(VLOOKUP(B6, PlumX_snapshot!$A:$B, 2, FALSE), " ")</f>
        <v>4</v>
      </c>
      <c r="X6" s="11">
        <f>IFERROR(VLOOKUP(B6, PlumX_snapshot!$A:$C, 3, FALSE), " ")</f>
        <v>1</v>
      </c>
      <c r="Y6" s="12">
        <f>IFERROR(VLOOKUP(B6, PlumX_snapshot!$A:$D, 4, FALSE), " ")</f>
        <v>0</v>
      </c>
      <c r="Z6" s="12">
        <f>IFERROR(VLOOKUP(B6, PlumX_snapshot!$A:$E, 5, FALSE), " ")</f>
        <v>0</v>
      </c>
      <c r="AA6" s="12">
        <f>IFERROR(VLOOKUP(B6, PlumX_snapshot!$A:$F, 6, FALSE), " ")</f>
        <v>0</v>
      </c>
      <c r="AB6" s="13">
        <v>44978</v>
      </c>
      <c r="AC6" s="12" t="s">
        <v>75</v>
      </c>
      <c r="AD6" s="11" t="s">
        <v>76</v>
      </c>
      <c r="AE6" s="11"/>
      <c r="AF6" s="11"/>
      <c r="AG6" s="11"/>
      <c r="AH6" s="11">
        <v>4000</v>
      </c>
      <c r="AI6" s="11" t="s">
        <v>77</v>
      </c>
      <c r="AJ6" s="11" t="s">
        <v>57</v>
      </c>
      <c r="AK6" s="11" t="str">
        <f t="shared" si="0"/>
        <v>2022USD</v>
      </c>
      <c r="AL6" s="11">
        <f>VLOOKUP(AK6, Exchange_rates!$C:$D, 2, FALSE)</f>
        <v>0.8115</v>
      </c>
      <c r="AM6" s="14">
        <f t="shared" si="1"/>
        <v>3895.2</v>
      </c>
      <c r="AN6" s="11"/>
      <c r="AO6" s="11"/>
      <c r="AP6" s="9"/>
      <c r="AQ6" s="15" t="s">
        <v>49</v>
      </c>
      <c r="AR6" t="s">
        <v>78</v>
      </c>
      <c r="AS6" s="16" t="s">
        <v>79</v>
      </c>
      <c r="AT6" s="11"/>
      <c r="AU6" s="11"/>
      <c r="AV6" s="11"/>
      <c r="AW6" s="11"/>
      <c r="AX6" s="11"/>
      <c r="AY6" s="11"/>
      <c r="AZ6" s="11"/>
      <c r="BA6" s="11"/>
      <c r="BB6" s="11"/>
      <c r="BC6" s="11"/>
      <c r="BD6" s="11"/>
      <c r="BE6" s="11"/>
      <c r="BF6" s="11"/>
      <c r="BG6" s="11"/>
      <c r="BH6" s="11"/>
    </row>
    <row r="7" spans="1:60" ht="14.5">
      <c r="A7" s="9" t="s">
        <v>80</v>
      </c>
      <c r="B7" s="9" t="s">
        <v>81</v>
      </c>
      <c r="C7" s="9" t="s">
        <v>82</v>
      </c>
      <c r="D7" s="9" t="s">
        <v>48</v>
      </c>
      <c r="E7" s="9" t="s">
        <v>49</v>
      </c>
      <c r="F7" s="9" t="s">
        <v>69</v>
      </c>
      <c r="G7" s="9" t="s">
        <v>70</v>
      </c>
      <c r="H7" s="9" t="s">
        <v>71</v>
      </c>
      <c r="I7" s="9" t="s">
        <v>72</v>
      </c>
      <c r="J7" s="10">
        <v>44629</v>
      </c>
      <c r="K7" s="10">
        <v>44670</v>
      </c>
      <c r="L7" s="10">
        <v>44670</v>
      </c>
      <c r="M7" s="10">
        <v>44685</v>
      </c>
      <c r="N7" s="9">
        <v>2022</v>
      </c>
      <c r="O7" s="9" t="s">
        <v>73</v>
      </c>
      <c r="P7" s="9" t="s">
        <v>83</v>
      </c>
      <c r="Q7" s="9" t="s">
        <v>53</v>
      </c>
      <c r="R7" s="9" t="s">
        <v>84</v>
      </c>
      <c r="T7" s="9"/>
      <c r="V7" s="9"/>
      <c r="W7" s="11">
        <f>IFERROR(VLOOKUP(B7, PlumX_snapshot!$A:$B, 2, FALSE), " ")</f>
        <v>12</v>
      </c>
      <c r="X7" s="11">
        <f>IFERROR(VLOOKUP(B7, PlumX_snapshot!$A:$C, 3, FALSE), " ")</f>
        <v>129</v>
      </c>
      <c r="Y7" s="12">
        <f>IFERROR(VLOOKUP(B7, PlumX_snapshot!$A:$D, 4, FALSE), " ")</f>
        <v>7</v>
      </c>
      <c r="Z7" s="12">
        <f>IFERROR(VLOOKUP(B7, PlumX_snapshot!$A:$E, 5, FALSE), " ")</f>
        <v>0</v>
      </c>
      <c r="AA7" s="12">
        <f>IFERROR(VLOOKUP(B7, PlumX_snapshot!$A:$F, 6, FALSE), " ")</f>
        <v>0</v>
      </c>
      <c r="AB7" s="13">
        <v>44978</v>
      </c>
      <c r="AC7" s="12" t="s">
        <v>85</v>
      </c>
      <c r="AD7" s="11" t="s">
        <v>86</v>
      </c>
      <c r="AE7" s="12"/>
      <c r="AF7" s="12"/>
      <c r="AG7" s="11"/>
      <c r="AH7" s="11">
        <v>4000</v>
      </c>
      <c r="AI7" s="11" t="s">
        <v>77</v>
      </c>
      <c r="AJ7" s="11" t="s">
        <v>57</v>
      </c>
      <c r="AK7" s="11" t="str">
        <f t="shared" si="0"/>
        <v>2022USD</v>
      </c>
      <c r="AL7" s="11">
        <f>VLOOKUP(AK7, Exchange_rates!$C:$D, 2, FALSE)</f>
        <v>0.8115</v>
      </c>
      <c r="AM7" s="14">
        <f t="shared" si="1"/>
        <v>3895.2</v>
      </c>
      <c r="AN7" s="11"/>
      <c r="AO7" s="11"/>
      <c r="AP7" s="9"/>
      <c r="AQ7" s="15" t="s">
        <v>49</v>
      </c>
      <c r="AR7" t="s">
        <v>87</v>
      </c>
      <c r="AS7" s="16" t="s">
        <v>88</v>
      </c>
      <c r="AT7" s="11"/>
      <c r="AU7" s="11"/>
      <c r="AV7" s="11"/>
      <c r="AW7" s="11"/>
      <c r="AX7" s="12"/>
      <c r="AY7" s="11"/>
      <c r="AZ7" s="11"/>
      <c r="BA7" s="11"/>
      <c r="BB7" s="11"/>
      <c r="BC7" s="11"/>
      <c r="BD7" s="11"/>
      <c r="BE7" s="11"/>
      <c r="BF7" s="11"/>
      <c r="BG7" s="11"/>
      <c r="BH7" s="11"/>
    </row>
    <row r="8" spans="1:60" ht="14.5">
      <c r="A8" s="9" t="s">
        <v>89</v>
      </c>
      <c r="B8" s="9" t="s">
        <v>90</v>
      </c>
      <c r="C8" s="9" t="s">
        <v>91</v>
      </c>
      <c r="D8" s="9" t="s">
        <v>48</v>
      </c>
      <c r="E8" s="9" t="s">
        <v>49</v>
      </c>
      <c r="F8" s="9" t="s">
        <v>69</v>
      </c>
      <c r="G8" s="9" t="s">
        <v>70</v>
      </c>
      <c r="H8" s="9" t="s">
        <v>71</v>
      </c>
      <c r="I8" s="9" t="s">
        <v>72</v>
      </c>
      <c r="J8" s="10">
        <v>44594</v>
      </c>
      <c r="K8" s="10">
        <v>44651</v>
      </c>
      <c r="L8" s="10">
        <v>44659</v>
      </c>
      <c r="M8" s="10">
        <v>44668</v>
      </c>
      <c r="N8" s="9">
        <v>2022</v>
      </c>
      <c r="O8" s="9" t="s">
        <v>73</v>
      </c>
      <c r="P8" s="9" t="s">
        <v>53</v>
      </c>
      <c r="Q8" s="9" t="s">
        <v>53</v>
      </c>
      <c r="R8" s="9" t="s">
        <v>92</v>
      </c>
      <c r="T8" s="9"/>
      <c r="V8" s="9"/>
      <c r="W8" s="11">
        <f>IFERROR(VLOOKUP(B8, PlumX_snapshot!$A:$B, 2, FALSE), " ")</f>
        <v>16</v>
      </c>
      <c r="X8" s="11">
        <f>IFERROR(VLOOKUP(B8, PlumX_snapshot!$A:$C, 3, FALSE), " ")</f>
        <v>1</v>
      </c>
      <c r="Y8" s="12">
        <f>IFERROR(VLOOKUP(B8, PlumX_snapshot!$A:$D, 4, FALSE), " ")</f>
        <v>31</v>
      </c>
      <c r="Z8" s="12">
        <f>IFERROR(VLOOKUP(B8, PlumX_snapshot!$A:$E, 5, FALSE), " ")</f>
        <v>0</v>
      </c>
      <c r="AA8" s="12">
        <f>IFERROR(VLOOKUP(B8, PlumX_snapshot!$A:$F, 6, FALSE), " ")</f>
        <v>0</v>
      </c>
      <c r="AB8" s="13">
        <v>44978</v>
      </c>
      <c r="AC8" s="12" t="s">
        <v>93</v>
      </c>
      <c r="AD8" s="12" t="s">
        <v>94</v>
      </c>
      <c r="AE8" s="12"/>
      <c r="AF8" s="12"/>
      <c r="AG8" s="11"/>
      <c r="AH8" s="11">
        <v>4000</v>
      </c>
      <c r="AI8" s="11" t="s">
        <v>77</v>
      </c>
      <c r="AJ8" s="11" t="s">
        <v>57</v>
      </c>
      <c r="AK8" s="11" t="str">
        <f t="shared" si="0"/>
        <v>2022USD</v>
      </c>
      <c r="AL8" s="11">
        <f>VLOOKUP(AK8, Exchange_rates!$C:$D, 2, FALSE)</f>
        <v>0.8115</v>
      </c>
      <c r="AM8" s="14">
        <f t="shared" si="1"/>
        <v>3895.2</v>
      </c>
      <c r="AN8" s="11"/>
      <c r="AO8" s="11"/>
      <c r="AP8" s="9"/>
      <c r="AQ8" s="15" t="s">
        <v>49</v>
      </c>
      <c r="AR8" t="s">
        <v>95</v>
      </c>
      <c r="AS8" s="16" t="s">
        <v>96</v>
      </c>
      <c r="AT8" s="11"/>
      <c r="AU8" s="11"/>
      <c r="AV8" s="11"/>
      <c r="AW8" s="11"/>
      <c r="AX8" s="11"/>
      <c r="AY8" s="11"/>
      <c r="AZ8" s="11"/>
      <c r="BA8" s="11"/>
      <c r="BB8" s="11"/>
      <c r="BC8" s="11"/>
      <c r="BD8" s="11"/>
      <c r="BE8" s="11"/>
      <c r="BF8" s="11"/>
      <c r="BG8" s="11"/>
      <c r="BH8" s="11"/>
    </row>
    <row r="9" spans="1:60" ht="14.5">
      <c r="A9" s="9" t="s">
        <v>97</v>
      </c>
      <c r="B9" s="9" t="s">
        <v>98</v>
      </c>
      <c r="C9" s="9" t="s">
        <v>91</v>
      </c>
      <c r="D9" s="9" t="s">
        <v>48</v>
      </c>
      <c r="E9" s="9" t="s">
        <v>49</v>
      </c>
      <c r="F9" s="9" t="s">
        <v>69</v>
      </c>
      <c r="G9" s="9" t="s">
        <v>70</v>
      </c>
      <c r="H9" s="9" t="s">
        <v>71</v>
      </c>
      <c r="I9" s="9" t="s">
        <v>72</v>
      </c>
      <c r="J9" s="10">
        <v>44501</v>
      </c>
      <c r="K9" s="10">
        <v>44587</v>
      </c>
      <c r="L9" s="10">
        <v>44658</v>
      </c>
      <c r="M9" s="10">
        <v>44602</v>
      </c>
      <c r="N9" s="9">
        <v>2022</v>
      </c>
      <c r="O9" s="9" t="s">
        <v>73</v>
      </c>
      <c r="P9" s="9" t="s">
        <v>83</v>
      </c>
      <c r="Q9" s="9" t="s">
        <v>53</v>
      </c>
      <c r="R9" s="9" t="s">
        <v>99</v>
      </c>
      <c r="T9" s="9"/>
      <c r="V9" s="9"/>
      <c r="W9" s="11">
        <f>IFERROR(VLOOKUP(B9, PlumX_snapshot!$A:$B, 2, FALSE), " ")</f>
        <v>5</v>
      </c>
      <c r="X9" s="11">
        <f>IFERROR(VLOOKUP(B9, PlumX_snapshot!$A:$C, 3, FALSE), " ")</f>
        <v>3</v>
      </c>
      <c r="Y9" s="12">
        <f>IFERROR(VLOOKUP(B9, PlumX_snapshot!$A:$D, 4, FALSE), " ")</f>
        <v>18</v>
      </c>
      <c r="Z9" s="12">
        <f>IFERROR(VLOOKUP(B9, PlumX_snapshot!$A:$E, 5, FALSE), " ")</f>
        <v>0</v>
      </c>
      <c r="AA9" s="12">
        <f>IFERROR(VLOOKUP(B9, PlumX_snapshot!$A:$F, 6, FALSE), " ")</f>
        <v>0</v>
      </c>
      <c r="AB9" s="13">
        <v>44978</v>
      </c>
      <c r="AC9" s="12" t="s">
        <v>100</v>
      </c>
      <c r="AD9" s="11" t="s">
        <v>101</v>
      </c>
      <c r="AE9" s="12"/>
      <c r="AF9" s="12"/>
      <c r="AG9" s="11"/>
      <c r="AH9" s="11">
        <v>4000</v>
      </c>
      <c r="AI9" s="11" t="s">
        <v>77</v>
      </c>
      <c r="AJ9" s="11" t="s">
        <v>57</v>
      </c>
      <c r="AK9" s="11" t="str">
        <f t="shared" si="0"/>
        <v>2022USD</v>
      </c>
      <c r="AL9" s="11">
        <f>VLOOKUP(AK9, Exchange_rates!$C:$D, 2, FALSE)</f>
        <v>0.8115</v>
      </c>
      <c r="AM9" s="14">
        <f t="shared" si="1"/>
        <v>3895.2</v>
      </c>
      <c r="AN9" s="11"/>
      <c r="AO9" s="11"/>
      <c r="AP9" s="9"/>
      <c r="AQ9" s="15" t="s">
        <v>49</v>
      </c>
      <c r="AR9" t="s">
        <v>95</v>
      </c>
      <c r="AS9" s="16" t="s">
        <v>96</v>
      </c>
      <c r="AT9" s="11"/>
      <c r="AU9" s="11"/>
      <c r="AV9" s="11"/>
      <c r="AW9" s="11"/>
      <c r="AX9" s="11"/>
      <c r="AY9" s="11"/>
      <c r="AZ9" s="11"/>
      <c r="BA9" s="11"/>
      <c r="BB9" s="11"/>
      <c r="BC9" s="11"/>
      <c r="BD9" s="11"/>
      <c r="BE9" s="11"/>
      <c r="BF9" s="11"/>
      <c r="BG9" s="11"/>
      <c r="BH9" s="11"/>
    </row>
    <row r="10" spans="1:60" ht="14.5">
      <c r="A10" s="9" t="s">
        <v>102</v>
      </c>
      <c r="B10" s="9" t="s">
        <v>103</v>
      </c>
      <c r="C10" s="9" t="s">
        <v>104</v>
      </c>
      <c r="D10" s="9" t="s">
        <v>48</v>
      </c>
      <c r="E10" s="9" t="s">
        <v>49</v>
      </c>
      <c r="F10" s="9" t="s">
        <v>69</v>
      </c>
      <c r="G10" s="9" t="s">
        <v>70</v>
      </c>
      <c r="H10" s="9" t="s">
        <v>71</v>
      </c>
      <c r="I10" s="9" t="s">
        <v>72</v>
      </c>
      <c r="J10" s="10">
        <v>44592</v>
      </c>
      <c r="K10" s="10">
        <v>44650</v>
      </c>
      <c r="L10" s="10">
        <v>44657</v>
      </c>
      <c r="M10" s="10">
        <v>44666</v>
      </c>
      <c r="N10" s="9">
        <v>2022</v>
      </c>
      <c r="O10" s="9" t="s">
        <v>73</v>
      </c>
      <c r="P10" s="9" t="s">
        <v>83</v>
      </c>
      <c r="Q10" s="9" t="s">
        <v>53</v>
      </c>
      <c r="R10" s="9" t="s">
        <v>105</v>
      </c>
      <c r="T10" s="9"/>
      <c r="V10" s="9"/>
      <c r="W10" s="11">
        <f>IFERROR(VLOOKUP(B10, PlumX_snapshot!$A:$B, 2, FALSE), " ")</f>
        <v>21</v>
      </c>
      <c r="X10" s="11">
        <f>IFERROR(VLOOKUP(B10, PlumX_snapshot!$A:$C, 3, FALSE), " ")</f>
        <v>5</v>
      </c>
      <c r="Y10" s="12">
        <f>IFERROR(VLOOKUP(B10, PlumX_snapshot!$A:$D, 4, FALSE), " ")</f>
        <v>0</v>
      </c>
      <c r="Z10" s="12">
        <f>IFERROR(VLOOKUP(B10, PlumX_snapshot!$A:$E, 5, FALSE), " ")</f>
        <v>0</v>
      </c>
      <c r="AA10" s="12">
        <f>IFERROR(VLOOKUP(B10, PlumX_snapshot!$A:$F, 6, FALSE), " ")</f>
        <v>0</v>
      </c>
      <c r="AB10" s="13">
        <v>44978</v>
      </c>
      <c r="AC10" s="12" t="s">
        <v>106</v>
      </c>
      <c r="AD10" s="11" t="s">
        <v>107</v>
      </c>
      <c r="AE10" s="11"/>
      <c r="AF10" s="11"/>
      <c r="AG10" s="11"/>
      <c r="AH10" s="11">
        <v>4000</v>
      </c>
      <c r="AI10" s="11" t="s">
        <v>77</v>
      </c>
      <c r="AJ10" s="11" t="s">
        <v>57</v>
      </c>
      <c r="AK10" s="11" t="str">
        <f t="shared" si="0"/>
        <v>2022USD</v>
      </c>
      <c r="AL10" s="11">
        <f>VLOOKUP(AK10, Exchange_rates!$C:$D, 2, FALSE)</f>
        <v>0.8115</v>
      </c>
      <c r="AM10" s="14">
        <f t="shared" si="1"/>
        <v>3895.2</v>
      </c>
      <c r="AN10" s="11"/>
      <c r="AO10" s="11"/>
      <c r="AP10" s="9"/>
      <c r="AQ10" s="15" t="s">
        <v>49</v>
      </c>
      <c r="AR10" t="s">
        <v>108</v>
      </c>
      <c r="AS10" s="16"/>
      <c r="AT10" s="11"/>
      <c r="AU10" s="11"/>
      <c r="AV10" s="11"/>
      <c r="AW10" s="11"/>
      <c r="AX10" s="12"/>
      <c r="AY10" s="11"/>
      <c r="AZ10" s="11"/>
      <c r="BA10" s="11"/>
      <c r="BB10" s="11"/>
      <c r="BC10" s="11"/>
      <c r="BD10" s="11"/>
      <c r="BE10" s="11"/>
      <c r="BF10" s="11"/>
      <c r="BG10" s="11"/>
      <c r="BH10" s="11"/>
    </row>
    <row r="11" spans="1:60" ht="14.5">
      <c r="A11" s="9" t="s">
        <v>109</v>
      </c>
      <c r="B11" s="9" t="s">
        <v>110</v>
      </c>
      <c r="C11" s="9" t="s">
        <v>47</v>
      </c>
      <c r="D11" s="9" t="s">
        <v>48</v>
      </c>
      <c r="E11" s="9" t="s">
        <v>49</v>
      </c>
      <c r="F11" s="9" t="s">
        <v>69</v>
      </c>
      <c r="G11" s="9" t="s">
        <v>70</v>
      </c>
      <c r="H11" s="9" t="s">
        <v>71</v>
      </c>
      <c r="I11" s="9" t="s">
        <v>72</v>
      </c>
      <c r="J11" s="10">
        <v>44298</v>
      </c>
      <c r="K11" s="10">
        <v>44656</v>
      </c>
      <c r="L11" s="10">
        <v>44656</v>
      </c>
      <c r="M11" s="10">
        <v>44671</v>
      </c>
      <c r="N11" s="9">
        <v>2022</v>
      </c>
      <c r="O11" s="9" t="s">
        <v>73</v>
      </c>
      <c r="P11" s="9" t="s">
        <v>53</v>
      </c>
      <c r="Q11" s="9" t="s">
        <v>53</v>
      </c>
      <c r="R11" s="9" t="s">
        <v>92</v>
      </c>
      <c r="T11" s="9"/>
      <c r="V11" s="9"/>
      <c r="W11" s="11">
        <f>IFERROR(VLOOKUP(B11, PlumX_snapshot!$A:$B, 2, FALSE), " ")</f>
        <v>19</v>
      </c>
      <c r="X11" s="11">
        <f>IFERROR(VLOOKUP(B11, PlumX_snapshot!$A:$C, 3, FALSE), " ")</f>
        <v>0</v>
      </c>
      <c r="Y11" s="12">
        <f>IFERROR(VLOOKUP(B11, PlumX_snapshot!$A:$D, 4, FALSE), " ")</f>
        <v>8</v>
      </c>
      <c r="Z11" s="12">
        <f>IFERROR(VLOOKUP(B11, PlumX_snapshot!$A:$E, 5, FALSE), " ")</f>
        <v>0</v>
      </c>
      <c r="AA11" s="12">
        <f>IFERROR(VLOOKUP(B11, PlumX_snapshot!$A:$F, 6, FALSE), " ")</f>
        <v>0</v>
      </c>
      <c r="AB11" s="13">
        <v>44978</v>
      </c>
      <c r="AC11" s="11" t="s">
        <v>111</v>
      </c>
      <c r="AD11" s="11" t="s">
        <v>112</v>
      </c>
      <c r="AE11" s="12"/>
      <c r="AF11" s="12"/>
      <c r="AG11" s="11"/>
      <c r="AH11" s="11">
        <v>4000</v>
      </c>
      <c r="AI11" s="11" t="s">
        <v>77</v>
      </c>
      <c r="AJ11" s="11" t="s">
        <v>57</v>
      </c>
      <c r="AK11" s="11" t="str">
        <f t="shared" si="0"/>
        <v>2022USD</v>
      </c>
      <c r="AL11" s="11">
        <f>VLOOKUP(AK11, Exchange_rates!$C:$D, 2, FALSE)</f>
        <v>0.8115</v>
      </c>
      <c r="AM11" s="14">
        <f t="shared" si="1"/>
        <v>3895.2</v>
      </c>
      <c r="AN11" s="11"/>
      <c r="AO11" s="11"/>
      <c r="AP11" s="9"/>
      <c r="AQ11" s="15" t="s">
        <v>49</v>
      </c>
      <c r="AR11" t="s">
        <v>58</v>
      </c>
      <c r="AS11" s="16" t="s">
        <v>59</v>
      </c>
      <c r="AT11" s="11"/>
      <c r="AU11" s="11"/>
      <c r="AV11" s="11"/>
      <c r="AW11" s="11"/>
      <c r="AX11" s="11"/>
      <c r="AY11" s="11"/>
      <c r="AZ11" s="11"/>
      <c r="BA11" s="11"/>
      <c r="BB11" s="11"/>
      <c r="BC11" s="11"/>
      <c r="BD11" s="11"/>
      <c r="BE11" s="11"/>
      <c r="BF11" s="11"/>
      <c r="BG11" s="11"/>
      <c r="BH11" s="11"/>
    </row>
    <row r="12" spans="1:60" ht="14.5">
      <c r="A12" s="9" t="s">
        <v>113</v>
      </c>
      <c r="B12" s="9" t="s">
        <v>114</v>
      </c>
      <c r="C12" s="9" t="s">
        <v>115</v>
      </c>
      <c r="D12" s="9" t="s">
        <v>48</v>
      </c>
      <c r="E12" s="17" t="s">
        <v>49</v>
      </c>
      <c r="F12" s="9" t="s">
        <v>69</v>
      </c>
      <c r="G12" s="9" t="s">
        <v>70</v>
      </c>
      <c r="H12" s="9" t="s">
        <v>71</v>
      </c>
      <c r="I12" s="9" t="s">
        <v>72</v>
      </c>
      <c r="J12" s="10">
        <v>44610</v>
      </c>
      <c r="K12" s="10">
        <v>44719</v>
      </c>
      <c r="L12" s="10">
        <v>44719</v>
      </c>
      <c r="M12" s="10"/>
      <c r="N12" s="9">
        <v>2022</v>
      </c>
      <c r="O12" s="9" t="s">
        <v>116</v>
      </c>
      <c r="P12" s="9" t="s">
        <v>83</v>
      </c>
      <c r="Q12" s="9" t="s">
        <v>53</v>
      </c>
      <c r="R12" s="9" t="s">
        <v>117</v>
      </c>
      <c r="T12" s="9"/>
      <c r="V12" s="9"/>
      <c r="W12" s="11">
        <f>IFERROR(VLOOKUP(B12, PlumX_snapshot!$A:$B, 2, FALSE), " ")</f>
        <v>23</v>
      </c>
      <c r="X12" s="11">
        <f>IFERROR(VLOOKUP(B12, PlumX_snapshot!$A:$C, 3, FALSE), " ")</f>
        <v>2</v>
      </c>
      <c r="Y12" s="12">
        <f>IFERROR(VLOOKUP(B12, PlumX_snapshot!$A:$D, 4, FALSE), " ")</f>
        <v>22</v>
      </c>
      <c r="Z12" s="12">
        <f>IFERROR(VLOOKUP(B12, PlumX_snapshot!$A:$E, 5, FALSE), " ")</f>
        <v>0</v>
      </c>
      <c r="AA12" s="12">
        <f>IFERROR(VLOOKUP(B12, PlumX_snapshot!$A:$F, 6, FALSE), " ")</f>
        <v>0</v>
      </c>
      <c r="AB12" s="13">
        <v>44978</v>
      </c>
      <c r="AC12" s="12" t="s">
        <v>118</v>
      </c>
      <c r="AD12" s="11" t="s">
        <v>119</v>
      </c>
      <c r="AE12" s="12"/>
      <c r="AF12" s="12"/>
      <c r="AG12" s="11"/>
      <c r="AH12" s="11">
        <v>4000</v>
      </c>
      <c r="AI12" s="11" t="s">
        <v>77</v>
      </c>
      <c r="AJ12" s="11" t="s">
        <v>57</v>
      </c>
      <c r="AK12" s="11" t="str">
        <f t="shared" si="0"/>
        <v>2022USD</v>
      </c>
      <c r="AL12" s="11">
        <f>VLOOKUP(AK12, Exchange_rates!$C:$D, 2, FALSE)</f>
        <v>0.8115</v>
      </c>
      <c r="AM12" s="14">
        <f t="shared" si="1"/>
        <v>3895.2</v>
      </c>
      <c r="AN12" s="11"/>
      <c r="AO12" s="11"/>
      <c r="AP12" s="17"/>
      <c r="AQ12" s="15" t="s">
        <v>49</v>
      </c>
      <c r="AR12" t="s">
        <v>120</v>
      </c>
      <c r="AS12" s="16" t="s">
        <v>121</v>
      </c>
      <c r="AT12" s="11"/>
      <c r="AU12" s="11"/>
      <c r="AV12" s="11"/>
      <c r="AW12" s="11"/>
      <c r="AX12" s="11"/>
      <c r="AY12" s="11"/>
      <c r="AZ12" s="11"/>
      <c r="BA12" s="11"/>
      <c r="BB12" s="11"/>
      <c r="BC12" s="11"/>
      <c r="BD12" s="11"/>
      <c r="BE12" s="11"/>
      <c r="BF12" s="11"/>
      <c r="BG12" s="11"/>
      <c r="BH12" s="11"/>
    </row>
    <row r="13" spans="1:60" ht="14.5">
      <c r="A13" s="9" t="s">
        <v>122</v>
      </c>
      <c r="B13" s="9" t="s">
        <v>123</v>
      </c>
      <c r="C13" s="9" t="s">
        <v>124</v>
      </c>
      <c r="D13" s="9" t="s">
        <v>48</v>
      </c>
      <c r="E13" s="17" t="s">
        <v>125</v>
      </c>
      <c r="F13" s="9" t="s">
        <v>69</v>
      </c>
      <c r="G13" s="9" t="s">
        <v>70</v>
      </c>
      <c r="H13" s="9" t="s">
        <v>71</v>
      </c>
      <c r="I13" s="9" t="s">
        <v>72</v>
      </c>
      <c r="J13" s="10">
        <v>44624</v>
      </c>
      <c r="K13" s="10">
        <v>44718</v>
      </c>
      <c r="L13" s="10">
        <v>44718</v>
      </c>
      <c r="M13" s="10"/>
      <c r="N13" s="9">
        <v>2022</v>
      </c>
      <c r="O13" s="9" t="s">
        <v>116</v>
      </c>
      <c r="P13" s="9" t="s">
        <v>53</v>
      </c>
      <c r="Q13" s="9" t="s">
        <v>53</v>
      </c>
      <c r="R13" s="9" t="s">
        <v>126</v>
      </c>
      <c r="T13" s="9"/>
      <c r="V13" s="9"/>
      <c r="W13" s="11">
        <f>IFERROR(VLOOKUP(B13, PlumX_snapshot!$A:$B, 2, FALSE), " ")</f>
        <v>0</v>
      </c>
      <c r="X13" s="11">
        <f>IFERROR(VLOOKUP(B13, PlumX_snapshot!$A:$C, 3, FALSE), " ")</f>
        <v>0</v>
      </c>
      <c r="Y13" s="12">
        <f>IFERROR(VLOOKUP(B13, PlumX_snapshot!$A:$D, 4, FALSE), " ")</f>
        <v>0</v>
      </c>
      <c r="Z13" s="12">
        <f>IFERROR(VLOOKUP(B13, PlumX_snapshot!$A:$E, 5, FALSE), " ")</f>
        <v>0</v>
      </c>
      <c r="AA13" s="12">
        <f>IFERROR(VLOOKUP(B13, PlumX_snapshot!$A:$F, 6, FALSE), " ")</f>
        <v>0</v>
      </c>
      <c r="AB13" s="13">
        <v>44978</v>
      </c>
      <c r="AC13" s="11" t="s">
        <v>127</v>
      </c>
      <c r="AD13" s="11" t="s">
        <v>128</v>
      </c>
      <c r="AE13" s="11"/>
      <c r="AF13" s="11"/>
      <c r="AG13" s="11"/>
      <c r="AH13" s="11">
        <v>4000</v>
      </c>
      <c r="AI13" s="11" t="s">
        <v>77</v>
      </c>
      <c r="AJ13" s="11" t="s">
        <v>57</v>
      </c>
      <c r="AK13" s="11" t="str">
        <f t="shared" si="0"/>
        <v>2022USD</v>
      </c>
      <c r="AL13" s="11">
        <f>VLOOKUP(AK13, Exchange_rates!$C:$D, 2, FALSE)</f>
        <v>0.8115</v>
      </c>
      <c r="AM13" s="14">
        <f t="shared" si="1"/>
        <v>3895.2</v>
      </c>
      <c r="AN13" s="11"/>
      <c r="AO13" s="11"/>
      <c r="AP13" s="17"/>
      <c r="AQ13" s="15" t="s">
        <v>125</v>
      </c>
      <c r="AR13" t="s">
        <v>129</v>
      </c>
      <c r="AS13" s="16"/>
      <c r="AT13" s="11"/>
      <c r="AU13" s="11"/>
      <c r="AV13" s="11"/>
      <c r="AW13" s="11"/>
      <c r="AX13" s="11"/>
      <c r="AY13" s="11"/>
      <c r="AZ13" s="11"/>
      <c r="BA13" s="11"/>
      <c r="BB13" s="11"/>
      <c r="BC13" s="11"/>
      <c r="BD13" s="11"/>
      <c r="BE13" s="11"/>
      <c r="BF13" s="11"/>
      <c r="BG13" s="11"/>
      <c r="BH13" s="11"/>
    </row>
    <row r="14" spans="1:60" ht="14.5">
      <c r="A14" s="9" t="s">
        <v>130</v>
      </c>
      <c r="B14" s="9" t="s">
        <v>131</v>
      </c>
      <c r="C14" s="9" t="s">
        <v>132</v>
      </c>
      <c r="D14" s="9" t="s">
        <v>48</v>
      </c>
      <c r="E14" s="17" t="s">
        <v>49</v>
      </c>
      <c r="F14" s="9" t="s">
        <v>69</v>
      </c>
      <c r="G14" s="9" t="s">
        <v>70</v>
      </c>
      <c r="H14" s="9" t="s">
        <v>71</v>
      </c>
      <c r="I14" s="9" t="s">
        <v>72</v>
      </c>
      <c r="J14" s="10">
        <v>44629</v>
      </c>
      <c r="K14" s="10">
        <v>44712</v>
      </c>
      <c r="L14" s="10">
        <v>44712</v>
      </c>
      <c r="M14" s="10"/>
      <c r="N14" s="9">
        <v>2022</v>
      </c>
      <c r="O14" s="9" t="s">
        <v>116</v>
      </c>
      <c r="P14" s="9" t="s">
        <v>83</v>
      </c>
      <c r="Q14" s="9" t="s">
        <v>53</v>
      </c>
      <c r="R14" s="9" t="s">
        <v>133</v>
      </c>
      <c r="T14" s="9"/>
      <c r="V14" s="9"/>
      <c r="W14" s="11">
        <f>IFERROR(VLOOKUP(B14, PlumX_snapshot!$A:$B, 2, FALSE), " ")</f>
        <v>17</v>
      </c>
      <c r="X14" s="11">
        <f>IFERROR(VLOOKUP(B14, PlumX_snapshot!$A:$C, 3, FALSE), " ")</f>
        <v>2</v>
      </c>
      <c r="Y14" s="12">
        <f>IFERROR(VLOOKUP(B14, PlumX_snapshot!$A:$D, 4, FALSE), " ")</f>
        <v>24</v>
      </c>
      <c r="Z14" s="12">
        <f>IFERROR(VLOOKUP(B14, PlumX_snapshot!$A:$E, 5, FALSE), " ")</f>
        <v>0</v>
      </c>
      <c r="AA14" s="12">
        <f>IFERROR(VLOOKUP(B14, PlumX_snapshot!$A:$F, 6, FALSE), " ")</f>
        <v>3</v>
      </c>
      <c r="AB14" s="13">
        <v>44978</v>
      </c>
      <c r="AC14" s="12" t="s">
        <v>134</v>
      </c>
      <c r="AD14" s="11" t="s">
        <v>135</v>
      </c>
      <c r="AE14" s="12"/>
      <c r="AF14" s="12"/>
      <c r="AG14" s="12"/>
      <c r="AH14" s="12">
        <v>4000</v>
      </c>
      <c r="AI14" s="11" t="s">
        <v>77</v>
      </c>
      <c r="AJ14" s="11" t="s">
        <v>57</v>
      </c>
      <c r="AK14" s="11" t="str">
        <f t="shared" si="0"/>
        <v>2022USD</v>
      </c>
      <c r="AL14" s="11">
        <f>VLOOKUP(AK14, Exchange_rates!$C:$D, 2, FALSE)</f>
        <v>0.8115</v>
      </c>
      <c r="AM14" s="14">
        <f t="shared" si="1"/>
        <v>3895.2</v>
      </c>
      <c r="AN14" s="11"/>
      <c r="AO14" s="11"/>
      <c r="AP14" s="17"/>
      <c r="AQ14" s="15" t="s">
        <v>49</v>
      </c>
      <c r="AR14" t="s">
        <v>136</v>
      </c>
      <c r="AS14" s="16"/>
      <c r="AT14" s="11"/>
      <c r="AU14" s="11"/>
      <c r="AV14" s="11"/>
      <c r="AW14" s="11"/>
      <c r="AX14" s="11"/>
      <c r="AY14" s="11"/>
      <c r="AZ14" s="11"/>
      <c r="BA14" s="11"/>
      <c r="BB14" s="11"/>
      <c r="BC14" s="11"/>
      <c r="BD14" s="11"/>
      <c r="BE14" s="11"/>
      <c r="BF14" s="11"/>
      <c r="BG14" s="11"/>
      <c r="BH14" s="11"/>
    </row>
    <row r="15" spans="1:60" ht="14.5">
      <c r="A15" s="9" t="s">
        <v>137</v>
      </c>
      <c r="B15" s="9" t="s">
        <v>138</v>
      </c>
      <c r="C15" s="9" t="s">
        <v>139</v>
      </c>
      <c r="D15" s="9" t="s">
        <v>48</v>
      </c>
      <c r="E15" s="17" t="s">
        <v>49</v>
      </c>
      <c r="F15" s="9" t="s">
        <v>69</v>
      </c>
      <c r="G15" s="9" t="s">
        <v>70</v>
      </c>
      <c r="H15" s="9" t="s">
        <v>71</v>
      </c>
      <c r="I15" s="9" t="s">
        <v>72</v>
      </c>
      <c r="J15" s="10">
        <v>44644</v>
      </c>
      <c r="K15" s="10">
        <v>44708</v>
      </c>
      <c r="L15" s="10">
        <v>44708</v>
      </c>
      <c r="M15" s="10"/>
      <c r="N15" s="9">
        <v>2022</v>
      </c>
      <c r="O15" s="9" t="s">
        <v>116</v>
      </c>
      <c r="P15" s="9" t="s">
        <v>53</v>
      </c>
      <c r="Q15" s="9" t="s">
        <v>53</v>
      </c>
      <c r="R15" s="9" t="s">
        <v>140</v>
      </c>
      <c r="T15" s="9"/>
      <c r="V15" s="9"/>
      <c r="W15" s="11">
        <f>IFERROR(VLOOKUP(B15, PlumX_snapshot!$A:$B, 2, FALSE), " ")</f>
        <v>25</v>
      </c>
      <c r="X15" s="11">
        <f>IFERROR(VLOOKUP(B15, PlumX_snapshot!$A:$C, 3, FALSE), " ")</f>
        <v>3</v>
      </c>
      <c r="Y15" s="12">
        <f>IFERROR(VLOOKUP(B15, PlumX_snapshot!$A:$D, 4, FALSE), " ")</f>
        <v>3</v>
      </c>
      <c r="Z15" s="12">
        <f>IFERROR(VLOOKUP(B15, PlumX_snapshot!$A:$E, 5, FALSE), " ")</f>
        <v>0</v>
      </c>
      <c r="AA15" s="12">
        <f>IFERROR(VLOOKUP(B15, PlumX_snapshot!$A:$F, 6, FALSE), " ")</f>
        <v>0</v>
      </c>
      <c r="AB15" s="13">
        <v>44978</v>
      </c>
      <c r="AC15" s="12" t="s">
        <v>141</v>
      </c>
      <c r="AD15" s="11" t="s">
        <v>142</v>
      </c>
      <c r="AE15" s="12"/>
      <c r="AF15" s="12"/>
      <c r="AG15" s="11"/>
      <c r="AH15" s="11">
        <v>4000</v>
      </c>
      <c r="AI15" s="11" t="s">
        <v>77</v>
      </c>
      <c r="AJ15" s="11" t="s">
        <v>57</v>
      </c>
      <c r="AK15" s="11" t="str">
        <f t="shared" si="0"/>
        <v>2022USD</v>
      </c>
      <c r="AL15" s="11">
        <f>VLOOKUP(AK15, Exchange_rates!$C:$D, 2, FALSE)</f>
        <v>0.8115</v>
      </c>
      <c r="AM15" s="14">
        <f t="shared" si="1"/>
        <v>3895.2</v>
      </c>
      <c r="AN15" s="11"/>
      <c r="AO15" s="11"/>
      <c r="AP15" s="17"/>
      <c r="AQ15" s="15" t="s">
        <v>49</v>
      </c>
      <c r="AR15" t="s">
        <v>143</v>
      </c>
      <c r="AS15" s="16" t="s">
        <v>144</v>
      </c>
      <c r="AT15" s="11"/>
      <c r="AU15" s="11"/>
      <c r="AV15" s="11"/>
      <c r="AW15" s="11"/>
      <c r="AX15" s="12"/>
      <c r="AY15" s="11"/>
      <c r="AZ15" s="11"/>
      <c r="BA15" s="11"/>
      <c r="BB15" s="11"/>
      <c r="BC15" s="11"/>
      <c r="BD15" s="11"/>
      <c r="BE15" s="11"/>
      <c r="BF15" s="11"/>
      <c r="BG15" s="11"/>
      <c r="BH15" s="11"/>
    </row>
    <row r="16" spans="1:60" ht="14.5">
      <c r="A16" s="9" t="s">
        <v>145</v>
      </c>
      <c r="B16" s="9" t="s">
        <v>146</v>
      </c>
      <c r="C16" s="9" t="s">
        <v>47</v>
      </c>
      <c r="D16" s="9" t="s">
        <v>48</v>
      </c>
      <c r="E16" s="17" t="s">
        <v>49</v>
      </c>
      <c r="F16" s="9" t="s">
        <v>69</v>
      </c>
      <c r="G16" s="9" t="s">
        <v>70</v>
      </c>
      <c r="H16" s="9" t="s">
        <v>71</v>
      </c>
      <c r="I16" s="9" t="s">
        <v>72</v>
      </c>
      <c r="J16" s="10">
        <v>44607</v>
      </c>
      <c r="K16" s="10">
        <v>44707</v>
      </c>
      <c r="L16" s="10">
        <v>44707</v>
      </c>
      <c r="M16" s="10"/>
      <c r="N16" s="9">
        <v>2022</v>
      </c>
      <c r="O16" s="9" t="s">
        <v>116</v>
      </c>
      <c r="P16" s="9" t="s">
        <v>53</v>
      </c>
      <c r="Q16" s="9" t="s">
        <v>53</v>
      </c>
      <c r="T16" s="9"/>
      <c r="V16" s="9"/>
      <c r="W16" s="11">
        <f>IFERROR(VLOOKUP(B16, PlumX_snapshot!$A:$B, 2, FALSE), " ")</f>
        <v>10</v>
      </c>
      <c r="X16" s="11">
        <f>IFERROR(VLOOKUP(B16, PlumX_snapshot!$A:$C, 3, FALSE), " ")</f>
        <v>0</v>
      </c>
      <c r="Y16" s="12">
        <f>IFERROR(VLOOKUP(B16, PlumX_snapshot!$A:$D, 4, FALSE), " ")</f>
        <v>6</v>
      </c>
      <c r="Z16" s="12">
        <f>IFERROR(VLOOKUP(B16, PlumX_snapshot!$A:$E, 5, FALSE), " ")</f>
        <v>0</v>
      </c>
      <c r="AA16" s="12">
        <f>IFERROR(VLOOKUP(B16, PlumX_snapshot!$A:$F, 6, FALSE), " ")</f>
        <v>1</v>
      </c>
      <c r="AB16" s="13">
        <v>44978</v>
      </c>
      <c r="AC16" s="11" t="s">
        <v>118</v>
      </c>
      <c r="AD16" s="11" t="s">
        <v>119</v>
      </c>
      <c r="AE16" s="12"/>
      <c r="AF16" s="12"/>
      <c r="AG16" s="12"/>
      <c r="AH16" s="12">
        <v>4000</v>
      </c>
      <c r="AI16" s="11" t="s">
        <v>77</v>
      </c>
      <c r="AJ16" s="11" t="s">
        <v>57</v>
      </c>
      <c r="AK16" s="11" t="str">
        <f t="shared" si="0"/>
        <v>2022USD</v>
      </c>
      <c r="AL16" s="11">
        <f>VLOOKUP(AK16, Exchange_rates!$C:$D, 2, FALSE)</f>
        <v>0.8115</v>
      </c>
      <c r="AM16" s="14">
        <f t="shared" si="1"/>
        <v>3895.2</v>
      </c>
      <c r="AN16" s="11"/>
      <c r="AO16" s="11"/>
      <c r="AP16" s="17"/>
      <c r="AQ16" s="15" t="s">
        <v>49</v>
      </c>
      <c r="AR16" t="s">
        <v>58</v>
      </c>
      <c r="AS16" s="16" t="s">
        <v>59</v>
      </c>
      <c r="AT16" s="11"/>
      <c r="AU16" s="11"/>
      <c r="AV16" s="11"/>
      <c r="AW16" s="11"/>
      <c r="AX16" s="11"/>
      <c r="AY16" s="11"/>
      <c r="AZ16" s="11"/>
      <c r="BA16" s="11"/>
      <c r="BB16" s="11"/>
      <c r="BC16" s="11"/>
      <c r="BD16" s="11"/>
      <c r="BE16" s="11"/>
      <c r="BF16" s="11"/>
      <c r="BG16" s="11"/>
      <c r="BH16" s="11"/>
    </row>
    <row r="17" spans="1:60" ht="14.5">
      <c r="A17" s="9" t="s">
        <v>147</v>
      </c>
      <c r="B17" s="9" t="s">
        <v>148</v>
      </c>
      <c r="C17" s="9" t="s">
        <v>47</v>
      </c>
      <c r="D17" s="9" t="s">
        <v>48</v>
      </c>
      <c r="E17" s="17" t="s">
        <v>49</v>
      </c>
      <c r="F17" s="9" t="s">
        <v>69</v>
      </c>
      <c r="G17" s="9" t="s">
        <v>70</v>
      </c>
      <c r="H17" s="9" t="s">
        <v>71</v>
      </c>
      <c r="I17" s="9" t="s">
        <v>72</v>
      </c>
      <c r="K17" s="10">
        <v>44861</v>
      </c>
      <c r="L17" s="10">
        <v>44861</v>
      </c>
      <c r="M17" s="10"/>
      <c r="N17" s="9">
        <v>2022</v>
      </c>
      <c r="O17" s="9" t="s">
        <v>149</v>
      </c>
      <c r="P17" s="9" t="s">
        <v>53</v>
      </c>
      <c r="Q17" s="9" t="s">
        <v>53</v>
      </c>
      <c r="T17" s="9"/>
      <c r="V17" s="9"/>
      <c r="W17" s="11">
        <f>IFERROR(VLOOKUP(B17, PlumX_snapshot!$A:$B, 2, FALSE), " ")</f>
        <v>6</v>
      </c>
      <c r="X17" s="11">
        <f>IFERROR(VLOOKUP(B17, PlumX_snapshot!$A:$C, 3, FALSE), " ")</f>
        <v>0</v>
      </c>
      <c r="Y17" s="12">
        <f>IFERROR(VLOOKUP(B17, PlumX_snapshot!$A:$D, 4, FALSE), " ")</f>
        <v>12</v>
      </c>
      <c r="Z17" s="12">
        <f>IFERROR(VLOOKUP(B17, PlumX_snapshot!$A:$E, 5, FALSE), " ")</f>
        <v>0</v>
      </c>
      <c r="AA17" s="12">
        <f>IFERROR(VLOOKUP(B17, PlumX_snapshot!$A:$F, 6, FALSE), " ")</f>
        <v>0</v>
      </c>
      <c r="AB17" s="13">
        <v>44978</v>
      </c>
      <c r="AC17" s="11" t="s">
        <v>150</v>
      </c>
      <c r="AD17" s="11" t="s">
        <v>151</v>
      </c>
      <c r="AE17" s="12"/>
      <c r="AF17" s="12"/>
      <c r="AG17" s="11"/>
      <c r="AH17" s="11">
        <v>4000</v>
      </c>
      <c r="AI17" s="11" t="s">
        <v>77</v>
      </c>
      <c r="AJ17" s="11" t="s">
        <v>57</v>
      </c>
      <c r="AK17" s="11" t="str">
        <f t="shared" si="0"/>
        <v>2022USD</v>
      </c>
      <c r="AL17" s="11">
        <f>VLOOKUP(AK17, Exchange_rates!$C:$D, 2, FALSE)</f>
        <v>0.8115</v>
      </c>
      <c r="AM17" s="14">
        <f t="shared" si="1"/>
        <v>3895.2</v>
      </c>
      <c r="AN17" s="11"/>
      <c r="AO17" s="11"/>
      <c r="AP17" s="17"/>
      <c r="AQ17" s="15" t="s">
        <v>49</v>
      </c>
      <c r="AR17" t="s">
        <v>58</v>
      </c>
      <c r="AS17" s="16" t="s">
        <v>59</v>
      </c>
      <c r="AT17" s="11"/>
      <c r="AU17" s="11"/>
      <c r="AV17" s="11"/>
      <c r="AW17" s="11"/>
      <c r="AX17" s="11"/>
      <c r="AY17" s="11"/>
      <c r="AZ17" s="11"/>
      <c r="BA17" s="11"/>
      <c r="BB17" s="11"/>
      <c r="BC17" s="11"/>
      <c r="BD17" s="11"/>
      <c r="BE17" s="11"/>
      <c r="BF17" s="11"/>
      <c r="BG17" s="11"/>
      <c r="BH17" s="11"/>
    </row>
    <row r="18" spans="1:60" ht="14.5">
      <c r="A18" s="9" t="s">
        <v>152</v>
      </c>
      <c r="B18" s="9" t="s">
        <v>153</v>
      </c>
      <c r="C18" s="9" t="s">
        <v>154</v>
      </c>
      <c r="D18" s="9" t="s">
        <v>48</v>
      </c>
      <c r="E18" s="17" t="s">
        <v>125</v>
      </c>
      <c r="F18" s="9" t="s">
        <v>69</v>
      </c>
      <c r="G18" s="9" t="s">
        <v>70</v>
      </c>
      <c r="H18" s="9" t="s">
        <v>71</v>
      </c>
      <c r="I18" s="9" t="s">
        <v>72</v>
      </c>
      <c r="K18" s="10">
        <v>44860</v>
      </c>
      <c r="L18" s="10">
        <v>44860</v>
      </c>
      <c r="M18" s="10"/>
      <c r="N18" s="9">
        <v>2022</v>
      </c>
      <c r="O18" s="9" t="s">
        <v>149</v>
      </c>
      <c r="P18" s="9" t="s">
        <v>83</v>
      </c>
      <c r="Q18" s="9" t="s">
        <v>53</v>
      </c>
      <c r="R18" s="9" t="s">
        <v>155</v>
      </c>
      <c r="T18" s="9"/>
      <c r="V18" s="9"/>
      <c r="W18" s="11">
        <f>IFERROR(VLOOKUP(B18, PlumX_snapshot!$A:$B, 2, FALSE), " ")</f>
        <v>5</v>
      </c>
      <c r="X18" s="11">
        <f>IFERROR(VLOOKUP(B18, PlumX_snapshot!$A:$C, 3, FALSE), " ")</f>
        <v>0</v>
      </c>
      <c r="Y18" s="12">
        <f>IFERROR(VLOOKUP(B18, PlumX_snapshot!$A:$D, 4, FALSE), " ")</f>
        <v>4</v>
      </c>
      <c r="Z18" s="12">
        <f>IFERROR(VLOOKUP(B18, PlumX_snapshot!$A:$E, 5, FALSE), " ")</f>
        <v>0</v>
      </c>
      <c r="AA18" s="12">
        <f>IFERROR(VLOOKUP(B18, PlumX_snapshot!$A:$F, 6, FALSE), " ")</f>
        <v>0</v>
      </c>
      <c r="AB18" s="13">
        <v>44978</v>
      </c>
      <c r="AC18" s="11" t="s">
        <v>156</v>
      </c>
      <c r="AD18" s="11" t="s">
        <v>157</v>
      </c>
      <c r="AE18" s="12"/>
      <c r="AF18" s="12"/>
      <c r="AG18" s="11"/>
      <c r="AH18" s="11">
        <v>4000</v>
      </c>
      <c r="AI18" s="11" t="s">
        <v>77</v>
      </c>
      <c r="AJ18" s="11" t="s">
        <v>57</v>
      </c>
      <c r="AK18" s="11" t="str">
        <f t="shared" si="0"/>
        <v>2022USD</v>
      </c>
      <c r="AL18" s="11">
        <f>VLOOKUP(AK18, Exchange_rates!$C:$D, 2, FALSE)</f>
        <v>0.8115</v>
      </c>
      <c r="AM18" s="14">
        <f t="shared" si="1"/>
        <v>3895.2</v>
      </c>
      <c r="AN18" s="11"/>
      <c r="AO18" s="11"/>
      <c r="AP18" s="17"/>
      <c r="AQ18" s="15" t="s">
        <v>125</v>
      </c>
      <c r="AR18" t="s">
        <v>158</v>
      </c>
      <c r="AS18" s="16"/>
      <c r="AT18" s="11"/>
      <c r="AU18" s="11"/>
      <c r="AV18" s="11"/>
      <c r="AW18" s="11"/>
      <c r="AX18" s="11"/>
      <c r="AY18" s="11"/>
      <c r="AZ18" s="11"/>
      <c r="BA18" s="11"/>
      <c r="BB18" s="11"/>
      <c r="BC18" s="11"/>
      <c r="BD18" s="11"/>
      <c r="BE18" s="11"/>
      <c r="BF18" s="11"/>
      <c r="BG18" s="11"/>
      <c r="BH18" s="11"/>
    </row>
    <row r="19" spans="1:60" ht="14.5">
      <c r="A19" s="9" t="s">
        <v>159</v>
      </c>
      <c r="B19" s="9" t="s">
        <v>160</v>
      </c>
      <c r="C19" s="9" t="s">
        <v>161</v>
      </c>
      <c r="D19" s="9" t="s">
        <v>48</v>
      </c>
      <c r="E19" s="17" t="s">
        <v>49</v>
      </c>
      <c r="F19" s="9" t="s">
        <v>69</v>
      </c>
      <c r="G19" s="9" t="s">
        <v>70</v>
      </c>
      <c r="H19" s="9" t="s">
        <v>71</v>
      </c>
      <c r="I19" s="9" t="s">
        <v>72</v>
      </c>
      <c r="K19" s="10">
        <v>44839</v>
      </c>
      <c r="L19" s="10">
        <v>44839</v>
      </c>
      <c r="M19" s="10"/>
      <c r="N19" s="9">
        <v>2022</v>
      </c>
      <c r="O19" s="9" t="s">
        <v>149</v>
      </c>
      <c r="P19" s="9" t="s">
        <v>83</v>
      </c>
      <c r="Q19" s="9" t="s">
        <v>53</v>
      </c>
      <c r="R19" s="9" t="s">
        <v>162</v>
      </c>
      <c r="T19" s="9"/>
      <c r="V19" s="9"/>
      <c r="W19" s="11">
        <f>IFERROR(VLOOKUP(B19, PlumX_snapshot!$A:$B, 2, FALSE), " ")</f>
        <v>5</v>
      </c>
      <c r="X19" s="11">
        <f>IFERROR(VLOOKUP(B19, PlumX_snapshot!$A:$C, 3, FALSE), " ")</f>
        <v>0</v>
      </c>
      <c r="Y19" s="12">
        <f>IFERROR(VLOOKUP(B19, PlumX_snapshot!$A:$D, 4, FALSE), " ")</f>
        <v>31</v>
      </c>
      <c r="Z19" s="12">
        <f>IFERROR(VLOOKUP(B19, PlumX_snapshot!$A:$E, 5, FALSE), " ")</f>
        <v>0</v>
      </c>
      <c r="AA19" s="12">
        <f>IFERROR(VLOOKUP(B19, PlumX_snapshot!$A:$F, 6, FALSE), " ")</f>
        <v>0</v>
      </c>
      <c r="AB19" s="13">
        <v>44978</v>
      </c>
      <c r="AC19" s="11" t="s">
        <v>163</v>
      </c>
      <c r="AD19" s="11" t="s">
        <v>164</v>
      </c>
      <c r="AE19" s="12"/>
      <c r="AF19" s="12"/>
      <c r="AG19" s="11"/>
      <c r="AH19" s="11">
        <v>4000</v>
      </c>
      <c r="AI19" s="11" t="s">
        <v>77</v>
      </c>
      <c r="AJ19" s="11" t="s">
        <v>57</v>
      </c>
      <c r="AK19" s="11" t="str">
        <f t="shared" si="0"/>
        <v>2022USD</v>
      </c>
      <c r="AL19" s="11">
        <f>VLOOKUP(AK19, Exchange_rates!$C:$D, 2, FALSE)</f>
        <v>0.8115</v>
      </c>
      <c r="AM19" s="14">
        <f t="shared" si="1"/>
        <v>3895.2</v>
      </c>
      <c r="AN19" s="11"/>
      <c r="AO19" s="11"/>
      <c r="AP19" s="17"/>
      <c r="AQ19" s="15" t="s">
        <v>49</v>
      </c>
      <c r="AR19" t="s">
        <v>165</v>
      </c>
      <c r="AS19" s="16" t="s">
        <v>166</v>
      </c>
      <c r="AT19" s="11"/>
      <c r="AU19" s="11"/>
      <c r="AV19" s="11"/>
      <c r="AW19" s="11"/>
      <c r="AX19" s="11"/>
      <c r="AY19" s="11"/>
      <c r="AZ19" s="11"/>
      <c r="BA19" s="11"/>
      <c r="BB19" s="11"/>
      <c r="BC19" s="11"/>
      <c r="BD19" s="11"/>
      <c r="BE19" s="11"/>
      <c r="BF19" s="11"/>
      <c r="BG19" s="11"/>
      <c r="BH19" s="11"/>
    </row>
    <row r="20" spans="1:60" ht="14.5">
      <c r="A20" s="9" t="s">
        <v>167</v>
      </c>
      <c r="B20" s="9" t="s">
        <v>168</v>
      </c>
      <c r="C20" s="9" t="s">
        <v>139</v>
      </c>
      <c r="D20" s="9" t="s">
        <v>48</v>
      </c>
      <c r="E20" s="17" t="s">
        <v>49</v>
      </c>
      <c r="F20" s="9" t="s">
        <v>69</v>
      </c>
      <c r="G20" s="9" t="s">
        <v>70</v>
      </c>
      <c r="H20" s="9" t="s">
        <v>71</v>
      </c>
      <c r="I20" s="9" t="s">
        <v>72</v>
      </c>
      <c r="K20" s="10">
        <v>44839</v>
      </c>
      <c r="L20" s="10">
        <v>44839</v>
      </c>
      <c r="M20" s="10"/>
      <c r="N20" s="9">
        <v>2022</v>
      </c>
      <c r="O20" s="9" t="s">
        <v>149</v>
      </c>
      <c r="P20" s="9" t="s">
        <v>53</v>
      </c>
      <c r="Q20" s="9" t="s">
        <v>53</v>
      </c>
      <c r="R20" s="9" t="s">
        <v>140</v>
      </c>
      <c r="T20" s="9"/>
      <c r="V20" s="9"/>
      <c r="W20" s="11">
        <f>IFERROR(VLOOKUP(B20, PlumX_snapshot!$A:$B, 2, FALSE), " ")</f>
        <v>1</v>
      </c>
      <c r="X20" s="11">
        <f>IFERROR(VLOOKUP(B20, PlumX_snapshot!$A:$C, 3, FALSE), " ")</f>
        <v>54</v>
      </c>
      <c r="Y20" s="12">
        <f>IFERROR(VLOOKUP(B20, PlumX_snapshot!$A:$D, 4, FALSE), " ")</f>
        <v>3</v>
      </c>
      <c r="Z20" s="12">
        <f>IFERROR(VLOOKUP(B20, PlumX_snapshot!$A:$E, 5, FALSE), " ")</f>
        <v>0</v>
      </c>
      <c r="AA20" s="12">
        <f>IFERROR(VLOOKUP(B20, PlumX_snapshot!$A:$F, 6, FALSE), " ")</f>
        <v>0</v>
      </c>
      <c r="AB20" s="13">
        <v>44978</v>
      </c>
      <c r="AC20" s="11" t="s">
        <v>141</v>
      </c>
      <c r="AD20" s="11" t="s">
        <v>142</v>
      </c>
      <c r="AE20" s="12"/>
      <c r="AF20" s="12"/>
      <c r="AG20" s="11"/>
      <c r="AH20" s="11">
        <v>4000</v>
      </c>
      <c r="AI20" s="11" t="s">
        <v>77</v>
      </c>
      <c r="AJ20" s="11" t="s">
        <v>57</v>
      </c>
      <c r="AK20" s="11" t="str">
        <f t="shared" si="0"/>
        <v>2022USD</v>
      </c>
      <c r="AL20" s="11">
        <f>VLOOKUP(AK20, Exchange_rates!$C:$D, 2, FALSE)</f>
        <v>0.8115</v>
      </c>
      <c r="AM20" s="14">
        <f t="shared" si="1"/>
        <v>3895.2</v>
      </c>
      <c r="AN20" s="11"/>
      <c r="AO20" s="11"/>
      <c r="AP20" s="17"/>
      <c r="AQ20" s="15" t="s">
        <v>49</v>
      </c>
      <c r="AR20" t="s">
        <v>143</v>
      </c>
      <c r="AS20" s="16" t="s">
        <v>144</v>
      </c>
      <c r="AT20" s="11"/>
      <c r="AU20" s="11"/>
      <c r="AV20" s="11"/>
      <c r="AW20" s="11"/>
      <c r="AX20" s="12"/>
      <c r="AY20" s="11"/>
      <c r="AZ20" s="11"/>
      <c r="BA20" s="11"/>
      <c r="BB20" s="11"/>
      <c r="BC20" s="11"/>
      <c r="BD20" s="11"/>
      <c r="BE20" s="11"/>
      <c r="BF20" s="11"/>
      <c r="BG20" s="11"/>
      <c r="BH20" s="11"/>
    </row>
    <row r="21" spans="1:60" ht="14.5">
      <c r="A21" s="9" t="s">
        <v>169</v>
      </c>
      <c r="B21" s="9" t="s">
        <v>170</v>
      </c>
      <c r="C21" s="9" t="s">
        <v>171</v>
      </c>
      <c r="D21" s="9" t="s">
        <v>48</v>
      </c>
      <c r="E21" s="17" t="s">
        <v>49</v>
      </c>
      <c r="F21" s="9" t="s">
        <v>69</v>
      </c>
      <c r="G21" s="9" t="s">
        <v>70</v>
      </c>
      <c r="H21" s="9" t="s">
        <v>71</v>
      </c>
      <c r="I21" s="9" t="s">
        <v>72</v>
      </c>
      <c r="K21" s="10">
        <v>44831</v>
      </c>
      <c r="L21" s="10">
        <v>44831</v>
      </c>
      <c r="M21" s="10"/>
      <c r="N21" s="9">
        <v>2022</v>
      </c>
      <c r="O21" s="9" t="s">
        <v>149</v>
      </c>
      <c r="P21" s="9" t="s">
        <v>83</v>
      </c>
      <c r="Q21" s="9" t="s">
        <v>53</v>
      </c>
      <c r="R21" s="9" t="s">
        <v>172</v>
      </c>
      <c r="T21" s="9"/>
      <c r="V21" s="9"/>
      <c r="W21" s="11">
        <f>IFERROR(VLOOKUP(B21, PlumX_snapshot!$A:$B, 2, FALSE), " ")</f>
        <v>3</v>
      </c>
      <c r="X21" s="11">
        <f>IFERROR(VLOOKUP(B21, PlumX_snapshot!$A:$C, 3, FALSE), " ")</f>
        <v>0</v>
      </c>
      <c r="Y21" s="12">
        <f>IFERROR(VLOOKUP(B21, PlumX_snapshot!$A:$D, 4, FALSE), " ")</f>
        <v>12</v>
      </c>
      <c r="Z21" s="12">
        <f>IFERROR(VLOOKUP(B21, PlumX_snapshot!$A:$E, 5, FALSE), " ")</f>
        <v>0</v>
      </c>
      <c r="AA21" s="12">
        <f>IFERROR(VLOOKUP(B21, PlumX_snapshot!$A:$F, 6, FALSE), " ")</f>
        <v>0</v>
      </c>
      <c r="AB21" s="13">
        <v>44978</v>
      </c>
      <c r="AC21" s="11" t="s">
        <v>173</v>
      </c>
      <c r="AD21" s="11" t="s">
        <v>174</v>
      </c>
      <c r="AE21" s="12"/>
      <c r="AF21" s="12"/>
      <c r="AG21" s="11"/>
      <c r="AH21" s="11">
        <v>4000</v>
      </c>
      <c r="AI21" s="11" t="s">
        <v>77</v>
      </c>
      <c r="AJ21" s="11" t="s">
        <v>57</v>
      </c>
      <c r="AK21" s="11" t="str">
        <f t="shared" si="0"/>
        <v>2022USD</v>
      </c>
      <c r="AL21" s="11">
        <f>VLOOKUP(AK21, Exchange_rates!$C:$D, 2, FALSE)</f>
        <v>0.8115</v>
      </c>
      <c r="AM21" s="14">
        <f t="shared" si="1"/>
        <v>3895.2</v>
      </c>
      <c r="AN21" s="11"/>
      <c r="AO21" s="11"/>
      <c r="AP21" s="17"/>
      <c r="AQ21" s="15" t="s">
        <v>49</v>
      </c>
      <c r="AR21" t="s">
        <v>175</v>
      </c>
      <c r="AS21" s="16"/>
      <c r="AT21" s="11"/>
      <c r="AU21" s="11"/>
      <c r="AV21" s="11"/>
      <c r="AW21" s="11"/>
      <c r="AX21" s="11"/>
      <c r="AY21" s="11"/>
      <c r="AZ21" s="11"/>
      <c r="BA21" s="11"/>
      <c r="BB21" s="11"/>
      <c r="BC21" s="11"/>
      <c r="BD21" s="11"/>
      <c r="BE21" s="11"/>
      <c r="BF21" s="11"/>
      <c r="BG21" s="11"/>
      <c r="BH21" s="11"/>
    </row>
    <row r="22" spans="1:60" ht="14.5">
      <c r="A22" s="9" t="s">
        <v>176</v>
      </c>
      <c r="B22" s="9" t="s">
        <v>177</v>
      </c>
      <c r="C22" s="9" t="s">
        <v>132</v>
      </c>
      <c r="D22" s="9" t="s">
        <v>48</v>
      </c>
      <c r="E22" s="17" t="s">
        <v>49</v>
      </c>
      <c r="F22" s="9" t="s">
        <v>69</v>
      </c>
      <c r="G22" s="9" t="s">
        <v>70</v>
      </c>
      <c r="H22" s="9" t="s">
        <v>71</v>
      </c>
      <c r="I22" s="9" t="s">
        <v>72</v>
      </c>
      <c r="K22" s="10">
        <v>44827</v>
      </c>
      <c r="L22" s="10">
        <v>44827</v>
      </c>
      <c r="M22" s="10"/>
      <c r="N22" s="9">
        <v>2022</v>
      </c>
      <c r="O22" s="9" t="s">
        <v>149</v>
      </c>
      <c r="P22" s="9" t="s">
        <v>53</v>
      </c>
      <c r="Q22" s="9" t="s">
        <v>53</v>
      </c>
      <c r="R22" s="9" t="s">
        <v>178</v>
      </c>
      <c r="T22" s="9"/>
      <c r="V22" s="9"/>
      <c r="W22" s="11">
        <f>IFERROR(VLOOKUP(B22, PlumX_snapshot!$A:$B, 2, FALSE), " ")</f>
        <v>4</v>
      </c>
      <c r="X22" s="11">
        <f>IFERROR(VLOOKUP(B22, PlumX_snapshot!$A:$C, 3, FALSE), " ")</f>
        <v>0</v>
      </c>
      <c r="Y22" s="12">
        <f>IFERROR(VLOOKUP(B22, PlumX_snapshot!$A:$D, 4, FALSE), " ")</f>
        <v>3</v>
      </c>
      <c r="Z22" s="12">
        <f>IFERROR(VLOOKUP(B22, PlumX_snapshot!$A:$E, 5, FALSE), " ")</f>
        <v>0</v>
      </c>
      <c r="AA22" s="12">
        <f>IFERROR(VLOOKUP(B22, PlumX_snapshot!$A:$F, 6, FALSE), " ")</f>
        <v>0</v>
      </c>
      <c r="AB22" s="13">
        <v>44978</v>
      </c>
      <c r="AC22" s="11" t="s">
        <v>179</v>
      </c>
      <c r="AD22" s="11" t="s">
        <v>180</v>
      </c>
      <c r="AE22" s="12"/>
      <c r="AF22" s="12"/>
      <c r="AG22" s="11"/>
      <c r="AH22" s="11">
        <v>4000</v>
      </c>
      <c r="AI22" s="11" t="s">
        <v>77</v>
      </c>
      <c r="AJ22" s="11" t="s">
        <v>57</v>
      </c>
      <c r="AK22" s="11" t="str">
        <f t="shared" si="0"/>
        <v>2022USD</v>
      </c>
      <c r="AL22" s="11">
        <f>VLOOKUP(AK22, Exchange_rates!$C:$D, 2, FALSE)</f>
        <v>0.8115</v>
      </c>
      <c r="AM22" s="14">
        <f t="shared" si="1"/>
        <v>3895.2</v>
      </c>
      <c r="AN22" s="11"/>
      <c r="AO22" s="11"/>
      <c r="AP22" s="17"/>
      <c r="AQ22" s="15" t="s">
        <v>49</v>
      </c>
      <c r="AR22" t="s">
        <v>136</v>
      </c>
      <c r="AS22" s="16"/>
      <c r="AT22" s="11"/>
      <c r="AU22" s="11"/>
      <c r="AV22" s="11"/>
      <c r="AW22" s="11"/>
      <c r="AX22" s="11"/>
      <c r="AY22" s="11"/>
      <c r="AZ22" s="11"/>
      <c r="BA22" s="11"/>
      <c r="BB22" s="11"/>
      <c r="BC22" s="11"/>
      <c r="BD22" s="11"/>
      <c r="BE22" s="11"/>
      <c r="BF22" s="11"/>
      <c r="BG22" s="11"/>
      <c r="BH22" s="11"/>
    </row>
    <row r="23" spans="1:60" ht="14.5">
      <c r="A23" s="9" t="s">
        <v>181</v>
      </c>
      <c r="B23" s="9" t="s">
        <v>182</v>
      </c>
      <c r="C23" s="9" t="s">
        <v>47</v>
      </c>
      <c r="D23" s="9" t="s">
        <v>48</v>
      </c>
      <c r="E23" s="17" t="s">
        <v>49</v>
      </c>
      <c r="F23" s="9" t="s">
        <v>69</v>
      </c>
      <c r="G23" s="9" t="s">
        <v>70</v>
      </c>
      <c r="H23" s="9" t="s">
        <v>71</v>
      </c>
      <c r="I23" s="9" t="s">
        <v>72</v>
      </c>
      <c r="K23" s="10">
        <v>44803</v>
      </c>
      <c r="L23" s="10">
        <v>44803</v>
      </c>
      <c r="M23" s="10"/>
      <c r="N23" s="9">
        <v>2022</v>
      </c>
      <c r="O23" s="9" t="s">
        <v>149</v>
      </c>
      <c r="P23" s="9" t="s">
        <v>53</v>
      </c>
      <c r="Q23" s="9" t="s">
        <v>53</v>
      </c>
      <c r="T23" s="9"/>
      <c r="V23" s="9"/>
      <c r="W23" s="11">
        <f>IFERROR(VLOOKUP(B23, PlumX_snapshot!$A:$B, 2, FALSE), " ")</f>
        <v>9</v>
      </c>
      <c r="X23" s="11">
        <f>IFERROR(VLOOKUP(B23, PlumX_snapshot!$A:$C, 3, FALSE), " ")</f>
        <v>0</v>
      </c>
      <c r="Y23" s="12">
        <f>IFERROR(VLOOKUP(B23, PlumX_snapshot!$A:$D, 4, FALSE), " ")</f>
        <v>5</v>
      </c>
      <c r="Z23" s="12">
        <f>IFERROR(VLOOKUP(B23, PlumX_snapshot!$A:$E, 5, FALSE), " ")</f>
        <v>0</v>
      </c>
      <c r="AA23" s="12">
        <f>IFERROR(VLOOKUP(B23, PlumX_snapshot!$A:$F, 6, FALSE), " ")</f>
        <v>0</v>
      </c>
      <c r="AB23" s="13">
        <v>44978</v>
      </c>
      <c r="AC23" s="11" t="s">
        <v>150</v>
      </c>
      <c r="AD23" s="11" t="s">
        <v>151</v>
      </c>
      <c r="AE23" s="12"/>
      <c r="AF23" s="12"/>
      <c r="AG23" s="11"/>
      <c r="AH23" s="11">
        <v>4000</v>
      </c>
      <c r="AI23" s="11" t="s">
        <v>77</v>
      </c>
      <c r="AJ23" s="11" t="s">
        <v>57</v>
      </c>
      <c r="AK23" s="11" t="str">
        <f t="shared" si="0"/>
        <v>2022USD</v>
      </c>
      <c r="AL23" s="11">
        <f>VLOOKUP(AK23, Exchange_rates!$C:$D, 2, FALSE)</f>
        <v>0.8115</v>
      </c>
      <c r="AM23" s="14">
        <f t="shared" si="1"/>
        <v>3895.2</v>
      </c>
      <c r="AN23" s="11"/>
      <c r="AO23" s="11"/>
      <c r="AP23" s="17"/>
      <c r="AQ23" s="15" t="s">
        <v>49</v>
      </c>
      <c r="AR23" t="s">
        <v>58</v>
      </c>
      <c r="AS23" s="16" t="s">
        <v>59</v>
      </c>
      <c r="AT23" s="11"/>
      <c r="AU23" s="11"/>
      <c r="AV23" s="11"/>
      <c r="AW23" s="11"/>
      <c r="AX23" s="11"/>
      <c r="AY23" s="11"/>
      <c r="AZ23" s="11"/>
      <c r="BA23" s="11"/>
      <c r="BB23" s="11"/>
      <c r="BC23" s="11"/>
      <c r="BD23" s="11"/>
      <c r="BE23" s="11"/>
      <c r="BF23" s="11"/>
      <c r="BG23" s="11"/>
      <c r="BH23" s="11"/>
    </row>
    <row r="24" spans="1:60" ht="14.5">
      <c r="A24" s="9" t="s">
        <v>183</v>
      </c>
      <c r="B24" s="9" t="s">
        <v>184</v>
      </c>
      <c r="C24" s="9" t="s">
        <v>171</v>
      </c>
      <c r="D24" s="9" t="s">
        <v>48</v>
      </c>
      <c r="E24" s="17" t="s">
        <v>49</v>
      </c>
      <c r="F24" s="9" t="s">
        <v>69</v>
      </c>
      <c r="G24" s="9" t="s">
        <v>70</v>
      </c>
      <c r="H24" s="9" t="s">
        <v>71</v>
      </c>
      <c r="I24" s="9" t="s">
        <v>72</v>
      </c>
      <c r="K24" s="10">
        <v>44802</v>
      </c>
      <c r="L24" s="10">
        <v>44802</v>
      </c>
      <c r="M24" s="10"/>
      <c r="N24" s="9">
        <v>2022</v>
      </c>
      <c r="O24" s="9" t="s">
        <v>149</v>
      </c>
      <c r="P24" s="9" t="s">
        <v>53</v>
      </c>
      <c r="Q24" s="9" t="s">
        <v>53</v>
      </c>
      <c r="R24" s="9" t="s">
        <v>185</v>
      </c>
      <c r="T24" s="9"/>
      <c r="V24" s="9"/>
      <c r="W24" s="11">
        <f>IFERROR(VLOOKUP(B24, PlumX_snapshot!$A:$B, 2, FALSE), " ")</f>
        <v>9</v>
      </c>
      <c r="X24" s="11">
        <f>IFERROR(VLOOKUP(B24, PlumX_snapshot!$A:$C, 3, FALSE), " ")</f>
        <v>1</v>
      </c>
      <c r="Y24" s="12">
        <f>IFERROR(VLOOKUP(B24, PlumX_snapshot!$A:$D, 4, FALSE), " ")</f>
        <v>8</v>
      </c>
      <c r="Z24" s="12">
        <f>IFERROR(VLOOKUP(B24, PlumX_snapshot!$A:$E, 5, FALSE), " ")</f>
        <v>0</v>
      </c>
      <c r="AA24" s="12">
        <f>IFERROR(VLOOKUP(B24, PlumX_snapshot!$A:$F, 6, FALSE), " ")</f>
        <v>0</v>
      </c>
      <c r="AB24" s="13">
        <v>44978</v>
      </c>
      <c r="AC24" s="12" t="s">
        <v>118</v>
      </c>
      <c r="AD24" s="11" t="s">
        <v>119</v>
      </c>
      <c r="AE24" s="12"/>
      <c r="AF24" s="12"/>
      <c r="AG24" s="11"/>
      <c r="AH24" s="11">
        <v>4000</v>
      </c>
      <c r="AI24" s="11" t="s">
        <v>77</v>
      </c>
      <c r="AJ24" s="11" t="s">
        <v>57</v>
      </c>
      <c r="AK24" s="11" t="str">
        <f t="shared" si="0"/>
        <v>2022USD</v>
      </c>
      <c r="AL24" s="11">
        <f>VLOOKUP(AK24, Exchange_rates!$C:$D, 2, FALSE)</f>
        <v>0.8115</v>
      </c>
      <c r="AM24" s="14">
        <f t="shared" si="1"/>
        <v>3895.2</v>
      </c>
      <c r="AN24" s="11"/>
      <c r="AO24" s="11"/>
      <c r="AP24" s="17"/>
      <c r="AQ24" s="15" t="s">
        <v>49</v>
      </c>
      <c r="AR24" t="s">
        <v>175</v>
      </c>
      <c r="AS24" s="16"/>
      <c r="AT24" s="11"/>
      <c r="AU24" s="11"/>
      <c r="AV24" s="11"/>
      <c r="AW24" s="11"/>
      <c r="AX24" s="11"/>
      <c r="AY24" s="11"/>
      <c r="AZ24" s="11"/>
      <c r="BA24" s="11"/>
      <c r="BB24" s="11"/>
      <c r="BC24" s="11"/>
      <c r="BD24" s="11"/>
      <c r="BE24" s="11"/>
      <c r="BF24" s="11"/>
      <c r="BG24" s="11"/>
      <c r="BH24" s="11"/>
    </row>
    <row r="25" spans="1:60" ht="14.5">
      <c r="A25" s="9" t="s">
        <v>186</v>
      </c>
      <c r="B25" s="9" t="s">
        <v>187</v>
      </c>
      <c r="C25" s="9" t="s">
        <v>47</v>
      </c>
      <c r="D25" s="9" t="s">
        <v>48</v>
      </c>
      <c r="E25" s="17" t="s">
        <v>49</v>
      </c>
      <c r="F25" s="9" t="s">
        <v>69</v>
      </c>
      <c r="G25" s="9" t="s">
        <v>70</v>
      </c>
      <c r="H25" s="9" t="s">
        <v>71</v>
      </c>
      <c r="I25" s="9" t="s">
        <v>72</v>
      </c>
      <c r="K25" s="10">
        <v>44785</v>
      </c>
      <c r="L25" s="10">
        <v>44785</v>
      </c>
      <c r="M25" s="10"/>
      <c r="N25" s="9">
        <v>2022</v>
      </c>
      <c r="O25" s="9" t="s">
        <v>149</v>
      </c>
      <c r="P25" s="9" t="s">
        <v>53</v>
      </c>
      <c r="Q25" s="9" t="s">
        <v>53</v>
      </c>
      <c r="T25" s="9"/>
      <c r="V25" s="9"/>
      <c r="W25" s="11">
        <f>IFERROR(VLOOKUP(B25, PlumX_snapshot!$A:$B, 2, FALSE), " ")</f>
        <v>8</v>
      </c>
      <c r="X25" s="11">
        <f>IFERROR(VLOOKUP(B25, PlumX_snapshot!$A:$C, 3, FALSE), " ")</f>
        <v>2</v>
      </c>
      <c r="Y25" s="12">
        <f>IFERROR(VLOOKUP(B25, PlumX_snapshot!$A:$D, 4, FALSE), " ")</f>
        <v>6</v>
      </c>
      <c r="Z25" s="12">
        <f>IFERROR(VLOOKUP(B25, PlumX_snapshot!$A:$E, 5, FALSE), " ")</f>
        <v>0</v>
      </c>
      <c r="AA25" s="12">
        <f>IFERROR(VLOOKUP(B25, PlumX_snapshot!$A:$F, 6, FALSE), " ")</f>
        <v>0</v>
      </c>
      <c r="AB25" s="13">
        <v>44978</v>
      </c>
      <c r="AC25" s="12" t="s">
        <v>150</v>
      </c>
      <c r="AD25" s="12" t="s">
        <v>151</v>
      </c>
      <c r="AE25" s="12"/>
      <c r="AF25" s="12"/>
      <c r="AG25" s="11"/>
      <c r="AH25" s="11">
        <v>4000</v>
      </c>
      <c r="AI25" s="11" t="s">
        <v>77</v>
      </c>
      <c r="AJ25" s="11" t="s">
        <v>57</v>
      </c>
      <c r="AK25" s="11" t="str">
        <f t="shared" si="0"/>
        <v>2022USD</v>
      </c>
      <c r="AL25" s="11">
        <f>VLOOKUP(AK25, Exchange_rates!$C:$D, 2, FALSE)</f>
        <v>0.8115</v>
      </c>
      <c r="AM25" s="14">
        <f t="shared" si="1"/>
        <v>3895.2</v>
      </c>
      <c r="AN25" s="11"/>
      <c r="AO25" s="11"/>
      <c r="AP25" s="17"/>
      <c r="AQ25" s="15" t="s">
        <v>49</v>
      </c>
      <c r="AR25" t="s">
        <v>58</v>
      </c>
      <c r="AS25" s="16" t="s">
        <v>59</v>
      </c>
      <c r="AT25" s="11"/>
      <c r="AU25" s="11"/>
      <c r="AV25" s="11"/>
      <c r="AW25" s="11"/>
      <c r="AX25" s="11"/>
      <c r="AY25" s="11"/>
      <c r="AZ25" s="11"/>
      <c r="BA25" s="11"/>
      <c r="BB25" s="11"/>
      <c r="BC25" s="11"/>
      <c r="BD25" s="11"/>
      <c r="BE25" s="11"/>
      <c r="BF25" s="11"/>
      <c r="BG25" s="11"/>
      <c r="BH25" s="11"/>
    </row>
    <row r="26" spans="1:60" ht="14.5">
      <c r="A26" s="9" t="s">
        <v>188</v>
      </c>
      <c r="B26" s="9" t="s">
        <v>189</v>
      </c>
      <c r="C26" s="9" t="s">
        <v>82</v>
      </c>
      <c r="D26" s="9" t="s">
        <v>48</v>
      </c>
      <c r="E26" s="17" t="s">
        <v>49</v>
      </c>
      <c r="F26" s="9" t="s">
        <v>69</v>
      </c>
      <c r="G26" s="9" t="s">
        <v>70</v>
      </c>
      <c r="H26" s="9" t="s">
        <v>71</v>
      </c>
      <c r="I26" s="9" t="s">
        <v>72</v>
      </c>
      <c r="K26" s="10">
        <v>44783</v>
      </c>
      <c r="L26" s="10">
        <v>44783</v>
      </c>
      <c r="M26" s="10"/>
      <c r="N26" s="9">
        <v>2022</v>
      </c>
      <c r="O26" s="9" t="s">
        <v>149</v>
      </c>
      <c r="P26" s="9" t="s">
        <v>83</v>
      </c>
      <c r="Q26" s="9" t="s">
        <v>53</v>
      </c>
      <c r="R26" s="9" t="s">
        <v>190</v>
      </c>
      <c r="T26" s="9"/>
      <c r="V26" s="9"/>
      <c r="W26" s="11">
        <f>IFERROR(VLOOKUP(B26, PlumX_snapshot!$A:$B, 2, FALSE), " ")</f>
        <v>36</v>
      </c>
      <c r="X26" s="11">
        <f>IFERROR(VLOOKUP(B26, PlumX_snapshot!$A:$C, 3, FALSE), " ")</f>
        <v>52</v>
      </c>
      <c r="Y26" s="12">
        <f>IFERROR(VLOOKUP(B26, PlumX_snapshot!$A:$D, 4, FALSE), " ")</f>
        <v>35</v>
      </c>
      <c r="Z26" s="12">
        <f>IFERROR(VLOOKUP(B26, PlumX_snapshot!$A:$E, 5, FALSE), " ")</f>
        <v>0</v>
      </c>
      <c r="AA26" s="12">
        <f>IFERROR(VLOOKUP(B26, PlumX_snapshot!$A:$F, 6, FALSE), " ")</f>
        <v>0</v>
      </c>
      <c r="AB26" s="13">
        <v>44978</v>
      </c>
      <c r="AC26" s="12" t="s">
        <v>191</v>
      </c>
      <c r="AD26" s="11" t="s">
        <v>192</v>
      </c>
      <c r="AE26" s="12"/>
      <c r="AF26" s="12"/>
      <c r="AG26" s="11"/>
      <c r="AH26" s="11">
        <v>4000</v>
      </c>
      <c r="AI26" s="11" t="s">
        <v>77</v>
      </c>
      <c r="AJ26" s="11" t="s">
        <v>57</v>
      </c>
      <c r="AK26" s="11" t="str">
        <f t="shared" si="0"/>
        <v>2022USD</v>
      </c>
      <c r="AL26" s="11">
        <f>VLOOKUP(AK26, Exchange_rates!$C:$D, 2, FALSE)</f>
        <v>0.8115</v>
      </c>
      <c r="AM26" s="14">
        <f t="shared" si="1"/>
        <v>3895.2</v>
      </c>
      <c r="AN26" s="11"/>
      <c r="AO26" s="11"/>
      <c r="AP26" s="17"/>
      <c r="AQ26" s="15" t="s">
        <v>49</v>
      </c>
      <c r="AR26" t="s">
        <v>87</v>
      </c>
      <c r="AS26" s="16" t="s">
        <v>88</v>
      </c>
      <c r="AT26" s="11"/>
      <c r="AU26" s="11"/>
      <c r="AV26" s="11"/>
      <c r="AW26" s="11"/>
      <c r="AX26" s="12"/>
      <c r="AY26" s="11"/>
      <c r="AZ26" s="11"/>
      <c r="BA26" s="11"/>
      <c r="BB26" s="11"/>
      <c r="BC26" s="11"/>
      <c r="BD26" s="11"/>
      <c r="BE26" s="11"/>
      <c r="BF26" s="11"/>
      <c r="BG26" s="11"/>
      <c r="BH26" s="11"/>
    </row>
    <row r="27" spans="1:60" ht="14.5">
      <c r="A27" s="9" t="s">
        <v>193</v>
      </c>
      <c r="B27" s="9" t="s">
        <v>194</v>
      </c>
      <c r="C27" s="9" t="s">
        <v>91</v>
      </c>
      <c r="D27" s="9" t="s">
        <v>48</v>
      </c>
      <c r="E27" s="17" t="s">
        <v>49</v>
      </c>
      <c r="F27" s="9" t="s">
        <v>69</v>
      </c>
      <c r="G27" s="9" t="s">
        <v>70</v>
      </c>
      <c r="H27" s="9" t="s">
        <v>71</v>
      </c>
      <c r="I27" s="9" t="s">
        <v>72</v>
      </c>
      <c r="K27" s="10">
        <v>44756</v>
      </c>
      <c r="L27" s="10">
        <v>44756</v>
      </c>
      <c r="M27" s="10"/>
      <c r="N27" s="9">
        <v>2022</v>
      </c>
      <c r="O27" s="9" t="s">
        <v>149</v>
      </c>
      <c r="P27" s="9" t="s">
        <v>83</v>
      </c>
      <c r="Q27" s="9" t="s">
        <v>53</v>
      </c>
      <c r="R27" s="9" t="s">
        <v>195</v>
      </c>
      <c r="T27" s="9"/>
      <c r="V27" s="9"/>
      <c r="W27" s="11">
        <f>IFERROR(VLOOKUP(B27, PlumX_snapshot!$A:$B, 2, FALSE), " ")</f>
        <v>5</v>
      </c>
      <c r="X27" s="11">
        <f>IFERROR(VLOOKUP(B27, PlumX_snapshot!$A:$C, 3, FALSE), " ")</f>
        <v>0</v>
      </c>
      <c r="Y27" s="12">
        <f>IFERROR(VLOOKUP(B27, PlumX_snapshot!$A:$D, 4, FALSE), " ")</f>
        <v>19</v>
      </c>
      <c r="Z27" s="12">
        <f>IFERROR(VLOOKUP(B27, PlumX_snapshot!$A:$E, 5, FALSE), " ")</f>
        <v>0</v>
      </c>
      <c r="AA27" s="12">
        <f>IFERROR(VLOOKUP(B27, PlumX_snapshot!$A:$F, 6, FALSE), " ")</f>
        <v>0</v>
      </c>
      <c r="AB27" s="13">
        <v>44978</v>
      </c>
      <c r="AC27" s="11" t="s">
        <v>173</v>
      </c>
      <c r="AD27" s="11" t="s">
        <v>174</v>
      </c>
      <c r="AE27" s="12"/>
      <c r="AF27" s="12"/>
      <c r="AG27" s="11"/>
      <c r="AH27" s="11">
        <v>4000</v>
      </c>
      <c r="AI27" s="11" t="s">
        <v>77</v>
      </c>
      <c r="AJ27" s="11" t="s">
        <v>57</v>
      </c>
      <c r="AK27" s="11" t="str">
        <f t="shared" si="0"/>
        <v>2022USD</v>
      </c>
      <c r="AL27" s="11">
        <f>VLOOKUP(AK27, Exchange_rates!$C:$D, 2, FALSE)</f>
        <v>0.8115</v>
      </c>
      <c r="AM27" s="14">
        <f t="shared" si="1"/>
        <v>3895.2</v>
      </c>
      <c r="AN27" s="11"/>
      <c r="AO27" s="11"/>
      <c r="AP27" s="17"/>
      <c r="AQ27" s="15" t="s">
        <v>49</v>
      </c>
      <c r="AR27" t="s">
        <v>95</v>
      </c>
      <c r="AS27" s="16" t="s">
        <v>96</v>
      </c>
      <c r="AT27" s="11"/>
      <c r="AU27" s="11"/>
      <c r="AV27" s="11"/>
      <c r="AW27" s="11"/>
      <c r="AX27" s="11"/>
      <c r="AY27" s="11"/>
      <c r="AZ27" s="11"/>
      <c r="BA27" s="11"/>
      <c r="BB27" s="11"/>
      <c r="BC27" s="11"/>
      <c r="BD27" s="11"/>
      <c r="BE27" s="11"/>
      <c r="BF27" s="11"/>
      <c r="BG27" s="11"/>
      <c r="BH27" s="11"/>
    </row>
    <row r="28" spans="1:60" ht="14.5">
      <c r="A28" s="9" t="s">
        <v>196</v>
      </c>
      <c r="B28" s="9" t="s">
        <v>197</v>
      </c>
      <c r="C28" s="9" t="s">
        <v>124</v>
      </c>
      <c r="D28" s="9" t="s">
        <v>48</v>
      </c>
      <c r="E28" s="17" t="s">
        <v>125</v>
      </c>
      <c r="F28" s="9" t="s">
        <v>69</v>
      </c>
      <c r="G28" s="9" t="s">
        <v>70</v>
      </c>
      <c r="H28" s="9" t="s">
        <v>71</v>
      </c>
      <c r="I28" s="9" t="s">
        <v>72</v>
      </c>
      <c r="K28" s="10">
        <v>44740</v>
      </c>
      <c r="L28" s="10">
        <v>44740</v>
      </c>
      <c r="M28" s="10"/>
      <c r="N28" s="9">
        <v>2022</v>
      </c>
      <c r="O28" s="9" t="s">
        <v>149</v>
      </c>
      <c r="P28" s="9" t="s">
        <v>53</v>
      </c>
      <c r="Q28" s="9" t="s">
        <v>53</v>
      </c>
      <c r="R28" s="9" t="s">
        <v>198</v>
      </c>
      <c r="T28" s="9"/>
      <c r="V28" s="9"/>
      <c r="W28" s="11">
        <f>IFERROR(VLOOKUP(B28, PlumX_snapshot!$A:$B, 2, FALSE), " ")</f>
        <v>0</v>
      </c>
      <c r="X28" s="11">
        <f>IFERROR(VLOOKUP(B28, PlumX_snapshot!$A:$C, 3, FALSE), " ")</f>
        <v>1</v>
      </c>
      <c r="Y28" s="12">
        <f>IFERROR(VLOOKUP(B28, PlumX_snapshot!$A:$D, 4, FALSE), " ")</f>
        <v>0</v>
      </c>
      <c r="Z28" s="12">
        <f>IFERROR(VLOOKUP(B28, PlumX_snapshot!$A:$E, 5, FALSE), " ")</f>
        <v>0</v>
      </c>
      <c r="AA28" s="12">
        <f>IFERROR(VLOOKUP(B28, PlumX_snapshot!$A:$F, 6, FALSE), " ")</f>
        <v>0</v>
      </c>
      <c r="AB28" s="13">
        <v>44978</v>
      </c>
      <c r="AC28" s="12" t="s">
        <v>199</v>
      </c>
      <c r="AD28" s="11" t="s">
        <v>200</v>
      </c>
      <c r="AE28" s="11"/>
      <c r="AF28" s="11"/>
      <c r="AG28" s="11"/>
      <c r="AH28" s="11">
        <v>4000</v>
      </c>
      <c r="AI28" s="11" t="s">
        <v>77</v>
      </c>
      <c r="AJ28" s="11" t="s">
        <v>57</v>
      </c>
      <c r="AK28" s="11" t="str">
        <f t="shared" si="0"/>
        <v>2022USD</v>
      </c>
      <c r="AL28" s="11">
        <f>VLOOKUP(AK28, Exchange_rates!$C:$D, 2, FALSE)</f>
        <v>0.8115</v>
      </c>
      <c r="AM28" s="14">
        <f t="shared" si="1"/>
        <v>3895.2</v>
      </c>
      <c r="AN28" s="11"/>
      <c r="AO28" s="11"/>
      <c r="AP28" s="17"/>
      <c r="AQ28" s="15" t="s">
        <v>125</v>
      </c>
      <c r="AR28" t="s">
        <v>129</v>
      </c>
      <c r="AS28" s="16"/>
      <c r="AT28" s="11"/>
      <c r="AU28" s="11"/>
      <c r="AV28" s="11"/>
      <c r="AW28" s="11"/>
      <c r="AX28" s="11"/>
      <c r="AY28" s="11"/>
      <c r="AZ28" s="11"/>
      <c r="BA28" s="11"/>
      <c r="BB28" s="11"/>
      <c r="BC28" s="11"/>
      <c r="BD28" s="11"/>
      <c r="BE28" s="11"/>
      <c r="BF28" s="11"/>
      <c r="BG28" s="11"/>
      <c r="BH28" s="11"/>
    </row>
    <row r="29" spans="1:60" ht="14.5">
      <c r="A29" s="9" t="s">
        <v>201</v>
      </c>
      <c r="B29" s="9" t="s">
        <v>202</v>
      </c>
      <c r="C29" s="9" t="s">
        <v>132</v>
      </c>
      <c r="D29" s="9" t="s">
        <v>48</v>
      </c>
      <c r="E29" s="17" t="s">
        <v>49</v>
      </c>
      <c r="F29" s="9" t="s">
        <v>69</v>
      </c>
      <c r="G29" s="9" t="s">
        <v>70</v>
      </c>
      <c r="H29" s="9" t="s">
        <v>71</v>
      </c>
      <c r="I29" s="9" t="s">
        <v>72</v>
      </c>
      <c r="K29" s="10">
        <v>44734</v>
      </c>
      <c r="L29" s="10">
        <v>44734</v>
      </c>
      <c r="M29" s="10">
        <v>44763</v>
      </c>
      <c r="N29" s="9">
        <v>2022</v>
      </c>
      <c r="O29" s="9" t="s">
        <v>149</v>
      </c>
      <c r="P29" s="9" t="s">
        <v>53</v>
      </c>
      <c r="Q29" s="9" t="s">
        <v>83</v>
      </c>
      <c r="R29" s="9" t="s">
        <v>203</v>
      </c>
      <c r="T29" s="9"/>
      <c r="V29" s="9"/>
      <c r="W29" s="11">
        <f>IFERROR(VLOOKUP(B29, PlumX_snapshot!$A:$B, 2, FALSE), " ")</f>
        <v>3</v>
      </c>
      <c r="X29" s="11">
        <f>IFERROR(VLOOKUP(B29, PlumX_snapshot!$A:$C, 3, FALSE), " ")</f>
        <v>0</v>
      </c>
      <c r="Y29" s="12">
        <f>IFERROR(VLOOKUP(B29, PlumX_snapshot!$A:$D, 4, FALSE), " ")</f>
        <v>2</v>
      </c>
      <c r="Z29" s="12">
        <f>IFERROR(VLOOKUP(B29, PlumX_snapshot!$A:$E, 5, FALSE), " ")</f>
        <v>0</v>
      </c>
      <c r="AA29" s="12">
        <f>IFERROR(VLOOKUP(B29, PlumX_snapshot!$A:$F, 6, FALSE), " ")</f>
        <v>0</v>
      </c>
      <c r="AB29" s="13">
        <v>44978</v>
      </c>
      <c r="AC29" s="11" t="s">
        <v>85</v>
      </c>
      <c r="AD29" s="11" t="s">
        <v>86</v>
      </c>
      <c r="AE29" s="12"/>
      <c r="AF29" s="12"/>
      <c r="AG29" s="11"/>
      <c r="AH29" s="11">
        <v>4000</v>
      </c>
      <c r="AI29" s="11" t="s">
        <v>77</v>
      </c>
      <c r="AJ29" s="11" t="s">
        <v>57</v>
      </c>
      <c r="AK29" s="11" t="str">
        <f t="shared" si="0"/>
        <v>2022USD</v>
      </c>
      <c r="AL29" s="11">
        <f>VLOOKUP(AK29, Exchange_rates!$C:$D, 2, FALSE)</f>
        <v>0.8115</v>
      </c>
      <c r="AM29" s="14">
        <f t="shared" si="1"/>
        <v>3895.2</v>
      </c>
      <c r="AN29" s="11"/>
      <c r="AO29" s="11"/>
      <c r="AP29" s="17"/>
      <c r="AQ29" s="15" t="s">
        <v>49</v>
      </c>
      <c r="AR29" t="s">
        <v>136</v>
      </c>
      <c r="AS29" s="16"/>
      <c r="AT29" s="11"/>
      <c r="AU29" s="11"/>
      <c r="AV29" s="11"/>
      <c r="AW29" s="11"/>
      <c r="AX29" s="11"/>
      <c r="AY29" s="11"/>
      <c r="AZ29" s="11"/>
      <c r="BA29" s="11"/>
      <c r="BB29" s="11"/>
      <c r="BC29" s="11"/>
      <c r="BD29" s="11"/>
      <c r="BE29" s="11"/>
      <c r="BF29" s="11"/>
      <c r="BG29" s="11"/>
      <c r="BH29" s="11"/>
    </row>
    <row r="30" spans="1:60" ht="14.5">
      <c r="A30" s="9" t="s">
        <v>204</v>
      </c>
      <c r="B30" s="9" t="s">
        <v>205</v>
      </c>
      <c r="C30" s="9" t="s">
        <v>206</v>
      </c>
      <c r="D30" s="9" t="s">
        <v>207</v>
      </c>
      <c r="E30" s="9" t="s">
        <v>49</v>
      </c>
      <c r="F30" s="9" t="s">
        <v>69</v>
      </c>
      <c r="G30" s="9" t="s">
        <v>70</v>
      </c>
      <c r="H30" s="9" t="s">
        <v>208</v>
      </c>
      <c r="I30" s="9" t="s">
        <v>72</v>
      </c>
      <c r="M30" s="10">
        <v>44077</v>
      </c>
      <c r="N30" s="9">
        <v>2020</v>
      </c>
      <c r="O30" s="9" t="s">
        <v>209</v>
      </c>
      <c r="P30" s="9" t="s">
        <v>53</v>
      </c>
      <c r="Q30" s="9" t="s">
        <v>53</v>
      </c>
      <c r="R30" s="9" t="s">
        <v>210</v>
      </c>
      <c r="T30" s="9"/>
      <c r="V30" s="9"/>
      <c r="W30" s="11">
        <f>IFERROR(VLOOKUP(B30, PlumX_snapshot!$A:$B, 2, FALSE), " ")</f>
        <v>2</v>
      </c>
      <c r="X30" s="11">
        <f>IFERROR(VLOOKUP(B30, PlumX_snapshot!$A:$C, 3, FALSE), " ")</f>
        <v>0</v>
      </c>
      <c r="Y30" s="12">
        <f>IFERROR(VLOOKUP(B30, PlumX_snapshot!$A:$D, 4, FALSE), " ")</f>
        <v>0</v>
      </c>
      <c r="Z30" s="12">
        <f>IFERROR(VLOOKUP(B30, PlumX_snapshot!$A:$E, 5, FALSE), " ")</f>
        <v>0</v>
      </c>
      <c r="AA30" s="12">
        <f>IFERROR(VLOOKUP(B30, PlumX_snapshot!$A:$F, 6, FALSE), " ")</f>
        <v>0</v>
      </c>
      <c r="AB30" s="13">
        <v>44978</v>
      </c>
      <c r="AC30" s="11"/>
      <c r="AD30" s="11"/>
      <c r="AE30" s="11"/>
      <c r="AF30" s="11"/>
      <c r="AG30" s="11"/>
      <c r="AH30" s="11"/>
      <c r="AI30" s="11"/>
      <c r="AJ30" s="11"/>
      <c r="AK30" s="11" t="str">
        <f t="shared" si="0"/>
        <v>2020</v>
      </c>
      <c r="AL30" s="11" t="e">
        <f>VLOOKUP(AK30, Exchange_rates!$C:$D, 2, FALSE)</f>
        <v>#N/A</v>
      </c>
      <c r="AM30" s="14" t="str">
        <f t="shared" si="1"/>
        <v/>
      </c>
      <c r="AN30" s="11"/>
      <c r="AO30" s="11"/>
      <c r="AP30" s="9"/>
      <c r="AQ30" s="15" t="s">
        <v>49</v>
      </c>
      <c r="AR30" t="s">
        <v>211</v>
      </c>
      <c r="AS30" s="16" t="s">
        <v>212</v>
      </c>
      <c r="AT30" s="11"/>
      <c r="AU30" s="11"/>
      <c r="AV30" s="11"/>
      <c r="AW30" s="11"/>
      <c r="AX30" s="11"/>
      <c r="AY30" s="11"/>
      <c r="AZ30" s="11"/>
      <c r="BA30" s="11"/>
      <c r="BB30" s="11"/>
      <c r="BC30" s="11"/>
      <c r="BD30" s="11"/>
      <c r="BE30" s="11"/>
      <c r="BF30" s="11"/>
      <c r="BG30" s="11"/>
      <c r="BH30" s="11"/>
    </row>
    <row r="31" spans="1:60" ht="14.5">
      <c r="A31" s="9" t="s">
        <v>213</v>
      </c>
      <c r="B31" s="9" t="s">
        <v>214</v>
      </c>
      <c r="C31" s="9" t="s">
        <v>215</v>
      </c>
      <c r="D31" s="9" t="s">
        <v>207</v>
      </c>
      <c r="E31" s="9" t="s">
        <v>49</v>
      </c>
      <c r="F31" s="9" t="s">
        <v>69</v>
      </c>
      <c r="G31" s="9" t="s">
        <v>70</v>
      </c>
      <c r="H31" s="9" t="s">
        <v>208</v>
      </c>
      <c r="I31" s="9" t="s">
        <v>72</v>
      </c>
      <c r="M31" s="10">
        <v>44110</v>
      </c>
      <c r="N31" s="9">
        <v>2020</v>
      </c>
      <c r="O31" s="9" t="s">
        <v>209</v>
      </c>
      <c r="P31" s="9" t="s">
        <v>53</v>
      </c>
      <c r="Q31" s="9" t="s">
        <v>53</v>
      </c>
      <c r="R31" s="9" t="s">
        <v>210</v>
      </c>
      <c r="S31" s="9" t="s">
        <v>216</v>
      </c>
      <c r="T31" s="9"/>
      <c r="U31" s="9"/>
      <c r="V31" s="9"/>
      <c r="W31" s="11">
        <f>IFERROR(VLOOKUP(B31, PlumX_snapshot!$A:$B, 2, FALSE), " ")</f>
        <v>3</v>
      </c>
      <c r="X31" s="11">
        <f>IFERROR(VLOOKUP(B31, PlumX_snapshot!$A:$C, 3, FALSE), " ")</f>
        <v>0</v>
      </c>
      <c r="Y31" s="12">
        <f>IFERROR(VLOOKUP(B31, PlumX_snapshot!$A:$D, 4, FALSE), " ")</f>
        <v>0</v>
      </c>
      <c r="Z31" s="12">
        <f>IFERROR(VLOOKUP(B31, PlumX_snapshot!$A:$E, 5, FALSE), " ")</f>
        <v>0</v>
      </c>
      <c r="AA31" s="12">
        <f>IFERROR(VLOOKUP(B31, PlumX_snapshot!$A:$F, 6, FALSE), " ")</f>
        <v>1</v>
      </c>
      <c r="AB31" s="13">
        <v>44978</v>
      </c>
      <c r="AC31" s="11"/>
      <c r="AD31" s="11"/>
      <c r="AE31" s="11"/>
      <c r="AF31" s="11"/>
      <c r="AG31" s="12"/>
      <c r="AH31" s="11"/>
      <c r="AI31" s="11"/>
      <c r="AJ31" s="11"/>
      <c r="AK31" s="11" t="str">
        <f t="shared" si="0"/>
        <v>2020</v>
      </c>
      <c r="AL31" s="11" t="e">
        <f>VLOOKUP(AK31, Exchange_rates!$C:$D, 2, FALSE)</f>
        <v>#N/A</v>
      </c>
      <c r="AM31" s="14" t="str">
        <f t="shared" si="1"/>
        <v/>
      </c>
      <c r="AN31" s="11"/>
      <c r="AO31" s="11"/>
      <c r="AP31" s="9"/>
      <c r="AQ31" s="15" t="s">
        <v>49</v>
      </c>
      <c r="AR31" t="s">
        <v>217</v>
      </c>
      <c r="AS31" s="16"/>
      <c r="AT31" s="11"/>
      <c r="AU31" s="11"/>
      <c r="AV31" s="11"/>
      <c r="AW31" s="11"/>
      <c r="AX31" s="11"/>
      <c r="AY31" s="11"/>
      <c r="AZ31" s="11"/>
      <c r="BA31" s="11"/>
      <c r="BB31" s="11"/>
      <c r="BC31" s="11"/>
      <c r="BD31" s="11"/>
      <c r="BE31" s="11"/>
      <c r="BF31" s="11"/>
      <c r="BG31" s="11"/>
      <c r="BH31" s="11"/>
    </row>
    <row r="32" spans="1:60" ht="14.5">
      <c r="A32" s="9" t="s">
        <v>218</v>
      </c>
      <c r="B32" s="9" t="s">
        <v>219</v>
      </c>
      <c r="C32" s="9" t="s">
        <v>220</v>
      </c>
      <c r="D32" s="9" t="s">
        <v>207</v>
      </c>
      <c r="E32" s="9" t="s">
        <v>49</v>
      </c>
      <c r="F32" s="9" t="s">
        <v>69</v>
      </c>
      <c r="G32" s="9" t="s">
        <v>70</v>
      </c>
      <c r="H32" s="9" t="s">
        <v>208</v>
      </c>
      <c r="I32" s="9" t="s">
        <v>72</v>
      </c>
      <c r="M32" s="10">
        <v>44138</v>
      </c>
      <c r="N32" s="9">
        <v>2020</v>
      </c>
      <c r="O32" s="9" t="s">
        <v>221</v>
      </c>
      <c r="P32" s="9" t="s">
        <v>53</v>
      </c>
      <c r="Q32" s="9" t="s">
        <v>53</v>
      </c>
      <c r="R32" s="9" t="s">
        <v>210</v>
      </c>
      <c r="S32" s="9" t="s">
        <v>222</v>
      </c>
      <c r="T32" s="9"/>
      <c r="U32" s="9"/>
      <c r="V32" s="9"/>
      <c r="W32" s="11">
        <f>IFERROR(VLOOKUP(B32, PlumX_snapshot!$A:$B, 2, FALSE), " ")</f>
        <v>8</v>
      </c>
      <c r="X32" s="11">
        <f>IFERROR(VLOOKUP(B32, PlumX_snapshot!$A:$C, 3, FALSE), " ")</f>
        <v>0</v>
      </c>
      <c r="Y32" s="12">
        <f>IFERROR(VLOOKUP(B32, PlumX_snapshot!$A:$D, 4, FALSE), " ")</f>
        <v>1</v>
      </c>
      <c r="Z32" s="12">
        <f>IFERROR(VLOOKUP(B32, PlumX_snapshot!$A:$E, 5, FALSE), " ")</f>
        <v>0</v>
      </c>
      <c r="AA32" s="12">
        <f>IFERROR(VLOOKUP(B32, PlumX_snapshot!$A:$F, 6, FALSE), " ")</f>
        <v>0</v>
      </c>
      <c r="AB32" s="13">
        <v>44978</v>
      </c>
      <c r="AC32" s="11"/>
      <c r="AD32" s="11"/>
      <c r="AE32" s="12"/>
      <c r="AF32" s="12"/>
      <c r="AG32" s="11"/>
      <c r="AH32" s="11"/>
      <c r="AI32" s="11"/>
      <c r="AJ32" s="11"/>
      <c r="AK32" s="11" t="str">
        <f t="shared" si="0"/>
        <v>2020</v>
      </c>
      <c r="AL32" s="11" t="e">
        <f>VLOOKUP(AK32, Exchange_rates!$C:$D, 2, FALSE)</f>
        <v>#N/A</v>
      </c>
      <c r="AM32" s="14" t="str">
        <f t="shared" si="1"/>
        <v/>
      </c>
      <c r="AN32" s="11"/>
      <c r="AO32" s="11"/>
      <c r="AP32" s="9"/>
      <c r="AQ32" s="15" t="s">
        <v>49</v>
      </c>
      <c r="AR32" t="s">
        <v>223</v>
      </c>
      <c r="AS32" s="16" t="s">
        <v>224</v>
      </c>
      <c r="AT32" s="11"/>
      <c r="AU32" s="11"/>
      <c r="AV32" s="11"/>
      <c r="AW32" s="11"/>
      <c r="AX32" s="11"/>
      <c r="AY32" s="11"/>
      <c r="AZ32" s="11"/>
      <c r="BA32" s="11"/>
      <c r="BB32" s="11"/>
      <c r="BC32" s="11"/>
      <c r="BD32" s="11"/>
      <c r="BE32" s="11"/>
      <c r="BF32" s="11"/>
      <c r="BG32" s="11"/>
      <c r="BH32" s="11"/>
    </row>
    <row r="33" spans="1:60" ht="14.5">
      <c r="A33" s="9" t="s">
        <v>225</v>
      </c>
      <c r="B33" s="9" t="s">
        <v>226</v>
      </c>
      <c r="C33" s="9" t="s">
        <v>227</v>
      </c>
      <c r="D33" s="9" t="s">
        <v>207</v>
      </c>
      <c r="E33" s="9" t="s">
        <v>49</v>
      </c>
      <c r="F33" s="9" t="s">
        <v>69</v>
      </c>
      <c r="G33" s="9" t="s">
        <v>70</v>
      </c>
      <c r="H33" s="9" t="s">
        <v>208</v>
      </c>
      <c r="I33" s="9" t="s">
        <v>72</v>
      </c>
      <c r="M33" s="10">
        <v>43938</v>
      </c>
      <c r="N33" s="9">
        <v>2020</v>
      </c>
      <c r="O33" s="9" t="s">
        <v>221</v>
      </c>
      <c r="P33" s="9" t="s">
        <v>53</v>
      </c>
      <c r="Q33" s="9" t="s">
        <v>53</v>
      </c>
      <c r="R33" s="9" t="s">
        <v>210</v>
      </c>
      <c r="T33" s="9"/>
      <c r="V33" s="9"/>
      <c r="W33" s="11">
        <f>IFERROR(VLOOKUP(B33, PlumX_snapshot!$A:$B, 2, FALSE), " ")</f>
        <v>1</v>
      </c>
      <c r="X33" s="11">
        <f>IFERROR(VLOOKUP(B33, PlumX_snapshot!$A:$C, 3, FALSE), " ")</f>
        <v>0</v>
      </c>
      <c r="Y33" s="12">
        <f>IFERROR(VLOOKUP(B33, PlumX_snapshot!$A:$D, 4, FALSE), " ")</f>
        <v>0</v>
      </c>
      <c r="Z33" s="12">
        <f>IFERROR(VLOOKUP(B33, PlumX_snapshot!$A:$E, 5, FALSE), " ")</f>
        <v>0</v>
      </c>
      <c r="AA33" s="12">
        <f>IFERROR(VLOOKUP(B33, PlumX_snapshot!$A:$F, 6, FALSE), " ")</f>
        <v>0</v>
      </c>
      <c r="AB33" s="13">
        <v>44978</v>
      </c>
      <c r="AC33" s="11"/>
      <c r="AD33" s="11"/>
      <c r="AE33" s="11"/>
      <c r="AF33" s="11"/>
      <c r="AG33" s="11"/>
      <c r="AH33" s="11"/>
      <c r="AI33" s="11"/>
      <c r="AJ33" s="11"/>
      <c r="AK33" s="11" t="str">
        <f t="shared" si="0"/>
        <v>2020</v>
      </c>
      <c r="AL33" s="11" t="e">
        <f>VLOOKUP(AK33, Exchange_rates!$C:$D, 2, FALSE)</f>
        <v>#N/A</v>
      </c>
      <c r="AM33" s="14" t="str">
        <f t="shared" si="1"/>
        <v/>
      </c>
      <c r="AN33" s="11"/>
      <c r="AO33" s="11"/>
      <c r="AP33" s="9"/>
      <c r="AQ33" s="15" t="s">
        <v>49</v>
      </c>
      <c r="AR33" t="s">
        <v>228</v>
      </c>
      <c r="AS33" s="16" t="s">
        <v>229</v>
      </c>
      <c r="AT33" s="11"/>
      <c r="AU33" s="11"/>
      <c r="AV33" s="11"/>
      <c r="AW33" s="11"/>
      <c r="AX33" s="11"/>
      <c r="AY33" s="11"/>
      <c r="AZ33" s="11"/>
      <c r="BA33" s="11"/>
      <c r="BB33" s="11"/>
      <c r="BC33" s="11"/>
      <c r="BD33" s="11"/>
      <c r="BE33" s="11"/>
      <c r="BF33" s="11"/>
      <c r="BG33" s="11"/>
      <c r="BH33" s="11"/>
    </row>
    <row r="34" spans="1:60" ht="14.5">
      <c r="A34" s="9" t="s">
        <v>230</v>
      </c>
      <c r="B34" s="9" t="s">
        <v>231</v>
      </c>
      <c r="C34" s="9" t="s">
        <v>232</v>
      </c>
      <c r="D34" s="9" t="s">
        <v>207</v>
      </c>
      <c r="E34" s="9" t="s">
        <v>49</v>
      </c>
      <c r="F34" s="9" t="s">
        <v>69</v>
      </c>
      <c r="G34" s="9" t="s">
        <v>70</v>
      </c>
      <c r="H34" s="9" t="s">
        <v>208</v>
      </c>
      <c r="I34" s="9" t="s">
        <v>72</v>
      </c>
      <c r="M34" s="10">
        <v>44147</v>
      </c>
      <c r="N34" s="9">
        <v>2020</v>
      </c>
      <c r="O34" s="9" t="s">
        <v>221</v>
      </c>
      <c r="P34" s="9" t="s">
        <v>53</v>
      </c>
      <c r="Q34" s="9" t="s">
        <v>53</v>
      </c>
      <c r="R34" s="9" t="s">
        <v>210</v>
      </c>
      <c r="T34" s="9"/>
      <c r="V34" s="9"/>
      <c r="W34" s="11">
        <f>IFERROR(VLOOKUP(B34, PlumX_snapshot!$A:$B, 2, FALSE), " ")</f>
        <v>1</v>
      </c>
      <c r="X34" s="11">
        <f>IFERROR(VLOOKUP(B34, PlumX_snapshot!$A:$C, 3, FALSE), " ")</f>
        <v>0</v>
      </c>
      <c r="Y34" s="12">
        <f>IFERROR(VLOOKUP(B34, PlumX_snapshot!$A:$D, 4, FALSE), " ")</f>
        <v>0</v>
      </c>
      <c r="Z34" s="12">
        <f>IFERROR(VLOOKUP(B34, PlumX_snapshot!$A:$E, 5, FALSE), " ")</f>
        <v>0</v>
      </c>
      <c r="AA34" s="12">
        <f>IFERROR(VLOOKUP(B34, PlumX_snapshot!$A:$F, 6, FALSE), " ")</f>
        <v>0</v>
      </c>
      <c r="AB34" s="13">
        <v>44978</v>
      </c>
      <c r="AC34" s="11"/>
      <c r="AD34" s="11"/>
      <c r="AE34" s="11"/>
      <c r="AF34" s="11"/>
      <c r="AG34" s="11"/>
      <c r="AH34" s="11"/>
      <c r="AI34" s="11"/>
      <c r="AJ34" s="11"/>
      <c r="AK34" s="11" t="str">
        <f t="shared" si="0"/>
        <v>2020</v>
      </c>
      <c r="AL34" s="11" t="e">
        <f>VLOOKUP(AK34, Exchange_rates!$C:$D, 2, FALSE)</f>
        <v>#N/A</v>
      </c>
      <c r="AM34" s="14" t="str">
        <f t="shared" si="1"/>
        <v/>
      </c>
      <c r="AN34" s="11"/>
      <c r="AO34" s="11"/>
      <c r="AP34" s="9"/>
      <c r="AQ34" s="15" t="s">
        <v>49</v>
      </c>
      <c r="AR34" t="s">
        <v>233</v>
      </c>
      <c r="AS34" s="16" t="s">
        <v>234</v>
      </c>
      <c r="AT34" s="11"/>
      <c r="AU34" s="11"/>
      <c r="AV34" s="11"/>
      <c r="AW34" s="11"/>
      <c r="AX34" s="11"/>
      <c r="AY34" s="11"/>
      <c r="AZ34" s="11"/>
      <c r="BA34" s="11"/>
      <c r="BB34" s="11"/>
      <c r="BC34" s="11"/>
      <c r="BD34" s="11"/>
      <c r="BE34" s="11"/>
      <c r="BF34" s="11"/>
      <c r="BG34" s="11"/>
      <c r="BH34" s="11"/>
    </row>
    <row r="35" spans="1:60" ht="14.5">
      <c r="A35" s="9" t="s">
        <v>235</v>
      </c>
      <c r="B35" s="9" t="s">
        <v>236</v>
      </c>
      <c r="C35" s="9" t="s">
        <v>237</v>
      </c>
      <c r="D35" s="9" t="s">
        <v>207</v>
      </c>
      <c r="E35" s="9" t="s">
        <v>49</v>
      </c>
      <c r="F35" s="9" t="s">
        <v>69</v>
      </c>
      <c r="G35" s="9" t="s">
        <v>70</v>
      </c>
      <c r="H35" s="9" t="s">
        <v>208</v>
      </c>
      <c r="I35" s="9" t="s">
        <v>238</v>
      </c>
      <c r="M35" s="10">
        <v>44151</v>
      </c>
      <c r="N35" s="9">
        <v>2020</v>
      </c>
      <c r="O35" s="9" t="s">
        <v>239</v>
      </c>
      <c r="P35" s="9" t="s">
        <v>83</v>
      </c>
      <c r="Q35" s="9" t="s">
        <v>53</v>
      </c>
      <c r="R35" s="9" t="s">
        <v>240</v>
      </c>
      <c r="S35" s="9" t="s">
        <v>241</v>
      </c>
      <c r="T35" s="9"/>
      <c r="U35" s="9"/>
      <c r="V35" s="9"/>
      <c r="W35" s="11">
        <f>IFERROR(VLOOKUP(B35, PlumX_snapshot!$A:$B, 2, FALSE), " ")</f>
        <v>4</v>
      </c>
      <c r="X35" s="11">
        <f>IFERROR(VLOOKUP(B35, PlumX_snapshot!$A:$C, 3, FALSE), " ")</f>
        <v>0</v>
      </c>
      <c r="Y35" s="12">
        <f>IFERROR(VLOOKUP(B35, PlumX_snapshot!$A:$D, 4, FALSE), " ")</f>
        <v>0</v>
      </c>
      <c r="Z35" s="12">
        <f>IFERROR(VLOOKUP(B35, PlumX_snapshot!$A:$E, 5, FALSE), " ")</f>
        <v>0</v>
      </c>
      <c r="AA35" s="12">
        <f>IFERROR(VLOOKUP(B35, PlumX_snapshot!$A:$F, 6, FALSE), " ")</f>
        <v>0</v>
      </c>
      <c r="AB35" s="13">
        <v>44978</v>
      </c>
      <c r="AC35" s="11"/>
      <c r="AD35" s="11"/>
      <c r="AE35" s="11"/>
      <c r="AF35" s="11"/>
      <c r="AG35" s="11"/>
      <c r="AH35" s="11"/>
      <c r="AI35" s="11"/>
      <c r="AJ35" s="11"/>
      <c r="AK35" s="11" t="str">
        <f t="shared" si="0"/>
        <v>2020</v>
      </c>
      <c r="AL35" s="11" t="e">
        <f>VLOOKUP(AK35, Exchange_rates!$C:$D, 2, FALSE)</f>
        <v>#N/A</v>
      </c>
      <c r="AM35" s="14" t="str">
        <f t="shared" si="1"/>
        <v/>
      </c>
      <c r="AN35" s="11"/>
      <c r="AO35" s="11"/>
      <c r="AP35" s="9"/>
      <c r="AQ35" s="15" t="s">
        <v>49</v>
      </c>
      <c r="AR35" t="s">
        <v>242</v>
      </c>
      <c r="AS35" s="16"/>
      <c r="AT35" s="11"/>
      <c r="AU35" s="11"/>
      <c r="AV35" s="11"/>
      <c r="AW35" s="11"/>
      <c r="AX35" s="11"/>
      <c r="AY35" s="11"/>
      <c r="AZ35" s="11"/>
      <c r="BA35" s="11"/>
      <c r="BB35" s="11"/>
      <c r="BC35" s="11"/>
      <c r="BD35" s="11"/>
      <c r="BE35" s="11"/>
      <c r="BF35" s="11"/>
      <c r="BG35" s="11"/>
      <c r="BH35" s="11"/>
    </row>
    <row r="36" spans="1:60" ht="14.5">
      <c r="A36" s="9" t="s">
        <v>243</v>
      </c>
      <c r="B36" s="9" t="s">
        <v>244</v>
      </c>
      <c r="C36" s="9" t="s">
        <v>245</v>
      </c>
      <c r="D36" s="9" t="s">
        <v>207</v>
      </c>
      <c r="E36" s="9" t="s">
        <v>49</v>
      </c>
      <c r="F36" s="9" t="s">
        <v>69</v>
      </c>
      <c r="G36" s="9" t="s">
        <v>70</v>
      </c>
      <c r="H36" s="9" t="s">
        <v>246</v>
      </c>
      <c r="I36" s="9" t="s">
        <v>72</v>
      </c>
      <c r="M36" s="10">
        <v>44340</v>
      </c>
      <c r="N36" s="9">
        <v>2021</v>
      </c>
      <c r="O36" s="9" t="s">
        <v>247</v>
      </c>
      <c r="P36" s="9" t="s">
        <v>53</v>
      </c>
      <c r="Q36" s="9" t="s">
        <v>53</v>
      </c>
      <c r="R36" s="9" t="s">
        <v>210</v>
      </c>
      <c r="T36" s="9"/>
      <c r="V36" s="9"/>
      <c r="W36" s="11">
        <f>IFERROR(VLOOKUP(B36, PlumX_snapshot!$A:$B, 2, FALSE), " ")</f>
        <v>30</v>
      </c>
      <c r="X36" s="11">
        <f>IFERROR(VLOOKUP(B36, PlumX_snapshot!$A:$C, 3, FALSE), " ")</f>
        <v>1</v>
      </c>
      <c r="Y36" s="12">
        <f>IFERROR(VLOOKUP(B36, PlumX_snapshot!$A:$D, 4, FALSE), " ")</f>
        <v>1</v>
      </c>
      <c r="Z36" s="12">
        <f>IFERROR(VLOOKUP(B36, PlumX_snapshot!$A:$E, 5, FALSE), " ")</f>
        <v>0</v>
      </c>
      <c r="AA36" s="12">
        <f>IFERROR(VLOOKUP(B36, PlumX_snapshot!$A:$F, 6, FALSE), " ")</f>
        <v>0</v>
      </c>
      <c r="AB36" s="13">
        <v>44978</v>
      </c>
      <c r="AC36" s="12"/>
      <c r="AD36" s="11"/>
      <c r="AE36" s="12"/>
      <c r="AF36" s="12"/>
      <c r="AG36" s="11"/>
      <c r="AH36" s="11"/>
      <c r="AI36" s="11"/>
      <c r="AJ36" s="11"/>
      <c r="AK36" s="11" t="str">
        <f t="shared" si="0"/>
        <v>2021</v>
      </c>
      <c r="AL36" s="11" t="e">
        <f>VLOOKUP(AK36, Exchange_rates!$C:$D, 2, FALSE)</f>
        <v>#N/A</v>
      </c>
      <c r="AM36" s="14" t="str">
        <f t="shared" si="1"/>
        <v/>
      </c>
      <c r="AN36" s="11"/>
      <c r="AO36" s="11"/>
      <c r="AP36" s="9"/>
      <c r="AQ36" s="15" t="s">
        <v>49</v>
      </c>
      <c r="AR36" t="s">
        <v>248</v>
      </c>
      <c r="AS36" s="16" t="s">
        <v>249</v>
      </c>
      <c r="AT36" s="11"/>
      <c r="AU36" s="11"/>
      <c r="AV36" s="11"/>
      <c r="AW36" s="11"/>
      <c r="AX36" s="11"/>
      <c r="AY36" s="11"/>
      <c r="AZ36" s="11"/>
      <c r="BA36" s="11"/>
      <c r="BB36" s="11"/>
      <c r="BC36" s="11"/>
      <c r="BD36" s="11"/>
      <c r="BE36" s="11"/>
      <c r="BF36" s="11"/>
      <c r="BG36" s="11"/>
      <c r="BH36" s="11"/>
    </row>
    <row r="37" spans="1:60" ht="14.5">
      <c r="A37" s="9" t="s">
        <v>250</v>
      </c>
      <c r="B37" s="9" t="s">
        <v>251</v>
      </c>
      <c r="C37" s="9" t="s">
        <v>252</v>
      </c>
      <c r="D37" s="9" t="s">
        <v>207</v>
      </c>
      <c r="E37" s="9" t="s">
        <v>49</v>
      </c>
      <c r="F37" s="9" t="s">
        <v>69</v>
      </c>
      <c r="G37" s="9" t="s">
        <v>70</v>
      </c>
      <c r="H37" s="9" t="s">
        <v>246</v>
      </c>
      <c r="I37" s="9" t="s">
        <v>72</v>
      </c>
      <c r="M37" s="10">
        <v>44270</v>
      </c>
      <c r="N37" s="9">
        <v>2021</v>
      </c>
      <c r="O37" s="9" t="s">
        <v>247</v>
      </c>
      <c r="P37" s="9" t="s">
        <v>53</v>
      </c>
      <c r="Q37" s="9" t="s">
        <v>53</v>
      </c>
      <c r="R37" s="9" t="s">
        <v>210</v>
      </c>
      <c r="T37" s="9"/>
      <c r="V37" s="9"/>
      <c r="W37" s="11">
        <f>IFERROR(VLOOKUP(B37, PlumX_snapshot!$A:$B, 2, FALSE), " ")</f>
        <v>0</v>
      </c>
      <c r="X37" s="11">
        <f>IFERROR(VLOOKUP(B37, PlumX_snapshot!$A:$C, 3, FALSE), " ")</f>
        <v>0</v>
      </c>
      <c r="Y37" s="12">
        <f>IFERROR(VLOOKUP(B37, PlumX_snapshot!$A:$D, 4, FALSE), " ")</f>
        <v>0</v>
      </c>
      <c r="Z37" s="12">
        <f>IFERROR(VLOOKUP(B37, PlumX_snapshot!$A:$E, 5, FALSE), " ")</f>
        <v>0</v>
      </c>
      <c r="AA37" s="12">
        <f>IFERROR(VLOOKUP(B37, PlumX_snapshot!$A:$F, 6, FALSE), " ")</f>
        <v>0</v>
      </c>
      <c r="AB37" s="13">
        <v>44978</v>
      </c>
      <c r="AC37" s="11"/>
      <c r="AD37" s="11"/>
      <c r="AE37" s="11"/>
      <c r="AF37" s="11"/>
      <c r="AG37" s="11"/>
      <c r="AH37" s="11"/>
      <c r="AI37" s="11"/>
      <c r="AJ37" s="11"/>
      <c r="AK37" s="11" t="str">
        <f t="shared" si="0"/>
        <v>2021</v>
      </c>
      <c r="AL37" s="11" t="e">
        <f>VLOOKUP(AK37, Exchange_rates!$C:$D, 2, FALSE)</f>
        <v>#N/A</v>
      </c>
      <c r="AM37" s="14" t="str">
        <f t="shared" si="1"/>
        <v/>
      </c>
      <c r="AN37" s="11"/>
      <c r="AO37" s="11"/>
      <c r="AP37" s="9"/>
      <c r="AQ37" s="15" t="s">
        <v>49</v>
      </c>
      <c r="AR37" t="s">
        <v>253</v>
      </c>
      <c r="AS37" s="16" t="s">
        <v>254</v>
      </c>
      <c r="AT37" s="11"/>
      <c r="AU37" s="11"/>
      <c r="AV37" s="11"/>
      <c r="AW37" s="11"/>
      <c r="AX37" s="11"/>
      <c r="AY37" s="11"/>
      <c r="AZ37" s="11"/>
      <c r="BA37" s="11"/>
      <c r="BB37" s="11"/>
      <c r="BC37" s="11"/>
      <c r="BD37" s="11"/>
      <c r="BE37" s="11"/>
      <c r="BF37" s="11"/>
      <c r="BG37" s="11"/>
      <c r="BH37" s="11"/>
    </row>
    <row r="38" spans="1:60" ht="14.5">
      <c r="A38" s="9" t="s">
        <v>255</v>
      </c>
      <c r="B38" s="9" t="s">
        <v>256</v>
      </c>
      <c r="C38" s="9" t="s">
        <v>257</v>
      </c>
      <c r="D38" s="9" t="s">
        <v>207</v>
      </c>
      <c r="E38" s="9" t="s">
        <v>49</v>
      </c>
      <c r="F38" s="9" t="s">
        <v>69</v>
      </c>
      <c r="G38" s="9" t="s">
        <v>70</v>
      </c>
      <c r="H38" s="9" t="s">
        <v>246</v>
      </c>
      <c r="I38" s="9" t="s">
        <v>72</v>
      </c>
      <c r="M38" s="10">
        <v>44421</v>
      </c>
      <c r="N38" s="9">
        <v>2021</v>
      </c>
      <c r="O38" s="9" t="s">
        <v>258</v>
      </c>
      <c r="P38" s="9" t="s">
        <v>53</v>
      </c>
      <c r="Q38" s="9" t="s">
        <v>53</v>
      </c>
      <c r="R38" s="9" t="s">
        <v>210</v>
      </c>
      <c r="T38" s="9"/>
      <c r="V38" s="9"/>
      <c r="W38" s="11">
        <f>IFERROR(VLOOKUP(B38, PlumX_snapshot!$A:$B, 2, FALSE), " ")</f>
        <v>1</v>
      </c>
      <c r="X38" s="11">
        <f>IFERROR(VLOOKUP(B38, PlumX_snapshot!$A:$C, 3, FALSE), " ")</f>
        <v>0</v>
      </c>
      <c r="Y38" s="12">
        <f>IFERROR(VLOOKUP(B38, PlumX_snapshot!$A:$D, 4, FALSE), " ")</f>
        <v>0</v>
      </c>
      <c r="Z38" s="12">
        <f>IFERROR(VLOOKUP(B38, PlumX_snapshot!$A:$E, 5, FALSE), " ")</f>
        <v>0</v>
      </c>
      <c r="AA38" s="12">
        <f>IFERROR(VLOOKUP(B38, PlumX_snapshot!$A:$F, 6, FALSE), " ")</f>
        <v>0</v>
      </c>
      <c r="AB38" s="13">
        <v>44978</v>
      </c>
      <c r="AC38" s="11"/>
      <c r="AD38" s="11"/>
      <c r="AE38" s="11"/>
      <c r="AF38" s="11"/>
      <c r="AG38" s="11"/>
      <c r="AH38" s="11"/>
      <c r="AI38" s="11"/>
      <c r="AJ38" s="11"/>
      <c r="AK38" s="11" t="str">
        <f t="shared" si="0"/>
        <v>2021</v>
      </c>
      <c r="AL38" s="11" t="e">
        <f>VLOOKUP(AK38, Exchange_rates!$C:$D, 2, FALSE)</f>
        <v>#N/A</v>
      </c>
      <c r="AM38" s="14" t="str">
        <f t="shared" si="1"/>
        <v/>
      </c>
      <c r="AN38" s="11"/>
      <c r="AO38" s="11"/>
      <c r="AP38" s="9"/>
      <c r="AQ38" s="15" t="s">
        <v>49</v>
      </c>
      <c r="AR38" t="s">
        <v>259</v>
      </c>
      <c r="AS38" s="16" t="s">
        <v>260</v>
      </c>
      <c r="AT38" s="11"/>
      <c r="AU38" s="11"/>
      <c r="AV38" s="11"/>
      <c r="AW38" s="11"/>
      <c r="AX38" s="11"/>
      <c r="AY38" s="11"/>
      <c r="AZ38" s="11"/>
      <c r="BA38" s="11"/>
      <c r="BB38" s="11"/>
      <c r="BC38" s="11"/>
      <c r="BD38" s="11"/>
      <c r="BE38" s="11"/>
      <c r="BF38" s="11"/>
      <c r="BG38" s="11"/>
      <c r="BH38" s="11"/>
    </row>
    <row r="39" spans="1:60" ht="14.5">
      <c r="A39" s="9" t="s">
        <v>261</v>
      </c>
      <c r="B39" s="9" t="s">
        <v>262</v>
      </c>
      <c r="C39" s="9" t="s">
        <v>263</v>
      </c>
      <c r="D39" s="9" t="s">
        <v>207</v>
      </c>
      <c r="E39" s="9" t="s">
        <v>49</v>
      </c>
      <c r="F39" s="9" t="s">
        <v>69</v>
      </c>
      <c r="G39" s="9" t="s">
        <v>70</v>
      </c>
      <c r="H39" s="9" t="s">
        <v>246</v>
      </c>
      <c r="I39" s="9" t="s">
        <v>72</v>
      </c>
      <c r="M39" s="10">
        <v>44377</v>
      </c>
      <c r="N39" s="9">
        <v>2021</v>
      </c>
      <c r="O39" s="9" t="s">
        <v>258</v>
      </c>
      <c r="P39" s="9" t="s">
        <v>53</v>
      </c>
      <c r="Q39" s="9" t="s">
        <v>53</v>
      </c>
      <c r="R39" s="9" t="s">
        <v>210</v>
      </c>
      <c r="S39" s="9" t="s">
        <v>222</v>
      </c>
      <c r="T39" s="9"/>
      <c r="U39" s="9"/>
      <c r="V39" s="9"/>
      <c r="W39" s="11">
        <f>IFERROR(VLOOKUP(B39, PlumX_snapshot!$A:$B, 2, FALSE), " ")</f>
        <v>0</v>
      </c>
      <c r="X39" s="11">
        <f>IFERROR(VLOOKUP(B39, PlumX_snapshot!$A:$C, 3, FALSE), " ")</f>
        <v>0</v>
      </c>
      <c r="Y39" s="12">
        <f>IFERROR(VLOOKUP(B39, PlumX_snapshot!$A:$D, 4, FALSE), " ")</f>
        <v>0</v>
      </c>
      <c r="Z39" s="12">
        <f>IFERROR(VLOOKUP(B39, PlumX_snapshot!$A:$E, 5, FALSE), " ")</f>
        <v>0</v>
      </c>
      <c r="AA39" s="12">
        <f>IFERROR(VLOOKUP(B39, PlumX_snapshot!$A:$F, 6, FALSE), " ")</f>
        <v>0</v>
      </c>
      <c r="AB39" s="13">
        <v>44978</v>
      </c>
      <c r="AC39" s="11"/>
      <c r="AD39" s="11"/>
      <c r="AE39" s="11"/>
      <c r="AF39" s="11"/>
      <c r="AG39" s="11"/>
      <c r="AH39" s="11"/>
      <c r="AI39" s="11"/>
      <c r="AJ39" s="11"/>
      <c r="AK39" s="11" t="str">
        <f t="shared" si="0"/>
        <v>2021</v>
      </c>
      <c r="AL39" s="11" t="e">
        <f>VLOOKUP(AK39, Exchange_rates!$C:$D, 2, FALSE)</f>
        <v>#N/A</v>
      </c>
      <c r="AM39" s="14" t="str">
        <f t="shared" si="1"/>
        <v/>
      </c>
      <c r="AN39" s="11"/>
      <c r="AO39" s="11"/>
      <c r="AP39" s="9"/>
      <c r="AQ39" s="15" t="s">
        <v>49</v>
      </c>
      <c r="AR39" t="s">
        <v>264</v>
      </c>
      <c r="AS39" s="16" t="s">
        <v>265</v>
      </c>
      <c r="AT39" s="11"/>
      <c r="AU39" s="11"/>
      <c r="AV39" s="11"/>
      <c r="AW39" s="11"/>
      <c r="AX39" s="11"/>
      <c r="AY39" s="11"/>
      <c r="AZ39" s="11"/>
      <c r="BA39" s="11"/>
      <c r="BB39" s="11"/>
      <c r="BC39" s="11"/>
      <c r="BD39" s="11"/>
      <c r="BE39" s="11"/>
      <c r="BF39" s="11"/>
      <c r="BG39" s="11"/>
      <c r="BH39" s="11"/>
    </row>
    <row r="40" spans="1:60" ht="14.5">
      <c r="A40" s="9" t="s">
        <v>266</v>
      </c>
      <c r="B40" s="9" t="s">
        <v>267</v>
      </c>
      <c r="C40" s="9" t="s">
        <v>268</v>
      </c>
      <c r="D40" s="9" t="s">
        <v>207</v>
      </c>
      <c r="E40" s="9" t="s">
        <v>49</v>
      </c>
      <c r="F40" s="9" t="s">
        <v>69</v>
      </c>
      <c r="G40" s="9" t="s">
        <v>70</v>
      </c>
      <c r="H40" s="9" t="s">
        <v>246</v>
      </c>
      <c r="I40" s="9" t="s">
        <v>72</v>
      </c>
      <c r="M40" s="10">
        <v>44510</v>
      </c>
      <c r="N40" s="9">
        <v>2021</v>
      </c>
      <c r="O40" s="9" t="s">
        <v>269</v>
      </c>
      <c r="P40" s="9" t="s">
        <v>53</v>
      </c>
      <c r="Q40" s="9" t="s">
        <v>53</v>
      </c>
      <c r="R40" s="9" t="s">
        <v>210</v>
      </c>
      <c r="T40" s="9"/>
      <c r="V40" s="9"/>
      <c r="W40" s="11">
        <f>IFERROR(VLOOKUP(B40, PlumX_snapshot!$A:$B, 2, FALSE), " ")</f>
        <v>2</v>
      </c>
      <c r="X40" s="11">
        <f>IFERROR(VLOOKUP(B40, PlumX_snapshot!$A:$C, 3, FALSE), " ")</f>
        <v>0</v>
      </c>
      <c r="Y40" s="12">
        <f>IFERROR(VLOOKUP(B40, PlumX_snapshot!$A:$D, 4, FALSE), " ")</f>
        <v>0</v>
      </c>
      <c r="Z40" s="12">
        <f>IFERROR(VLOOKUP(B40, PlumX_snapshot!$A:$E, 5, FALSE), " ")</f>
        <v>0</v>
      </c>
      <c r="AA40" s="12">
        <f>IFERROR(VLOOKUP(B40, PlumX_snapshot!$A:$F, 6, FALSE), " ")</f>
        <v>0</v>
      </c>
      <c r="AB40" s="13">
        <v>44978</v>
      </c>
      <c r="AC40" s="11"/>
      <c r="AD40" s="11"/>
      <c r="AE40" s="11"/>
      <c r="AF40" s="11"/>
      <c r="AG40" s="11"/>
      <c r="AH40" s="11"/>
      <c r="AI40" s="11"/>
      <c r="AJ40" s="11"/>
      <c r="AK40" s="11" t="str">
        <f t="shared" si="0"/>
        <v>2021</v>
      </c>
      <c r="AL40" s="11" t="e">
        <f>VLOOKUP(AK40, Exchange_rates!$C:$D, 2, FALSE)</f>
        <v>#N/A</v>
      </c>
      <c r="AM40" s="14" t="str">
        <f t="shared" si="1"/>
        <v/>
      </c>
      <c r="AN40" s="11"/>
      <c r="AO40" s="11"/>
      <c r="AP40" s="9"/>
      <c r="AQ40" s="15" t="s">
        <v>49</v>
      </c>
      <c r="AR40" t="s">
        <v>270</v>
      </c>
      <c r="AS40" s="16" t="s">
        <v>271</v>
      </c>
      <c r="AT40" s="11"/>
      <c r="AU40" s="11"/>
      <c r="AV40" s="11"/>
      <c r="AW40" s="11"/>
      <c r="AX40" s="11"/>
      <c r="AY40" s="11"/>
      <c r="AZ40" s="11"/>
      <c r="BA40" s="11"/>
      <c r="BB40" s="11"/>
      <c r="BC40" s="11"/>
      <c r="BD40" s="11"/>
      <c r="BE40" s="11"/>
      <c r="BF40" s="11"/>
      <c r="BG40" s="11"/>
      <c r="BH40" s="11"/>
    </row>
    <row r="41" spans="1:60" ht="14.5">
      <c r="A41" s="9" t="s">
        <v>272</v>
      </c>
      <c r="B41" s="9" t="s">
        <v>273</v>
      </c>
      <c r="C41" s="9" t="s">
        <v>274</v>
      </c>
      <c r="D41" s="9" t="s">
        <v>275</v>
      </c>
      <c r="E41" s="9" t="s">
        <v>125</v>
      </c>
      <c r="F41" s="9" t="s">
        <v>69</v>
      </c>
      <c r="G41" s="9" t="s">
        <v>51</v>
      </c>
      <c r="H41" s="9"/>
      <c r="I41" s="9" t="s">
        <v>72</v>
      </c>
      <c r="J41" s="10">
        <v>44224</v>
      </c>
      <c r="K41" s="10">
        <v>44429</v>
      </c>
      <c r="L41" s="10"/>
      <c r="M41" s="10"/>
      <c r="N41" s="9">
        <v>2021</v>
      </c>
      <c r="O41" s="9" t="s">
        <v>276</v>
      </c>
      <c r="P41" s="9" t="s">
        <v>53</v>
      </c>
      <c r="Q41" s="9" t="s">
        <v>83</v>
      </c>
      <c r="R41" s="9" t="s">
        <v>277</v>
      </c>
      <c r="S41" s="9" t="s">
        <v>278</v>
      </c>
      <c r="T41" s="9" t="s">
        <v>279</v>
      </c>
      <c r="U41" s="9"/>
      <c r="V41" s="9"/>
      <c r="W41" s="11">
        <f>IFERROR(VLOOKUP(B41, PlumX_snapshot!$A:$B, 2, FALSE), " ")</f>
        <v>6</v>
      </c>
      <c r="X41" s="11">
        <f>IFERROR(VLOOKUP(B41, PlumX_snapshot!$A:$C, 3, FALSE), " ")</f>
        <v>36</v>
      </c>
      <c r="Y41" s="12">
        <f>IFERROR(VLOOKUP(B41, PlumX_snapshot!$A:$D, 4, FALSE), " ")</f>
        <v>0</v>
      </c>
      <c r="Z41" s="12">
        <f>IFERROR(VLOOKUP(B41, PlumX_snapshot!$A:$E, 5, FALSE), " ")</f>
        <v>0</v>
      </c>
      <c r="AA41" s="12">
        <f>IFERROR(VLOOKUP(B41, PlumX_snapshot!$A:$F, 6, FALSE), " ")</f>
        <v>0</v>
      </c>
      <c r="AB41" s="13">
        <v>44978</v>
      </c>
      <c r="AC41" s="11"/>
      <c r="AD41" s="11"/>
      <c r="AE41" s="11"/>
      <c r="AF41" s="11"/>
      <c r="AG41" s="11"/>
      <c r="AH41" s="11"/>
      <c r="AI41" s="11"/>
      <c r="AJ41" s="11"/>
      <c r="AK41" s="11" t="str">
        <f t="shared" si="0"/>
        <v>2021</v>
      </c>
      <c r="AL41" s="11" t="e">
        <f>VLOOKUP(AK41, Exchange_rates!$C:$D, 2, FALSE)</f>
        <v>#N/A</v>
      </c>
      <c r="AM41" s="14" t="str">
        <f t="shared" si="1"/>
        <v/>
      </c>
      <c r="AN41" s="11"/>
      <c r="AO41" s="11"/>
      <c r="AP41" s="9"/>
      <c r="AQ41" s="15" t="s">
        <v>125</v>
      </c>
      <c r="AR41" t="s">
        <v>280</v>
      </c>
      <c r="AS41" s="16"/>
      <c r="AT41" s="11"/>
      <c r="AU41" s="11"/>
      <c r="AV41" s="11"/>
      <c r="AW41" s="11"/>
      <c r="AX41" s="12"/>
      <c r="AY41" s="11"/>
      <c r="AZ41" s="11"/>
      <c r="BA41" s="11"/>
      <c r="BB41" s="11"/>
      <c r="BC41" s="11"/>
      <c r="BD41" s="11"/>
      <c r="BE41" s="11"/>
      <c r="BF41" s="11"/>
      <c r="BG41" s="11"/>
      <c r="BH41" s="11"/>
    </row>
    <row r="42" spans="1:60" ht="14.5">
      <c r="A42" s="9" t="s">
        <v>281</v>
      </c>
      <c r="B42" s="9" t="s">
        <v>282</v>
      </c>
      <c r="C42" s="9" t="s">
        <v>274</v>
      </c>
      <c r="D42" s="9" t="s">
        <v>275</v>
      </c>
      <c r="E42" s="9" t="s">
        <v>125</v>
      </c>
      <c r="F42" s="9" t="s">
        <v>69</v>
      </c>
      <c r="G42" s="9" t="s">
        <v>51</v>
      </c>
      <c r="H42" s="9"/>
      <c r="I42" s="9" t="s">
        <v>238</v>
      </c>
      <c r="J42" s="10">
        <v>44133</v>
      </c>
      <c r="K42" s="10">
        <v>44410</v>
      </c>
      <c r="L42" s="10"/>
      <c r="M42" s="10"/>
      <c r="N42" s="9">
        <v>2021</v>
      </c>
      <c r="O42" s="9" t="s">
        <v>276</v>
      </c>
      <c r="P42" s="9" t="s">
        <v>53</v>
      </c>
      <c r="Q42" s="9" t="s">
        <v>53</v>
      </c>
      <c r="R42" s="9" t="s">
        <v>283</v>
      </c>
      <c r="T42" s="9" t="s">
        <v>279</v>
      </c>
      <c r="V42" s="9"/>
      <c r="W42" s="11">
        <f>IFERROR(VLOOKUP(B42, PlumX_snapshot!$A:$B, 2, FALSE), " ")</f>
        <v>18</v>
      </c>
      <c r="X42" s="11">
        <f>IFERROR(VLOOKUP(B42, PlumX_snapshot!$A:$C, 3, FALSE), " ")</f>
        <v>36</v>
      </c>
      <c r="Y42" s="12">
        <f>IFERROR(VLOOKUP(B42, PlumX_snapshot!$A:$D, 4, FALSE), " ")</f>
        <v>305</v>
      </c>
      <c r="Z42" s="12">
        <f>IFERROR(VLOOKUP(B42, PlumX_snapshot!$A:$E, 5, FALSE), " ")</f>
        <v>0</v>
      </c>
      <c r="AA42" s="12">
        <f>IFERROR(VLOOKUP(B42, PlumX_snapshot!$A:$F, 6, FALSE), " ")</f>
        <v>4</v>
      </c>
      <c r="AB42" s="13">
        <v>44978</v>
      </c>
      <c r="AC42" s="12"/>
      <c r="AD42" s="12"/>
      <c r="AE42" s="12"/>
      <c r="AF42" s="12"/>
      <c r="AG42" s="12"/>
      <c r="AH42" s="12"/>
      <c r="AI42" s="12"/>
      <c r="AJ42" s="11"/>
      <c r="AK42" s="11" t="str">
        <f t="shared" si="0"/>
        <v>2021</v>
      </c>
      <c r="AL42" s="11" t="e">
        <f>VLOOKUP(AK42, Exchange_rates!$C:$D, 2, FALSE)</f>
        <v>#N/A</v>
      </c>
      <c r="AM42" s="14" t="str">
        <f t="shared" si="1"/>
        <v/>
      </c>
      <c r="AN42" s="11"/>
      <c r="AO42" s="11"/>
      <c r="AP42" s="9"/>
      <c r="AQ42" s="15" t="s">
        <v>125</v>
      </c>
      <c r="AR42" t="s">
        <v>280</v>
      </c>
      <c r="AS42" s="16"/>
      <c r="AT42" s="12"/>
      <c r="AU42" s="12"/>
      <c r="AV42" s="11"/>
      <c r="AW42" s="11"/>
      <c r="AX42" s="12"/>
      <c r="AY42" s="11"/>
      <c r="AZ42" s="11"/>
      <c r="BA42" s="11"/>
      <c r="BB42" s="11"/>
      <c r="BC42" s="11"/>
      <c r="BD42" s="11"/>
      <c r="BE42" s="11"/>
      <c r="BF42" s="11"/>
      <c r="BG42" s="11"/>
      <c r="BH42" s="11"/>
    </row>
    <row r="43" spans="1:60" ht="14.5">
      <c r="A43" s="9" t="s">
        <v>284</v>
      </c>
      <c r="B43" s="9" t="s">
        <v>285</v>
      </c>
      <c r="C43" s="9" t="s">
        <v>286</v>
      </c>
      <c r="D43" s="9" t="s">
        <v>275</v>
      </c>
      <c r="E43" s="9" t="s">
        <v>125</v>
      </c>
      <c r="F43" s="9" t="s">
        <v>69</v>
      </c>
      <c r="G43" s="9" t="s">
        <v>51</v>
      </c>
      <c r="H43" s="9"/>
      <c r="I43" s="9" t="s">
        <v>238</v>
      </c>
      <c r="J43" s="10">
        <v>44264</v>
      </c>
      <c r="K43" s="10">
        <v>44398</v>
      </c>
      <c r="L43" s="10"/>
      <c r="M43" s="10"/>
      <c r="N43" s="9">
        <v>2021</v>
      </c>
      <c r="O43" s="9" t="s">
        <v>276</v>
      </c>
      <c r="P43" s="9" t="s">
        <v>53</v>
      </c>
      <c r="Q43" s="9" t="s">
        <v>53</v>
      </c>
      <c r="R43" s="9" t="s">
        <v>287</v>
      </c>
      <c r="T43" s="9" t="s">
        <v>279</v>
      </c>
      <c r="V43" s="9"/>
      <c r="W43" s="11">
        <f>IFERROR(VLOOKUP(B43, PlumX_snapshot!$A:$B, 2, FALSE), " ")</f>
        <v>5</v>
      </c>
      <c r="X43" s="11">
        <f>IFERROR(VLOOKUP(B43, PlumX_snapshot!$A:$C, 3, FALSE), " ")</f>
        <v>2</v>
      </c>
      <c r="Y43" s="12">
        <f>IFERROR(VLOOKUP(B43, PlumX_snapshot!$A:$D, 4, FALSE), " ")</f>
        <v>0</v>
      </c>
      <c r="Z43" s="12">
        <f>IFERROR(VLOOKUP(B43, PlumX_snapshot!$A:$E, 5, FALSE), " ")</f>
        <v>0</v>
      </c>
      <c r="AA43" s="12">
        <f>IFERROR(VLOOKUP(B43, PlumX_snapshot!$A:$F, 6, FALSE), " ")</f>
        <v>0</v>
      </c>
      <c r="AB43" s="13">
        <v>44978</v>
      </c>
      <c r="AC43" s="12"/>
      <c r="AD43" s="11"/>
      <c r="AE43" s="11"/>
      <c r="AF43" s="11"/>
      <c r="AG43" s="11"/>
      <c r="AH43" s="11"/>
      <c r="AI43" s="11"/>
      <c r="AJ43" s="11"/>
      <c r="AK43" s="11" t="str">
        <f t="shared" si="0"/>
        <v>2021</v>
      </c>
      <c r="AL43" s="11" t="e">
        <f>VLOOKUP(AK43, Exchange_rates!$C:$D, 2, FALSE)</f>
        <v>#N/A</v>
      </c>
      <c r="AM43" s="14" t="str">
        <f t="shared" si="1"/>
        <v/>
      </c>
      <c r="AN43" s="11"/>
      <c r="AO43" s="11"/>
      <c r="AP43" s="9"/>
      <c r="AQ43" s="15" t="s">
        <v>125</v>
      </c>
      <c r="AR43" t="s">
        <v>288</v>
      </c>
      <c r="AS43" s="16"/>
      <c r="AT43" s="11"/>
      <c r="AU43" s="11"/>
      <c r="AV43" s="11"/>
      <c r="AW43" s="11"/>
      <c r="AX43" s="12"/>
      <c r="AY43" s="11"/>
      <c r="AZ43" s="11"/>
      <c r="BA43" s="11"/>
      <c r="BB43" s="11"/>
      <c r="BC43" s="11"/>
      <c r="BD43" s="11"/>
      <c r="BE43" s="11"/>
      <c r="BF43" s="11"/>
      <c r="BG43" s="11"/>
      <c r="BH43" s="11"/>
    </row>
    <row r="44" spans="1:60" ht="14.5">
      <c r="A44" s="9" t="s">
        <v>289</v>
      </c>
      <c r="B44" s="9" t="s">
        <v>290</v>
      </c>
      <c r="C44" s="9" t="s">
        <v>274</v>
      </c>
      <c r="D44" s="9" t="s">
        <v>275</v>
      </c>
      <c r="E44" s="9" t="s">
        <v>125</v>
      </c>
      <c r="F44" s="9" t="s">
        <v>69</v>
      </c>
      <c r="G44" s="9" t="s">
        <v>51</v>
      </c>
      <c r="H44" s="9"/>
      <c r="I44" s="9" t="s">
        <v>291</v>
      </c>
      <c r="J44" s="10">
        <v>44222</v>
      </c>
      <c r="K44" s="10">
        <v>44391</v>
      </c>
      <c r="L44" s="10"/>
      <c r="M44" s="10"/>
      <c r="N44" s="9">
        <v>2021</v>
      </c>
      <c r="O44" s="9" t="s">
        <v>276</v>
      </c>
      <c r="P44" s="9" t="s">
        <v>83</v>
      </c>
      <c r="Q44" s="9" t="s">
        <v>53</v>
      </c>
      <c r="R44" s="9" t="s">
        <v>292</v>
      </c>
      <c r="S44" s="9" t="s">
        <v>278</v>
      </c>
      <c r="T44" s="9" t="s">
        <v>279</v>
      </c>
      <c r="U44" s="9"/>
      <c r="V44" s="9"/>
      <c r="W44" s="11">
        <f>IFERROR(VLOOKUP(B44, PlumX_snapshot!$A:$B, 2, FALSE), " ")</f>
        <v>38</v>
      </c>
      <c r="X44" s="11">
        <f>IFERROR(VLOOKUP(B44, PlumX_snapshot!$A:$C, 3, FALSE), " ")</f>
        <v>58</v>
      </c>
      <c r="Y44" s="12">
        <f>IFERROR(VLOOKUP(B44, PlumX_snapshot!$A:$D, 4, FALSE), " ")</f>
        <v>0</v>
      </c>
      <c r="Z44" s="12">
        <f>IFERROR(VLOOKUP(B44, PlumX_snapshot!$A:$E, 5, FALSE), " ")</f>
        <v>0</v>
      </c>
      <c r="AA44" s="12">
        <f>IFERROR(VLOOKUP(B44, PlumX_snapshot!$A:$F, 6, FALSE), " ")</f>
        <v>0</v>
      </c>
      <c r="AB44" s="13">
        <v>44978</v>
      </c>
      <c r="AC44" s="11"/>
      <c r="AD44" s="11"/>
      <c r="AE44" s="11"/>
      <c r="AF44" s="11"/>
      <c r="AG44" s="11"/>
      <c r="AH44" s="11"/>
      <c r="AI44" s="11"/>
      <c r="AJ44" s="11"/>
      <c r="AK44" s="11" t="str">
        <f t="shared" si="0"/>
        <v>2021</v>
      </c>
      <c r="AL44" s="11" t="e">
        <f>VLOOKUP(AK44, Exchange_rates!$C:$D, 2, FALSE)</f>
        <v>#N/A</v>
      </c>
      <c r="AM44" s="14" t="str">
        <f t="shared" si="1"/>
        <v/>
      </c>
      <c r="AN44" s="11"/>
      <c r="AO44" s="11"/>
      <c r="AP44" s="9"/>
      <c r="AQ44" s="15" t="s">
        <v>125</v>
      </c>
      <c r="AR44" t="s">
        <v>280</v>
      </c>
      <c r="AS44" s="16"/>
      <c r="AT44" s="11"/>
      <c r="AU44" s="11"/>
      <c r="AV44" s="11"/>
      <c r="AW44" s="11"/>
      <c r="AX44" s="12"/>
      <c r="AY44" s="11"/>
      <c r="AZ44" s="11"/>
      <c r="BA44" s="11"/>
      <c r="BB44" s="11"/>
      <c r="BC44" s="11"/>
      <c r="BD44" s="11"/>
      <c r="BE44" s="11"/>
      <c r="BF44" s="11"/>
      <c r="BG44" s="11"/>
      <c r="BH44" s="11"/>
    </row>
    <row r="45" spans="1:60" ht="14.5">
      <c r="A45" s="9" t="s">
        <v>293</v>
      </c>
      <c r="B45" s="9" t="s">
        <v>294</v>
      </c>
      <c r="C45" s="9" t="s">
        <v>274</v>
      </c>
      <c r="D45" s="9" t="s">
        <v>275</v>
      </c>
      <c r="E45" s="9" t="s">
        <v>125</v>
      </c>
      <c r="F45" s="9" t="s">
        <v>69</v>
      </c>
      <c r="G45" s="9" t="s">
        <v>51</v>
      </c>
      <c r="H45" s="9"/>
      <c r="I45" s="9" t="s">
        <v>291</v>
      </c>
      <c r="J45" s="10">
        <v>44105</v>
      </c>
      <c r="K45" s="10">
        <v>44373</v>
      </c>
      <c r="L45" s="10"/>
      <c r="M45" s="10"/>
      <c r="N45" s="9">
        <v>2021</v>
      </c>
      <c r="O45" s="9" t="s">
        <v>276</v>
      </c>
      <c r="P45" s="9" t="s">
        <v>83</v>
      </c>
      <c r="Q45" s="9" t="s">
        <v>53</v>
      </c>
      <c r="R45" s="9" t="s">
        <v>295</v>
      </c>
      <c r="T45" s="9" t="s">
        <v>279</v>
      </c>
      <c r="V45" s="9"/>
      <c r="W45" s="11">
        <f>IFERROR(VLOOKUP(B45, PlumX_snapshot!$A:$B, 2, FALSE), " ")</f>
        <v>70</v>
      </c>
      <c r="X45" s="11">
        <f>IFERROR(VLOOKUP(B45, PlumX_snapshot!$A:$C, 3, FALSE), " ")</f>
        <v>48</v>
      </c>
      <c r="Y45" s="12">
        <f>IFERROR(VLOOKUP(B45, PlumX_snapshot!$A:$D, 4, FALSE), " ")</f>
        <v>4</v>
      </c>
      <c r="Z45" s="12">
        <f>IFERROR(VLOOKUP(B45, PlumX_snapshot!$A:$E, 5, FALSE), " ")</f>
        <v>0</v>
      </c>
      <c r="AA45" s="12">
        <f>IFERROR(VLOOKUP(B45, PlumX_snapshot!$A:$F, 6, FALSE), " ")</f>
        <v>0</v>
      </c>
      <c r="AB45" s="13">
        <v>44978</v>
      </c>
      <c r="AC45" s="12"/>
      <c r="AD45" s="11"/>
      <c r="AE45" s="12"/>
      <c r="AF45" s="12"/>
      <c r="AG45" s="11"/>
      <c r="AH45" s="11"/>
      <c r="AI45" s="11"/>
      <c r="AJ45" s="11"/>
      <c r="AK45" s="11" t="str">
        <f t="shared" si="0"/>
        <v>2021</v>
      </c>
      <c r="AL45" s="11" t="e">
        <f>VLOOKUP(AK45, Exchange_rates!$C:$D, 2, FALSE)</f>
        <v>#N/A</v>
      </c>
      <c r="AM45" s="14" t="str">
        <f t="shared" si="1"/>
        <v/>
      </c>
      <c r="AN45" s="11"/>
      <c r="AO45" s="11"/>
      <c r="AP45" s="9"/>
      <c r="AQ45" s="15" t="s">
        <v>125</v>
      </c>
      <c r="AR45" t="s">
        <v>280</v>
      </c>
      <c r="AS45" s="16"/>
      <c r="AT45" s="11"/>
      <c r="AU45" s="11"/>
      <c r="AV45" s="11"/>
      <c r="AW45" s="11"/>
      <c r="AX45" s="12"/>
      <c r="AY45" s="11"/>
      <c r="AZ45" s="11"/>
      <c r="BA45" s="11"/>
      <c r="BB45" s="11"/>
      <c r="BC45" s="11"/>
      <c r="BD45" s="11"/>
      <c r="BE45" s="11"/>
      <c r="BF45" s="11"/>
      <c r="BG45" s="11"/>
      <c r="BH45" s="11"/>
    </row>
    <row r="46" spans="1:60" ht="14.5">
      <c r="A46" s="9" t="s">
        <v>296</v>
      </c>
      <c r="B46" s="9" t="s">
        <v>297</v>
      </c>
      <c r="C46" s="9" t="s">
        <v>298</v>
      </c>
      <c r="D46" s="9" t="s">
        <v>275</v>
      </c>
      <c r="E46" s="9" t="s">
        <v>49</v>
      </c>
      <c r="F46" s="9" t="s">
        <v>69</v>
      </c>
      <c r="G46" s="9" t="s">
        <v>70</v>
      </c>
      <c r="H46" s="9" t="s">
        <v>299</v>
      </c>
      <c r="I46" s="9" t="s">
        <v>238</v>
      </c>
      <c r="J46" s="10">
        <v>44160</v>
      </c>
      <c r="K46" s="10">
        <v>44369</v>
      </c>
      <c r="L46" s="10"/>
      <c r="M46" s="10"/>
      <c r="N46" s="9">
        <v>2021</v>
      </c>
      <c r="O46" s="9" t="s">
        <v>276</v>
      </c>
      <c r="P46" s="9" t="s">
        <v>83</v>
      </c>
      <c r="Q46" s="9" t="s">
        <v>53</v>
      </c>
      <c r="R46" s="9" t="s">
        <v>300</v>
      </c>
      <c r="T46" s="9"/>
      <c r="V46" s="9"/>
      <c r="W46" s="11">
        <f>IFERROR(VLOOKUP(B46, PlumX_snapshot!$A:$B, 2, FALSE), " ")</f>
        <v>2</v>
      </c>
      <c r="X46" s="11">
        <f>IFERROR(VLOOKUP(B46, PlumX_snapshot!$A:$C, 3, FALSE), " ")</f>
        <v>0</v>
      </c>
      <c r="Y46" s="12">
        <f>IFERROR(VLOOKUP(B46, PlumX_snapshot!$A:$D, 4, FALSE), " ")</f>
        <v>0</v>
      </c>
      <c r="Z46" s="12">
        <f>IFERROR(VLOOKUP(B46, PlumX_snapshot!$A:$E, 5, FALSE), " ")</f>
        <v>0</v>
      </c>
      <c r="AA46" s="12">
        <f>IFERROR(VLOOKUP(B46, PlumX_snapshot!$A:$F, 6, FALSE), " ")</f>
        <v>0</v>
      </c>
      <c r="AB46" s="13">
        <v>44978</v>
      </c>
      <c r="AC46" s="11"/>
      <c r="AD46" s="11"/>
      <c r="AE46" s="11"/>
      <c r="AF46" s="11"/>
      <c r="AG46" s="11"/>
      <c r="AH46" s="11">
        <v>1950</v>
      </c>
      <c r="AI46" s="11" t="s">
        <v>77</v>
      </c>
      <c r="AJ46" s="11" t="s">
        <v>301</v>
      </c>
      <c r="AK46" s="11" t="str">
        <f t="shared" si="0"/>
        <v>2021GBP</v>
      </c>
      <c r="AL46" s="11">
        <f>VLOOKUP(AK46, Exchange_rates!$C:$D, 2, FALSE)</f>
        <v>1</v>
      </c>
      <c r="AM46" s="14">
        <f t="shared" si="1"/>
        <v>2340</v>
      </c>
      <c r="AN46" s="11"/>
      <c r="AO46" s="11"/>
      <c r="AP46" s="9"/>
      <c r="AQ46" s="15" t="s">
        <v>49</v>
      </c>
      <c r="AR46" t="s">
        <v>302</v>
      </c>
      <c r="AS46" s="16" t="s">
        <v>303</v>
      </c>
      <c r="AT46" s="11"/>
      <c r="AU46" s="11"/>
      <c r="AV46" s="11"/>
      <c r="AW46" s="11"/>
      <c r="AX46" s="11"/>
      <c r="AY46" s="11"/>
      <c r="AZ46" s="11"/>
      <c r="BA46" s="11"/>
      <c r="BB46" s="11"/>
      <c r="BC46" s="11"/>
      <c r="BD46" s="11"/>
      <c r="BE46" s="11"/>
      <c r="BF46" s="11"/>
      <c r="BG46" s="11"/>
      <c r="BH46" s="11"/>
    </row>
    <row r="47" spans="1:60" ht="14.5">
      <c r="A47" s="9" t="s">
        <v>304</v>
      </c>
      <c r="B47" s="9" t="s">
        <v>305</v>
      </c>
      <c r="C47" s="9" t="s">
        <v>306</v>
      </c>
      <c r="D47" s="9" t="s">
        <v>275</v>
      </c>
      <c r="E47" s="9" t="s">
        <v>49</v>
      </c>
      <c r="F47" s="9" t="s">
        <v>69</v>
      </c>
      <c r="G47" s="9" t="s">
        <v>51</v>
      </c>
      <c r="H47" s="9"/>
      <c r="I47" s="9" t="s">
        <v>72</v>
      </c>
      <c r="J47" s="10">
        <v>44251</v>
      </c>
      <c r="K47" s="10">
        <v>44345</v>
      </c>
      <c r="L47" s="10"/>
      <c r="M47" s="10"/>
      <c r="N47" s="9">
        <v>2021</v>
      </c>
      <c r="O47" s="9" t="s">
        <v>276</v>
      </c>
      <c r="P47" s="9" t="s">
        <v>53</v>
      </c>
      <c r="Q47" s="9" t="s">
        <v>53</v>
      </c>
      <c r="R47" s="9" t="s">
        <v>307</v>
      </c>
      <c r="T47" s="9" t="s">
        <v>279</v>
      </c>
      <c r="V47" s="9"/>
      <c r="W47" s="11">
        <f>IFERROR(VLOOKUP(B47, PlumX_snapshot!$A:$B, 2, FALSE), " ")</f>
        <v>20</v>
      </c>
      <c r="X47" s="11">
        <f>IFERROR(VLOOKUP(B47, PlumX_snapshot!$A:$C, 3, FALSE), " ")</f>
        <v>4</v>
      </c>
      <c r="Y47" s="12">
        <f>IFERROR(VLOOKUP(B47, PlumX_snapshot!$A:$D, 4, FALSE), " ")</f>
        <v>25</v>
      </c>
      <c r="Z47" s="12">
        <f>IFERROR(VLOOKUP(B47, PlumX_snapshot!$A:$E, 5, FALSE), " ")</f>
        <v>0</v>
      </c>
      <c r="AA47" s="12">
        <f>IFERROR(VLOOKUP(B47, PlumX_snapshot!$A:$F, 6, FALSE), " ")</f>
        <v>0</v>
      </c>
      <c r="AB47" s="13">
        <v>44978</v>
      </c>
      <c r="AC47" s="12"/>
      <c r="AD47" s="12"/>
      <c r="AE47" s="12"/>
      <c r="AF47" s="12"/>
      <c r="AG47" s="11"/>
      <c r="AH47" s="11"/>
      <c r="AI47" s="11"/>
      <c r="AJ47" s="11"/>
      <c r="AK47" s="11" t="str">
        <f t="shared" si="0"/>
        <v>2021</v>
      </c>
      <c r="AL47" s="11" t="e">
        <f>VLOOKUP(AK47, Exchange_rates!$C:$D, 2, FALSE)</f>
        <v>#N/A</v>
      </c>
      <c r="AM47" s="14" t="str">
        <f t="shared" si="1"/>
        <v/>
      </c>
      <c r="AN47" s="11"/>
      <c r="AO47" s="11"/>
      <c r="AP47" s="9"/>
      <c r="AQ47" s="15" t="s">
        <v>49</v>
      </c>
      <c r="AR47" t="s">
        <v>308</v>
      </c>
      <c r="AS47" s="16" t="s">
        <v>309</v>
      </c>
      <c r="AT47" s="12"/>
      <c r="AU47" s="12"/>
      <c r="AV47" s="11"/>
      <c r="AW47" s="11"/>
      <c r="AX47" s="12"/>
      <c r="AY47" s="11"/>
      <c r="AZ47" s="11"/>
      <c r="BA47" s="11"/>
      <c r="BB47" s="11"/>
      <c r="BC47" s="11"/>
      <c r="BD47" s="11"/>
      <c r="BE47" s="11"/>
      <c r="BF47" s="11"/>
      <c r="BG47" s="11"/>
      <c r="BH47" s="11"/>
    </row>
    <row r="48" spans="1:60" ht="14.5">
      <c r="A48" s="9" t="s">
        <v>310</v>
      </c>
      <c r="B48" s="9" t="s">
        <v>311</v>
      </c>
      <c r="C48" s="9" t="s">
        <v>274</v>
      </c>
      <c r="D48" s="9" t="s">
        <v>275</v>
      </c>
      <c r="E48" s="9" t="s">
        <v>125</v>
      </c>
      <c r="F48" s="9" t="s">
        <v>69</v>
      </c>
      <c r="G48" s="9" t="s">
        <v>51</v>
      </c>
      <c r="H48" s="9"/>
      <c r="I48" s="9" t="s">
        <v>72</v>
      </c>
      <c r="J48" s="10">
        <v>44200</v>
      </c>
      <c r="K48" s="10">
        <v>44306</v>
      </c>
      <c r="L48" s="10"/>
      <c r="M48" s="10"/>
      <c r="N48" s="9">
        <v>2021</v>
      </c>
      <c r="O48" s="9" t="s">
        <v>276</v>
      </c>
      <c r="P48" s="9" t="s">
        <v>53</v>
      </c>
      <c r="Q48" s="9" t="s">
        <v>53</v>
      </c>
      <c r="R48" s="9" t="s">
        <v>312</v>
      </c>
      <c r="T48" s="9" t="s">
        <v>279</v>
      </c>
      <c r="V48" s="9"/>
      <c r="W48" s="11">
        <f>IFERROR(VLOOKUP(B48, PlumX_snapshot!$A:$B, 2, FALSE), " ")</f>
        <v>55</v>
      </c>
      <c r="X48" s="11">
        <f>IFERROR(VLOOKUP(B48, PlumX_snapshot!$A:$C, 3, FALSE), " ")</f>
        <v>27</v>
      </c>
      <c r="Y48" s="12">
        <f>IFERROR(VLOOKUP(B48, PlumX_snapshot!$A:$D, 4, FALSE), " ")</f>
        <v>17</v>
      </c>
      <c r="Z48" s="12">
        <f>IFERROR(VLOOKUP(B48, PlumX_snapshot!$A:$E, 5, FALSE), " ")</f>
        <v>0</v>
      </c>
      <c r="AA48" s="12">
        <f>IFERROR(VLOOKUP(B48, PlumX_snapshot!$A:$F, 6, FALSE), " ")</f>
        <v>0</v>
      </c>
      <c r="AB48" s="13">
        <v>44978</v>
      </c>
      <c r="AC48" s="12"/>
      <c r="AD48" s="11"/>
      <c r="AE48" s="12"/>
      <c r="AF48" s="12"/>
      <c r="AG48" s="11"/>
      <c r="AH48" s="11"/>
      <c r="AI48" s="11"/>
      <c r="AJ48" s="11"/>
      <c r="AK48" s="11" t="str">
        <f t="shared" si="0"/>
        <v>2021</v>
      </c>
      <c r="AL48" s="11" t="e">
        <f>VLOOKUP(AK48, Exchange_rates!$C:$D, 2, FALSE)</f>
        <v>#N/A</v>
      </c>
      <c r="AM48" s="14" t="str">
        <f t="shared" si="1"/>
        <v/>
      </c>
      <c r="AN48" s="11"/>
      <c r="AO48" s="11"/>
      <c r="AP48" s="9"/>
      <c r="AQ48" s="15" t="s">
        <v>125</v>
      </c>
      <c r="AR48" t="s">
        <v>280</v>
      </c>
      <c r="AS48" s="16"/>
      <c r="AT48" s="11"/>
      <c r="AU48" s="11"/>
      <c r="AV48" s="11"/>
      <c r="AW48" s="11"/>
      <c r="AX48" s="12"/>
      <c r="AY48" s="11"/>
      <c r="AZ48" s="11"/>
      <c r="BA48" s="11"/>
      <c r="BB48" s="11"/>
      <c r="BC48" s="11"/>
      <c r="BD48" s="11"/>
      <c r="BE48" s="11"/>
      <c r="BF48" s="11"/>
      <c r="BG48" s="11"/>
      <c r="BH48" s="11"/>
    </row>
    <row r="49" spans="1:60" ht="14.5">
      <c r="A49" s="9" t="s">
        <v>313</v>
      </c>
      <c r="B49" s="9" t="s">
        <v>314</v>
      </c>
      <c r="C49" s="9" t="s">
        <v>274</v>
      </c>
      <c r="D49" s="9" t="s">
        <v>275</v>
      </c>
      <c r="E49" s="9" t="s">
        <v>125</v>
      </c>
      <c r="F49" s="9" t="s">
        <v>69</v>
      </c>
      <c r="G49" s="9" t="s">
        <v>51</v>
      </c>
      <c r="H49" s="9"/>
      <c r="I49" s="9" t="s">
        <v>72</v>
      </c>
      <c r="J49" s="10">
        <v>44085</v>
      </c>
      <c r="K49" s="10">
        <v>44305</v>
      </c>
      <c r="L49" s="10"/>
      <c r="M49" s="10"/>
      <c r="N49" s="9">
        <v>2021</v>
      </c>
      <c r="O49" s="9" t="s">
        <v>276</v>
      </c>
      <c r="P49" s="9" t="s">
        <v>83</v>
      </c>
      <c r="Q49" s="9" t="s">
        <v>53</v>
      </c>
      <c r="R49" s="9" t="s">
        <v>315</v>
      </c>
      <c r="T49" s="9" t="s">
        <v>279</v>
      </c>
      <c r="V49" s="9"/>
      <c r="W49" s="11">
        <f>IFERROR(VLOOKUP(B49, PlumX_snapshot!$A:$B, 2, FALSE), " ")</f>
        <v>22</v>
      </c>
      <c r="X49" s="11">
        <f>IFERROR(VLOOKUP(B49, PlumX_snapshot!$A:$C, 3, FALSE), " ")</f>
        <v>54</v>
      </c>
      <c r="Y49" s="12">
        <f>IFERROR(VLOOKUP(B49, PlumX_snapshot!$A:$D, 4, FALSE), " ")</f>
        <v>1</v>
      </c>
      <c r="Z49" s="12">
        <f>IFERROR(VLOOKUP(B49, PlumX_snapshot!$A:$E, 5, FALSE), " ")</f>
        <v>0</v>
      </c>
      <c r="AA49" s="12">
        <f>IFERROR(VLOOKUP(B49, PlumX_snapshot!$A:$F, 6, FALSE), " ")</f>
        <v>0</v>
      </c>
      <c r="AB49" s="13">
        <v>44978</v>
      </c>
      <c r="AC49" s="12"/>
      <c r="AD49" s="11"/>
      <c r="AE49" s="12"/>
      <c r="AF49" s="12"/>
      <c r="AG49" s="11"/>
      <c r="AH49" s="11"/>
      <c r="AI49" s="11"/>
      <c r="AJ49" s="11"/>
      <c r="AK49" s="11" t="str">
        <f t="shared" si="0"/>
        <v>2021</v>
      </c>
      <c r="AL49" s="11" t="e">
        <f>VLOOKUP(AK49, Exchange_rates!$C:$D, 2, FALSE)</f>
        <v>#N/A</v>
      </c>
      <c r="AM49" s="14" t="str">
        <f t="shared" si="1"/>
        <v/>
      </c>
      <c r="AN49" s="11"/>
      <c r="AO49" s="11"/>
      <c r="AP49" s="9"/>
      <c r="AQ49" s="15" t="s">
        <v>125</v>
      </c>
      <c r="AR49" t="s">
        <v>280</v>
      </c>
      <c r="AS49" s="16"/>
      <c r="AT49" s="11"/>
      <c r="AU49" s="11"/>
      <c r="AV49" s="11"/>
      <c r="AW49" s="11"/>
      <c r="AX49" s="12"/>
      <c r="AY49" s="11"/>
      <c r="AZ49" s="11"/>
      <c r="BA49" s="11"/>
      <c r="BB49" s="11"/>
      <c r="BC49" s="11"/>
      <c r="BD49" s="11"/>
      <c r="BE49" s="11"/>
      <c r="BF49" s="11"/>
      <c r="BG49" s="11"/>
      <c r="BH49" s="11"/>
    </row>
    <row r="50" spans="1:60" ht="14.5">
      <c r="A50" s="9" t="s">
        <v>316</v>
      </c>
      <c r="B50" s="9" t="s">
        <v>317</v>
      </c>
      <c r="C50" s="9" t="s">
        <v>274</v>
      </c>
      <c r="D50" s="9" t="s">
        <v>275</v>
      </c>
      <c r="E50" s="9" t="s">
        <v>125</v>
      </c>
      <c r="F50" s="9" t="s">
        <v>69</v>
      </c>
      <c r="G50" s="9" t="s">
        <v>51</v>
      </c>
      <c r="H50" s="9"/>
      <c r="J50" s="10">
        <v>44105</v>
      </c>
      <c r="K50" s="10">
        <v>44306</v>
      </c>
      <c r="L50" s="10"/>
      <c r="M50" s="10"/>
      <c r="N50" s="9">
        <v>2021</v>
      </c>
      <c r="O50" s="9" t="s">
        <v>276</v>
      </c>
      <c r="P50" s="9" t="s">
        <v>53</v>
      </c>
      <c r="Q50" s="9" t="s">
        <v>53</v>
      </c>
      <c r="R50" s="9" t="s">
        <v>318</v>
      </c>
      <c r="S50" s="9" t="s">
        <v>319</v>
      </c>
      <c r="T50" s="9" t="s">
        <v>279</v>
      </c>
      <c r="U50" s="9"/>
      <c r="V50" s="9"/>
      <c r="W50" s="11">
        <f>IFERROR(VLOOKUP(B50, PlumX_snapshot!$A:$B, 2, FALSE), " ")</f>
        <v>14</v>
      </c>
      <c r="X50" s="11">
        <f>IFERROR(VLOOKUP(B50, PlumX_snapshot!$A:$C, 3, FALSE), " ")</f>
        <v>43</v>
      </c>
      <c r="Y50" s="12">
        <f>IFERROR(VLOOKUP(B50, PlumX_snapshot!$A:$D, 4, FALSE), " ")</f>
        <v>0</v>
      </c>
      <c r="Z50" s="12">
        <f>IFERROR(VLOOKUP(B50, PlumX_snapshot!$A:$E, 5, FALSE), " ")</f>
        <v>0</v>
      </c>
      <c r="AA50" s="12">
        <f>IFERROR(VLOOKUP(B50, PlumX_snapshot!$A:$F, 6, FALSE), " ")</f>
        <v>0</v>
      </c>
      <c r="AB50" s="13">
        <v>44978</v>
      </c>
      <c r="AC50" s="12"/>
      <c r="AD50" s="11"/>
      <c r="AE50" s="11"/>
      <c r="AF50" s="11"/>
      <c r="AG50" s="11"/>
      <c r="AH50" s="11"/>
      <c r="AI50" s="11"/>
      <c r="AJ50" s="11"/>
      <c r="AK50" s="11" t="str">
        <f t="shared" si="0"/>
        <v>2021</v>
      </c>
      <c r="AL50" s="11" t="e">
        <f>VLOOKUP(AK50, Exchange_rates!$C:$D, 2, FALSE)</f>
        <v>#N/A</v>
      </c>
      <c r="AM50" s="14" t="str">
        <f t="shared" si="1"/>
        <v/>
      </c>
      <c r="AN50" s="11"/>
      <c r="AO50" s="11"/>
      <c r="AP50" s="9"/>
      <c r="AQ50" s="15" t="s">
        <v>125</v>
      </c>
      <c r="AR50" t="s">
        <v>280</v>
      </c>
      <c r="AS50" s="16"/>
      <c r="AT50" s="11"/>
      <c r="AU50" s="11"/>
      <c r="AV50" s="11"/>
      <c r="AW50" s="11"/>
      <c r="AX50" s="12"/>
      <c r="AY50" s="11"/>
      <c r="AZ50" s="11"/>
      <c r="BA50" s="11"/>
      <c r="BB50" s="11"/>
      <c r="BC50" s="11"/>
      <c r="BD50" s="11"/>
      <c r="BE50" s="11"/>
      <c r="BF50" s="11"/>
      <c r="BG50" s="11"/>
      <c r="BH50" s="11"/>
    </row>
    <row r="51" spans="1:60" ht="14.5">
      <c r="A51" s="9" t="s">
        <v>320</v>
      </c>
      <c r="B51" s="9" t="s">
        <v>321</v>
      </c>
      <c r="C51" s="9" t="s">
        <v>274</v>
      </c>
      <c r="D51" s="9" t="s">
        <v>275</v>
      </c>
      <c r="E51" s="9" t="s">
        <v>125</v>
      </c>
      <c r="F51" s="9" t="s">
        <v>69</v>
      </c>
      <c r="G51" s="9" t="s">
        <v>51</v>
      </c>
      <c r="H51" s="9"/>
      <c r="I51" s="9" t="s">
        <v>291</v>
      </c>
      <c r="J51" s="10">
        <v>44043</v>
      </c>
      <c r="K51" s="10">
        <v>44268</v>
      </c>
      <c r="L51" s="10"/>
      <c r="M51" s="10"/>
      <c r="N51" s="9">
        <v>2021</v>
      </c>
      <c r="O51" s="9" t="s">
        <v>276</v>
      </c>
      <c r="P51" s="9" t="s">
        <v>53</v>
      </c>
      <c r="Q51" s="9" t="s">
        <v>53</v>
      </c>
      <c r="R51" s="9" t="s">
        <v>307</v>
      </c>
      <c r="T51" s="9" t="s">
        <v>279</v>
      </c>
      <c r="V51" s="9"/>
      <c r="W51" s="11">
        <f>IFERROR(VLOOKUP(B51, PlumX_snapshot!$A:$B, 2, FALSE), " ")</f>
        <v>35</v>
      </c>
      <c r="X51" s="11">
        <f>IFERROR(VLOOKUP(B51, PlumX_snapshot!$A:$C, 3, FALSE), " ")</f>
        <v>54</v>
      </c>
      <c r="Y51" s="12">
        <f>IFERROR(VLOOKUP(B51, PlumX_snapshot!$A:$D, 4, FALSE), " ")</f>
        <v>0</v>
      </c>
      <c r="Z51" s="12">
        <f>IFERROR(VLOOKUP(B51, PlumX_snapshot!$A:$E, 5, FALSE), " ")</f>
        <v>0</v>
      </c>
      <c r="AA51" s="12">
        <f>IFERROR(VLOOKUP(B51, PlumX_snapshot!$A:$F, 6, FALSE), " ")</f>
        <v>0</v>
      </c>
      <c r="AB51" s="13">
        <v>44978</v>
      </c>
      <c r="AC51" s="11"/>
      <c r="AD51" s="11"/>
      <c r="AE51" s="11"/>
      <c r="AF51" s="11"/>
      <c r="AG51" s="11"/>
      <c r="AH51" s="11"/>
      <c r="AI51" s="11"/>
      <c r="AJ51" s="11"/>
      <c r="AK51" s="11" t="str">
        <f t="shared" si="0"/>
        <v>2021</v>
      </c>
      <c r="AL51" s="11" t="e">
        <f>VLOOKUP(AK51, Exchange_rates!$C:$D, 2, FALSE)</f>
        <v>#N/A</v>
      </c>
      <c r="AM51" s="14" t="str">
        <f t="shared" si="1"/>
        <v/>
      </c>
      <c r="AN51" s="11"/>
      <c r="AO51" s="11"/>
      <c r="AP51" s="9"/>
      <c r="AQ51" s="15" t="s">
        <v>125</v>
      </c>
      <c r="AR51" t="s">
        <v>280</v>
      </c>
      <c r="AS51" s="16"/>
      <c r="AT51" s="11"/>
      <c r="AU51" s="11"/>
      <c r="AV51" s="11"/>
      <c r="AW51" s="11"/>
      <c r="AX51" s="12"/>
      <c r="AY51" s="11"/>
      <c r="AZ51" s="11"/>
      <c r="BA51" s="11"/>
      <c r="BB51" s="11"/>
      <c r="BC51" s="11"/>
      <c r="BD51" s="11"/>
      <c r="BE51" s="11"/>
      <c r="BF51" s="11"/>
      <c r="BG51" s="11"/>
      <c r="BH51" s="11"/>
    </row>
    <row r="52" spans="1:60" ht="14.5">
      <c r="A52" s="9" t="s">
        <v>322</v>
      </c>
      <c r="B52" s="9" t="s">
        <v>323</v>
      </c>
      <c r="C52" s="9" t="s">
        <v>274</v>
      </c>
      <c r="D52" s="9" t="s">
        <v>275</v>
      </c>
      <c r="E52" s="9" t="s">
        <v>125</v>
      </c>
      <c r="F52" s="9" t="s">
        <v>69</v>
      </c>
      <c r="G52" s="9" t="s">
        <v>51</v>
      </c>
      <c r="H52" s="9"/>
      <c r="I52" s="9" t="s">
        <v>291</v>
      </c>
      <c r="J52" s="10">
        <v>43986</v>
      </c>
      <c r="K52" s="10">
        <v>44236</v>
      </c>
      <c r="L52" s="10"/>
      <c r="M52" s="10"/>
      <c r="N52" s="9">
        <v>2021</v>
      </c>
      <c r="O52" s="9" t="s">
        <v>276</v>
      </c>
      <c r="P52" s="9" t="s">
        <v>53</v>
      </c>
      <c r="Q52" s="9" t="s">
        <v>53</v>
      </c>
      <c r="R52" s="9" t="s">
        <v>324</v>
      </c>
      <c r="T52" s="9" t="s">
        <v>279</v>
      </c>
      <c r="V52" s="9"/>
      <c r="W52" s="11">
        <f>IFERROR(VLOOKUP(B52, PlumX_snapshot!$A:$B, 2, FALSE), " ")</f>
        <v>13</v>
      </c>
      <c r="X52" s="11">
        <f>IFERROR(VLOOKUP(B52, PlumX_snapshot!$A:$C, 3, FALSE), " ")</f>
        <v>43</v>
      </c>
      <c r="Y52" s="12">
        <f>IFERROR(VLOOKUP(B52, PlumX_snapshot!$A:$D, 4, FALSE), " ")</f>
        <v>3</v>
      </c>
      <c r="Z52" s="12">
        <f>IFERROR(VLOOKUP(B52, PlumX_snapshot!$A:$E, 5, FALSE), " ")</f>
        <v>0</v>
      </c>
      <c r="AA52" s="12">
        <f>IFERROR(VLOOKUP(B52, PlumX_snapshot!$A:$F, 6, FALSE), " ")</f>
        <v>0</v>
      </c>
      <c r="AB52" s="13">
        <v>44978</v>
      </c>
      <c r="AC52" s="12"/>
      <c r="AD52" s="12"/>
      <c r="AE52" s="12"/>
      <c r="AF52" s="12"/>
      <c r="AG52" s="11"/>
      <c r="AH52" s="11"/>
      <c r="AI52" s="11"/>
      <c r="AJ52" s="11"/>
      <c r="AK52" s="11" t="str">
        <f t="shared" si="0"/>
        <v>2021</v>
      </c>
      <c r="AL52" s="11" t="e">
        <f>VLOOKUP(AK52, Exchange_rates!$C:$D, 2, FALSE)</f>
        <v>#N/A</v>
      </c>
      <c r="AM52" s="14" t="str">
        <f t="shared" si="1"/>
        <v/>
      </c>
      <c r="AN52" s="11"/>
      <c r="AO52" s="11"/>
      <c r="AP52" s="9"/>
      <c r="AQ52" s="15" t="s">
        <v>125</v>
      </c>
      <c r="AR52" t="s">
        <v>280</v>
      </c>
      <c r="AS52" s="16"/>
      <c r="AT52" s="11"/>
      <c r="AU52" s="11"/>
      <c r="AV52" s="11"/>
      <c r="AW52" s="11"/>
      <c r="AX52" s="12"/>
      <c r="AY52" s="11"/>
      <c r="AZ52" s="11"/>
      <c r="BA52" s="11"/>
      <c r="BB52" s="11"/>
      <c r="BC52" s="11"/>
      <c r="BD52" s="11"/>
      <c r="BE52" s="11"/>
      <c r="BF52" s="11"/>
      <c r="BG52" s="11"/>
      <c r="BH52" s="11"/>
    </row>
    <row r="53" spans="1:60" ht="14.5">
      <c r="A53" s="9" t="s">
        <v>325</v>
      </c>
      <c r="B53" s="9" t="s">
        <v>326</v>
      </c>
      <c r="C53" s="9" t="s">
        <v>327</v>
      </c>
      <c r="D53" s="9" t="s">
        <v>275</v>
      </c>
      <c r="E53" s="9" t="s">
        <v>49</v>
      </c>
      <c r="F53" s="9" t="s">
        <v>69</v>
      </c>
      <c r="G53" s="9" t="s">
        <v>51</v>
      </c>
      <c r="H53" s="9"/>
      <c r="I53" s="9" t="s">
        <v>72</v>
      </c>
      <c r="J53" s="10">
        <v>44081</v>
      </c>
      <c r="K53" s="10">
        <v>44231</v>
      </c>
      <c r="L53" s="10"/>
      <c r="M53" s="10"/>
      <c r="N53" s="9">
        <v>2021</v>
      </c>
      <c r="O53" s="9" t="s">
        <v>276</v>
      </c>
      <c r="P53" s="9" t="s">
        <v>53</v>
      </c>
      <c r="Q53" s="9" t="s">
        <v>53</v>
      </c>
      <c r="R53" s="9" t="s">
        <v>307</v>
      </c>
      <c r="T53" s="9" t="s">
        <v>328</v>
      </c>
      <c r="U53" s="9" t="s">
        <v>329</v>
      </c>
      <c r="V53" s="9"/>
      <c r="W53" s="11">
        <f>IFERROR(VLOOKUP(B53, PlumX_snapshot!$A:$B, 2, FALSE), " ")</f>
        <v>58</v>
      </c>
      <c r="X53" s="11">
        <f>IFERROR(VLOOKUP(B53, PlumX_snapshot!$A:$C, 3, FALSE), " ")</f>
        <v>8</v>
      </c>
      <c r="Y53" s="12">
        <f>IFERROR(VLOOKUP(B53, PlumX_snapshot!$A:$D, 4, FALSE), " ")</f>
        <v>50</v>
      </c>
      <c r="Z53" s="12">
        <f>IFERROR(VLOOKUP(B53, PlumX_snapshot!$A:$E, 5, FALSE), " ")</f>
        <v>0</v>
      </c>
      <c r="AA53" s="12">
        <f>IFERROR(VLOOKUP(B53, PlumX_snapshot!$A:$F, 6, FALSE), " ")</f>
        <v>0</v>
      </c>
      <c r="AB53" s="13">
        <v>44978</v>
      </c>
      <c r="AC53" s="12"/>
      <c r="AD53" s="12"/>
      <c r="AE53" s="12"/>
      <c r="AF53" s="12"/>
      <c r="AG53" s="11"/>
      <c r="AH53" s="11"/>
      <c r="AI53" s="11"/>
      <c r="AJ53" s="11"/>
      <c r="AK53" s="11" t="str">
        <f t="shared" si="0"/>
        <v>2021</v>
      </c>
      <c r="AL53" s="11" t="e">
        <f>VLOOKUP(AK53, Exchange_rates!$C:$D, 2, FALSE)</f>
        <v>#N/A</v>
      </c>
      <c r="AM53" s="14" t="str">
        <f t="shared" si="1"/>
        <v/>
      </c>
      <c r="AN53" s="11"/>
      <c r="AO53" s="11"/>
      <c r="AP53" s="9"/>
      <c r="AQ53" s="15" t="s">
        <v>49</v>
      </c>
      <c r="AR53" t="s">
        <v>330</v>
      </c>
      <c r="AS53" s="16" t="s">
        <v>331</v>
      </c>
      <c r="AT53" s="11"/>
      <c r="AU53" s="11"/>
      <c r="AV53" s="11"/>
      <c r="AW53" s="11"/>
      <c r="AX53" s="12"/>
      <c r="AY53" s="11"/>
      <c r="AZ53" s="11"/>
      <c r="BA53" s="11"/>
      <c r="BB53" s="11"/>
      <c r="BC53" s="11"/>
      <c r="BD53" s="11"/>
      <c r="BE53" s="11"/>
      <c r="BF53" s="11"/>
      <c r="BG53" s="11"/>
      <c r="BH53" s="11"/>
    </row>
    <row r="54" spans="1:60" ht="14.5">
      <c r="A54" s="9" t="s">
        <v>332</v>
      </c>
      <c r="B54" s="9" t="s">
        <v>333</v>
      </c>
      <c r="C54" s="9" t="s">
        <v>334</v>
      </c>
      <c r="D54" s="9" t="s">
        <v>275</v>
      </c>
      <c r="E54" s="9" t="s">
        <v>49</v>
      </c>
      <c r="F54" s="9" t="s">
        <v>50</v>
      </c>
      <c r="G54" s="9" t="s">
        <v>51</v>
      </c>
      <c r="H54" s="9"/>
      <c r="J54" s="10">
        <v>44287</v>
      </c>
      <c r="K54" s="10">
        <v>44348</v>
      </c>
      <c r="L54" s="10"/>
      <c r="M54" s="10">
        <v>44393</v>
      </c>
      <c r="N54" s="9">
        <v>2021</v>
      </c>
      <c r="O54" s="9" t="s">
        <v>335</v>
      </c>
      <c r="P54" s="9" t="s">
        <v>53</v>
      </c>
      <c r="Q54" s="9" t="s">
        <v>53</v>
      </c>
      <c r="R54" s="9" t="s">
        <v>336</v>
      </c>
      <c r="T54" s="9" t="s">
        <v>328</v>
      </c>
      <c r="U54" s="9" t="s">
        <v>329</v>
      </c>
      <c r="V54" s="9"/>
      <c r="W54" s="11">
        <f>IFERROR(VLOOKUP(B54, PlumX_snapshot!$A:$B, 2, FALSE), " ")</f>
        <v>44</v>
      </c>
      <c r="X54" s="11">
        <f>IFERROR(VLOOKUP(B54, PlumX_snapshot!$A:$C, 3, FALSE), " ")</f>
        <v>3</v>
      </c>
      <c r="Y54" s="12">
        <f>IFERROR(VLOOKUP(B54, PlumX_snapshot!$A:$D, 4, FALSE), " ")</f>
        <v>94</v>
      </c>
      <c r="Z54" s="12">
        <f>IFERROR(VLOOKUP(B54, PlumX_snapshot!$A:$E, 5, FALSE), " ")</f>
        <v>0</v>
      </c>
      <c r="AA54" s="12">
        <f>IFERROR(VLOOKUP(B54, PlumX_snapshot!$A:$F, 6, FALSE), " ")</f>
        <v>0</v>
      </c>
      <c r="AB54" s="13">
        <v>44978</v>
      </c>
      <c r="AC54" s="12"/>
      <c r="AD54" s="12"/>
      <c r="AE54" s="12"/>
      <c r="AF54" s="12"/>
      <c r="AG54" s="11"/>
      <c r="AH54" s="11"/>
      <c r="AI54" s="11"/>
      <c r="AJ54" s="11"/>
      <c r="AK54" s="11" t="str">
        <f t="shared" si="0"/>
        <v>2021</v>
      </c>
      <c r="AL54" s="11" t="e">
        <f>VLOOKUP(AK54, Exchange_rates!$C:$D, 2, FALSE)</f>
        <v>#N/A</v>
      </c>
      <c r="AM54" s="14" t="str">
        <f t="shared" si="1"/>
        <v/>
      </c>
      <c r="AN54" s="11"/>
      <c r="AO54" s="11"/>
      <c r="AP54" s="9"/>
      <c r="AQ54" s="15" t="s">
        <v>49</v>
      </c>
      <c r="AR54" t="s">
        <v>337</v>
      </c>
      <c r="AS54" s="16" t="s">
        <v>338</v>
      </c>
      <c r="AT54" s="12"/>
      <c r="AU54" s="12"/>
      <c r="AV54" s="11"/>
      <c r="AW54" s="11"/>
      <c r="AX54" s="12"/>
      <c r="AY54" s="11"/>
      <c r="AZ54" s="11"/>
      <c r="BA54" s="11"/>
      <c r="BB54" s="11"/>
      <c r="BC54" s="11"/>
      <c r="BD54" s="11"/>
      <c r="BE54" s="11"/>
      <c r="BF54" s="11"/>
      <c r="BG54" s="11"/>
      <c r="BH54" s="11"/>
    </row>
    <row r="55" spans="1:60" ht="14.5">
      <c r="A55" s="9" t="s">
        <v>339</v>
      </c>
      <c r="B55" s="9" t="s">
        <v>340</v>
      </c>
      <c r="C55" s="9" t="s">
        <v>306</v>
      </c>
      <c r="D55" s="9" t="s">
        <v>275</v>
      </c>
      <c r="E55" s="9" t="s">
        <v>49</v>
      </c>
      <c r="F55" s="9" t="s">
        <v>50</v>
      </c>
      <c r="G55" s="9" t="s">
        <v>51</v>
      </c>
      <c r="H55" s="9"/>
      <c r="J55" s="10">
        <v>44287</v>
      </c>
      <c r="K55" s="10">
        <v>44287</v>
      </c>
      <c r="L55" s="10"/>
      <c r="M55" s="10">
        <v>44323</v>
      </c>
      <c r="N55" s="9">
        <v>2021</v>
      </c>
      <c r="O55" s="9" t="s">
        <v>335</v>
      </c>
      <c r="P55" s="9" t="s">
        <v>53</v>
      </c>
      <c r="Q55" s="9" t="s">
        <v>53</v>
      </c>
      <c r="R55" s="9" t="s">
        <v>341</v>
      </c>
      <c r="S55" s="9" t="s">
        <v>342</v>
      </c>
      <c r="T55" s="9" t="s">
        <v>279</v>
      </c>
      <c r="U55" s="9"/>
      <c r="V55" s="9"/>
      <c r="W55" s="11">
        <f>IFERROR(VLOOKUP(B55, PlumX_snapshot!$A:$B, 2, FALSE), " ")</f>
        <v>14</v>
      </c>
      <c r="X55" s="11">
        <f>IFERROR(VLOOKUP(B55, PlumX_snapshot!$A:$C, 3, FALSE), " ")</f>
        <v>1</v>
      </c>
      <c r="Y55" s="12">
        <f>IFERROR(VLOOKUP(B55, PlumX_snapshot!$A:$D, 4, FALSE), " ")</f>
        <v>22</v>
      </c>
      <c r="Z55" s="12">
        <f>IFERROR(VLOOKUP(B55, PlumX_snapshot!$A:$E, 5, FALSE), " ")</f>
        <v>0</v>
      </c>
      <c r="AA55" s="12">
        <f>IFERROR(VLOOKUP(B55, PlumX_snapshot!$A:$F, 6, FALSE), " ")</f>
        <v>0</v>
      </c>
      <c r="AB55" s="13">
        <v>44978</v>
      </c>
      <c r="AC55" s="12"/>
      <c r="AD55" s="11"/>
      <c r="AE55" s="12"/>
      <c r="AF55" s="12"/>
      <c r="AG55" s="11"/>
      <c r="AH55" s="11"/>
      <c r="AI55" s="11"/>
      <c r="AJ55" s="11"/>
      <c r="AK55" s="11" t="str">
        <f t="shared" si="0"/>
        <v>2021</v>
      </c>
      <c r="AL55" s="11" t="e">
        <f>VLOOKUP(AK55, Exchange_rates!$C:$D, 2, FALSE)</f>
        <v>#N/A</v>
      </c>
      <c r="AM55" s="14" t="str">
        <f t="shared" si="1"/>
        <v/>
      </c>
      <c r="AN55" s="11"/>
      <c r="AO55" s="11"/>
      <c r="AP55" s="9"/>
      <c r="AQ55" s="15" t="s">
        <v>49</v>
      </c>
      <c r="AR55" t="s">
        <v>308</v>
      </c>
      <c r="AS55" s="16" t="s">
        <v>309</v>
      </c>
      <c r="AT55" s="11"/>
      <c r="AU55" s="11"/>
      <c r="AV55" s="11"/>
      <c r="AW55" s="11"/>
      <c r="AX55" s="11"/>
      <c r="AY55" s="11"/>
      <c r="AZ55" s="11"/>
      <c r="BA55" s="11"/>
      <c r="BB55" s="11"/>
      <c r="BC55" s="11"/>
      <c r="BD55" s="11"/>
      <c r="BE55" s="11"/>
      <c r="BF55" s="11"/>
      <c r="BG55" s="11"/>
      <c r="BH55" s="11"/>
    </row>
    <row r="56" spans="1:60" ht="14.5">
      <c r="A56" s="9" t="s">
        <v>343</v>
      </c>
      <c r="B56" s="9" t="s">
        <v>344</v>
      </c>
      <c r="C56" s="9" t="s">
        <v>306</v>
      </c>
      <c r="D56" s="9" t="s">
        <v>275</v>
      </c>
      <c r="E56" s="9" t="s">
        <v>49</v>
      </c>
      <c r="F56" s="9" t="s">
        <v>69</v>
      </c>
      <c r="G56" s="9" t="s">
        <v>51</v>
      </c>
      <c r="H56" s="9"/>
      <c r="I56" s="9" t="s">
        <v>72</v>
      </c>
      <c r="J56" s="10"/>
      <c r="K56" s="10">
        <v>44405</v>
      </c>
      <c r="L56" s="10"/>
      <c r="M56" s="10">
        <v>44589</v>
      </c>
      <c r="N56" s="9">
        <v>2021</v>
      </c>
      <c r="O56" s="9" t="s">
        <v>335</v>
      </c>
      <c r="P56" s="9" t="s">
        <v>53</v>
      </c>
      <c r="Q56" s="9" t="s">
        <v>53</v>
      </c>
      <c r="R56" s="9" t="s">
        <v>345</v>
      </c>
      <c r="T56" s="9" t="s">
        <v>279</v>
      </c>
      <c r="V56" s="9"/>
      <c r="W56" s="11">
        <f>IFERROR(VLOOKUP(B56, PlumX_snapshot!$A:$B, 2, FALSE), " ")</f>
        <v>12</v>
      </c>
      <c r="X56" s="11">
        <f>IFERROR(VLOOKUP(B56, PlumX_snapshot!$A:$C, 3, FALSE), " ")</f>
        <v>6</v>
      </c>
      <c r="Y56" s="12">
        <f>IFERROR(VLOOKUP(B56, PlumX_snapshot!$A:$D, 4, FALSE), " ")</f>
        <v>20</v>
      </c>
      <c r="Z56" s="12">
        <f>IFERROR(VLOOKUP(B56, PlumX_snapshot!$A:$E, 5, FALSE), " ")</f>
        <v>0</v>
      </c>
      <c r="AA56" s="12">
        <f>IFERROR(VLOOKUP(B56, PlumX_snapshot!$A:$F, 6, FALSE), " ")</f>
        <v>0</v>
      </c>
      <c r="AB56" s="13">
        <v>44978</v>
      </c>
      <c r="AC56" s="12"/>
      <c r="AD56" s="12"/>
      <c r="AE56" s="12"/>
      <c r="AF56" s="12"/>
      <c r="AG56" s="11"/>
      <c r="AH56" s="11"/>
      <c r="AI56" s="11"/>
      <c r="AJ56" s="11"/>
      <c r="AK56" s="11" t="str">
        <f t="shared" si="0"/>
        <v>2021</v>
      </c>
      <c r="AL56" s="11" t="e">
        <f>VLOOKUP(AK56, Exchange_rates!$C:$D, 2, FALSE)</f>
        <v>#N/A</v>
      </c>
      <c r="AM56" s="14" t="str">
        <f t="shared" si="1"/>
        <v/>
      </c>
      <c r="AN56" s="11"/>
      <c r="AO56" s="11"/>
      <c r="AP56" s="9"/>
      <c r="AQ56" s="15" t="s">
        <v>49</v>
      </c>
      <c r="AR56" t="s">
        <v>308</v>
      </c>
      <c r="AS56" s="16" t="s">
        <v>309</v>
      </c>
      <c r="AT56" s="11"/>
      <c r="AU56" s="11"/>
      <c r="AV56" s="11"/>
      <c r="AW56" s="11"/>
      <c r="AX56" s="11"/>
      <c r="AY56" s="11"/>
      <c r="AZ56" s="11"/>
      <c r="BA56" s="11"/>
      <c r="BB56" s="11"/>
      <c r="BC56" s="11"/>
      <c r="BD56" s="11"/>
      <c r="BE56" s="11"/>
      <c r="BF56" s="11"/>
      <c r="BG56" s="11"/>
      <c r="BH56" s="11"/>
    </row>
    <row r="57" spans="1:60" ht="14.5">
      <c r="B57" s="9" t="s">
        <v>346</v>
      </c>
      <c r="C57" s="9" t="s">
        <v>347</v>
      </c>
      <c r="D57" s="9" t="s">
        <v>275</v>
      </c>
      <c r="E57" s="9" t="s">
        <v>125</v>
      </c>
      <c r="F57" s="9" t="s">
        <v>69</v>
      </c>
      <c r="G57" s="9" t="s">
        <v>51</v>
      </c>
      <c r="H57" s="9"/>
      <c r="J57" s="10"/>
      <c r="K57" s="10"/>
      <c r="L57" s="10"/>
      <c r="M57" s="10"/>
      <c r="N57" s="9">
        <v>2021</v>
      </c>
      <c r="O57" s="9" t="s">
        <v>348</v>
      </c>
      <c r="P57" s="9" t="s">
        <v>53</v>
      </c>
      <c r="Q57" s="9" t="s">
        <v>53</v>
      </c>
      <c r="T57" s="9" t="s">
        <v>279</v>
      </c>
      <c r="V57" s="9"/>
      <c r="W57" s="11">
        <f>IFERROR(VLOOKUP(B57, PlumX_snapshot!$A:$B, 2, FALSE), " ")</f>
        <v>17</v>
      </c>
      <c r="X57" s="11">
        <f>IFERROR(VLOOKUP(B57, PlumX_snapshot!$A:$C, 3, FALSE), " ")</f>
        <v>0</v>
      </c>
      <c r="Y57" s="12">
        <f>IFERROR(VLOOKUP(B57, PlumX_snapshot!$A:$D, 4, FALSE), " ")</f>
        <v>6</v>
      </c>
      <c r="Z57" s="12">
        <f>IFERROR(VLOOKUP(B57, PlumX_snapshot!$A:$E, 5, FALSE), " ")</f>
        <v>0</v>
      </c>
      <c r="AA57" s="12">
        <f>IFERROR(VLOOKUP(B57, PlumX_snapshot!$A:$F, 6, FALSE), " ")</f>
        <v>0</v>
      </c>
      <c r="AB57" s="13">
        <v>44978</v>
      </c>
      <c r="AC57" s="11"/>
      <c r="AD57" s="11"/>
      <c r="AE57" s="12"/>
      <c r="AF57" s="12"/>
      <c r="AG57" s="11"/>
      <c r="AH57" s="11"/>
      <c r="AI57" s="11"/>
      <c r="AJ57" s="11"/>
      <c r="AK57" s="11" t="str">
        <f t="shared" si="0"/>
        <v>2021</v>
      </c>
      <c r="AL57" s="11" t="e">
        <f>VLOOKUP(AK57, Exchange_rates!$C:$D, 2, FALSE)</f>
        <v>#N/A</v>
      </c>
      <c r="AM57" s="14" t="str">
        <f t="shared" si="1"/>
        <v/>
      </c>
      <c r="AN57" s="11"/>
      <c r="AO57" s="11"/>
      <c r="AP57" s="9"/>
      <c r="AQ57" s="15" t="s">
        <v>125</v>
      </c>
      <c r="AR57" t="s">
        <v>349</v>
      </c>
      <c r="AS57" s="16"/>
      <c r="AT57" s="11"/>
      <c r="AU57" s="11"/>
      <c r="AV57" s="11"/>
      <c r="AW57" s="11"/>
      <c r="AX57" s="11"/>
      <c r="AY57" s="11"/>
      <c r="AZ57" s="11"/>
      <c r="BA57" s="11"/>
      <c r="BB57" s="11"/>
      <c r="BC57" s="11"/>
      <c r="BD57" s="11"/>
      <c r="BE57" s="11"/>
      <c r="BF57" s="11"/>
      <c r="BG57" s="11"/>
      <c r="BH57" s="11"/>
    </row>
    <row r="58" spans="1:60" ht="14.5">
      <c r="B58" s="9" t="s">
        <v>350</v>
      </c>
      <c r="C58" s="9" t="s">
        <v>274</v>
      </c>
      <c r="D58" s="9" t="s">
        <v>275</v>
      </c>
      <c r="E58" s="9" t="s">
        <v>125</v>
      </c>
      <c r="F58" s="9" t="s">
        <v>69</v>
      </c>
      <c r="G58" s="9" t="s">
        <v>51</v>
      </c>
      <c r="H58" s="9"/>
      <c r="J58" s="10"/>
      <c r="K58" s="10"/>
      <c r="L58" s="10"/>
      <c r="M58" s="10"/>
      <c r="N58" s="9">
        <v>2021</v>
      </c>
      <c r="O58" s="9" t="s">
        <v>348</v>
      </c>
      <c r="P58" s="9" t="s">
        <v>53</v>
      </c>
      <c r="Q58" s="9" t="s">
        <v>53</v>
      </c>
      <c r="T58" s="9" t="s">
        <v>279</v>
      </c>
      <c r="V58" s="9"/>
      <c r="W58" s="11">
        <f>IFERROR(VLOOKUP(B58, PlumX_snapshot!$A:$B, 2, FALSE), " ")</f>
        <v>48</v>
      </c>
      <c r="X58" s="11">
        <f>IFERROR(VLOOKUP(B58, PlumX_snapshot!$A:$C, 3, FALSE), " ")</f>
        <v>67</v>
      </c>
      <c r="Y58" s="12">
        <f>IFERROR(VLOOKUP(B58, PlumX_snapshot!$A:$D, 4, FALSE), " ")</f>
        <v>82</v>
      </c>
      <c r="Z58" s="12">
        <f>IFERROR(VLOOKUP(B58, PlumX_snapshot!$A:$E, 5, FALSE), " ")</f>
        <v>0</v>
      </c>
      <c r="AA58" s="12">
        <f>IFERROR(VLOOKUP(B58, PlumX_snapshot!$A:$F, 6, FALSE), " ")</f>
        <v>8</v>
      </c>
      <c r="AB58" s="13">
        <v>44978</v>
      </c>
      <c r="AC58" s="12"/>
      <c r="AD58" s="11"/>
      <c r="AE58" s="12"/>
      <c r="AF58" s="12"/>
      <c r="AG58" s="12"/>
      <c r="AH58" s="12"/>
      <c r="AI58" s="12"/>
      <c r="AJ58" s="11"/>
      <c r="AK58" s="11" t="str">
        <f t="shared" si="0"/>
        <v>2021</v>
      </c>
      <c r="AL58" s="11" t="e">
        <f>VLOOKUP(AK58, Exchange_rates!$C:$D, 2, FALSE)</f>
        <v>#N/A</v>
      </c>
      <c r="AM58" s="14" t="str">
        <f t="shared" si="1"/>
        <v/>
      </c>
      <c r="AN58" s="11"/>
      <c r="AO58" s="11"/>
      <c r="AP58" s="9"/>
      <c r="AQ58" s="15" t="s">
        <v>125</v>
      </c>
      <c r="AR58" t="s">
        <v>280</v>
      </c>
      <c r="AS58" s="16"/>
      <c r="AT58" s="11"/>
      <c r="AU58" s="11"/>
      <c r="AV58" s="11"/>
      <c r="AW58" s="11"/>
      <c r="AX58" s="12"/>
      <c r="AY58" s="11"/>
      <c r="AZ58" s="11"/>
      <c r="BA58" s="11"/>
      <c r="BB58" s="11"/>
      <c r="BC58" s="11"/>
      <c r="BD58" s="11"/>
      <c r="BE58" s="11"/>
      <c r="BF58" s="11"/>
      <c r="BG58" s="11"/>
      <c r="BH58" s="11"/>
    </row>
    <row r="59" spans="1:60" ht="14.5">
      <c r="B59" s="9" t="s">
        <v>351</v>
      </c>
      <c r="C59" s="9" t="s">
        <v>274</v>
      </c>
      <c r="D59" s="9" t="s">
        <v>275</v>
      </c>
      <c r="E59" s="9" t="s">
        <v>125</v>
      </c>
      <c r="F59" s="9" t="s">
        <v>69</v>
      </c>
      <c r="G59" s="9" t="s">
        <v>51</v>
      </c>
      <c r="H59" s="9"/>
      <c r="J59" s="10"/>
      <c r="K59" s="10"/>
      <c r="L59" s="10"/>
      <c r="M59" s="10"/>
      <c r="N59" s="9">
        <v>2021</v>
      </c>
      <c r="O59" s="9" t="s">
        <v>348</v>
      </c>
      <c r="P59" s="9" t="s">
        <v>53</v>
      </c>
      <c r="Q59" s="9" t="s">
        <v>53</v>
      </c>
      <c r="T59" s="9" t="s">
        <v>279</v>
      </c>
      <c r="V59" s="9"/>
      <c r="W59" s="11">
        <f>IFERROR(VLOOKUP(B59, PlumX_snapshot!$A:$B, 2, FALSE), " ")</f>
        <v>27</v>
      </c>
      <c r="X59" s="11">
        <f>IFERROR(VLOOKUP(B59, PlumX_snapshot!$A:$C, 3, FALSE), " ")</f>
        <v>47</v>
      </c>
      <c r="Y59" s="12">
        <f>IFERROR(VLOOKUP(B59, PlumX_snapshot!$A:$D, 4, FALSE), " ")</f>
        <v>9</v>
      </c>
      <c r="Z59" s="12">
        <f>IFERROR(VLOOKUP(B59, PlumX_snapshot!$A:$E, 5, FALSE), " ")</f>
        <v>0</v>
      </c>
      <c r="AA59" s="12">
        <f>IFERROR(VLOOKUP(B59, PlumX_snapshot!$A:$F, 6, FALSE), " ")</f>
        <v>0</v>
      </c>
      <c r="AB59" s="13">
        <v>44978</v>
      </c>
      <c r="AC59" s="12"/>
      <c r="AD59" s="11"/>
      <c r="AE59" s="12"/>
      <c r="AF59" s="12"/>
      <c r="AG59" s="11"/>
      <c r="AH59" s="11"/>
      <c r="AI59" s="11"/>
      <c r="AJ59" s="11"/>
      <c r="AK59" s="11" t="str">
        <f t="shared" si="0"/>
        <v>2021</v>
      </c>
      <c r="AL59" s="11" t="e">
        <f>VLOOKUP(AK59, Exchange_rates!$C:$D, 2, FALSE)</f>
        <v>#N/A</v>
      </c>
      <c r="AM59" s="14" t="str">
        <f t="shared" si="1"/>
        <v/>
      </c>
      <c r="AN59" s="11"/>
      <c r="AO59" s="11"/>
      <c r="AP59" s="9"/>
      <c r="AQ59" s="15" t="s">
        <v>125</v>
      </c>
      <c r="AR59" t="s">
        <v>280</v>
      </c>
      <c r="AS59" s="16"/>
      <c r="AT59" s="11"/>
      <c r="AU59" s="11"/>
      <c r="AV59" s="11"/>
      <c r="AW59" s="11"/>
      <c r="AX59" s="12"/>
      <c r="AY59" s="11"/>
      <c r="AZ59" s="11"/>
      <c r="BA59" s="11"/>
      <c r="BB59" s="11"/>
      <c r="BC59" s="11"/>
      <c r="BD59" s="11"/>
      <c r="BE59" s="11"/>
      <c r="BF59" s="11"/>
      <c r="BG59" s="11"/>
      <c r="BH59" s="11"/>
    </row>
    <row r="60" spans="1:60" ht="14.5">
      <c r="B60" s="9" t="s">
        <v>352</v>
      </c>
      <c r="C60" s="9" t="s">
        <v>353</v>
      </c>
      <c r="D60" s="9" t="s">
        <v>275</v>
      </c>
      <c r="E60" s="9" t="s">
        <v>125</v>
      </c>
      <c r="F60" s="9" t="s">
        <v>50</v>
      </c>
      <c r="G60" s="9" t="s">
        <v>51</v>
      </c>
      <c r="H60" s="9"/>
      <c r="J60" s="10"/>
      <c r="K60" s="10"/>
      <c r="L60" s="10"/>
      <c r="M60" s="10"/>
      <c r="N60" s="9">
        <v>2021</v>
      </c>
      <c r="O60" s="9" t="s">
        <v>348</v>
      </c>
      <c r="P60" s="9" t="s">
        <v>53</v>
      </c>
      <c r="Q60" s="9" t="s">
        <v>53</v>
      </c>
      <c r="T60" s="9" t="s">
        <v>279</v>
      </c>
      <c r="V60" s="9"/>
      <c r="W60" s="11">
        <f>IFERROR(VLOOKUP(B60, PlumX_snapshot!$A:$B, 2, FALSE), " ")</f>
        <v>40</v>
      </c>
      <c r="X60" s="11">
        <f>IFERROR(VLOOKUP(B60, PlumX_snapshot!$A:$C, 3, FALSE), " ")</f>
        <v>4</v>
      </c>
      <c r="Y60" s="12">
        <f>IFERROR(VLOOKUP(B60, PlumX_snapshot!$A:$D, 4, FALSE), " ")</f>
        <v>343</v>
      </c>
      <c r="Z60" s="12">
        <f>IFERROR(VLOOKUP(B60, PlumX_snapshot!$A:$E, 5, FALSE), " ")</f>
        <v>0</v>
      </c>
      <c r="AA60" s="12">
        <f>IFERROR(VLOOKUP(B60, PlumX_snapshot!$A:$F, 6, FALSE), " ")</f>
        <v>1</v>
      </c>
      <c r="AB60" s="13">
        <v>44978</v>
      </c>
      <c r="AC60" s="12"/>
      <c r="AD60" s="12"/>
      <c r="AE60" s="12"/>
      <c r="AF60" s="12"/>
      <c r="AG60" s="12"/>
      <c r="AH60" s="11"/>
      <c r="AI60" s="11"/>
      <c r="AJ60" s="12"/>
      <c r="AK60" s="11" t="str">
        <f t="shared" si="0"/>
        <v>2021</v>
      </c>
      <c r="AL60" s="11" t="e">
        <f>VLOOKUP(AK60, Exchange_rates!$C:$D, 2, FALSE)</f>
        <v>#N/A</v>
      </c>
      <c r="AM60" s="14" t="str">
        <f t="shared" si="1"/>
        <v/>
      </c>
      <c r="AN60" s="11"/>
      <c r="AO60" s="11"/>
      <c r="AP60" s="9"/>
      <c r="AQ60" s="15" t="s">
        <v>125</v>
      </c>
      <c r="AR60" t="s">
        <v>354</v>
      </c>
      <c r="AS60" s="16" t="s">
        <v>355</v>
      </c>
      <c r="AT60" s="11"/>
      <c r="AU60" s="11"/>
      <c r="AV60" s="11"/>
      <c r="AW60" s="11"/>
      <c r="AX60" s="11"/>
      <c r="AY60" s="11"/>
      <c r="AZ60" s="11"/>
      <c r="BA60" s="11"/>
      <c r="BB60" s="11"/>
      <c r="BC60" s="11"/>
      <c r="BD60" s="11"/>
      <c r="BE60" s="11"/>
      <c r="BF60" s="11"/>
      <c r="BG60" s="11"/>
      <c r="BH60" s="11"/>
    </row>
    <row r="61" spans="1:60" ht="14.5">
      <c r="A61" s="9" t="s">
        <v>356</v>
      </c>
      <c r="B61" s="9" t="s">
        <v>357</v>
      </c>
      <c r="C61" s="9" t="s">
        <v>274</v>
      </c>
      <c r="D61" s="9" t="s">
        <v>275</v>
      </c>
      <c r="E61" s="9" t="s">
        <v>125</v>
      </c>
      <c r="F61" s="9" t="s">
        <v>69</v>
      </c>
      <c r="G61" s="9" t="s">
        <v>51</v>
      </c>
      <c r="H61" s="9"/>
      <c r="I61" s="9" t="s">
        <v>72</v>
      </c>
      <c r="J61" s="10"/>
      <c r="K61" s="10"/>
      <c r="L61" s="10"/>
      <c r="M61" s="10"/>
      <c r="N61" s="9">
        <v>2021</v>
      </c>
      <c r="O61" s="9" t="s">
        <v>348</v>
      </c>
      <c r="P61" s="9" t="s">
        <v>53</v>
      </c>
      <c r="Q61" s="9" t="s">
        <v>53</v>
      </c>
      <c r="T61" s="9" t="s">
        <v>279</v>
      </c>
      <c r="V61" s="9"/>
      <c r="W61" s="11">
        <f>IFERROR(VLOOKUP(B61, PlumX_snapshot!$A:$B, 2, FALSE), " ")</f>
        <v>11</v>
      </c>
      <c r="X61" s="11">
        <f>IFERROR(VLOOKUP(B61, PlumX_snapshot!$A:$C, 3, FALSE), " ")</f>
        <v>45</v>
      </c>
      <c r="Y61" s="12">
        <f>IFERROR(VLOOKUP(B61, PlumX_snapshot!$A:$D, 4, FALSE), " ")</f>
        <v>13</v>
      </c>
      <c r="Z61" s="12">
        <f>IFERROR(VLOOKUP(B61, PlumX_snapshot!$A:$E, 5, FALSE), " ")</f>
        <v>0</v>
      </c>
      <c r="AA61" s="12">
        <f>IFERROR(VLOOKUP(B61, PlumX_snapshot!$A:$F, 6, FALSE), " ")</f>
        <v>1</v>
      </c>
      <c r="AB61" s="13">
        <v>44978</v>
      </c>
      <c r="AC61" s="12"/>
      <c r="AD61" s="11"/>
      <c r="AE61" s="12"/>
      <c r="AF61" s="12"/>
      <c r="AG61" s="12"/>
      <c r="AH61" s="12"/>
      <c r="AI61" s="12"/>
      <c r="AJ61" s="11"/>
      <c r="AK61" s="11" t="str">
        <f t="shared" si="0"/>
        <v>2021</v>
      </c>
      <c r="AL61" s="11" t="e">
        <f>VLOOKUP(AK61, Exchange_rates!$C:$D, 2, FALSE)</f>
        <v>#N/A</v>
      </c>
      <c r="AM61" s="14" t="str">
        <f t="shared" si="1"/>
        <v/>
      </c>
      <c r="AN61" s="11"/>
      <c r="AO61" s="11"/>
      <c r="AP61" s="9"/>
      <c r="AQ61" s="15" t="s">
        <v>125</v>
      </c>
      <c r="AR61" t="s">
        <v>280</v>
      </c>
      <c r="AS61" s="16"/>
      <c r="AT61" s="11"/>
      <c r="AU61" s="11"/>
      <c r="AV61" s="11"/>
      <c r="AW61" s="11"/>
      <c r="AX61" s="12"/>
      <c r="AY61" s="11"/>
      <c r="AZ61" s="11"/>
      <c r="BA61" s="11"/>
      <c r="BB61" s="11"/>
      <c r="BC61" s="11"/>
      <c r="BD61" s="11"/>
      <c r="BE61" s="11"/>
      <c r="BF61" s="11"/>
      <c r="BG61" s="11"/>
      <c r="BH61" s="11"/>
    </row>
    <row r="62" spans="1:60" ht="14.5">
      <c r="A62" s="9" t="s">
        <v>358</v>
      </c>
      <c r="B62" s="9" t="s">
        <v>359</v>
      </c>
      <c r="C62" s="9" t="s">
        <v>360</v>
      </c>
      <c r="D62" s="9" t="s">
        <v>361</v>
      </c>
      <c r="E62" s="17" t="s">
        <v>49</v>
      </c>
      <c r="F62" s="9" t="s">
        <v>69</v>
      </c>
      <c r="G62" s="9" t="s">
        <v>70</v>
      </c>
      <c r="H62" s="9" t="s">
        <v>362</v>
      </c>
      <c r="I62" s="9" t="s">
        <v>72</v>
      </c>
      <c r="J62" s="10">
        <v>44462</v>
      </c>
      <c r="K62" s="10">
        <v>44484</v>
      </c>
      <c r="L62" s="10">
        <v>44484</v>
      </c>
      <c r="M62" s="10">
        <v>44552</v>
      </c>
      <c r="N62" s="9">
        <v>2021</v>
      </c>
      <c r="O62" s="9" t="s">
        <v>363</v>
      </c>
      <c r="P62" s="9" t="s">
        <v>53</v>
      </c>
      <c r="Q62" s="9" t="s">
        <v>53</v>
      </c>
      <c r="R62" s="9" t="s">
        <v>210</v>
      </c>
      <c r="T62" s="9"/>
      <c r="V62" s="9"/>
      <c r="W62" s="11">
        <f>IFERROR(VLOOKUP(B62, PlumX_snapshot!$A:$B, 2, FALSE), " ")</f>
        <v>10</v>
      </c>
      <c r="X62" s="11">
        <f>IFERROR(VLOOKUP(B62, PlumX_snapshot!$A:$C, 3, FALSE), " ")</f>
        <v>0</v>
      </c>
      <c r="Y62" s="12">
        <f>IFERROR(VLOOKUP(B62, PlumX_snapshot!$A:$D, 4, FALSE), " ")</f>
        <v>0</v>
      </c>
      <c r="Z62" s="12">
        <f>IFERROR(VLOOKUP(B62, PlumX_snapshot!$A:$E, 5, FALSE), " ")</f>
        <v>0</v>
      </c>
      <c r="AA62" s="12">
        <f>IFERROR(VLOOKUP(B62, PlumX_snapshot!$A:$F, 6, FALSE), " ")</f>
        <v>1</v>
      </c>
      <c r="AB62" s="13">
        <v>44978</v>
      </c>
      <c r="AC62" s="11" t="s">
        <v>364</v>
      </c>
      <c r="AD62" s="11" t="s">
        <v>365</v>
      </c>
      <c r="AE62" s="11"/>
      <c r="AF62" s="11"/>
      <c r="AG62" s="12"/>
      <c r="AH62" s="11">
        <v>2045</v>
      </c>
      <c r="AI62" s="11" t="s">
        <v>77</v>
      </c>
      <c r="AJ62" s="12" t="s">
        <v>301</v>
      </c>
      <c r="AK62" s="11" t="str">
        <f t="shared" si="0"/>
        <v>2021GBP</v>
      </c>
      <c r="AL62" s="11">
        <f>VLOOKUP(AK62, Exchange_rates!$C:$D, 2, FALSE)</f>
        <v>1</v>
      </c>
      <c r="AM62" s="14">
        <f t="shared" si="1"/>
        <v>2454</v>
      </c>
      <c r="AN62" s="11"/>
      <c r="AO62" s="11"/>
      <c r="AP62" s="17"/>
      <c r="AQ62" s="15" t="s">
        <v>49</v>
      </c>
      <c r="AR62" t="s">
        <v>366</v>
      </c>
      <c r="AS62" s="16" t="s">
        <v>367</v>
      </c>
      <c r="AT62" s="11"/>
      <c r="AU62" s="11"/>
      <c r="AV62" s="11"/>
      <c r="AW62" s="11"/>
      <c r="AX62" s="11"/>
      <c r="AY62" s="11"/>
      <c r="AZ62" s="11"/>
      <c r="BA62" s="11"/>
      <c r="BB62" s="11"/>
      <c r="BC62" s="11"/>
      <c r="BD62" s="11"/>
      <c r="BE62" s="11"/>
      <c r="BF62" s="11"/>
      <c r="BG62" s="11"/>
      <c r="BH62" s="11"/>
    </row>
    <row r="63" spans="1:60" ht="14.5">
      <c r="A63" s="9" t="s">
        <v>368</v>
      </c>
      <c r="B63" s="9" t="s">
        <v>369</v>
      </c>
      <c r="C63" s="9" t="s">
        <v>370</v>
      </c>
      <c r="D63" s="9" t="s">
        <v>361</v>
      </c>
      <c r="E63" s="17" t="s">
        <v>49</v>
      </c>
      <c r="F63" s="9" t="s">
        <v>69</v>
      </c>
      <c r="G63" s="9" t="s">
        <v>70</v>
      </c>
      <c r="H63" s="9" t="s">
        <v>362</v>
      </c>
      <c r="I63" s="9" t="s">
        <v>72</v>
      </c>
      <c r="J63" s="10">
        <v>44323</v>
      </c>
      <c r="K63" s="10">
        <v>44484</v>
      </c>
      <c r="L63" s="10">
        <v>44484</v>
      </c>
      <c r="M63" s="10">
        <v>44403</v>
      </c>
      <c r="N63" s="9">
        <v>2021</v>
      </c>
      <c r="O63" s="9" t="s">
        <v>363</v>
      </c>
      <c r="P63" s="9" t="s">
        <v>53</v>
      </c>
      <c r="Q63" s="9" t="s">
        <v>53</v>
      </c>
      <c r="R63" s="9" t="s">
        <v>210</v>
      </c>
      <c r="S63" s="9" t="s">
        <v>371</v>
      </c>
      <c r="T63" s="9"/>
      <c r="U63" s="9"/>
      <c r="V63" s="9"/>
      <c r="W63" s="11">
        <f>IFERROR(VLOOKUP(B63, PlumX_snapshot!$A:$B, 2, FALSE), " ")</f>
        <v>5</v>
      </c>
      <c r="X63" s="11">
        <f>IFERROR(VLOOKUP(B63, PlumX_snapshot!$A:$C, 3, FALSE), " ")</f>
        <v>0</v>
      </c>
      <c r="Y63" s="12">
        <f>IFERROR(VLOOKUP(B63, PlumX_snapshot!$A:$D, 4, FALSE), " ")</f>
        <v>0</v>
      </c>
      <c r="Z63" s="12">
        <f>IFERROR(VLOOKUP(B63, PlumX_snapshot!$A:$E, 5, FALSE), " ")</f>
        <v>0</v>
      </c>
      <c r="AA63" s="12">
        <f>IFERROR(VLOOKUP(B63, PlumX_snapshot!$A:$F, 6, FALSE), " ")</f>
        <v>0</v>
      </c>
      <c r="AB63" s="13">
        <v>44978</v>
      </c>
      <c r="AC63" s="11" t="s">
        <v>372</v>
      </c>
      <c r="AD63" s="11" t="s">
        <v>373</v>
      </c>
      <c r="AE63" s="11"/>
      <c r="AF63" s="11"/>
      <c r="AG63" s="11"/>
      <c r="AH63" s="11">
        <v>2045</v>
      </c>
      <c r="AI63" s="11" t="s">
        <v>77</v>
      </c>
      <c r="AJ63" s="12" t="s">
        <v>301</v>
      </c>
      <c r="AK63" s="11" t="str">
        <f t="shared" si="0"/>
        <v>2021GBP</v>
      </c>
      <c r="AL63" s="11">
        <f>VLOOKUP(AK63, Exchange_rates!$C:$D, 2, FALSE)</f>
        <v>1</v>
      </c>
      <c r="AM63" s="14">
        <f t="shared" si="1"/>
        <v>2454</v>
      </c>
      <c r="AN63" s="11"/>
      <c r="AO63" s="11"/>
      <c r="AP63" s="17"/>
      <c r="AQ63" s="15" t="s">
        <v>49</v>
      </c>
      <c r="AR63" t="s">
        <v>374</v>
      </c>
      <c r="AS63" s="16" t="s">
        <v>375</v>
      </c>
      <c r="AT63" s="11"/>
      <c r="AU63" s="11"/>
      <c r="AV63" s="11"/>
      <c r="AW63" s="11"/>
      <c r="AX63" s="11"/>
      <c r="AY63" s="11"/>
      <c r="AZ63" s="11"/>
      <c r="BA63" s="11"/>
      <c r="BB63" s="11"/>
      <c r="BC63" s="11"/>
      <c r="BD63" s="11"/>
      <c r="BE63" s="11"/>
      <c r="BF63" s="11"/>
      <c r="BG63" s="11"/>
      <c r="BH63" s="11"/>
    </row>
    <row r="64" spans="1:60" ht="14.5">
      <c r="A64" s="9" t="s">
        <v>376</v>
      </c>
      <c r="B64" s="9" t="s">
        <v>377</v>
      </c>
      <c r="C64" s="9" t="s">
        <v>378</v>
      </c>
      <c r="D64" s="9" t="s">
        <v>361</v>
      </c>
      <c r="E64" s="17" t="s">
        <v>49</v>
      </c>
      <c r="F64" s="9" t="s">
        <v>69</v>
      </c>
      <c r="G64" s="9" t="s">
        <v>70</v>
      </c>
      <c r="H64" s="9" t="s">
        <v>362</v>
      </c>
      <c r="I64" s="9" t="s">
        <v>72</v>
      </c>
      <c r="J64" s="10">
        <v>44467</v>
      </c>
      <c r="K64" s="10">
        <v>44473</v>
      </c>
      <c r="L64" s="10">
        <v>44473</v>
      </c>
      <c r="M64" s="10">
        <v>44630</v>
      </c>
      <c r="N64" s="9">
        <v>2021</v>
      </c>
      <c r="O64" s="9" t="s">
        <v>363</v>
      </c>
      <c r="P64" s="9" t="s">
        <v>53</v>
      </c>
      <c r="Q64" s="9" t="s">
        <v>53</v>
      </c>
      <c r="R64" s="9" t="s">
        <v>379</v>
      </c>
      <c r="T64" s="9"/>
      <c r="V64" s="9"/>
      <c r="W64" s="11">
        <f>IFERROR(VLOOKUP(B64, PlumX_snapshot!$A:$B, 2, FALSE), " ")</f>
        <v>8</v>
      </c>
      <c r="X64" s="11">
        <f>IFERROR(VLOOKUP(B64, PlumX_snapshot!$A:$C, 3, FALSE), " ")</f>
        <v>0</v>
      </c>
      <c r="Y64" s="12">
        <f>IFERROR(VLOOKUP(B64, PlumX_snapshot!$A:$D, 4, FALSE), " ")</f>
        <v>0</v>
      </c>
      <c r="Z64" s="12">
        <f>IFERROR(VLOOKUP(B64, PlumX_snapshot!$A:$E, 5, FALSE), " ")</f>
        <v>0</v>
      </c>
      <c r="AA64" s="12">
        <f>IFERROR(VLOOKUP(B64, PlumX_snapshot!$A:$F, 6, FALSE), " ")</f>
        <v>0</v>
      </c>
      <c r="AB64" s="13">
        <v>44978</v>
      </c>
      <c r="AC64" s="11" t="s">
        <v>380</v>
      </c>
      <c r="AD64" s="11" t="s">
        <v>381</v>
      </c>
      <c r="AE64" s="11"/>
      <c r="AF64" s="11"/>
      <c r="AG64" s="11"/>
      <c r="AH64" s="11">
        <v>2045</v>
      </c>
      <c r="AI64" s="11" t="s">
        <v>77</v>
      </c>
      <c r="AJ64" s="12" t="s">
        <v>301</v>
      </c>
      <c r="AK64" s="11" t="str">
        <f t="shared" si="0"/>
        <v>2021GBP</v>
      </c>
      <c r="AL64" s="11">
        <f>VLOOKUP(AK64, Exchange_rates!$C:$D, 2, FALSE)</f>
        <v>1</v>
      </c>
      <c r="AM64" s="14">
        <f t="shared" si="1"/>
        <v>2454</v>
      </c>
      <c r="AN64" s="11"/>
      <c r="AO64" s="11"/>
      <c r="AP64" s="17"/>
      <c r="AQ64" s="15" t="s">
        <v>49</v>
      </c>
      <c r="AR64" t="s">
        <v>382</v>
      </c>
      <c r="AS64" s="16" t="s">
        <v>383</v>
      </c>
      <c r="AT64" s="11"/>
      <c r="AU64" s="11"/>
      <c r="AV64" s="11"/>
      <c r="AW64" s="11"/>
      <c r="AX64" s="11"/>
      <c r="AY64" s="11"/>
      <c r="AZ64" s="11"/>
      <c r="BA64" s="11"/>
      <c r="BB64" s="11"/>
      <c r="BC64" s="11"/>
      <c r="BD64" s="11"/>
      <c r="BE64" s="11"/>
      <c r="BF64" s="11"/>
      <c r="BG64" s="11"/>
      <c r="BH64" s="11"/>
    </row>
    <row r="65" spans="1:60" ht="14.5">
      <c r="A65" s="9" t="s">
        <v>384</v>
      </c>
      <c r="B65" s="9" t="s">
        <v>385</v>
      </c>
      <c r="C65" s="9" t="s">
        <v>386</v>
      </c>
      <c r="D65" s="9" t="s">
        <v>361</v>
      </c>
      <c r="E65" s="17" t="s">
        <v>49</v>
      </c>
      <c r="F65" s="9" t="s">
        <v>69</v>
      </c>
      <c r="G65" s="9" t="s">
        <v>70</v>
      </c>
      <c r="H65" s="9" t="s">
        <v>362</v>
      </c>
      <c r="I65" s="9" t="s">
        <v>72</v>
      </c>
      <c r="J65" s="10">
        <v>44392</v>
      </c>
      <c r="K65" s="10">
        <v>44461</v>
      </c>
      <c r="L65" s="10">
        <v>44461</v>
      </c>
      <c r="M65" s="10">
        <v>44317</v>
      </c>
      <c r="N65" s="9">
        <v>2021</v>
      </c>
      <c r="O65" s="9" t="s">
        <v>363</v>
      </c>
      <c r="P65" s="9" t="s">
        <v>53</v>
      </c>
      <c r="Q65" s="9" t="s">
        <v>53</v>
      </c>
      <c r="R65" s="9" t="s">
        <v>210</v>
      </c>
      <c r="T65" s="9"/>
      <c r="V65" s="9"/>
      <c r="W65" s="11">
        <f>IFERROR(VLOOKUP(B65, PlumX_snapshot!$A:$B, 2, FALSE), " ")</f>
        <v>3</v>
      </c>
      <c r="X65" s="11">
        <f>IFERROR(VLOOKUP(B65, PlumX_snapshot!$A:$C, 3, FALSE), " ")</f>
        <v>1</v>
      </c>
      <c r="Y65" s="12">
        <f>IFERROR(VLOOKUP(B65, PlumX_snapshot!$A:$D, 4, FALSE), " ")</f>
        <v>0</v>
      </c>
      <c r="Z65" s="12">
        <f>IFERROR(VLOOKUP(B65, PlumX_snapshot!$A:$E, 5, FALSE), " ")</f>
        <v>0</v>
      </c>
      <c r="AA65" s="12">
        <f>IFERROR(VLOOKUP(B65, PlumX_snapshot!$A:$F, 6, FALSE), " ")</f>
        <v>0</v>
      </c>
      <c r="AB65" s="13">
        <v>44978</v>
      </c>
      <c r="AC65" s="12" t="s">
        <v>387</v>
      </c>
      <c r="AD65" s="12" t="s">
        <v>388</v>
      </c>
      <c r="AE65" s="11"/>
      <c r="AF65" s="11"/>
      <c r="AG65" s="11"/>
      <c r="AH65" s="11">
        <v>2045</v>
      </c>
      <c r="AI65" s="11" t="s">
        <v>77</v>
      </c>
      <c r="AJ65" s="12" t="s">
        <v>301</v>
      </c>
      <c r="AK65" s="11" t="str">
        <f t="shared" si="0"/>
        <v>2021GBP</v>
      </c>
      <c r="AL65" s="11">
        <f>VLOOKUP(AK65, Exchange_rates!$C:$D, 2, FALSE)</f>
        <v>1</v>
      </c>
      <c r="AM65" s="14">
        <f t="shared" si="1"/>
        <v>2454</v>
      </c>
      <c r="AN65" s="11"/>
      <c r="AO65" s="11"/>
      <c r="AP65" s="17"/>
      <c r="AQ65" s="15" t="s">
        <v>49</v>
      </c>
      <c r="AR65" t="s">
        <v>389</v>
      </c>
      <c r="AS65" s="16" t="s">
        <v>390</v>
      </c>
      <c r="AT65" s="11"/>
      <c r="AU65" s="11"/>
      <c r="AV65" s="11"/>
      <c r="AW65" s="11"/>
      <c r="AX65" s="11"/>
      <c r="AY65" s="11"/>
      <c r="AZ65" s="11"/>
      <c r="BA65" s="11"/>
      <c r="BB65" s="11"/>
      <c r="BC65" s="11"/>
      <c r="BD65" s="11"/>
      <c r="BE65" s="11"/>
      <c r="BF65" s="11"/>
      <c r="BG65" s="11"/>
      <c r="BH65" s="11"/>
    </row>
    <row r="66" spans="1:60" ht="14.5">
      <c r="A66" s="9" t="s">
        <v>391</v>
      </c>
      <c r="B66" s="9" t="s">
        <v>392</v>
      </c>
      <c r="C66" s="9" t="s">
        <v>393</v>
      </c>
      <c r="D66" s="9" t="s">
        <v>361</v>
      </c>
      <c r="E66" s="17" t="s">
        <v>49</v>
      </c>
      <c r="F66" s="9" t="s">
        <v>69</v>
      </c>
      <c r="G66" s="9" t="s">
        <v>70</v>
      </c>
      <c r="H66" s="9" t="s">
        <v>362</v>
      </c>
      <c r="I66" s="9" t="s">
        <v>291</v>
      </c>
      <c r="J66" s="10">
        <v>44424</v>
      </c>
      <c r="K66" s="10">
        <v>44455</v>
      </c>
      <c r="L66" s="10">
        <v>44455</v>
      </c>
      <c r="M66" s="10">
        <v>44508</v>
      </c>
      <c r="N66" s="9">
        <v>2021</v>
      </c>
      <c r="O66" s="9" t="s">
        <v>363</v>
      </c>
      <c r="P66" s="9" t="s">
        <v>53</v>
      </c>
      <c r="Q66" s="9" t="s">
        <v>53</v>
      </c>
      <c r="R66" s="9" t="s">
        <v>210</v>
      </c>
      <c r="T66" s="9"/>
      <c r="V66" s="9"/>
      <c r="W66" s="11">
        <f>IFERROR(VLOOKUP(B66, PlumX_snapshot!$A:$B, 2, FALSE), " ")</f>
        <v>2</v>
      </c>
      <c r="X66" s="11">
        <f>IFERROR(VLOOKUP(B66, PlumX_snapshot!$A:$C, 3, FALSE), " ")</f>
        <v>2</v>
      </c>
      <c r="Y66" s="12">
        <f>IFERROR(VLOOKUP(B66, PlumX_snapshot!$A:$D, 4, FALSE), " ")</f>
        <v>0</v>
      </c>
      <c r="Z66" s="12">
        <f>IFERROR(VLOOKUP(B66, PlumX_snapshot!$A:$E, 5, FALSE), " ")</f>
        <v>0</v>
      </c>
      <c r="AA66" s="12">
        <f>IFERROR(VLOOKUP(B66, PlumX_snapshot!$A:$F, 6, FALSE), " ")</f>
        <v>0</v>
      </c>
      <c r="AB66" s="13">
        <v>44978</v>
      </c>
      <c r="AC66" s="12" t="s">
        <v>394</v>
      </c>
      <c r="AD66" s="11" t="s">
        <v>395</v>
      </c>
      <c r="AE66" s="11"/>
      <c r="AF66" s="11"/>
      <c r="AG66" s="11"/>
      <c r="AH66" s="11">
        <v>2045</v>
      </c>
      <c r="AI66" s="11" t="s">
        <v>77</v>
      </c>
      <c r="AJ66" s="12" t="s">
        <v>301</v>
      </c>
      <c r="AK66" s="11" t="str">
        <f t="shared" si="0"/>
        <v>2021GBP</v>
      </c>
      <c r="AL66" s="11">
        <f>VLOOKUP(AK66, Exchange_rates!$C:$D, 2, FALSE)</f>
        <v>1</v>
      </c>
      <c r="AM66" s="14">
        <f t="shared" si="1"/>
        <v>2454</v>
      </c>
      <c r="AN66" s="11"/>
      <c r="AO66" s="11"/>
      <c r="AP66" s="17"/>
      <c r="AQ66" s="15" t="s">
        <v>49</v>
      </c>
      <c r="AR66" t="s">
        <v>396</v>
      </c>
      <c r="AS66" s="16" t="s">
        <v>397</v>
      </c>
      <c r="AT66" s="11"/>
      <c r="AU66" s="11"/>
      <c r="AV66" s="11"/>
      <c r="AW66" s="11"/>
      <c r="AX66" s="11"/>
      <c r="AY66" s="11"/>
      <c r="AZ66" s="11"/>
      <c r="BA66" s="11"/>
      <c r="BB66" s="11"/>
      <c r="BC66" s="11"/>
      <c r="BD66" s="11"/>
      <c r="BE66" s="11"/>
      <c r="BF66" s="11"/>
      <c r="BG66" s="11"/>
      <c r="BH66" s="11"/>
    </row>
    <row r="67" spans="1:60" ht="14.5">
      <c r="A67" s="9" t="s">
        <v>398</v>
      </c>
      <c r="B67" s="9" t="s">
        <v>399</v>
      </c>
      <c r="C67" s="9" t="s">
        <v>400</v>
      </c>
      <c r="D67" s="9" t="s">
        <v>361</v>
      </c>
      <c r="E67" s="17" t="s">
        <v>49</v>
      </c>
      <c r="F67" s="9" t="s">
        <v>69</v>
      </c>
      <c r="G67" s="9" t="s">
        <v>70</v>
      </c>
      <c r="H67" s="9" t="s">
        <v>362</v>
      </c>
      <c r="I67" s="9" t="s">
        <v>72</v>
      </c>
      <c r="J67" s="10">
        <v>44453</v>
      </c>
      <c r="K67" s="10">
        <v>44454</v>
      </c>
      <c r="L67" s="10">
        <v>44454</v>
      </c>
      <c r="M67" s="10">
        <v>44481</v>
      </c>
      <c r="N67" s="9">
        <v>2021</v>
      </c>
      <c r="O67" s="9" t="s">
        <v>363</v>
      </c>
      <c r="P67" s="9" t="s">
        <v>53</v>
      </c>
      <c r="Q67" s="9" t="s">
        <v>53</v>
      </c>
      <c r="R67" s="9" t="s">
        <v>401</v>
      </c>
      <c r="T67" s="9"/>
      <c r="V67" s="9"/>
      <c r="W67" s="11">
        <f>IFERROR(VLOOKUP(B67, PlumX_snapshot!$A:$B, 2, FALSE), " ")</f>
        <v>80</v>
      </c>
      <c r="X67" s="11">
        <f>IFERROR(VLOOKUP(B67, PlumX_snapshot!$A:$C, 3, FALSE), " ")</f>
        <v>2</v>
      </c>
      <c r="Y67" s="12">
        <f>IFERROR(VLOOKUP(B67, PlumX_snapshot!$A:$D, 4, FALSE), " ")</f>
        <v>0</v>
      </c>
      <c r="Z67" s="12">
        <f>IFERROR(VLOOKUP(B67, PlumX_snapshot!$A:$E, 5, FALSE), " ")</f>
        <v>0</v>
      </c>
      <c r="AA67" s="12">
        <f>IFERROR(VLOOKUP(B67, PlumX_snapshot!$A:$F, 6, FALSE), " ")</f>
        <v>0</v>
      </c>
      <c r="AB67" s="13">
        <v>44978</v>
      </c>
      <c r="AC67" s="12" t="s">
        <v>402</v>
      </c>
      <c r="AD67" s="12" t="s">
        <v>403</v>
      </c>
      <c r="AE67" s="11"/>
      <c r="AF67" s="11"/>
      <c r="AG67" s="11"/>
      <c r="AH67" s="11">
        <v>2045</v>
      </c>
      <c r="AI67" s="11" t="s">
        <v>77</v>
      </c>
      <c r="AJ67" s="12" t="s">
        <v>301</v>
      </c>
      <c r="AK67" s="11" t="str">
        <f t="shared" si="0"/>
        <v>2021GBP</v>
      </c>
      <c r="AL67" s="11">
        <f>VLOOKUP(AK67, Exchange_rates!$C:$D, 2, FALSE)</f>
        <v>1</v>
      </c>
      <c r="AM67" s="14">
        <f t="shared" si="1"/>
        <v>2454</v>
      </c>
      <c r="AN67" s="11"/>
      <c r="AO67" s="11"/>
      <c r="AP67" s="17"/>
      <c r="AQ67" s="15" t="s">
        <v>49</v>
      </c>
      <c r="AR67" t="s">
        <v>404</v>
      </c>
      <c r="AS67" s="16" t="s">
        <v>405</v>
      </c>
      <c r="AT67" s="11"/>
      <c r="AU67" s="11"/>
      <c r="AV67" s="11"/>
      <c r="AW67" s="11"/>
      <c r="AX67" s="11"/>
      <c r="AY67" s="11"/>
      <c r="AZ67" s="11"/>
      <c r="BA67" s="11"/>
      <c r="BB67" s="11"/>
      <c r="BC67" s="11"/>
      <c r="BD67" s="11"/>
      <c r="BE67" s="11"/>
      <c r="BF67" s="11"/>
      <c r="BG67" s="11"/>
      <c r="BH67" s="11"/>
    </row>
    <row r="68" spans="1:60" ht="14.5">
      <c r="A68" s="9" t="s">
        <v>406</v>
      </c>
      <c r="B68" s="9" t="s">
        <v>407</v>
      </c>
      <c r="C68" s="9" t="s">
        <v>408</v>
      </c>
      <c r="D68" s="9" t="s">
        <v>361</v>
      </c>
      <c r="E68" s="17" t="s">
        <v>49</v>
      </c>
      <c r="F68" s="9" t="s">
        <v>69</v>
      </c>
      <c r="G68" s="9" t="s">
        <v>70</v>
      </c>
      <c r="H68" s="9" t="s">
        <v>362</v>
      </c>
      <c r="I68" s="9" t="s">
        <v>409</v>
      </c>
      <c r="J68" s="10">
        <v>44452</v>
      </c>
      <c r="K68" s="10">
        <v>44454</v>
      </c>
      <c r="L68" s="10">
        <v>44454</v>
      </c>
      <c r="M68" s="10">
        <v>44509</v>
      </c>
      <c r="N68" s="9">
        <v>2021</v>
      </c>
      <c r="O68" s="9" t="s">
        <v>363</v>
      </c>
      <c r="P68" s="9" t="s">
        <v>53</v>
      </c>
      <c r="Q68" s="9" t="s">
        <v>53</v>
      </c>
      <c r="R68" s="9" t="s">
        <v>210</v>
      </c>
      <c r="T68" s="9"/>
      <c r="V68" s="9"/>
      <c r="W68" s="11">
        <f>IFERROR(VLOOKUP(B68, PlumX_snapshot!$A:$B, 2, FALSE), " ")</f>
        <v>18</v>
      </c>
      <c r="X68" s="11">
        <f>IFERROR(VLOOKUP(B68, PlumX_snapshot!$A:$C, 3, FALSE), " ")</f>
        <v>3</v>
      </c>
      <c r="Y68" s="12">
        <f>IFERROR(VLOOKUP(B68, PlumX_snapshot!$A:$D, 4, FALSE), " ")</f>
        <v>0</v>
      </c>
      <c r="Z68" s="12">
        <f>IFERROR(VLOOKUP(B68, PlumX_snapshot!$A:$E, 5, FALSE), " ")</f>
        <v>0</v>
      </c>
      <c r="AA68" s="12">
        <f>IFERROR(VLOOKUP(B68, PlumX_snapshot!$A:$F, 6, FALSE), " ")</f>
        <v>0</v>
      </c>
      <c r="AB68" s="13">
        <v>44978</v>
      </c>
      <c r="AC68" s="12" t="s">
        <v>410</v>
      </c>
      <c r="AD68" s="12" t="s">
        <v>411</v>
      </c>
      <c r="AE68" s="11"/>
      <c r="AF68" s="11"/>
      <c r="AG68" s="11"/>
      <c r="AH68" s="11">
        <v>2045</v>
      </c>
      <c r="AI68" s="11" t="s">
        <v>77</v>
      </c>
      <c r="AJ68" s="12" t="s">
        <v>301</v>
      </c>
      <c r="AK68" s="11" t="str">
        <f t="shared" si="0"/>
        <v>2021GBP</v>
      </c>
      <c r="AL68" s="11">
        <f>VLOOKUP(AK68, Exchange_rates!$C:$D, 2, FALSE)</f>
        <v>1</v>
      </c>
      <c r="AM68" s="14">
        <f t="shared" si="1"/>
        <v>2454</v>
      </c>
      <c r="AN68" s="11"/>
      <c r="AO68" s="11"/>
      <c r="AP68" s="17"/>
      <c r="AQ68" s="15" t="s">
        <v>49</v>
      </c>
      <c r="AR68" t="s">
        <v>412</v>
      </c>
      <c r="AS68" s="16" t="s">
        <v>413</v>
      </c>
      <c r="AT68" s="11"/>
      <c r="AU68" s="11"/>
      <c r="AV68" s="11"/>
      <c r="AW68" s="11"/>
      <c r="AX68" s="11"/>
      <c r="AY68" s="11"/>
      <c r="AZ68" s="11"/>
      <c r="BA68" s="11"/>
      <c r="BB68" s="11"/>
      <c r="BC68" s="11"/>
      <c r="BD68" s="11"/>
      <c r="BE68" s="11"/>
      <c r="BF68" s="11"/>
      <c r="BG68" s="11"/>
      <c r="BH68" s="11"/>
    </row>
    <row r="69" spans="1:60" ht="14.5">
      <c r="A69" s="9" t="s">
        <v>414</v>
      </c>
      <c r="B69" s="9" t="s">
        <v>415</v>
      </c>
      <c r="C69" s="9" t="s">
        <v>416</v>
      </c>
      <c r="D69" s="9" t="s">
        <v>361</v>
      </c>
      <c r="E69" s="17" t="s">
        <v>49</v>
      </c>
      <c r="F69" s="9" t="s">
        <v>69</v>
      </c>
      <c r="G69" s="9" t="s">
        <v>70</v>
      </c>
      <c r="H69" s="9" t="s">
        <v>362</v>
      </c>
      <c r="I69" s="9" t="s">
        <v>72</v>
      </c>
      <c r="J69" s="10">
        <v>44419</v>
      </c>
      <c r="K69" s="10">
        <v>44452</v>
      </c>
      <c r="L69" s="10">
        <v>44452</v>
      </c>
      <c r="M69" s="10">
        <v>44439</v>
      </c>
      <c r="N69" s="9">
        <v>2021</v>
      </c>
      <c r="O69" s="9" t="s">
        <v>363</v>
      </c>
      <c r="P69" s="9" t="s">
        <v>53</v>
      </c>
      <c r="Q69" s="9" t="s">
        <v>53</v>
      </c>
      <c r="R69" s="9" t="s">
        <v>417</v>
      </c>
      <c r="T69" s="9"/>
      <c r="V69" s="9"/>
      <c r="W69" s="11">
        <f>IFERROR(VLOOKUP(B69, PlumX_snapshot!$A:$B, 2, FALSE), " ")</f>
        <v>17</v>
      </c>
      <c r="X69" s="11">
        <f>IFERROR(VLOOKUP(B69, PlumX_snapshot!$A:$C, 3, FALSE), " ")</f>
        <v>4</v>
      </c>
      <c r="Y69" s="12">
        <f>IFERROR(VLOOKUP(B69, PlumX_snapshot!$A:$D, 4, FALSE), " ")</f>
        <v>0</v>
      </c>
      <c r="Z69" s="12">
        <f>IFERROR(VLOOKUP(B69, PlumX_snapshot!$A:$E, 5, FALSE), " ")</f>
        <v>0</v>
      </c>
      <c r="AA69" s="12">
        <f>IFERROR(VLOOKUP(B69, PlumX_snapshot!$A:$F, 6, FALSE), " ")</f>
        <v>2</v>
      </c>
      <c r="AB69" s="13">
        <v>44978</v>
      </c>
      <c r="AC69" s="12" t="s">
        <v>418</v>
      </c>
      <c r="AD69" s="12" t="s">
        <v>419</v>
      </c>
      <c r="AE69" s="11"/>
      <c r="AF69" s="11"/>
      <c r="AG69" s="12"/>
      <c r="AH69" s="11">
        <v>2045</v>
      </c>
      <c r="AI69" s="11" t="s">
        <v>77</v>
      </c>
      <c r="AJ69" s="12" t="s">
        <v>301</v>
      </c>
      <c r="AK69" s="11" t="str">
        <f t="shared" si="0"/>
        <v>2021GBP</v>
      </c>
      <c r="AL69" s="11">
        <f>VLOOKUP(AK69, Exchange_rates!$C:$D, 2, FALSE)</f>
        <v>1</v>
      </c>
      <c r="AM69" s="14">
        <f t="shared" si="1"/>
        <v>2454</v>
      </c>
      <c r="AN69" s="11"/>
      <c r="AO69" s="11"/>
      <c r="AP69" s="17"/>
      <c r="AQ69" s="15" t="s">
        <v>49</v>
      </c>
      <c r="AR69" t="s">
        <v>420</v>
      </c>
      <c r="AS69" s="16" t="s">
        <v>421</v>
      </c>
      <c r="AT69" s="11"/>
      <c r="AU69" s="11"/>
      <c r="AV69" s="11"/>
      <c r="AW69" s="11"/>
      <c r="AX69" s="11"/>
      <c r="AY69" s="11"/>
      <c r="AZ69" s="11"/>
      <c r="BA69" s="11"/>
      <c r="BB69" s="11"/>
      <c r="BC69" s="11"/>
      <c r="BD69" s="11"/>
      <c r="BE69" s="11"/>
      <c r="BF69" s="11"/>
      <c r="BG69" s="11"/>
      <c r="BH69" s="11"/>
    </row>
    <row r="70" spans="1:60" ht="14.5">
      <c r="A70" s="9" t="s">
        <v>422</v>
      </c>
      <c r="B70" s="9" t="s">
        <v>423</v>
      </c>
      <c r="C70" s="9" t="s">
        <v>424</v>
      </c>
      <c r="D70" s="9" t="s">
        <v>361</v>
      </c>
      <c r="E70" s="17" t="s">
        <v>49</v>
      </c>
      <c r="F70" s="9" t="s">
        <v>69</v>
      </c>
      <c r="G70" s="9" t="s">
        <v>70</v>
      </c>
      <c r="H70" s="9" t="s">
        <v>362</v>
      </c>
      <c r="I70" s="9" t="s">
        <v>72</v>
      </c>
      <c r="J70" s="10">
        <v>44435</v>
      </c>
      <c r="K70" s="10">
        <v>44436</v>
      </c>
      <c r="L70" s="10">
        <v>44436</v>
      </c>
      <c r="M70" s="10">
        <v>44460</v>
      </c>
      <c r="N70" s="9">
        <v>2021</v>
      </c>
      <c r="O70" s="9" t="s">
        <v>363</v>
      </c>
      <c r="P70" s="9" t="s">
        <v>53</v>
      </c>
      <c r="Q70" s="9" t="s">
        <v>53</v>
      </c>
      <c r="R70" s="9" t="s">
        <v>425</v>
      </c>
      <c r="T70" s="9"/>
      <c r="V70" s="9"/>
      <c r="W70" s="11">
        <f>IFERROR(VLOOKUP(B70, PlumX_snapshot!$A:$B, 2, FALSE), " ")</f>
        <v>20</v>
      </c>
      <c r="X70" s="11">
        <f>IFERROR(VLOOKUP(B70, PlumX_snapshot!$A:$C, 3, FALSE), " ")</f>
        <v>2</v>
      </c>
      <c r="Y70" s="12">
        <f>IFERROR(VLOOKUP(B70, PlumX_snapshot!$A:$D, 4, FALSE), " ")</f>
        <v>0</v>
      </c>
      <c r="Z70" s="12">
        <f>IFERROR(VLOOKUP(B70, PlumX_snapshot!$A:$E, 5, FALSE), " ")</f>
        <v>0</v>
      </c>
      <c r="AA70" s="12">
        <f>IFERROR(VLOOKUP(B70, PlumX_snapshot!$A:$F, 6, FALSE), " ")</f>
        <v>0</v>
      </c>
      <c r="AB70" s="13">
        <v>44978</v>
      </c>
      <c r="AC70" s="12" t="s">
        <v>426</v>
      </c>
      <c r="AD70" s="11" t="s">
        <v>427</v>
      </c>
      <c r="AE70" s="11"/>
      <c r="AF70" s="11"/>
      <c r="AG70" s="11"/>
      <c r="AH70" s="11">
        <v>2730</v>
      </c>
      <c r="AI70" s="11" t="s">
        <v>77</v>
      </c>
      <c r="AJ70" s="12" t="s">
        <v>301</v>
      </c>
      <c r="AK70" s="11" t="str">
        <f t="shared" si="0"/>
        <v>2021GBP</v>
      </c>
      <c r="AL70" s="11">
        <f>VLOOKUP(AK70, Exchange_rates!$C:$D, 2, FALSE)</f>
        <v>1</v>
      </c>
      <c r="AM70" s="14">
        <f t="shared" si="1"/>
        <v>3276</v>
      </c>
      <c r="AN70" s="11"/>
      <c r="AO70" s="11"/>
      <c r="AP70" s="17"/>
      <c r="AQ70" s="15" t="s">
        <v>49</v>
      </c>
      <c r="AR70" t="s">
        <v>428</v>
      </c>
      <c r="AS70" s="16" t="s">
        <v>429</v>
      </c>
      <c r="AT70" s="11"/>
      <c r="AU70" s="11"/>
      <c r="AV70" s="11"/>
      <c r="AW70" s="11"/>
      <c r="AX70" s="12"/>
      <c r="AY70" s="11"/>
      <c r="AZ70" s="11"/>
      <c r="BA70" s="11"/>
      <c r="BB70" s="11"/>
      <c r="BC70" s="11"/>
      <c r="BD70" s="11"/>
      <c r="BE70" s="11"/>
      <c r="BF70" s="11"/>
      <c r="BG70" s="11"/>
      <c r="BH70" s="11"/>
    </row>
    <row r="71" spans="1:60" ht="14.5">
      <c r="A71" s="9" t="s">
        <v>430</v>
      </c>
      <c r="B71" s="9" t="s">
        <v>431</v>
      </c>
      <c r="C71" s="9" t="s">
        <v>432</v>
      </c>
      <c r="D71" s="9" t="s">
        <v>361</v>
      </c>
      <c r="E71" s="17" t="s">
        <v>49</v>
      </c>
      <c r="F71" s="9" t="s">
        <v>69</v>
      </c>
      <c r="G71" s="9" t="s">
        <v>70</v>
      </c>
      <c r="H71" s="9" t="s">
        <v>362</v>
      </c>
      <c r="I71" s="9" t="s">
        <v>72</v>
      </c>
      <c r="J71" s="10">
        <v>44424</v>
      </c>
      <c r="K71" s="10">
        <v>44436</v>
      </c>
      <c r="L71" s="10">
        <v>44436</v>
      </c>
      <c r="M71" s="10">
        <v>44474</v>
      </c>
      <c r="N71" s="9">
        <v>2021</v>
      </c>
      <c r="O71" s="9" t="s">
        <v>363</v>
      </c>
      <c r="P71" s="9" t="s">
        <v>53</v>
      </c>
      <c r="Q71" s="9" t="s">
        <v>53</v>
      </c>
      <c r="R71" s="9" t="s">
        <v>210</v>
      </c>
      <c r="T71" s="9"/>
      <c r="V71" s="9"/>
      <c r="W71" s="11">
        <f>IFERROR(VLOOKUP(B71, PlumX_snapshot!$A:$B, 2, FALSE), " ")</f>
        <v>4</v>
      </c>
      <c r="X71" s="11">
        <f>IFERROR(VLOOKUP(B71, PlumX_snapshot!$A:$C, 3, FALSE), " ")</f>
        <v>0</v>
      </c>
      <c r="Y71" s="12">
        <f>IFERROR(VLOOKUP(B71, PlumX_snapshot!$A:$D, 4, FALSE), " ")</f>
        <v>0</v>
      </c>
      <c r="Z71" s="12">
        <f>IFERROR(VLOOKUP(B71, PlumX_snapshot!$A:$E, 5, FALSE), " ")</f>
        <v>0</v>
      </c>
      <c r="AA71" s="12">
        <f>IFERROR(VLOOKUP(B71, PlumX_snapshot!$A:$F, 6, FALSE), " ")</f>
        <v>0</v>
      </c>
      <c r="AB71" s="13">
        <v>44978</v>
      </c>
      <c r="AC71" s="11" t="s">
        <v>433</v>
      </c>
      <c r="AD71" s="11" t="s">
        <v>434</v>
      </c>
      <c r="AE71" s="11"/>
      <c r="AF71" s="11"/>
      <c r="AG71" s="11"/>
      <c r="AH71" s="11">
        <v>2045</v>
      </c>
      <c r="AI71" s="11" t="s">
        <v>77</v>
      </c>
      <c r="AJ71" s="12" t="s">
        <v>301</v>
      </c>
      <c r="AK71" s="11" t="str">
        <f t="shared" si="0"/>
        <v>2021GBP</v>
      </c>
      <c r="AL71" s="11">
        <f>VLOOKUP(AK71, Exchange_rates!$C:$D, 2, FALSE)</f>
        <v>1</v>
      </c>
      <c r="AM71" s="14">
        <f t="shared" si="1"/>
        <v>2454</v>
      </c>
      <c r="AN71" s="11"/>
      <c r="AO71" s="11"/>
      <c r="AP71" s="17"/>
      <c r="AQ71" s="15" t="s">
        <v>49</v>
      </c>
      <c r="AR71" t="s">
        <v>435</v>
      </c>
      <c r="AS71" s="16" t="s">
        <v>436</v>
      </c>
      <c r="AT71" s="11"/>
      <c r="AU71" s="11"/>
      <c r="AV71" s="11"/>
      <c r="AW71" s="11"/>
      <c r="AX71" s="11"/>
      <c r="AY71" s="11"/>
      <c r="AZ71" s="11"/>
      <c r="BA71" s="11"/>
      <c r="BB71" s="11"/>
      <c r="BC71" s="11"/>
      <c r="BD71" s="11"/>
      <c r="BE71" s="11"/>
      <c r="BF71" s="11"/>
      <c r="BG71" s="11"/>
      <c r="BH71" s="11"/>
    </row>
    <row r="72" spans="1:60" ht="14.5">
      <c r="A72" s="9" t="s">
        <v>437</v>
      </c>
      <c r="B72" s="9" t="s">
        <v>438</v>
      </c>
      <c r="C72" s="9" t="s">
        <v>439</v>
      </c>
      <c r="D72" s="9" t="s">
        <v>361</v>
      </c>
      <c r="E72" s="17" t="s">
        <v>49</v>
      </c>
      <c r="F72" s="9" t="s">
        <v>69</v>
      </c>
      <c r="G72" s="9" t="s">
        <v>70</v>
      </c>
      <c r="H72" s="9" t="s">
        <v>362</v>
      </c>
      <c r="I72" s="9" t="s">
        <v>72</v>
      </c>
      <c r="J72" s="10">
        <v>44421</v>
      </c>
      <c r="K72" s="10">
        <v>44435</v>
      </c>
      <c r="L72" s="10">
        <v>44435</v>
      </c>
      <c r="M72" s="10">
        <v>44480</v>
      </c>
      <c r="N72" s="9">
        <v>2021</v>
      </c>
      <c r="O72" s="9" t="s">
        <v>363</v>
      </c>
      <c r="P72" s="9" t="s">
        <v>53</v>
      </c>
      <c r="Q72" s="9" t="s">
        <v>53</v>
      </c>
      <c r="R72" s="9" t="s">
        <v>210</v>
      </c>
      <c r="T72" s="9"/>
      <c r="V72" s="9"/>
      <c r="W72" s="11">
        <f>IFERROR(VLOOKUP(B72, PlumX_snapshot!$A:$B, 2, FALSE), " ")</f>
        <v>13</v>
      </c>
      <c r="X72" s="11">
        <f>IFERROR(VLOOKUP(B72, PlumX_snapshot!$A:$C, 3, FALSE), " ")</f>
        <v>0</v>
      </c>
      <c r="Y72" s="12">
        <f>IFERROR(VLOOKUP(B72, PlumX_snapshot!$A:$D, 4, FALSE), " ")</f>
        <v>0</v>
      </c>
      <c r="Z72" s="12">
        <f>IFERROR(VLOOKUP(B72, PlumX_snapshot!$A:$E, 5, FALSE), " ")</f>
        <v>0</v>
      </c>
      <c r="AA72" s="12">
        <f>IFERROR(VLOOKUP(B72, PlumX_snapshot!$A:$F, 6, FALSE), " ")</f>
        <v>0</v>
      </c>
      <c r="AB72" s="13">
        <v>44978</v>
      </c>
      <c r="AC72" s="11" t="s">
        <v>440</v>
      </c>
      <c r="AD72" s="11" t="s">
        <v>441</v>
      </c>
      <c r="AE72" s="11"/>
      <c r="AF72" s="11"/>
      <c r="AG72" s="11"/>
      <c r="AH72" s="11">
        <v>2045</v>
      </c>
      <c r="AI72" s="11" t="s">
        <v>77</v>
      </c>
      <c r="AJ72" s="12" t="s">
        <v>301</v>
      </c>
      <c r="AK72" s="11" t="str">
        <f t="shared" si="0"/>
        <v>2021GBP</v>
      </c>
      <c r="AL72" s="11">
        <f>VLOOKUP(AK72, Exchange_rates!$C:$D, 2, FALSE)</f>
        <v>1</v>
      </c>
      <c r="AM72" s="14">
        <f t="shared" si="1"/>
        <v>2454</v>
      </c>
      <c r="AN72" s="11"/>
      <c r="AO72" s="11"/>
      <c r="AP72" s="17"/>
      <c r="AQ72" s="15" t="s">
        <v>49</v>
      </c>
      <c r="AR72" t="s">
        <v>442</v>
      </c>
      <c r="AS72" s="16" t="s">
        <v>443</v>
      </c>
      <c r="AT72" s="11"/>
      <c r="AU72" s="11"/>
      <c r="AV72" s="11"/>
      <c r="AW72" s="11"/>
      <c r="AX72" s="11"/>
      <c r="AY72" s="11"/>
      <c r="AZ72" s="11"/>
      <c r="BA72" s="11"/>
      <c r="BB72" s="11"/>
      <c r="BC72" s="11"/>
      <c r="BD72" s="11"/>
      <c r="BE72" s="11"/>
      <c r="BF72" s="11"/>
      <c r="BG72" s="11"/>
      <c r="BH72" s="11"/>
    </row>
    <row r="73" spans="1:60" ht="14.5">
      <c r="A73" s="9" t="s">
        <v>444</v>
      </c>
      <c r="B73" s="9" t="s">
        <v>445</v>
      </c>
      <c r="C73" s="9" t="s">
        <v>446</v>
      </c>
      <c r="D73" s="9" t="s">
        <v>361</v>
      </c>
      <c r="E73" s="17" t="s">
        <v>49</v>
      </c>
      <c r="F73" s="9" t="s">
        <v>69</v>
      </c>
      <c r="G73" s="9" t="s">
        <v>70</v>
      </c>
      <c r="H73" s="9" t="s">
        <v>362</v>
      </c>
      <c r="I73" s="9" t="s">
        <v>72</v>
      </c>
      <c r="J73" s="10">
        <v>44413</v>
      </c>
      <c r="K73" s="10">
        <v>44415</v>
      </c>
      <c r="L73" s="10">
        <v>44415</v>
      </c>
      <c r="M73" s="10">
        <v>44445</v>
      </c>
      <c r="N73" s="9">
        <v>2021</v>
      </c>
      <c r="O73" s="9" t="s">
        <v>363</v>
      </c>
      <c r="P73" s="9" t="s">
        <v>53</v>
      </c>
      <c r="Q73" s="9" t="s">
        <v>53</v>
      </c>
      <c r="R73" s="9" t="s">
        <v>447</v>
      </c>
      <c r="T73" s="9"/>
      <c r="V73" s="9"/>
      <c r="W73" s="11">
        <f>IFERROR(VLOOKUP(B73, PlumX_snapshot!$A:$B, 2, FALSE), " ")</f>
        <v>2</v>
      </c>
      <c r="X73" s="11">
        <f>IFERROR(VLOOKUP(B73, PlumX_snapshot!$A:$C, 3, FALSE), " ")</f>
        <v>0</v>
      </c>
      <c r="Y73" s="12">
        <f>IFERROR(VLOOKUP(B73, PlumX_snapshot!$A:$D, 4, FALSE), " ")</f>
        <v>0</v>
      </c>
      <c r="Z73" s="12">
        <f>IFERROR(VLOOKUP(B73, PlumX_snapshot!$A:$E, 5, FALSE), " ")</f>
        <v>0</v>
      </c>
      <c r="AA73" s="12">
        <f>IFERROR(VLOOKUP(B73, PlumX_snapshot!$A:$F, 6, FALSE), " ")</f>
        <v>0</v>
      </c>
      <c r="AB73" s="13">
        <v>44978</v>
      </c>
      <c r="AC73" s="11" t="s">
        <v>448</v>
      </c>
      <c r="AD73" s="11" t="s">
        <v>449</v>
      </c>
      <c r="AE73" s="11"/>
      <c r="AF73" s="11"/>
      <c r="AG73" s="11"/>
      <c r="AH73" s="11">
        <v>2045</v>
      </c>
      <c r="AI73" s="11" t="s">
        <v>77</v>
      </c>
      <c r="AJ73" s="12" t="s">
        <v>301</v>
      </c>
      <c r="AK73" s="11" t="str">
        <f t="shared" si="0"/>
        <v>2021GBP</v>
      </c>
      <c r="AL73" s="11">
        <f>VLOOKUP(AK73, Exchange_rates!$C:$D, 2, FALSE)</f>
        <v>1</v>
      </c>
      <c r="AM73" s="14">
        <f t="shared" si="1"/>
        <v>2454</v>
      </c>
      <c r="AN73" s="11"/>
      <c r="AO73" s="11"/>
      <c r="AP73" s="17"/>
      <c r="AQ73" s="15" t="s">
        <v>49</v>
      </c>
      <c r="AR73" t="s">
        <v>450</v>
      </c>
      <c r="AS73" s="16" t="s">
        <v>451</v>
      </c>
      <c r="AT73" s="11"/>
      <c r="AU73" s="11"/>
      <c r="AV73" s="11"/>
      <c r="AW73" s="11"/>
      <c r="AX73" s="11"/>
      <c r="AY73" s="11"/>
      <c r="AZ73" s="11"/>
      <c r="BA73" s="11"/>
      <c r="BB73" s="11"/>
      <c r="BC73" s="11"/>
      <c r="BD73" s="11"/>
      <c r="BE73" s="11"/>
      <c r="BF73" s="11"/>
      <c r="BG73" s="11"/>
      <c r="BH73" s="11"/>
    </row>
    <row r="74" spans="1:60" ht="14.5">
      <c r="A74" s="9" t="s">
        <v>452</v>
      </c>
      <c r="B74" s="9" t="s">
        <v>453</v>
      </c>
      <c r="C74" s="9" t="s">
        <v>386</v>
      </c>
      <c r="D74" s="9" t="s">
        <v>361</v>
      </c>
      <c r="E74" s="17" t="s">
        <v>49</v>
      </c>
      <c r="F74" s="9" t="s">
        <v>69</v>
      </c>
      <c r="G74" s="9" t="s">
        <v>70</v>
      </c>
      <c r="H74" s="9" t="s">
        <v>362</v>
      </c>
      <c r="I74" s="9" t="s">
        <v>72</v>
      </c>
      <c r="J74" s="10">
        <v>44372</v>
      </c>
      <c r="K74" s="10">
        <v>44412</v>
      </c>
      <c r="L74" s="10">
        <v>44412</v>
      </c>
      <c r="M74" s="10">
        <v>44406</v>
      </c>
      <c r="N74" s="9">
        <v>2021</v>
      </c>
      <c r="O74" s="9" t="s">
        <v>363</v>
      </c>
      <c r="P74" s="9" t="s">
        <v>53</v>
      </c>
      <c r="Q74" s="9" t="s">
        <v>53</v>
      </c>
      <c r="R74" s="9" t="s">
        <v>210</v>
      </c>
      <c r="T74" s="9"/>
      <c r="V74" s="9"/>
      <c r="W74" s="11">
        <f>IFERROR(VLOOKUP(B74, PlumX_snapshot!$A:$B, 2, FALSE), " ")</f>
        <v>66</v>
      </c>
      <c r="X74" s="11">
        <f>IFERROR(VLOOKUP(B74, PlumX_snapshot!$A:$C, 3, FALSE), " ")</f>
        <v>5</v>
      </c>
      <c r="Y74" s="12">
        <f>IFERROR(VLOOKUP(B74, PlumX_snapshot!$A:$D, 4, FALSE), " ")</f>
        <v>0</v>
      </c>
      <c r="Z74" s="12">
        <f>IFERROR(VLOOKUP(B74, PlumX_snapshot!$A:$E, 5, FALSE), " ")</f>
        <v>0</v>
      </c>
      <c r="AA74" s="12">
        <f>IFERROR(VLOOKUP(B74, PlumX_snapshot!$A:$F, 6, FALSE), " ")</f>
        <v>0</v>
      </c>
      <c r="AB74" s="13">
        <v>44978</v>
      </c>
      <c r="AC74" s="12" t="s">
        <v>454</v>
      </c>
      <c r="AD74" s="12" t="s">
        <v>455</v>
      </c>
      <c r="AE74" s="11"/>
      <c r="AF74" s="11"/>
      <c r="AG74" s="11"/>
      <c r="AH74" s="11">
        <v>2045</v>
      </c>
      <c r="AI74" s="11" t="s">
        <v>77</v>
      </c>
      <c r="AJ74" s="12" t="s">
        <v>301</v>
      </c>
      <c r="AK74" s="11" t="str">
        <f t="shared" si="0"/>
        <v>2021GBP</v>
      </c>
      <c r="AL74" s="11">
        <f>VLOOKUP(AK74, Exchange_rates!$C:$D, 2, FALSE)</f>
        <v>1</v>
      </c>
      <c r="AM74" s="14">
        <f t="shared" si="1"/>
        <v>2454</v>
      </c>
      <c r="AN74" s="11"/>
      <c r="AO74" s="11"/>
      <c r="AP74" s="17"/>
      <c r="AQ74" s="15" t="s">
        <v>49</v>
      </c>
      <c r="AR74" t="s">
        <v>389</v>
      </c>
      <c r="AS74" s="16" t="s">
        <v>390</v>
      </c>
      <c r="AT74" s="11"/>
      <c r="AU74" s="11"/>
      <c r="AV74" s="11"/>
      <c r="AW74" s="11"/>
      <c r="AX74" s="11"/>
      <c r="AY74" s="11"/>
      <c r="AZ74" s="11"/>
      <c r="BA74" s="11"/>
      <c r="BB74" s="11"/>
      <c r="BC74" s="11"/>
      <c r="BD74" s="11"/>
      <c r="BE74" s="11"/>
      <c r="BF74" s="11"/>
      <c r="BG74" s="11"/>
      <c r="BH74" s="11"/>
    </row>
    <row r="75" spans="1:60" ht="14.5">
      <c r="A75" s="9" t="s">
        <v>456</v>
      </c>
      <c r="B75" s="9" t="s">
        <v>457</v>
      </c>
      <c r="C75" s="9" t="s">
        <v>458</v>
      </c>
      <c r="D75" s="9" t="s">
        <v>361</v>
      </c>
      <c r="E75" s="17" t="s">
        <v>49</v>
      </c>
      <c r="F75" s="9" t="s">
        <v>69</v>
      </c>
      <c r="G75" s="9" t="s">
        <v>70</v>
      </c>
      <c r="H75" s="9" t="s">
        <v>362</v>
      </c>
      <c r="I75" s="9" t="s">
        <v>72</v>
      </c>
      <c r="J75" s="10">
        <v>44410</v>
      </c>
      <c r="K75" s="10">
        <v>44411</v>
      </c>
      <c r="L75" s="10">
        <v>44411</v>
      </c>
      <c r="M75" s="10">
        <v>44435</v>
      </c>
      <c r="N75" s="9">
        <v>2021</v>
      </c>
      <c r="O75" s="9" t="s">
        <v>363</v>
      </c>
      <c r="P75" s="9" t="s">
        <v>53</v>
      </c>
      <c r="Q75" s="9" t="s">
        <v>53</v>
      </c>
      <c r="R75" s="9" t="s">
        <v>210</v>
      </c>
      <c r="T75" s="9"/>
      <c r="V75" s="9"/>
      <c r="W75" s="11">
        <f>IFERROR(VLOOKUP(B75, PlumX_snapshot!$A:$B, 2, FALSE), " ")</f>
        <v>13</v>
      </c>
      <c r="X75" s="11">
        <f>IFERROR(VLOOKUP(B75, PlumX_snapshot!$A:$C, 3, FALSE), " ")</f>
        <v>4</v>
      </c>
      <c r="Y75" s="12">
        <f>IFERROR(VLOOKUP(B75, PlumX_snapshot!$A:$D, 4, FALSE), " ")</f>
        <v>0</v>
      </c>
      <c r="Z75" s="12">
        <f>IFERROR(VLOOKUP(B75, PlumX_snapshot!$A:$E, 5, FALSE), " ")</f>
        <v>0</v>
      </c>
      <c r="AA75" s="12">
        <f>IFERROR(VLOOKUP(B75, PlumX_snapshot!$A:$F, 6, FALSE), " ")</f>
        <v>0</v>
      </c>
      <c r="AB75" s="13">
        <v>44978</v>
      </c>
      <c r="AC75" s="11" t="s">
        <v>459</v>
      </c>
      <c r="AD75" s="12" t="s">
        <v>460</v>
      </c>
      <c r="AE75" s="11"/>
      <c r="AF75" s="11"/>
      <c r="AG75" s="11"/>
      <c r="AH75" s="11">
        <v>2045</v>
      </c>
      <c r="AI75" s="11" t="s">
        <v>77</v>
      </c>
      <c r="AJ75" s="12" t="s">
        <v>301</v>
      </c>
      <c r="AK75" s="11" t="str">
        <f t="shared" si="0"/>
        <v>2021GBP</v>
      </c>
      <c r="AL75" s="11">
        <f>VLOOKUP(AK75, Exchange_rates!$C:$D, 2, FALSE)</f>
        <v>1</v>
      </c>
      <c r="AM75" s="14">
        <f t="shared" si="1"/>
        <v>2454</v>
      </c>
      <c r="AN75" s="11"/>
      <c r="AO75" s="11"/>
      <c r="AP75" s="17"/>
      <c r="AQ75" s="15" t="s">
        <v>49</v>
      </c>
      <c r="AR75" t="s">
        <v>461</v>
      </c>
      <c r="AS75" s="16" t="s">
        <v>462</v>
      </c>
      <c r="AT75" s="11"/>
      <c r="AU75" s="11"/>
      <c r="AV75" s="11"/>
      <c r="AW75" s="11"/>
      <c r="AX75" s="11"/>
      <c r="AY75" s="11"/>
      <c r="AZ75" s="11"/>
      <c r="BA75" s="11"/>
      <c r="BB75" s="11"/>
      <c r="BC75" s="11"/>
      <c r="BD75" s="11"/>
      <c r="BE75" s="11"/>
      <c r="BF75" s="11"/>
      <c r="BG75" s="11"/>
      <c r="BH75" s="11"/>
    </row>
    <row r="76" spans="1:60" ht="14.5">
      <c r="A76" s="9" t="s">
        <v>463</v>
      </c>
      <c r="B76" s="9" t="s">
        <v>464</v>
      </c>
      <c r="C76" s="9" t="s">
        <v>439</v>
      </c>
      <c r="D76" s="9" t="s">
        <v>361</v>
      </c>
      <c r="E76" s="17" t="s">
        <v>49</v>
      </c>
      <c r="F76" s="9" t="s">
        <v>69</v>
      </c>
      <c r="G76" s="9" t="s">
        <v>70</v>
      </c>
      <c r="H76" s="9" t="s">
        <v>362</v>
      </c>
      <c r="I76" s="9" t="s">
        <v>72</v>
      </c>
      <c r="J76" s="10">
        <v>44341</v>
      </c>
      <c r="K76" s="10">
        <v>44410</v>
      </c>
      <c r="L76" s="10">
        <v>44410</v>
      </c>
      <c r="M76" s="10">
        <v>44393</v>
      </c>
      <c r="N76" s="9">
        <v>2021</v>
      </c>
      <c r="O76" s="9" t="s">
        <v>363</v>
      </c>
      <c r="P76" s="9" t="s">
        <v>53</v>
      </c>
      <c r="Q76" s="9" t="s">
        <v>53</v>
      </c>
      <c r="R76" s="9" t="s">
        <v>210</v>
      </c>
      <c r="T76" s="9"/>
      <c r="V76" s="9"/>
      <c r="W76" s="11">
        <f>IFERROR(VLOOKUP(B76, PlumX_snapshot!$A:$B, 2, FALSE), " ")</f>
        <v>5</v>
      </c>
      <c r="X76" s="11">
        <f>IFERROR(VLOOKUP(B76, PlumX_snapshot!$A:$C, 3, FALSE), " ")</f>
        <v>3</v>
      </c>
      <c r="Y76" s="12">
        <f>IFERROR(VLOOKUP(B76, PlumX_snapshot!$A:$D, 4, FALSE), " ")</f>
        <v>0</v>
      </c>
      <c r="Z76" s="12">
        <f>IFERROR(VLOOKUP(B76, PlumX_snapshot!$A:$E, 5, FALSE), " ")</f>
        <v>0</v>
      </c>
      <c r="AA76" s="12">
        <f>IFERROR(VLOOKUP(B76, PlumX_snapshot!$A:$F, 6, FALSE), " ")</f>
        <v>0</v>
      </c>
      <c r="AB76" s="13">
        <v>44978</v>
      </c>
      <c r="AC76" s="12" t="s">
        <v>465</v>
      </c>
      <c r="AD76" s="12" t="s">
        <v>466</v>
      </c>
      <c r="AE76" s="11"/>
      <c r="AF76" s="11"/>
      <c r="AG76" s="11"/>
      <c r="AH76" s="11">
        <v>2045</v>
      </c>
      <c r="AI76" s="11" t="s">
        <v>77</v>
      </c>
      <c r="AJ76" s="12" t="s">
        <v>301</v>
      </c>
      <c r="AK76" s="11" t="str">
        <f t="shared" si="0"/>
        <v>2021GBP</v>
      </c>
      <c r="AL76" s="11">
        <f>VLOOKUP(AK76, Exchange_rates!$C:$D, 2, FALSE)</f>
        <v>1</v>
      </c>
      <c r="AM76" s="14">
        <f t="shared" si="1"/>
        <v>2454</v>
      </c>
      <c r="AN76" s="11"/>
      <c r="AO76" s="11"/>
      <c r="AP76" s="17"/>
      <c r="AQ76" s="15" t="s">
        <v>49</v>
      </c>
      <c r="AR76" t="s">
        <v>442</v>
      </c>
      <c r="AS76" s="16" t="s">
        <v>443</v>
      </c>
      <c r="AT76" s="11"/>
      <c r="AU76" s="11"/>
      <c r="AV76" s="11"/>
      <c r="AW76" s="11"/>
      <c r="AX76" s="11"/>
      <c r="AY76" s="11"/>
      <c r="AZ76" s="11"/>
      <c r="BA76" s="11"/>
      <c r="BB76" s="11"/>
      <c r="BC76" s="11"/>
      <c r="BD76" s="11"/>
      <c r="BE76" s="11"/>
      <c r="BF76" s="11"/>
      <c r="BG76" s="11"/>
      <c r="BH76" s="11"/>
    </row>
    <row r="77" spans="1:60" ht="14.5">
      <c r="A77" s="9" t="s">
        <v>467</v>
      </c>
      <c r="B77" s="9" t="s">
        <v>468</v>
      </c>
      <c r="C77" s="9" t="s">
        <v>432</v>
      </c>
      <c r="D77" s="9" t="s">
        <v>361</v>
      </c>
      <c r="E77" s="17" t="s">
        <v>49</v>
      </c>
      <c r="F77" s="9" t="s">
        <v>69</v>
      </c>
      <c r="G77" s="9" t="s">
        <v>70</v>
      </c>
      <c r="H77" s="9" t="s">
        <v>362</v>
      </c>
      <c r="I77" s="9" t="s">
        <v>72</v>
      </c>
      <c r="J77" s="10">
        <v>44333</v>
      </c>
      <c r="K77" s="10">
        <v>44404</v>
      </c>
      <c r="L77" s="10">
        <v>44404</v>
      </c>
      <c r="M77" s="10">
        <v>44498</v>
      </c>
      <c r="N77" s="9">
        <v>2021</v>
      </c>
      <c r="O77" s="9" t="s">
        <v>363</v>
      </c>
      <c r="P77" s="9" t="s">
        <v>53</v>
      </c>
      <c r="Q77" s="9" t="s">
        <v>53</v>
      </c>
      <c r="R77" s="9" t="s">
        <v>210</v>
      </c>
      <c r="T77" s="9"/>
      <c r="V77" s="9"/>
      <c r="W77" s="11">
        <f>IFERROR(VLOOKUP(B77, PlumX_snapshot!$A:$B, 2, FALSE), " ")</f>
        <v>6</v>
      </c>
      <c r="X77" s="11">
        <f>IFERROR(VLOOKUP(B77, PlumX_snapshot!$A:$C, 3, FALSE), " ")</f>
        <v>1</v>
      </c>
      <c r="Y77" s="12">
        <f>IFERROR(VLOOKUP(B77, PlumX_snapshot!$A:$D, 4, FALSE), " ")</f>
        <v>0</v>
      </c>
      <c r="Z77" s="12">
        <f>IFERROR(VLOOKUP(B77, PlumX_snapshot!$A:$E, 5, FALSE), " ")</f>
        <v>0</v>
      </c>
      <c r="AA77" s="12">
        <f>IFERROR(VLOOKUP(B77, PlumX_snapshot!$A:$F, 6, FALSE), " ")</f>
        <v>0</v>
      </c>
      <c r="AB77" s="13">
        <v>44978</v>
      </c>
      <c r="AC77" s="12" t="s">
        <v>469</v>
      </c>
      <c r="AD77" s="11" t="s">
        <v>470</v>
      </c>
      <c r="AE77" s="11"/>
      <c r="AF77" s="11"/>
      <c r="AG77" s="11"/>
      <c r="AH77" s="11">
        <v>2045</v>
      </c>
      <c r="AI77" s="11" t="s">
        <v>77</v>
      </c>
      <c r="AJ77" s="12" t="s">
        <v>301</v>
      </c>
      <c r="AK77" s="11" t="str">
        <f t="shared" si="0"/>
        <v>2021GBP</v>
      </c>
      <c r="AL77" s="11">
        <f>VLOOKUP(AK77, Exchange_rates!$C:$D, 2, FALSE)</f>
        <v>1</v>
      </c>
      <c r="AM77" s="14">
        <f t="shared" si="1"/>
        <v>2454</v>
      </c>
      <c r="AN77" s="11"/>
      <c r="AO77" s="11"/>
      <c r="AP77" s="17"/>
      <c r="AQ77" s="15" t="s">
        <v>49</v>
      </c>
      <c r="AR77" t="s">
        <v>435</v>
      </c>
      <c r="AS77" s="16" t="s">
        <v>436</v>
      </c>
      <c r="AT77" s="11"/>
      <c r="AU77" s="11"/>
      <c r="AV77" s="11"/>
      <c r="AW77" s="11"/>
      <c r="AX77" s="11"/>
      <c r="AY77" s="11"/>
      <c r="AZ77" s="11"/>
      <c r="BA77" s="11"/>
      <c r="BB77" s="11"/>
      <c r="BC77" s="11"/>
      <c r="BD77" s="11"/>
      <c r="BE77" s="11"/>
      <c r="BF77" s="11"/>
      <c r="BG77" s="11"/>
      <c r="BH77" s="11"/>
    </row>
    <row r="78" spans="1:60" ht="14.5">
      <c r="A78" s="9" t="s">
        <v>471</v>
      </c>
      <c r="B78" s="9" t="s">
        <v>472</v>
      </c>
      <c r="C78" s="9" t="s">
        <v>473</v>
      </c>
      <c r="D78" s="9" t="s">
        <v>361</v>
      </c>
      <c r="E78" s="17" t="s">
        <v>49</v>
      </c>
      <c r="F78" s="9" t="s">
        <v>69</v>
      </c>
      <c r="G78" s="9" t="s">
        <v>70</v>
      </c>
      <c r="H78" s="9" t="s">
        <v>362</v>
      </c>
      <c r="I78" s="9" t="s">
        <v>72</v>
      </c>
      <c r="J78" s="10">
        <v>44322</v>
      </c>
      <c r="K78" s="10">
        <v>44369</v>
      </c>
      <c r="L78" s="10">
        <v>44369</v>
      </c>
      <c r="M78" s="10">
        <v>44379</v>
      </c>
      <c r="N78" s="9">
        <v>2021</v>
      </c>
      <c r="O78" s="9" t="s">
        <v>363</v>
      </c>
      <c r="P78" s="9" t="s">
        <v>53</v>
      </c>
      <c r="Q78" s="9" t="s">
        <v>53</v>
      </c>
      <c r="R78" s="9" t="s">
        <v>210</v>
      </c>
      <c r="S78" s="9" t="s">
        <v>474</v>
      </c>
      <c r="T78" s="9"/>
      <c r="U78" s="9"/>
      <c r="V78" s="9"/>
      <c r="W78" s="11">
        <f>IFERROR(VLOOKUP(B78, PlumX_snapshot!$A:$B, 2, FALSE), " ")</f>
        <v>0</v>
      </c>
      <c r="X78" s="11">
        <f>IFERROR(VLOOKUP(B78, PlumX_snapshot!$A:$C, 3, FALSE), " ")</f>
        <v>0</v>
      </c>
      <c r="Y78" s="12">
        <f>IFERROR(VLOOKUP(B78, PlumX_snapshot!$A:$D, 4, FALSE), " ")</f>
        <v>0</v>
      </c>
      <c r="Z78" s="12">
        <f>IFERROR(VLOOKUP(B78, PlumX_snapshot!$A:$E, 5, FALSE), " ")</f>
        <v>0</v>
      </c>
      <c r="AA78" s="12">
        <f>IFERROR(VLOOKUP(B78, PlumX_snapshot!$A:$F, 6, FALSE), " ")</f>
        <v>0</v>
      </c>
      <c r="AB78" s="13">
        <v>44978</v>
      </c>
      <c r="AC78" s="11" t="s">
        <v>475</v>
      </c>
      <c r="AD78" s="11" t="s">
        <v>476</v>
      </c>
      <c r="AE78" s="11"/>
      <c r="AF78" s="11"/>
      <c r="AG78" s="11"/>
      <c r="AH78" s="11">
        <v>2045</v>
      </c>
      <c r="AI78" s="11" t="s">
        <v>77</v>
      </c>
      <c r="AJ78" s="12" t="s">
        <v>301</v>
      </c>
      <c r="AK78" s="11" t="str">
        <f t="shared" si="0"/>
        <v>2021GBP</v>
      </c>
      <c r="AL78" s="11">
        <f>VLOOKUP(AK78, Exchange_rates!$C:$D, 2, FALSE)</f>
        <v>1</v>
      </c>
      <c r="AM78" s="14">
        <f t="shared" si="1"/>
        <v>2454</v>
      </c>
      <c r="AN78" s="11"/>
      <c r="AO78" s="11"/>
      <c r="AP78" s="17"/>
      <c r="AQ78" s="15" t="s">
        <v>49</v>
      </c>
      <c r="AR78" t="s">
        <v>477</v>
      </c>
      <c r="AS78" s="16" t="s">
        <v>478</v>
      </c>
      <c r="AT78" s="11"/>
      <c r="AU78" s="11"/>
      <c r="AV78" s="11"/>
      <c r="AW78" s="11"/>
      <c r="AX78" s="11"/>
      <c r="AY78" s="11"/>
      <c r="AZ78" s="11"/>
      <c r="BA78" s="11"/>
      <c r="BB78" s="11"/>
      <c r="BC78" s="11"/>
      <c r="BD78" s="11"/>
      <c r="BE78" s="11"/>
      <c r="BF78" s="11"/>
      <c r="BG78" s="11"/>
      <c r="BH78" s="11"/>
    </row>
    <row r="79" spans="1:60" ht="14.5">
      <c r="A79" s="9" t="s">
        <v>479</v>
      </c>
      <c r="B79" s="9" t="s">
        <v>480</v>
      </c>
      <c r="C79" s="9" t="s">
        <v>481</v>
      </c>
      <c r="D79" s="9" t="s">
        <v>361</v>
      </c>
      <c r="E79" s="17" t="s">
        <v>49</v>
      </c>
      <c r="F79" s="9" t="s">
        <v>69</v>
      </c>
      <c r="G79" s="9" t="s">
        <v>70</v>
      </c>
      <c r="H79" s="9" t="s">
        <v>362</v>
      </c>
      <c r="I79" s="9" t="s">
        <v>72</v>
      </c>
      <c r="J79" s="10">
        <v>44337</v>
      </c>
      <c r="K79" s="10">
        <v>44357</v>
      </c>
      <c r="L79" s="10">
        <v>44357</v>
      </c>
      <c r="M79" s="10">
        <v>44610</v>
      </c>
      <c r="N79" s="9">
        <v>2021</v>
      </c>
      <c r="O79" s="9" t="s">
        <v>363</v>
      </c>
      <c r="P79" s="9" t="s">
        <v>53</v>
      </c>
      <c r="Q79" s="9" t="s">
        <v>53</v>
      </c>
      <c r="T79" s="9"/>
      <c r="V79" s="9"/>
      <c r="W79" s="11">
        <f>IFERROR(VLOOKUP(B79, PlumX_snapshot!$A:$B, 2, FALSE), " ")</f>
        <v>6</v>
      </c>
      <c r="X79" s="11">
        <f>IFERROR(VLOOKUP(B79, PlumX_snapshot!$A:$C, 3, FALSE), " ")</f>
        <v>0</v>
      </c>
      <c r="Y79" s="12">
        <f>IFERROR(VLOOKUP(B79, PlumX_snapshot!$A:$D, 4, FALSE), " ")</f>
        <v>0</v>
      </c>
      <c r="Z79" s="12">
        <f>IFERROR(VLOOKUP(B79, PlumX_snapshot!$A:$E, 5, FALSE), " ")</f>
        <v>0</v>
      </c>
      <c r="AA79" s="12">
        <f>IFERROR(VLOOKUP(B79, PlumX_snapshot!$A:$F, 6, FALSE), " ")</f>
        <v>0</v>
      </c>
      <c r="AB79" s="13">
        <v>44978</v>
      </c>
      <c r="AC79" s="11" t="s">
        <v>482</v>
      </c>
      <c r="AD79" s="11" t="s">
        <v>483</v>
      </c>
      <c r="AE79" s="11"/>
      <c r="AF79" s="11"/>
      <c r="AG79" s="11"/>
      <c r="AH79" s="11">
        <v>2045</v>
      </c>
      <c r="AI79" s="11" t="s">
        <v>77</v>
      </c>
      <c r="AJ79" s="12" t="s">
        <v>301</v>
      </c>
      <c r="AK79" s="11" t="str">
        <f t="shared" si="0"/>
        <v>2021GBP</v>
      </c>
      <c r="AL79" s="11">
        <f>VLOOKUP(AK79, Exchange_rates!$C:$D, 2, FALSE)</f>
        <v>1</v>
      </c>
      <c r="AM79" s="14">
        <f t="shared" si="1"/>
        <v>2454</v>
      </c>
      <c r="AN79" s="11"/>
      <c r="AO79" s="11"/>
      <c r="AP79" s="17"/>
      <c r="AQ79" s="15" t="s">
        <v>49</v>
      </c>
      <c r="AR79" t="s">
        <v>484</v>
      </c>
      <c r="AS79" s="16" t="s">
        <v>485</v>
      </c>
      <c r="AT79" s="11"/>
      <c r="AU79" s="11"/>
      <c r="AV79" s="11"/>
      <c r="AW79" s="11"/>
      <c r="AX79" s="11"/>
      <c r="AY79" s="11"/>
      <c r="AZ79" s="11"/>
      <c r="BA79" s="11"/>
      <c r="BB79" s="11"/>
      <c r="BC79" s="11"/>
      <c r="BD79" s="11"/>
      <c r="BE79" s="11"/>
      <c r="BF79" s="11"/>
      <c r="BG79" s="11"/>
      <c r="BH79" s="11"/>
    </row>
    <row r="80" spans="1:60" ht="14.5">
      <c r="A80" s="9" t="s">
        <v>486</v>
      </c>
      <c r="B80" s="9" t="s">
        <v>487</v>
      </c>
      <c r="C80" s="9" t="s">
        <v>473</v>
      </c>
      <c r="D80" s="9" t="s">
        <v>361</v>
      </c>
      <c r="E80" s="17" t="s">
        <v>49</v>
      </c>
      <c r="F80" s="9" t="s">
        <v>69</v>
      </c>
      <c r="G80" s="9" t="s">
        <v>70</v>
      </c>
      <c r="H80" s="9" t="s">
        <v>362</v>
      </c>
      <c r="I80" s="9" t="s">
        <v>72</v>
      </c>
      <c r="J80" s="10">
        <v>44253</v>
      </c>
      <c r="K80" s="10">
        <v>44336</v>
      </c>
      <c r="L80" s="10">
        <v>44336</v>
      </c>
      <c r="M80" s="10">
        <v>44306</v>
      </c>
      <c r="N80" s="9">
        <v>2021</v>
      </c>
      <c r="O80" s="9" t="s">
        <v>363</v>
      </c>
      <c r="P80" s="9" t="s">
        <v>53</v>
      </c>
      <c r="Q80" s="9" t="s">
        <v>53</v>
      </c>
      <c r="R80" s="9" t="s">
        <v>210</v>
      </c>
      <c r="T80" s="9"/>
      <c r="V80" s="9"/>
      <c r="W80" s="11">
        <f>IFERROR(VLOOKUP(B80, PlumX_snapshot!$A:$B, 2, FALSE), " ")</f>
        <v>1</v>
      </c>
      <c r="X80" s="11">
        <f>IFERROR(VLOOKUP(B80, PlumX_snapshot!$A:$C, 3, FALSE), " ")</f>
        <v>0</v>
      </c>
      <c r="Y80" s="12">
        <f>IFERROR(VLOOKUP(B80, PlumX_snapshot!$A:$D, 4, FALSE), " ")</f>
        <v>0</v>
      </c>
      <c r="Z80" s="12">
        <f>IFERROR(VLOOKUP(B80, PlumX_snapshot!$A:$E, 5, FALSE), " ")</f>
        <v>0</v>
      </c>
      <c r="AA80" s="12">
        <f>IFERROR(VLOOKUP(B80, PlumX_snapshot!$A:$F, 6, FALSE), " ")</f>
        <v>0</v>
      </c>
      <c r="AB80" s="13">
        <v>44978</v>
      </c>
      <c r="AC80" s="11" t="s">
        <v>488</v>
      </c>
      <c r="AD80" s="11" t="s">
        <v>489</v>
      </c>
      <c r="AE80" s="11"/>
      <c r="AF80" s="11"/>
      <c r="AG80" s="11"/>
      <c r="AH80" s="11">
        <v>2045</v>
      </c>
      <c r="AI80" s="11" t="s">
        <v>77</v>
      </c>
      <c r="AJ80" s="12" t="s">
        <v>301</v>
      </c>
      <c r="AK80" s="11" t="str">
        <f t="shared" si="0"/>
        <v>2021GBP</v>
      </c>
      <c r="AL80" s="11">
        <f>VLOOKUP(AK80, Exchange_rates!$C:$D, 2, FALSE)</f>
        <v>1</v>
      </c>
      <c r="AM80" s="14">
        <f t="shared" si="1"/>
        <v>2454</v>
      </c>
      <c r="AN80" s="11"/>
      <c r="AO80" s="11"/>
      <c r="AP80" s="17"/>
      <c r="AQ80" s="15" t="s">
        <v>49</v>
      </c>
      <c r="AR80" t="s">
        <v>477</v>
      </c>
      <c r="AS80" s="16" t="s">
        <v>478</v>
      </c>
      <c r="AT80" s="11"/>
      <c r="AU80" s="11"/>
      <c r="AV80" s="11"/>
      <c r="AW80" s="11"/>
      <c r="AX80" s="11"/>
      <c r="AY80" s="11"/>
      <c r="AZ80" s="11"/>
      <c r="BA80" s="11"/>
      <c r="BB80" s="11"/>
      <c r="BC80" s="11"/>
      <c r="BD80" s="11"/>
      <c r="BE80" s="11"/>
      <c r="BF80" s="11"/>
      <c r="BG80" s="11"/>
      <c r="BH80" s="11"/>
    </row>
    <row r="81" spans="1:60" ht="14.5">
      <c r="A81" s="9" t="s">
        <v>490</v>
      </c>
      <c r="B81" s="9" t="s">
        <v>491</v>
      </c>
      <c r="C81" s="9" t="s">
        <v>416</v>
      </c>
      <c r="D81" s="9" t="s">
        <v>361</v>
      </c>
      <c r="E81" s="17" t="s">
        <v>49</v>
      </c>
      <c r="F81" s="9" t="s">
        <v>69</v>
      </c>
      <c r="G81" s="9" t="s">
        <v>70</v>
      </c>
      <c r="H81" s="9" t="s">
        <v>362</v>
      </c>
      <c r="I81" s="9" t="s">
        <v>72</v>
      </c>
      <c r="J81" s="10">
        <v>44306</v>
      </c>
      <c r="K81" s="10">
        <v>44307</v>
      </c>
      <c r="L81" s="10">
        <v>44320</v>
      </c>
      <c r="M81" s="10">
        <v>44620</v>
      </c>
      <c r="N81" s="9">
        <v>2021</v>
      </c>
      <c r="O81" s="9" t="s">
        <v>363</v>
      </c>
      <c r="P81" s="9" t="s">
        <v>53</v>
      </c>
      <c r="Q81" s="9" t="s">
        <v>53</v>
      </c>
      <c r="R81" s="9" t="s">
        <v>210</v>
      </c>
      <c r="S81" s="9" t="s">
        <v>492</v>
      </c>
      <c r="T81" s="9"/>
      <c r="U81" s="9"/>
      <c r="V81" s="9"/>
      <c r="W81" s="11">
        <f>IFERROR(VLOOKUP(B81, PlumX_snapshot!$A:$B, 2, FALSE), " ")</f>
        <v>3</v>
      </c>
      <c r="X81" s="11">
        <f>IFERROR(VLOOKUP(B81, PlumX_snapshot!$A:$C, 3, FALSE), " ")</f>
        <v>0</v>
      </c>
      <c r="Y81" s="12">
        <f>IFERROR(VLOOKUP(B81, PlumX_snapshot!$A:$D, 4, FALSE), " ")</f>
        <v>0</v>
      </c>
      <c r="Z81" s="12">
        <f>IFERROR(VLOOKUP(B81, PlumX_snapshot!$A:$E, 5, FALSE), " ")</f>
        <v>0</v>
      </c>
      <c r="AA81" s="12">
        <f>IFERROR(VLOOKUP(B81, PlumX_snapshot!$A:$F, 6, FALSE), " ")</f>
        <v>0</v>
      </c>
      <c r="AB81" s="13">
        <v>44978</v>
      </c>
      <c r="AC81" s="11" t="s">
        <v>493</v>
      </c>
      <c r="AD81" s="11" t="s">
        <v>494</v>
      </c>
      <c r="AE81" s="11"/>
      <c r="AF81" s="11"/>
      <c r="AG81" s="11"/>
      <c r="AH81" s="11">
        <v>2045</v>
      </c>
      <c r="AI81" s="11" t="s">
        <v>77</v>
      </c>
      <c r="AJ81" s="12" t="s">
        <v>301</v>
      </c>
      <c r="AK81" s="11" t="str">
        <f t="shared" si="0"/>
        <v>2021GBP</v>
      </c>
      <c r="AL81" s="11">
        <f>VLOOKUP(AK81, Exchange_rates!$C:$D, 2, FALSE)</f>
        <v>1</v>
      </c>
      <c r="AM81" s="14">
        <f t="shared" si="1"/>
        <v>2454</v>
      </c>
      <c r="AN81" s="11"/>
      <c r="AO81" s="11"/>
      <c r="AP81" s="17"/>
      <c r="AQ81" s="15" t="s">
        <v>49</v>
      </c>
      <c r="AR81" t="s">
        <v>420</v>
      </c>
      <c r="AS81" s="16" t="s">
        <v>421</v>
      </c>
      <c r="AT81" s="11"/>
      <c r="AU81" s="11"/>
      <c r="AV81" s="11"/>
      <c r="AW81" s="11"/>
      <c r="AX81" s="11"/>
      <c r="AY81" s="11"/>
      <c r="AZ81" s="11"/>
      <c r="BA81" s="11"/>
      <c r="BB81" s="11"/>
      <c r="BC81" s="11"/>
      <c r="BD81" s="11"/>
      <c r="BE81" s="11"/>
      <c r="BF81" s="11"/>
      <c r="BG81" s="11"/>
      <c r="BH81" s="11"/>
    </row>
    <row r="82" spans="1:60" ht="14.5">
      <c r="A82" s="9" t="s">
        <v>495</v>
      </c>
      <c r="B82" s="9" t="s">
        <v>496</v>
      </c>
      <c r="C82" s="9" t="s">
        <v>400</v>
      </c>
      <c r="D82" s="9" t="s">
        <v>361</v>
      </c>
      <c r="E82" s="17" t="s">
        <v>49</v>
      </c>
      <c r="F82" s="9" t="s">
        <v>69</v>
      </c>
      <c r="G82" s="9" t="s">
        <v>70</v>
      </c>
      <c r="H82" s="9" t="s">
        <v>362</v>
      </c>
      <c r="I82" s="9" t="s">
        <v>72</v>
      </c>
      <c r="J82" s="10">
        <v>44237</v>
      </c>
      <c r="K82" s="10">
        <v>44303</v>
      </c>
      <c r="L82" s="10">
        <v>44303</v>
      </c>
      <c r="M82" s="10">
        <v>44298</v>
      </c>
      <c r="N82" s="9">
        <v>2021</v>
      </c>
      <c r="O82" s="9" t="s">
        <v>363</v>
      </c>
      <c r="P82" s="9" t="s">
        <v>53</v>
      </c>
      <c r="Q82" s="9" t="s">
        <v>53</v>
      </c>
      <c r="R82" s="9" t="s">
        <v>210</v>
      </c>
      <c r="T82" s="9"/>
      <c r="V82" s="9"/>
      <c r="W82" s="11">
        <f>IFERROR(VLOOKUP(B82, PlumX_snapshot!$A:$B, 2, FALSE), " ")</f>
        <v>4</v>
      </c>
      <c r="X82" s="11">
        <f>IFERROR(VLOOKUP(B82, PlumX_snapshot!$A:$C, 3, FALSE), " ")</f>
        <v>0</v>
      </c>
      <c r="Y82" s="12">
        <f>IFERROR(VLOOKUP(B82, PlumX_snapshot!$A:$D, 4, FALSE), " ")</f>
        <v>0</v>
      </c>
      <c r="Z82" s="12">
        <f>IFERROR(VLOOKUP(B82, PlumX_snapshot!$A:$E, 5, FALSE), " ")</f>
        <v>0</v>
      </c>
      <c r="AA82" s="12">
        <f>IFERROR(VLOOKUP(B82, PlumX_snapshot!$A:$F, 6, FALSE), " ")</f>
        <v>0</v>
      </c>
      <c r="AB82" s="13">
        <v>44978</v>
      </c>
      <c r="AC82" s="11" t="s">
        <v>497</v>
      </c>
      <c r="AD82" s="11" t="s">
        <v>498</v>
      </c>
      <c r="AE82" s="11"/>
      <c r="AF82" s="11"/>
      <c r="AG82" s="11"/>
      <c r="AH82" s="11">
        <v>2045</v>
      </c>
      <c r="AI82" s="11" t="s">
        <v>77</v>
      </c>
      <c r="AJ82" s="12" t="s">
        <v>301</v>
      </c>
      <c r="AK82" s="11" t="str">
        <f t="shared" si="0"/>
        <v>2021GBP</v>
      </c>
      <c r="AL82" s="11">
        <f>VLOOKUP(AK82, Exchange_rates!$C:$D, 2, FALSE)</f>
        <v>1</v>
      </c>
      <c r="AM82" s="14">
        <f t="shared" si="1"/>
        <v>2454</v>
      </c>
      <c r="AN82" s="11"/>
      <c r="AO82" s="11"/>
      <c r="AP82" s="17"/>
      <c r="AQ82" s="15" t="s">
        <v>49</v>
      </c>
      <c r="AR82" t="s">
        <v>404</v>
      </c>
      <c r="AS82" s="16" t="s">
        <v>405</v>
      </c>
      <c r="AT82" s="11"/>
      <c r="AU82" s="11"/>
      <c r="AV82" s="11"/>
      <c r="AW82" s="11"/>
      <c r="AX82" s="11"/>
      <c r="AY82" s="11"/>
      <c r="AZ82" s="11"/>
      <c r="BA82" s="11"/>
      <c r="BB82" s="11"/>
      <c r="BC82" s="11"/>
      <c r="BD82" s="11"/>
      <c r="BE82" s="11"/>
      <c r="BF82" s="11"/>
      <c r="BG82" s="11"/>
      <c r="BH82" s="11"/>
    </row>
    <row r="83" spans="1:60" ht="14.5">
      <c r="A83" s="9" t="s">
        <v>499</v>
      </c>
      <c r="B83" s="9" t="s">
        <v>500</v>
      </c>
      <c r="C83" s="9" t="s">
        <v>501</v>
      </c>
      <c r="D83" s="9" t="s">
        <v>361</v>
      </c>
      <c r="E83" s="17" t="s">
        <v>49</v>
      </c>
      <c r="F83" s="9" t="s">
        <v>69</v>
      </c>
      <c r="G83" s="9" t="s">
        <v>70</v>
      </c>
      <c r="H83" s="9" t="s">
        <v>362</v>
      </c>
      <c r="I83" s="9" t="s">
        <v>72</v>
      </c>
      <c r="J83" s="10">
        <v>44039</v>
      </c>
      <c r="K83" s="10">
        <v>44303</v>
      </c>
      <c r="L83" s="10">
        <v>44303</v>
      </c>
      <c r="M83" s="10">
        <v>44237</v>
      </c>
      <c r="N83" s="9">
        <v>2021</v>
      </c>
      <c r="O83" s="9" t="s">
        <v>363</v>
      </c>
      <c r="P83" s="9" t="s">
        <v>53</v>
      </c>
      <c r="Q83" s="9" t="s">
        <v>53</v>
      </c>
      <c r="R83" s="9" t="s">
        <v>210</v>
      </c>
      <c r="T83" s="9"/>
      <c r="V83" s="9"/>
      <c r="W83" s="11">
        <f>IFERROR(VLOOKUP(B83, PlumX_snapshot!$A:$B, 2, FALSE), " ")</f>
        <v>1</v>
      </c>
      <c r="X83" s="11">
        <f>IFERROR(VLOOKUP(B83, PlumX_snapshot!$A:$C, 3, FALSE), " ")</f>
        <v>0</v>
      </c>
      <c r="Y83" s="12">
        <f>IFERROR(VLOOKUP(B83, PlumX_snapshot!$A:$D, 4, FALSE), " ")</f>
        <v>0</v>
      </c>
      <c r="Z83" s="12">
        <f>IFERROR(VLOOKUP(B83, PlumX_snapshot!$A:$E, 5, FALSE), " ")</f>
        <v>0</v>
      </c>
      <c r="AA83" s="12">
        <f>IFERROR(VLOOKUP(B83, PlumX_snapshot!$A:$F, 6, FALSE), " ")</f>
        <v>0</v>
      </c>
      <c r="AB83" s="13">
        <v>44978</v>
      </c>
      <c r="AC83" s="11" t="s">
        <v>502</v>
      </c>
      <c r="AD83" s="11" t="s">
        <v>503</v>
      </c>
      <c r="AE83" s="11"/>
      <c r="AF83" s="11"/>
      <c r="AG83" s="11"/>
      <c r="AH83" s="11">
        <v>2045</v>
      </c>
      <c r="AI83" s="11" t="s">
        <v>77</v>
      </c>
      <c r="AJ83" s="12" t="s">
        <v>301</v>
      </c>
      <c r="AK83" s="11" t="str">
        <f t="shared" si="0"/>
        <v>2021GBP</v>
      </c>
      <c r="AL83" s="11">
        <f>VLOOKUP(AK83, Exchange_rates!$C:$D, 2, FALSE)</f>
        <v>1</v>
      </c>
      <c r="AM83" s="14">
        <f t="shared" si="1"/>
        <v>2454</v>
      </c>
      <c r="AN83" s="11"/>
      <c r="AO83" s="11"/>
      <c r="AP83" s="17"/>
      <c r="AQ83" s="15" t="s">
        <v>49</v>
      </c>
      <c r="AR83" t="s">
        <v>504</v>
      </c>
      <c r="AS83" s="16" t="s">
        <v>505</v>
      </c>
      <c r="AT83" s="11"/>
      <c r="AU83" s="11"/>
      <c r="AV83" s="11"/>
      <c r="AW83" s="11"/>
      <c r="AX83" s="11"/>
      <c r="AY83" s="11"/>
      <c r="AZ83" s="11"/>
      <c r="BA83" s="11"/>
      <c r="BB83" s="11"/>
      <c r="BC83" s="11"/>
      <c r="BD83" s="11"/>
      <c r="BE83" s="11"/>
      <c r="BF83" s="11"/>
      <c r="BG83" s="11"/>
      <c r="BH83" s="11"/>
    </row>
    <row r="84" spans="1:60" ht="14.5">
      <c r="A84" s="9" t="s">
        <v>506</v>
      </c>
      <c r="B84" s="9" t="s">
        <v>507</v>
      </c>
      <c r="C84" s="9" t="s">
        <v>508</v>
      </c>
      <c r="D84" s="9" t="s">
        <v>361</v>
      </c>
      <c r="E84" s="17" t="s">
        <v>49</v>
      </c>
      <c r="F84" s="9" t="s">
        <v>69</v>
      </c>
      <c r="G84" s="9" t="s">
        <v>70</v>
      </c>
      <c r="H84" s="9" t="s">
        <v>362</v>
      </c>
      <c r="I84" s="9" t="s">
        <v>72</v>
      </c>
      <c r="J84" s="10">
        <v>44294</v>
      </c>
      <c r="K84" s="10">
        <v>44302</v>
      </c>
      <c r="L84" s="10">
        <v>44302</v>
      </c>
      <c r="M84" s="10">
        <v>44323</v>
      </c>
      <c r="N84" s="9">
        <v>2021</v>
      </c>
      <c r="O84" s="9" t="s">
        <v>363</v>
      </c>
      <c r="P84" s="9" t="s">
        <v>83</v>
      </c>
      <c r="Q84" s="9" t="s">
        <v>53</v>
      </c>
      <c r="R84" s="9" t="s">
        <v>509</v>
      </c>
      <c r="T84" s="9"/>
      <c r="V84" s="9"/>
      <c r="W84" s="11">
        <f>IFERROR(VLOOKUP(B84, PlumX_snapshot!$A:$B, 2, FALSE), " ")</f>
        <v>4</v>
      </c>
      <c r="X84" s="11">
        <f>IFERROR(VLOOKUP(B84, PlumX_snapshot!$A:$C, 3, FALSE), " ")</f>
        <v>3</v>
      </c>
      <c r="Y84" s="12">
        <f>IFERROR(VLOOKUP(B84, PlumX_snapshot!$A:$D, 4, FALSE), " ")</f>
        <v>0</v>
      </c>
      <c r="Z84" s="12">
        <f>IFERROR(VLOOKUP(B84, PlumX_snapshot!$A:$E, 5, FALSE), " ")</f>
        <v>0</v>
      </c>
      <c r="AA84" s="12">
        <f>IFERROR(VLOOKUP(B84, PlumX_snapshot!$A:$F, 6, FALSE), " ")</f>
        <v>0</v>
      </c>
      <c r="AB84" s="13">
        <v>44978</v>
      </c>
      <c r="AC84" s="12" t="s">
        <v>510</v>
      </c>
      <c r="AD84" s="12" t="s">
        <v>511</v>
      </c>
      <c r="AE84" s="11"/>
      <c r="AF84" s="11"/>
      <c r="AG84" s="11"/>
      <c r="AH84" s="11">
        <v>2045</v>
      </c>
      <c r="AI84" s="11" t="s">
        <v>77</v>
      </c>
      <c r="AJ84" s="12" t="s">
        <v>301</v>
      </c>
      <c r="AK84" s="11" t="str">
        <f t="shared" si="0"/>
        <v>2021GBP</v>
      </c>
      <c r="AL84" s="11">
        <f>VLOOKUP(AK84, Exchange_rates!$C:$D, 2, FALSE)</f>
        <v>1</v>
      </c>
      <c r="AM84" s="14">
        <f t="shared" si="1"/>
        <v>2454</v>
      </c>
      <c r="AN84" s="11"/>
      <c r="AO84" s="11"/>
      <c r="AP84" s="17"/>
      <c r="AQ84" s="15" t="s">
        <v>49</v>
      </c>
      <c r="AR84" t="s">
        <v>512</v>
      </c>
      <c r="AS84" s="16" t="s">
        <v>513</v>
      </c>
      <c r="AT84" s="11"/>
      <c r="AU84" s="11"/>
      <c r="AV84" s="11"/>
      <c r="AW84" s="11"/>
      <c r="AX84" s="11"/>
      <c r="AY84" s="11"/>
      <c r="AZ84" s="11"/>
      <c r="BA84" s="11"/>
      <c r="BB84" s="11"/>
      <c r="BC84" s="11"/>
      <c r="BD84" s="11"/>
      <c r="BE84" s="11"/>
      <c r="BF84" s="11"/>
      <c r="BG84" s="11"/>
      <c r="BH84" s="11"/>
    </row>
    <row r="85" spans="1:60" ht="14.5">
      <c r="A85" s="9" t="s">
        <v>514</v>
      </c>
      <c r="B85" s="9" t="s">
        <v>515</v>
      </c>
      <c r="C85" s="9" t="s">
        <v>516</v>
      </c>
      <c r="D85" s="9" t="s">
        <v>361</v>
      </c>
      <c r="E85" s="17" t="s">
        <v>49</v>
      </c>
      <c r="F85" s="9" t="s">
        <v>69</v>
      </c>
      <c r="G85" s="9" t="s">
        <v>70</v>
      </c>
      <c r="H85" s="9" t="s">
        <v>362</v>
      </c>
      <c r="I85" s="9" t="s">
        <v>72</v>
      </c>
      <c r="J85" s="10">
        <v>44277</v>
      </c>
      <c r="K85" s="10">
        <v>44302</v>
      </c>
      <c r="L85" s="10">
        <v>44302</v>
      </c>
      <c r="M85" s="10">
        <v>44300</v>
      </c>
      <c r="N85" s="9">
        <v>2021</v>
      </c>
      <c r="O85" s="9" t="s">
        <v>363</v>
      </c>
      <c r="P85" s="9" t="s">
        <v>53</v>
      </c>
      <c r="Q85" s="9" t="s">
        <v>53</v>
      </c>
      <c r="R85" s="9" t="s">
        <v>210</v>
      </c>
      <c r="T85" s="9"/>
      <c r="V85" s="9"/>
      <c r="W85" s="11">
        <f>IFERROR(VLOOKUP(B85, PlumX_snapshot!$A:$B, 2, FALSE), " ")</f>
        <v>3</v>
      </c>
      <c r="X85" s="11">
        <f>IFERROR(VLOOKUP(B85, PlumX_snapshot!$A:$C, 3, FALSE), " ")</f>
        <v>0</v>
      </c>
      <c r="Y85" s="12">
        <f>IFERROR(VLOOKUP(B85, PlumX_snapshot!$A:$D, 4, FALSE), " ")</f>
        <v>0</v>
      </c>
      <c r="Z85" s="12">
        <f>IFERROR(VLOOKUP(B85, PlumX_snapshot!$A:$E, 5, FALSE), " ")</f>
        <v>0</v>
      </c>
      <c r="AA85" s="12">
        <f>IFERROR(VLOOKUP(B85, PlumX_snapshot!$A:$F, 6, FALSE), " ")</f>
        <v>0</v>
      </c>
      <c r="AB85" s="13">
        <v>44978</v>
      </c>
      <c r="AC85" s="11" t="s">
        <v>517</v>
      </c>
      <c r="AD85" s="11" t="s">
        <v>518</v>
      </c>
      <c r="AE85" s="11"/>
      <c r="AF85" s="11"/>
      <c r="AG85" s="11"/>
      <c r="AH85" s="11">
        <v>2045</v>
      </c>
      <c r="AI85" s="11" t="s">
        <v>77</v>
      </c>
      <c r="AJ85" s="12" t="s">
        <v>301</v>
      </c>
      <c r="AK85" s="11" t="str">
        <f t="shared" si="0"/>
        <v>2021GBP</v>
      </c>
      <c r="AL85" s="11">
        <f>VLOOKUP(AK85, Exchange_rates!$C:$D, 2, FALSE)</f>
        <v>1</v>
      </c>
      <c r="AM85" s="14">
        <f t="shared" si="1"/>
        <v>2454</v>
      </c>
      <c r="AN85" s="11"/>
      <c r="AO85" s="11"/>
      <c r="AP85" s="17"/>
      <c r="AQ85" s="15" t="s">
        <v>49</v>
      </c>
      <c r="AR85" t="s">
        <v>519</v>
      </c>
      <c r="AS85" s="16" t="s">
        <v>520</v>
      </c>
      <c r="AT85" s="11"/>
      <c r="AU85" s="11"/>
      <c r="AV85" s="11"/>
      <c r="AW85" s="11"/>
      <c r="AX85" s="11"/>
      <c r="AY85" s="11"/>
      <c r="AZ85" s="11"/>
      <c r="BA85" s="11"/>
      <c r="BB85" s="11"/>
      <c r="BC85" s="11"/>
      <c r="BD85" s="11"/>
      <c r="BE85" s="11"/>
      <c r="BF85" s="11"/>
      <c r="BG85" s="11"/>
      <c r="BH85" s="11"/>
    </row>
    <row r="86" spans="1:60" ht="14.5">
      <c r="A86" s="9" t="s">
        <v>521</v>
      </c>
      <c r="B86" s="9" t="s">
        <v>522</v>
      </c>
      <c r="C86" s="9" t="s">
        <v>523</v>
      </c>
      <c r="D86" s="9" t="s">
        <v>361</v>
      </c>
      <c r="E86" s="17" t="s">
        <v>49</v>
      </c>
      <c r="F86" s="9" t="s">
        <v>69</v>
      </c>
      <c r="G86" s="9" t="s">
        <v>70</v>
      </c>
      <c r="H86" s="9" t="s">
        <v>362</v>
      </c>
      <c r="I86" s="9" t="s">
        <v>72</v>
      </c>
      <c r="J86" s="10">
        <v>44228</v>
      </c>
      <c r="K86" s="10">
        <v>44296</v>
      </c>
      <c r="L86" s="10">
        <v>44296</v>
      </c>
      <c r="M86" s="10">
        <v>44271</v>
      </c>
      <c r="N86" s="9">
        <v>2021</v>
      </c>
      <c r="O86" s="9" t="s">
        <v>363</v>
      </c>
      <c r="P86" s="9" t="s">
        <v>53</v>
      </c>
      <c r="Q86" s="9" t="s">
        <v>53</v>
      </c>
      <c r="R86" s="9" t="s">
        <v>524</v>
      </c>
      <c r="T86" s="9"/>
      <c r="V86" s="9"/>
      <c r="W86" s="11">
        <f>IFERROR(VLOOKUP(B86, PlumX_snapshot!$A:$B, 2, FALSE), " ")</f>
        <v>20</v>
      </c>
      <c r="X86" s="11">
        <f>IFERROR(VLOOKUP(B86, PlumX_snapshot!$A:$C, 3, FALSE), " ")</f>
        <v>0</v>
      </c>
      <c r="Y86" s="12">
        <f>IFERROR(VLOOKUP(B86, PlumX_snapshot!$A:$D, 4, FALSE), " ")</f>
        <v>0</v>
      </c>
      <c r="Z86" s="12">
        <f>IFERROR(VLOOKUP(B86, PlumX_snapshot!$A:$E, 5, FALSE), " ")</f>
        <v>0</v>
      </c>
      <c r="AA86" s="12">
        <f>IFERROR(VLOOKUP(B86, PlumX_snapshot!$A:$F, 6, FALSE), " ")</f>
        <v>0</v>
      </c>
      <c r="AB86" s="13">
        <v>44978</v>
      </c>
      <c r="AC86" s="11" t="s">
        <v>525</v>
      </c>
      <c r="AD86" s="11" t="s">
        <v>526</v>
      </c>
      <c r="AE86" s="11"/>
      <c r="AF86" s="11"/>
      <c r="AG86" s="11"/>
      <c r="AH86" s="11">
        <v>2045</v>
      </c>
      <c r="AI86" s="11" t="s">
        <v>77</v>
      </c>
      <c r="AJ86" s="12" t="s">
        <v>301</v>
      </c>
      <c r="AK86" s="11" t="str">
        <f t="shared" si="0"/>
        <v>2021GBP</v>
      </c>
      <c r="AL86" s="11">
        <f>VLOOKUP(AK86, Exchange_rates!$C:$D, 2, FALSE)</f>
        <v>1</v>
      </c>
      <c r="AM86" s="14">
        <f t="shared" si="1"/>
        <v>2454</v>
      </c>
      <c r="AN86" s="11"/>
      <c r="AO86" s="11"/>
      <c r="AP86" s="17"/>
      <c r="AQ86" s="15" t="s">
        <v>49</v>
      </c>
      <c r="AR86" t="s">
        <v>527</v>
      </c>
      <c r="AS86" s="16" t="s">
        <v>528</v>
      </c>
      <c r="AT86" s="11"/>
      <c r="AU86" s="11"/>
      <c r="AV86" s="11"/>
      <c r="AW86" s="11"/>
      <c r="AX86" s="11"/>
      <c r="AY86" s="11"/>
      <c r="AZ86" s="11"/>
      <c r="BA86" s="11"/>
      <c r="BB86" s="11"/>
      <c r="BC86" s="11"/>
      <c r="BD86" s="11"/>
      <c r="BE86" s="11"/>
      <c r="BF86" s="11"/>
      <c r="BG86" s="11"/>
      <c r="BH86" s="11"/>
    </row>
    <row r="87" spans="1:60" ht="14.5">
      <c r="A87" s="9" t="s">
        <v>529</v>
      </c>
      <c r="B87" s="9" t="s">
        <v>530</v>
      </c>
      <c r="C87" s="9" t="s">
        <v>416</v>
      </c>
      <c r="D87" s="9" t="s">
        <v>361</v>
      </c>
      <c r="E87" s="17" t="s">
        <v>49</v>
      </c>
      <c r="F87" s="9" t="s">
        <v>69</v>
      </c>
      <c r="G87" s="9" t="s">
        <v>70</v>
      </c>
      <c r="H87" s="9" t="s">
        <v>362</v>
      </c>
      <c r="I87" s="9" t="s">
        <v>72</v>
      </c>
      <c r="J87" s="10">
        <v>44229</v>
      </c>
      <c r="K87" s="10">
        <v>44295</v>
      </c>
      <c r="L87" s="10">
        <v>44295</v>
      </c>
      <c r="M87" s="10">
        <v>44271</v>
      </c>
      <c r="N87" s="9">
        <v>2021</v>
      </c>
      <c r="O87" s="9" t="s">
        <v>363</v>
      </c>
      <c r="P87" s="9" t="s">
        <v>83</v>
      </c>
      <c r="Q87" s="9" t="s">
        <v>53</v>
      </c>
      <c r="R87" s="9" t="s">
        <v>531</v>
      </c>
      <c r="T87" s="9"/>
      <c r="V87" s="9"/>
      <c r="W87" s="11">
        <f>IFERROR(VLOOKUP(B87, PlumX_snapshot!$A:$B, 2, FALSE), " ")</f>
        <v>44</v>
      </c>
      <c r="X87" s="11">
        <f>IFERROR(VLOOKUP(B87, PlumX_snapshot!$A:$C, 3, FALSE), " ")</f>
        <v>10</v>
      </c>
      <c r="Y87" s="12">
        <f>IFERROR(VLOOKUP(B87, PlumX_snapshot!$A:$D, 4, FALSE), " ")</f>
        <v>0</v>
      </c>
      <c r="Z87" s="12">
        <f>IFERROR(VLOOKUP(B87, PlumX_snapshot!$A:$E, 5, FALSE), " ")</f>
        <v>0</v>
      </c>
      <c r="AA87" s="12">
        <f>IFERROR(VLOOKUP(B87, PlumX_snapshot!$A:$F, 6, FALSE), " ")</f>
        <v>1</v>
      </c>
      <c r="AB87" s="13">
        <v>44978</v>
      </c>
      <c r="AC87" s="12" t="s">
        <v>532</v>
      </c>
      <c r="AD87" s="12" t="s">
        <v>533</v>
      </c>
      <c r="AE87" s="11"/>
      <c r="AF87" s="11"/>
      <c r="AG87" s="12"/>
      <c r="AH87" s="11">
        <v>2045</v>
      </c>
      <c r="AI87" s="11" t="s">
        <v>77</v>
      </c>
      <c r="AJ87" s="12" t="s">
        <v>301</v>
      </c>
      <c r="AK87" s="11" t="str">
        <f t="shared" si="0"/>
        <v>2021GBP</v>
      </c>
      <c r="AL87" s="11">
        <f>VLOOKUP(AK87, Exchange_rates!$C:$D, 2, FALSE)</f>
        <v>1</v>
      </c>
      <c r="AM87" s="14">
        <f t="shared" si="1"/>
        <v>2454</v>
      </c>
      <c r="AN87" s="11"/>
      <c r="AO87" s="11"/>
      <c r="AP87" s="17"/>
      <c r="AQ87" s="15" t="s">
        <v>49</v>
      </c>
      <c r="AR87" t="s">
        <v>420</v>
      </c>
      <c r="AS87" s="16" t="s">
        <v>421</v>
      </c>
      <c r="AT87" s="11"/>
      <c r="AU87" s="11"/>
      <c r="AV87" s="11"/>
      <c r="AW87" s="11"/>
      <c r="AX87" s="11"/>
      <c r="AY87" s="11"/>
      <c r="AZ87" s="11"/>
      <c r="BA87" s="11"/>
      <c r="BB87" s="11"/>
      <c r="BC87" s="11"/>
      <c r="BD87" s="11"/>
      <c r="BE87" s="11"/>
      <c r="BF87" s="11"/>
      <c r="BG87" s="11"/>
      <c r="BH87" s="11"/>
    </row>
    <row r="88" spans="1:60" ht="14.5">
      <c r="A88" s="9" t="s">
        <v>534</v>
      </c>
      <c r="B88" s="9" t="s">
        <v>535</v>
      </c>
      <c r="C88" s="9" t="s">
        <v>536</v>
      </c>
      <c r="D88" s="9" t="s">
        <v>361</v>
      </c>
      <c r="E88" s="17" t="s">
        <v>125</v>
      </c>
      <c r="F88" s="9" t="s">
        <v>69</v>
      </c>
      <c r="G88" s="9" t="s">
        <v>70</v>
      </c>
      <c r="H88" s="9" t="s">
        <v>362</v>
      </c>
      <c r="I88" s="9" t="s">
        <v>72</v>
      </c>
      <c r="J88" s="10">
        <v>44284</v>
      </c>
      <c r="K88" s="10">
        <v>44285</v>
      </c>
      <c r="L88" s="10">
        <v>44285</v>
      </c>
      <c r="M88" s="10">
        <v>44309</v>
      </c>
      <c r="N88" s="9">
        <v>2021</v>
      </c>
      <c r="O88" s="9" t="s">
        <v>363</v>
      </c>
      <c r="P88" s="9" t="s">
        <v>83</v>
      </c>
      <c r="Q88" s="9" t="s">
        <v>83</v>
      </c>
      <c r="R88" s="9" t="s">
        <v>537</v>
      </c>
      <c r="S88" s="9" t="s">
        <v>538</v>
      </c>
      <c r="T88" s="9"/>
      <c r="U88" s="9" t="s">
        <v>539</v>
      </c>
      <c r="V88" s="9"/>
      <c r="W88" s="11">
        <f>IFERROR(VLOOKUP(B88, PlumX_snapshot!$A:$B, 2, FALSE), " ")</f>
        <v>45</v>
      </c>
      <c r="X88" s="11">
        <f>IFERROR(VLOOKUP(B88, PlumX_snapshot!$A:$C, 3, FALSE), " ")</f>
        <v>7</v>
      </c>
      <c r="Y88" s="12">
        <f>IFERROR(VLOOKUP(B88, PlumX_snapshot!$A:$D, 4, FALSE), " ")</f>
        <v>0</v>
      </c>
      <c r="Z88" s="12">
        <f>IFERROR(VLOOKUP(B88, PlumX_snapshot!$A:$E, 5, FALSE), " ")</f>
        <v>0</v>
      </c>
      <c r="AA88" s="12">
        <f>IFERROR(VLOOKUP(B88, PlumX_snapshot!$A:$F, 6, FALSE), " ")</f>
        <v>1</v>
      </c>
      <c r="AB88" s="13">
        <v>44978</v>
      </c>
      <c r="AC88" s="12" t="s">
        <v>540</v>
      </c>
      <c r="AD88" s="11" t="s">
        <v>541</v>
      </c>
      <c r="AE88" s="11"/>
      <c r="AF88" s="11"/>
      <c r="AG88" s="12"/>
      <c r="AH88" s="12">
        <v>1520</v>
      </c>
      <c r="AI88" s="11" t="s">
        <v>77</v>
      </c>
      <c r="AJ88" s="12" t="s">
        <v>301</v>
      </c>
      <c r="AK88" s="11" t="str">
        <f t="shared" si="0"/>
        <v>2021GBP</v>
      </c>
      <c r="AL88" s="11">
        <f>VLOOKUP(AK88, Exchange_rates!$C:$D, 2, FALSE)</f>
        <v>1</v>
      </c>
      <c r="AM88" s="14">
        <f t="shared" si="1"/>
        <v>1824</v>
      </c>
      <c r="AN88" s="11"/>
      <c r="AO88" s="11"/>
      <c r="AP88" s="17"/>
      <c r="AQ88" s="15" t="s">
        <v>125</v>
      </c>
      <c r="AR88" t="s">
        <v>542</v>
      </c>
      <c r="AS88" s="16"/>
      <c r="AT88" s="12"/>
      <c r="AU88" s="12"/>
      <c r="AV88" s="11"/>
      <c r="AW88" s="11"/>
      <c r="AX88" s="12"/>
      <c r="AY88" s="11"/>
      <c r="AZ88" s="11"/>
      <c r="BA88" s="11"/>
      <c r="BB88" s="11"/>
      <c r="BC88" s="11"/>
      <c r="BD88" s="11"/>
      <c r="BE88" s="11"/>
      <c r="BF88" s="11"/>
      <c r="BG88" s="11"/>
      <c r="BH88" s="11"/>
    </row>
    <row r="89" spans="1:60" ht="14.5">
      <c r="A89" s="9" t="s">
        <v>543</v>
      </c>
      <c r="B89" s="9" t="s">
        <v>544</v>
      </c>
      <c r="C89" s="9" t="s">
        <v>545</v>
      </c>
      <c r="D89" s="9" t="s">
        <v>361</v>
      </c>
      <c r="E89" s="17" t="s">
        <v>49</v>
      </c>
      <c r="F89" s="9" t="s">
        <v>69</v>
      </c>
      <c r="G89" s="9" t="s">
        <v>70</v>
      </c>
      <c r="H89" s="9" t="s">
        <v>362</v>
      </c>
      <c r="I89" s="9" t="s">
        <v>72</v>
      </c>
      <c r="J89" s="10">
        <v>44202</v>
      </c>
      <c r="K89" s="10">
        <v>44262</v>
      </c>
      <c r="L89" s="10">
        <v>44262</v>
      </c>
      <c r="M89" s="10">
        <v>44204</v>
      </c>
      <c r="N89" s="9">
        <v>2021</v>
      </c>
      <c r="O89" s="9" t="s">
        <v>363</v>
      </c>
      <c r="P89" s="9" t="s">
        <v>53</v>
      </c>
      <c r="Q89" s="9" t="s">
        <v>53</v>
      </c>
      <c r="R89" s="9" t="s">
        <v>546</v>
      </c>
      <c r="T89" s="9"/>
      <c r="V89" s="9"/>
      <c r="W89" s="11">
        <f>IFERROR(VLOOKUP(B89, PlumX_snapshot!$A:$B, 2, FALSE), " ")</f>
        <v>91</v>
      </c>
      <c r="X89" s="11">
        <f>IFERROR(VLOOKUP(B89, PlumX_snapshot!$A:$C, 3, FALSE), " ")</f>
        <v>75</v>
      </c>
      <c r="Y89" s="12">
        <f>IFERROR(VLOOKUP(B89, PlumX_snapshot!$A:$D, 4, FALSE), " ")</f>
        <v>0</v>
      </c>
      <c r="Z89" s="12">
        <f>IFERROR(VLOOKUP(B89, PlumX_snapshot!$A:$E, 5, FALSE), " ")</f>
        <v>0</v>
      </c>
      <c r="AA89" s="12">
        <f>IFERROR(VLOOKUP(B89, PlumX_snapshot!$A:$F, 6, FALSE), " ")</f>
        <v>0</v>
      </c>
      <c r="AB89" s="13">
        <v>44978</v>
      </c>
      <c r="AC89" s="12" t="s">
        <v>547</v>
      </c>
      <c r="AD89" s="12" t="s">
        <v>548</v>
      </c>
      <c r="AE89" s="11"/>
      <c r="AF89" s="11"/>
      <c r="AG89" s="11"/>
      <c r="AH89" s="11">
        <v>1947</v>
      </c>
      <c r="AI89" s="11" t="s">
        <v>77</v>
      </c>
      <c r="AJ89" s="12" t="s">
        <v>301</v>
      </c>
      <c r="AK89" s="11" t="str">
        <f t="shared" si="0"/>
        <v>2021GBP</v>
      </c>
      <c r="AL89" s="11">
        <f>VLOOKUP(AK89, Exchange_rates!$C:$D, 2, FALSE)</f>
        <v>1</v>
      </c>
      <c r="AM89" s="14">
        <f t="shared" si="1"/>
        <v>2336.4</v>
      </c>
      <c r="AN89" s="11"/>
      <c r="AO89" s="11"/>
      <c r="AP89" s="17"/>
      <c r="AQ89" s="15" t="s">
        <v>49</v>
      </c>
      <c r="AR89" t="s">
        <v>549</v>
      </c>
      <c r="AS89" s="16" t="s">
        <v>550</v>
      </c>
      <c r="AT89" s="11"/>
      <c r="AU89" s="11"/>
      <c r="AV89" s="11"/>
      <c r="AW89" s="11"/>
      <c r="AX89" s="12"/>
      <c r="AY89" s="11"/>
      <c r="AZ89" s="11"/>
      <c r="BA89" s="11"/>
      <c r="BB89" s="11"/>
      <c r="BC89" s="11"/>
      <c r="BD89" s="11"/>
      <c r="BE89" s="11"/>
      <c r="BF89" s="11"/>
      <c r="BG89" s="11"/>
      <c r="BH89" s="11"/>
    </row>
    <row r="90" spans="1:60" ht="14.5">
      <c r="A90" s="9" t="s">
        <v>551</v>
      </c>
      <c r="B90" s="9" t="s">
        <v>552</v>
      </c>
      <c r="C90" s="9" t="s">
        <v>400</v>
      </c>
      <c r="D90" s="9" t="s">
        <v>361</v>
      </c>
      <c r="E90" s="17" t="s">
        <v>49</v>
      </c>
      <c r="F90" s="9" t="s">
        <v>69</v>
      </c>
      <c r="G90" s="9" t="s">
        <v>70</v>
      </c>
      <c r="H90" s="9" t="s">
        <v>362</v>
      </c>
      <c r="I90" s="9" t="s">
        <v>72</v>
      </c>
      <c r="J90" s="10">
        <v>44258</v>
      </c>
      <c r="K90" s="10">
        <v>44260</v>
      </c>
      <c r="L90" s="10">
        <v>44260</v>
      </c>
      <c r="M90" s="10">
        <v>44260</v>
      </c>
      <c r="N90" s="9">
        <v>2021</v>
      </c>
      <c r="O90" s="9" t="s">
        <v>363</v>
      </c>
      <c r="P90" s="9" t="s">
        <v>53</v>
      </c>
      <c r="Q90" s="9" t="s">
        <v>53</v>
      </c>
      <c r="R90" s="9" t="s">
        <v>210</v>
      </c>
      <c r="T90" s="9"/>
      <c r="V90" s="9"/>
      <c r="W90" s="11">
        <f>IFERROR(VLOOKUP(B90, PlumX_snapshot!$A:$B, 2, FALSE), " ")</f>
        <v>96</v>
      </c>
      <c r="X90" s="11">
        <f>IFERROR(VLOOKUP(B90, PlumX_snapshot!$A:$C, 3, FALSE), " ")</f>
        <v>24</v>
      </c>
      <c r="Y90" s="12">
        <f>IFERROR(VLOOKUP(B90, PlumX_snapshot!$A:$D, 4, FALSE), " ")</f>
        <v>0</v>
      </c>
      <c r="Z90" s="12">
        <f>IFERROR(VLOOKUP(B90, PlumX_snapshot!$A:$E, 5, FALSE), " ")</f>
        <v>0</v>
      </c>
      <c r="AA90" s="12">
        <f>IFERROR(VLOOKUP(B90, PlumX_snapshot!$A:$F, 6, FALSE), " ")</f>
        <v>0</v>
      </c>
      <c r="AB90" s="13">
        <v>44978</v>
      </c>
      <c r="AC90" s="12" t="s">
        <v>553</v>
      </c>
      <c r="AD90" s="12" t="s">
        <v>554</v>
      </c>
      <c r="AE90" s="11"/>
      <c r="AF90" s="11"/>
      <c r="AG90" s="11"/>
      <c r="AH90" s="11">
        <v>2045</v>
      </c>
      <c r="AI90" s="11" t="s">
        <v>77</v>
      </c>
      <c r="AJ90" s="12" t="s">
        <v>301</v>
      </c>
      <c r="AK90" s="11" t="str">
        <f t="shared" si="0"/>
        <v>2021GBP</v>
      </c>
      <c r="AL90" s="11">
        <f>VLOOKUP(AK90, Exchange_rates!$C:$D, 2, FALSE)</f>
        <v>1</v>
      </c>
      <c r="AM90" s="14">
        <f t="shared" si="1"/>
        <v>2454</v>
      </c>
      <c r="AN90" s="11"/>
      <c r="AO90" s="11"/>
      <c r="AP90" s="17"/>
      <c r="AQ90" s="15" t="s">
        <v>49</v>
      </c>
      <c r="AR90" t="s">
        <v>404</v>
      </c>
      <c r="AS90" s="16" t="s">
        <v>405</v>
      </c>
      <c r="AT90" s="12"/>
      <c r="AU90" s="12"/>
      <c r="AV90" s="11"/>
      <c r="AW90" s="11"/>
      <c r="AX90" s="12"/>
      <c r="AY90" s="11"/>
      <c r="AZ90" s="11"/>
      <c r="BA90" s="11"/>
      <c r="BB90" s="11"/>
      <c r="BC90" s="11"/>
      <c r="BD90" s="11"/>
      <c r="BE90" s="11"/>
      <c r="BF90" s="11"/>
      <c r="BG90" s="11"/>
      <c r="BH90" s="11"/>
    </row>
    <row r="91" spans="1:60" ht="14.5">
      <c r="A91" s="9" t="s">
        <v>555</v>
      </c>
      <c r="B91" s="9" t="s">
        <v>556</v>
      </c>
      <c r="C91" s="9" t="s">
        <v>516</v>
      </c>
      <c r="D91" s="9" t="s">
        <v>361</v>
      </c>
      <c r="E91" s="17" t="s">
        <v>49</v>
      </c>
      <c r="F91" s="9" t="s">
        <v>69</v>
      </c>
      <c r="G91" s="9" t="s">
        <v>70</v>
      </c>
      <c r="H91" s="9" t="s">
        <v>557</v>
      </c>
      <c r="I91" s="9" t="s">
        <v>72</v>
      </c>
      <c r="J91" s="10">
        <v>44580</v>
      </c>
      <c r="K91" s="10">
        <v>44587</v>
      </c>
      <c r="L91" s="10">
        <v>44587</v>
      </c>
      <c r="M91" s="10">
        <v>44631</v>
      </c>
      <c r="N91" s="9">
        <v>2022</v>
      </c>
      <c r="O91" s="9" t="s">
        <v>558</v>
      </c>
      <c r="P91" s="9" t="s">
        <v>53</v>
      </c>
      <c r="Q91" s="9" t="s">
        <v>53</v>
      </c>
      <c r="R91" s="9" t="s">
        <v>210</v>
      </c>
      <c r="T91" s="9"/>
      <c r="V91" s="9"/>
      <c r="W91" s="11">
        <f>IFERROR(VLOOKUP(B91, PlumX_snapshot!$A:$B, 2, FALSE), " ")</f>
        <v>0</v>
      </c>
      <c r="X91" s="11">
        <f>IFERROR(VLOOKUP(B91, PlumX_snapshot!$A:$C, 3, FALSE), " ")</f>
        <v>0</v>
      </c>
      <c r="Y91" s="12">
        <f>IFERROR(VLOOKUP(B91, PlumX_snapshot!$A:$D, 4, FALSE), " ")</f>
        <v>0</v>
      </c>
      <c r="Z91" s="12">
        <f>IFERROR(VLOOKUP(B91, PlumX_snapshot!$A:$E, 5, FALSE), " ")</f>
        <v>0</v>
      </c>
      <c r="AA91" s="12">
        <f>IFERROR(VLOOKUP(B91, PlumX_snapshot!$A:$F, 6, FALSE), " ")</f>
        <v>0</v>
      </c>
      <c r="AB91" s="13">
        <v>44978</v>
      </c>
      <c r="AC91" s="11" t="s">
        <v>559</v>
      </c>
      <c r="AD91" s="11" t="s">
        <v>560</v>
      </c>
      <c r="AE91" s="11"/>
      <c r="AF91" s="11"/>
      <c r="AG91" s="11"/>
      <c r="AH91" s="11">
        <v>2045</v>
      </c>
      <c r="AI91" s="11" t="s">
        <v>77</v>
      </c>
      <c r="AJ91" s="12" t="s">
        <v>301</v>
      </c>
      <c r="AK91" s="11" t="str">
        <f t="shared" si="0"/>
        <v>2022GBP</v>
      </c>
      <c r="AL91" s="11">
        <f>VLOOKUP(AK91, Exchange_rates!$C:$D, 2, FALSE)</f>
        <v>1</v>
      </c>
      <c r="AM91" s="14">
        <f t="shared" si="1"/>
        <v>2454</v>
      </c>
      <c r="AN91" s="11"/>
      <c r="AO91" s="11"/>
      <c r="AP91" s="17"/>
      <c r="AQ91" s="15" t="s">
        <v>49</v>
      </c>
      <c r="AR91" t="s">
        <v>519</v>
      </c>
      <c r="AS91" s="16" t="s">
        <v>520</v>
      </c>
      <c r="AT91" s="11"/>
      <c r="AU91" s="11"/>
      <c r="AV91" s="11"/>
      <c r="AW91" s="11"/>
      <c r="AX91" s="11"/>
      <c r="AY91" s="11"/>
      <c r="AZ91" s="11"/>
      <c r="BA91" s="11"/>
      <c r="BB91" s="11"/>
      <c r="BC91" s="11"/>
      <c r="BD91" s="11"/>
      <c r="BE91" s="11"/>
      <c r="BF91" s="11"/>
      <c r="BG91" s="11"/>
      <c r="BH91" s="11"/>
    </row>
    <row r="92" spans="1:60" ht="14.5">
      <c r="A92" s="9" t="s">
        <v>561</v>
      </c>
      <c r="B92" s="9" t="s">
        <v>562</v>
      </c>
      <c r="C92" s="9" t="s">
        <v>563</v>
      </c>
      <c r="D92" s="9" t="s">
        <v>361</v>
      </c>
      <c r="E92" s="17" t="s">
        <v>49</v>
      </c>
      <c r="F92" s="9" t="s">
        <v>69</v>
      </c>
      <c r="G92" s="9" t="s">
        <v>70</v>
      </c>
      <c r="H92" s="9" t="s">
        <v>557</v>
      </c>
      <c r="I92" s="9" t="s">
        <v>72</v>
      </c>
      <c r="J92" s="10">
        <v>44529</v>
      </c>
      <c r="K92" s="10">
        <v>44581</v>
      </c>
      <c r="L92" s="10">
        <v>44581</v>
      </c>
      <c r="M92" s="10">
        <v>44678</v>
      </c>
      <c r="N92" s="9">
        <v>2022</v>
      </c>
      <c r="O92" s="9" t="s">
        <v>558</v>
      </c>
      <c r="P92" s="9" t="s">
        <v>53</v>
      </c>
      <c r="Q92" s="9" t="s">
        <v>53</v>
      </c>
      <c r="R92" s="9" t="s">
        <v>92</v>
      </c>
      <c r="T92" s="9"/>
      <c r="V92" s="9"/>
      <c r="W92" s="11">
        <f>IFERROR(VLOOKUP(B92, PlumX_snapshot!$A:$B, 2, FALSE), " ")</f>
        <v>0</v>
      </c>
      <c r="X92" s="11">
        <f>IFERROR(VLOOKUP(B92, PlumX_snapshot!$A:$C, 3, FALSE), " ")</f>
        <v>0</v>
      </c>
      <c r="Y92" s="12">
        <f>IFERROR(VLOOKUP(B92, PlumX_snapshot!$A:$D, 4, FALSE), " ")</f>
        <v>0</v>
      </c>
      <c r="Z92" s="12">
        <f>IFERROR(VLOOKUP(B92, PlumX_snapshot!$A:$E, 5, FALSE), " ")</f>
        <v>0</v>
      </c>
      <c r="AA92" s="12">
        <f>IFERROR(VLOOKUP(B92, PlumX_snapshot!$A:$F, 6, FALSE), " ")</f>
        <v>0</v>
      </c>
      <c r="AB92" s="13">
        <v>44978</v>
      </c>
      <c r="AC92" s="11" t="s">
        <v>564</v>
      </c>
      <c r="AD92" s="11" t="s">
        <v>565</v>
      </c>
      <c r="AE92" s="11"/>
      <c r="AF92" s="11"/>
      <c r="AG92" s="11"/>
      <c r="AH92" s="11">
        <v>2045</v>
      </c>
      <c r="AI92" s="11" t="s">
        <v>77</v>
      </c>
      <c r="AJ92" s="12" t="s">
        <v>301</v>
      </c>
      <c r="AK92" s="11" t="str">
        <f t="shared" si="0"/>
        <v>2022GBP</v>
      </c>
      <c r="AL92" s="11">
        <f>VLOOKUP(AK92, Exchange_rates!$C:$D, 2, FALSE)</f>
        <v>1</v>
      </c>
      <c r="AM92" s="14">
        <f t="shared" si="1"/>
        <v>2454</v>
      </c>
      <c r="AN92" s="11"/>
      <c r="AO92" s="11"/>
      <c r="AP92" s="17"/>
      <c r="AQ92" s="15" t="s">
        <v>49</v>
      </c>
      <c r="AR92" t="s">
        <v>566</v>
      </c>
      <c r="AS92" s="16" t="s">
        <v>567</v>
      </c>
      <c r="AT92" s="11"/>
      <c r="AU92" s="11"/>
      <c r="AV92" s="11"/>
      <c r="AW92" s="11"/>
      <c r="AX92" s="11"/>
      <c r="AY92" s="11"/>
      <c r="AZ92" s="11"/>
      <c r="BA92" s="11"/>
      <c r="BB92" s="11"/>
      <c r="BC92" s="11"/>
      <c r="BD92" s="11"/>
      <c r="BE92" s="11"/>
      <c r="BF92" s="11"/>
      <c r="BG92" s="11"/>
      <c r="BH92" s="11"/>
    </row>
    <row r="93" spans="1:60" ht="14.5">
      <c r="A93" s="9" t="s">
        <v>568</v>
      </c>
      <c r="B93" s="9" t="s">
        <v>569</v>
      </c>
      <c r="C93" s="9" t="s">
        <v>570</v>
      </c>
      <c r="D93" s="9" t="s">
        <v>361</v>
      </c>
      <c r="E93" s="17" t="s">
        <v>49</v>
      </c>
      <c r="F93" s="9" t="s">
        <v>69</v>
      </c>
      <c r="G93" s="9" t="s">
        <v>70</v>
      </c>
      <c r="H93" s="9" t="s">
        <v>557</v>
      </c>
      <c r="I93" s="9" t="s">
        <v>72</v>
      </c>
      <c r="J93" s="10">
        <v>44574</v>
      </c>
      <c r="K93" s="10">
        <v>44575</v>
      </c>
      <c r="L93" s="10">
        <v>44575</v>
      </c>
      <c r="M93" s="10">
        <v>44610</v>
      </c>
      <c r="N93" s="9">
        <v>2022</v>
      </c>
      <c r="O93" s="9" t="s">
        <v>558</v>
      </c>
      <c r="P93" s="9" t="s">
        <v>53</v>
      </c>
      <c r="Q93" s="9" t="s">
        <v>53</v>
      </c>
      <c r="R93" s="9" t="s">
        <v>571</v>
      </c>
      <c r="T93" s="9"/>
      <c r="V93" s="9"/>
      <c r="W93" s="11">
        <f>IFERROR(VLOOKUP(B93, PlumX_snapshot!$A:$B, 2, FALSE), " ")</f>
        <v>9</v>
      </c>
      <c r="X93" s="11">
        <f>IFERROR(VLOOKUP(B93, PlumX_snapshot!$A:$C, 3, FALSE), " ")</f>
        <v>0</v>
      </c>
      <c r="Y93" s="12">
        <f>IFERROR(VLOOKUP(B93, PlumX_snapshot!$A:$D, 4, FALSE), " ")</f>
        <v>0</v>
      </c>
      <c r="Z93" s="12">
        <f>IFERROR(VLOOKUP(B93, PlumX_snapshot!$A:$E, 5, FALSE), " ")</f>
        <v>0</v>
      </c>
      <c r="AA93" s="12">
        <f>IFERROR(VLOOKUP(B93, PlumX_snapshot!$A:$F, 6, FALSE), " ")</f>
        <v>0</v>
      </c>
      <c r="AB93" s="13">
        <v>44978</v>
      </c>
      <c r="AC93" s="11" t="s">
        <v>572</v>
      </c>
      <c r="AD93" s="11" t="s">
        <v>573</v>
      </c>
      <c r="AE93" s="11"/>
      <c r="AF93" s="11"/>
      <c r="AG93" s="11"/>
      <c r="AH93" s="11">
        <v>2045</v>
      </c>
      <c r="AI93" s="11" t="s">
        <v>77</v>
      </c>
      <c r="AJ93" s="12" t="s">
        <v>301</v>
      </c>
      <c r="AK93" s="11" t="str">
        <f t="shared" si="0"/>
        <v>2022GBP</v>
      </c>
      <c r="AL93" s="11">
        <f>VLOOKUP(AK93, Exchange_rates!$C:$D, 2, FALSE)</f>
        <v>1</v>
      </c>
      <c r="AM93" s="14">
        <f t="shared" si="1"/>
        <v>2454</v>
      </c>
      <c r="AN93" s="11"/>
      <c r="AO93" s="11"/>
      <c r="AP93" s="17"/>
      <c r="AQ93" s="15" t="s">
        <v>49</v>
      </c>
      <c r="AR93" t="s">
        <v>574</v>
      </c>
      <c r="AS93" s="16" t="s">
        <v>575</v>
      </c>
      <c r="AT93" s="11"/>
      <c r="AU93" s="11"/>
      <c r="AV93" s="11"/>
      <c r="AW93" s="11"/>
      <c r="AX93" s="11"/>
      <c r="AY93" s="11"/>
      <c r="AZ93" s="11"/>
      <c r="BA93" s="11"/>
      <c r="BB93" s="11"/>
      <c r="BC93" s="11"/>
      <c r="BD93" s="11"/>
      <c r="BE93" s="11"/>
      <c r="BF93" s="11"/>
      <c r="BG93" s="11"/>
      <c r="BH93" s="11"/>
    </row>
    <row r="94" spans="1:60" ht="16.5" customHeight="1">
      <c r="A94" s="9" t="s">
        <v>576</v>
      </c>
      <c r="B94" s="9" t="s">
        <v>577</v>
      </c>
      <c r="C94" s="9" t="s">
        <v>578</v>
      </c>
      <c r="D94" s="9" t="s">
        <v>361</v>
      </c>
      <c r="E94" s="17" t="s">
        <v>49</v>
      </c>
      <c r="F94" s="9" t="s">
        <v>69</v>
      </c>
      <c r="G94" s="9" t="s">
        <v>51</v>
      </c>
      <c r="H94" s="9"/>
      <c r="I94" s="9" t="s">
        <v>291</v>
      </c>
      <c r="J94" s="10">
        <v>44568</v>
      </c>
      <c r="K94" s="10">
        <v>44569</v>
      </c>
      <c r="L94" s="10">
        <v>44569</v>
      </c>
      <c r="M94" s="10">
        <v>44592</v>
      </c>
      <c r="N94" s="9">
        <v>2022</v>
      </c>
      <c r="O94" s="9" t="s">
        <v>558</v>
      </c>
      <c r="P94" s="9" t="s">
        <v>53</v>
      </c>
      <c r="Q94" s="9" t="s">
        <v>53</v>
      </c>
      <c r="R94" s="9" t="s">
        <v>579</v>
      </c>
      <c r="S94" s="9" t="s">
        <v>580</v>
      </c>
      <c r="T94" s="9" t="s">
        <v>55</v>
      </c>
      <c r="U94" s="9" t="s">
        <v>581</v>
      </c>
      <c r="V94" s="9"/>
      <c r="W94" s="11">
        <f>IFERROR(VLOOKUP(B94, PlumX_snapshot!$A:$B, 2, FALSE), " ")</f>
        <v>6</v>
      </c>
      <c r="X94" s="11">
        <f>IFERROR(VLOOKUP(B94, PlumX_snapshot!$A:$C, 3, FALSE), " ")</f>
        <v>0</v>
      </c>
      <c r="Y94" s="12">
        <f>IFERROR(VLOOKUP(B94, PlumX_snapshot!$A:$D, 4, FALSE), " ")</f>
        <v>0</v>
      </c>
      <c r="Z94" s="12">
        <f>IFERROR(VLOOKUP(B94, PlumX_snapshot!$A:$E, 5, FALSE), " ")</f>
        <v>0</v>
      </c>
      <c r="AA94" s="12">
        <f>IFERROR(VLOOKUP(B94, PlumX_snapshot!$A:$F, 6, FALSE), " ")</f>
        <v>0</v>
      </c>
      <c r="AB94" s="13">
        <v>44978</v>
      </c>
      <c r="AC94" s="11" t="s">
        <v>582</v>
      </c>
      <c r="AD94" s="11" t="s">
        <v>583</v>
      </c>
      <c r="AE94" s="11"/>
      <c r="AF94" s="11"/>
      <c r="AG94" s="11" t="s">
        <v>70</v>
      </c>
      <c r="AH94" s="11">
        <v>1250</v>
      </c>
      <c r="AI94" s="11" t="s">
        <v>77</v>
      </c>
      <c r="AJ94" s="12" t="s">
        <v>301</v>
      </c>
      <c r="AK94" s="11" t="str">
        <f t="shared" si="0"/>
        <v>2022GBP</v>
      </c>
      <c r="AL94" s="11">
        <f>VLOOKUP(AK94, Exchange_rates!$C:$D, 2, FALSE)</f>
        <v>1</v>
      </c>
      <c r="AM94" s="14">
        <f t="shared" si="1"/>
        <v>1500</v>
      </c>
      <c r="AN94" s="11"/>
      <c r="AO94" s="11"/>
      <c r="AP94" s="17"/>
      <c r="AQ94" s="15" t="s">
        <v>49</v>
      </c>
      <c r="AR94" t="s">
        <v>584</v>
      </c>
      <c r="AS94" s="16" t="s">
        <v>585</v>
      </c>
      <c r="AT94" s="11"/>
      <c r="AU94" s="11"/>
      <c r="AV94" s="11"/>
      <c r="AW94" s="11"/>
      <c r="AX94" s="11"/>
      <c r="AY94" s="11"/>
      <c r="AZ94" s="11"/>
      <c r="BA94" s="11"/>
      <c r="BB94" s="11"/>
      <c r="BC94" s="11"/>
      <c r="BD94" s="11"/>
      <c r="BE94" s="11"/>
      <c r="BF94" s="11"/>
      <c r="BG94" s="11"/>
      <c r="BH94" s="11"/>
    </row>
    <row r="95" spans="1:60" ht="14.5">
      <c r="A95" s="9" t="s">
        <v>586</v>
      </c>
      <c r="B95" s="9" t="s">
        <v>587</v>
      </c>
      <c r="C95" s="9" t="s">
        <v>588</v>
      </c>
      <c r="D95" s="9" t="s">
        <v>361</v>
      </c>
      <c r="E95" s="17" t="s">
        <v>49</v>
      </c>
      <c r="F95" s="9" t="s">
        <v>69</v>
      </c>
      <c r="G95" s="9" t="s">
        <v>70</v>
      </c>
      <c r="H95" s="9" t="s">
        <v>557</v>
      </c>
      <c r="I95" s="9" t="s">
        <v>72</v>
      </c>
      <c r="J95" s="10">
        <v>44550</v>
      </c>
      <c r="K95" s="10">
        <v>44569</v>
      </c>
      <c r="L95" s="10">
        <v>44569</v>
      </c>
      <c r="M95" s="10">
        <v>44656</v>
      </c>
      <c r="N95" s="9">
        <v>2022</v>
      </c>
      <c r="O95" s="9" t="s">
        <v>558</v>
      </c>
      <c r="P95" s="9" t="s">
        <v>83</v>
      </c>
      <c r="Q95" s="9" t="s">
        <v>53</v>
      </c>
      <c r="R95" s="9" t="s">
        <v>589</v>
      </c>
      <c r="T95" s="9"/>
      <c r="V95" s="9"/>
      <c r="W95" s="11">
        <f>IFERROR(VLOOKUP(B95, PlumX_snapshot!$A:$B, 2, FALSE), " ")</f>
        <v>3</v>
      </c>
      <c r="X95" s="11">
        <f>IFERROR(VLOOKUP(B95, PlumX_snapshot!$A:$C, 3, FALSE), " ")</f>
        <v>7</v>
      </c>
      <c r="Y95" s="12">
        <f>IFERROR(VLOOKUP(B95, PlumX_snapshot!$A:$D, 4, FALSE), " ")</f>
        <v>0</v>
      </c>
      <c r="Z95" s="12">
        <f>IFERROR(VLOOKUP(B95, PlumX_snapshot!$A:$E, 5, FALSE), " ")</f>
        <v>0</v>
      </c>
      <c r="AA95" s="12">
        <f>IFERROR(VLOOKUP(B95, PlumX_snapshot!$A:$F, 6, FALSE), " ")</f>
        <v>0</v>
      </c>
      <c r="AB95" s="13">
        <v>44978</v>
      </c>
      <c r="AC95" s="12" t="s">
        <v>590</v>
      </c>
      <c r="AD95" s="11" t="s">
        <v>591</v>
      </c>
      <c r="AE95" s="11"/>
      <c r="AF95" s="11"/>
      <c r="AG95" s="11"/>
      <c r="AH95" s="11">
        <v>2045</v>
      </c>
      <c r="AI95" s="11" t="s">
        <v>77</v>
      </c>
      <c r="AJ95" s="12" t="s">
        <v>301</v>
      </c>
      <c r="AK95" s="11" t="str">
        <f t="shared" si="0"/>
        <v>2022GBP</v>
      </c>
      <c r="AL95" s="11">
        <f>VLOOKUP(AK95, Exchange_rates!$C:$D, 2, FALSE)</f>
        <v>1</v>
      </c>
      <c r="AM95" s="14">
        <f t="shared" si="1"/>
        <v>2454</v>
      </c>
      <c r="AN95" s="11"/>
      <c r="AO95" s="11"/>
      <c r="AP95" s="17"/>
      <c r="AQ95" s="15" t="s">
        <v>49</v>
      </c>
      <c r="AR95" t="s">
        <v>592</v>
      </c>
      <c r="AS95" s="16" t="s">
        <v>593</v>
      </c>
      <c r="AT95" s="11"/>
      <c r="AU95" s="11"/>
      <c r="AV95" s="11"/>
      <c r="AW95" s="11"/>
      <c r="AX95" s="11"/>
      <c r="AY95" s="11"/>
      <c r="AZ95" s="11"/>
      <c r="BA95" s="11"/>
      <c r="BB95" s="11"/>
      <c r="BC95" s="11"/>
      <c r="BD95" s="11"/>
      <c r="BE95" s="11"/>
      <c r="BF95" s="11"/>
      <c r="BG95" s="11"/>
      <c r="BH95" s="11"/>
    </row>
    <row r="96" spans="1:60" ht="14.5">
      <c r="A96" s="9" t="s">
        <v>594</v>
      </c>
      <c r="B96" s="9" t="s">
        <v>595</v>
      </c>
      <c r="C96" s="9" t="s">
        <v>596</v>
      </c>
      <c r="D96" s="9" t="s">
        <v>361</v>
      </c>
      <c r="E96" s="17" t="s">
        <v>125</v>
      </c>
      <c r="F96" s="9" t="s">
        <v>69</v>
      </c>
      <c r="G96" s="9" t="s">
        <v>70</v>
      </c>
      <c r="H96" s="9" t="s">
        <v>557</v>
      </c>
      <c r="I96" s="9" t="s">
        <v>72</v>
      </c>
      <c r="J96" s="10">
        <v>44550</v>
      </c>
      <c r="K96" s="10">
        <v>44568</v>
      </c>
      <c r="L96" s="10">
        <v>44568</v>
      </c>
      <c r="M96" s="10">
        <v>44616</v>
      </c>
      <c r="N96" s="9">
        <v>2022</v>
      </c>
      <c r="O96" s="9" t="s">
        <v>558</v>
      </c>
      <c r="P96" s="9" t="s">
        <v>53</v>
      </c>
      <c r="Q96" s="9" t="s">
        <v>53</v>
      </c>
      <c r="T96" s="9"/>
      <c r="V96" s="9"/>
      <c r="W96" s="11">
        <f>IFERROR(VLOOKUP(B96, PlumX_snapshot!$A:$B, 2, FALSE), " ")</f>
        <v>0</v>
      </c>
      <c r="X96" s="11">
        <f>IFERROR(VLOOKUP(B96, PlumX_snapshot!$A:$C, 3, FALSE), " ")</f>
        <v>0</v>
      </c>
      <c r="Y96" s="12">
        <f>IFERROR(VLOOKUP(B96, PlumX_snapshot!$A:$D, 4, FALSE), " ")</f>
        <v>0</v>
      </c>
      <c r="Z96" s="12">
        <f>IFERROR(VLOOKUP(B96, PlumX_snapshot!$A:$E, 5, FALSE), " ")</f>
        <v>0</v>
      </c>
      <c r="AA96" s="12">
        <f>IFERROR(VLOOKUP(B96, PlumX_snapshot!$A:$F, 6, FALSE), " ")</f>
        <v>0</v>
      </c>
      <c r="AB96" s="13">
        <v>44978</v>
      </c>
      <c r="AC96" s="11" t="s">
        <v>597</v>
      </c>
      <c r="AD96" s="11" t="s">
        <v>598</v>
      </c>
      <c r="AE96" s="11"/>
      <c r="AF96" s="11"/>
      <c r="AG96" s="11"/>
      <c r="AH96" s="11">
        <v>1200</v>
      </c>
      <c r="AI96" s="11" t="s">
        <v>77</v>
      </c>
      <c r="AJ96" s="12" t="s">
        <v>301</v>
      </c>
      <c r="AK96" s="11" t="str">
        <f t="shared" si="0"/>
        <v>2022GBP</v>
      </c>
      <c r="AL96" s="11">
        <f>VLOOKUP(AK96, Exchange_rates!$C:$D, 2, FALSE)</f>
        <v>1</v>
      </c>
      <c r="AM96" s="14">
        <f t="shared" si="1"/>
        <v>1440</v>
      </c>
      <c r="AN96" s="11"/>
      <c r="AO96" s="11"/>
      <c r="AP96" s="17"/>
      <c r="AQ96" s="15" t="s">
        <v>125</v>
      </c>
      <c r="AR96" t="s">
        <v>599</v>
      </c>
      <c r="AS96" s="16"/>
      <c r="AT96" s="11"/>
      <c r="AU96" s="11"/>
      <c r="AV96" s="11"/>
      <c r="AW96" s="11"/>
      <c r="AX96" s="11"/>
      <c r="AY96" s="11"/>
      <c r="AZ96" s="11"/>
      <c r="BA96" s="11"/>
      <c r="BB96" s="11"/>
      <c r="BC96" s="11"/>
      <c r="BD96" s="11"/>
      <c r="BE96" s="11"/>
      <c r="BF96" s="11"/>
      <c r="BG96" s="11"/>
      <c r="BH96" s="11"/>
    </row>
    <row r="97" spans="1:60" ht="14.5">
      <c r="A97" s="9" t="s">
        <v>600</v>
      </c>
      <c r="B97" s="9" t="s">
        <v>601</v>
      </c>
      <c r="C97" s="9" t="s">
        <v>602</v>
      </c>
      <c r="D97" s="9" t="s">
        <v>361</v>
      </c>
      <c r="E97" s="17" t="s">
        <v>49</v>
      </c>
      <c r="F97" s="9" t="s">
        <v>69</v>
      </c>
      <c r="G97" s="9" t="s">
        <v>70</v>
      </c>
      <c r="H97" s="9" t="s">
        <v>362</v>
      </c>
      <c r="I97" s="9" t="s">
        <v>72</v>
      </c>
      <c r="J97" s="10">
        <v>44447</v>
      </c>
      <c r="K97" s="10">
        <v>44552</v>
      </c>
      <c r="L97" s="10">
        <v>44552</v>
      </c>
      <c r="M97" s="10">
        <v>44470</v>
      </c>
      <c r="N97" s="9">
        <v>2021</v>
      </c>
      <c r="O97" s="9" t="s">
        <v>558</v>
      </c>
      <c r="P97" s="9" t="s">
        <v>53</v>
      </c>
      <c r="Q97" s="9" t="s">
        <v>53</v>
      </c>
      <c r="R97" s="9" t="s">
        <v>603</v>
      </c>
      <c r="T97" s="9"/>
      <c r="V97" s="9"/>
      <c r="W97" s="11">
        <f>IFERROR(VLOOKUP(B97, PlumX_snapshot!$A:$B, 2, FALSE), " ")</f>
        <v>2</v>
      </c>
      <c r="X97" s="11">
        <f>IFERROR(VLOOKUP(B97, PlumX_snapshot!$A:$C, 3, FALSE), " ")</f>
        <v>0</v>
      </c>
      <c r="Y97" s="12">
        <f>IFERROR(VLOOKUP(B97, PlumX_snapshot!$A:$D, 4, FALSE), " ")</f>
        <v>0</v>
      </c>
      <c r="Z97" s="12">
        <f>IFERROR(VLOOKUP(B97, PlumX_snapshot!$A:$E, 5, FALSE), " ")</f>
        <v>0</v>
      </c>
      <c r="AA97" s="12">
        <f>IFERROR(VLOOKUP(B97, PlumX_snapshot!$A:$F, 6, FALSE), " ")</f>
        <v>0</v>
      </c>
      <c r="AB97" s="13">
        <v>44978</v>
      </c>
      <c r="AC97" s="11" t="s">
        <v>604</v>
      </c>
      <c r="AD97" s="11" t="s">
        <v>605</v>
      </c>
      <c r="AE97" s="11"/>
      <c r="AF97" s="11"/>
      <c r="AG97" s="11"/>
      <c r="AH97" s="11">
        <v>2045</v>
      </c>
      <c r="AI97" s="11" t="s">
        <v>77</v>
      </c>
      <c r="AJ97" s="12" t="s">
        <v>301</v>
      </c>
      <c r="AK97" s="11" t="str">
        <f t="shared" si="0"/>
        <v>2021GBP</v>
      </c>
      <c r="AL97" s="11">
        <f>VLOOKUP(AK97, Exchange_rates!$C:$D, 2, FALSE)</f>
        <v>1</v>
      </c>
      <c r="AM97" s="14">
        <f t="shared" si="1"/>
        <v>2454</v>
      </c>
      <c r="AN97" s="11"/>
      <c r="AO97" s="11"/>
      <c r="AP97" s="17"/>
      <c r="AQ97" s="15" t="s">
        <v>49</v>
      </c>
      <c r="AR97" t="s">
        <v>606</v>
      </c>
      <c r="AS97" s="16" t="s">
        <v>607</v>
      </c>
      <c r="AT97" s="11"/>
      <c r="AU97" s="11"/>
      <c r="AV97" s="11"/>
      <c r="AW97" s="11"/>
      <c r="AX97" s="11"/>
      <c r="AY97" s="11"/>
      <c r="AZ97" s="11"/>
      <c r="BA97" s="11"/>
      <c r="BB97" s="11"/>
      <c r="BC97" s="11"/>
      <c r="BD97" s="11"/>
      <c r="BE97" s="11"/>
      <c r="BF97" s="11"/>
      <c r="BG97" s="11"/>
      <c r="BH97" s="11"/>
    </row>
    <row r="98" spans="1:60" ht="14.5">
      <c r="A98" s="9" t="s">
        <v>608</v>
      </c>
      <c r="B98" s="9" t="s">
        <v>609</v>
      </c>
      <c r="C98" s="9" t="s">
        <v>508</v>
      </c>
      <c r="D98" s="9" t="s">
        <v>361</v>
      </c>
      <c r="E98" s="17" t="s">
        <v>49</v>
      </c>
      <c r="F98" s="9" t="s">
        <v>69</v>
      </c>
      <c r="G98" s="9" t="s">
        <v>70</v>
      </c>
      <c r="H98" s="9" t="s">
        <v>362</v>
      </c>
      <c r="I98" s="9" t="s">
        <v>72</v>
      </c>
      <c r="J98" s="10">
        <v>44536</v>
      </c>
      <c r="K98" s="10">
        <v>44548</v>
      </c>
      <c r="L98" s="10">
        <v>44548</v>
      </c>
      <c r="M98" s="10">
        <v>44585</v>
      </c>
      <c r="N98" s="9">
        <v>2021</v>
      </c>
      <c r="O98" s="9" t="s">
        <v>558</v>
      </c>
      <c r="P98" s="9" t="s">
        <v>53</v>
      </c>
      <c r="Q98" s="9" t="s">
        <v>53</v>
      </c>
      <c r="R98" s="9" t="s">
        <v>92</v>
      </c>
      <c r="T98" s="9"/>
      <c r="V98" s="9"/>
      <c r="W98" s="11">
        <f>IFERROR(VLOOKUP(B98, PlumX_snapshot!$A:$B, 2, FALSE), " ")</f>
        <v>7</v>
      </c>
      <c r="X98" s="11">
        <f>IFERROR(VLOOKUP(B98, PlumX_snapshot!$A:$C, 3, FALSE), " ")</f>
        <v>0</v>
      </c>
      <c r="Y98" s="12">
        <f>IFERROR(VLOOKUP(B98, PlumX_snapshot!$A:$D, 4, FALSE), " ")</f>
        <v>0</v>
      </c>
      <c r="Z98" s="12">
        <f>IFERROR(VLOOKUP(B98, PlumX_snapshot!$A:$E, 5, FALSE), " ")</f>
        <v>0</v>
      </c>
      <c r="AA98" s="12">
        <f>IFERROR(VLOOKUP(B98, PlumX_snapshot!$A:$F, 6, FALSE), " ")</f>
        <v>0</v>
      </c>
      <c r="AB98" s="13">
        <v>44978</v>
      </c>
      <c r="AC98" s="11" t="s">
        <v>610</v>
      </c>
      <c r="AD98" s="11" t="s">
        <v>611</v>
      </c>
      <c r="AE98" s="11"/>
      <c r="AF98" s="11"/>
      <c r="AG98" s="11"/>
      <c r="AH98" s="11">
        <v>2045</v>
      </c>
      <c r="AI98" s="11" t="s">
        <v>77</v>
      </c>
      <c r="AJ98" s="12" t="s">
        <v>301</v>
      </c>
      <c r="AK98" s="11" t="str">
        <f t="shared" si="0"/>
        <v>2021GBP</v>
      </c>
      <c r="AL98" s="11">
        <f>VLOOKUP(AK98, Exchange_rates!$C:$D, 2, FALSE)</f>
        <v>1</v>
      </c>
      <c r="AM98" s="14">
        <f t="shared" si="1"/>
        <v>2454</v>
      </c>
      <c r="AN98" s="11"/>
      <c r="AO98" s="11"/>
      <c r="AP98" s="17"/>
      <c r="AQ98" s="15" t="s">
        <v>49</v>
      </c>
      <c r="AR98" t="s">
        <v>512</v>
      </c>
      <c r="AS98" s="16" t="s">
        <v>513</v>
      </c>
      <c r="AT98" s="11"/>
      <c r="AU98" s="11"/>
      <c r="AV98" s="11"/>
      <c r="AW98" s="11"/>
      <c r="AX98" s="11"/>
      <c r="AY98" s="11"/>
      <c r="AZ98" s="11"/>
      <c r="BA98" s="11"/>
      <c r="BB98" s="11"/>
      <c r="BC98" s="11"/>
      <c r="BD98" s="11"/>
      <c r="BE98" s="11"/>
      <c r="BF98" s="11"/>
      <c r="BG98" s="11"/>
      <c r="BH98" s="11"/>
    </row>
    <row r="99" spans="1:60" ht="14.5">
      <c r="A99" s="9" t="s">
        <v>612</v>
      </c>
      <c r="B99" s="9" t="s">
        <v>613</v>
      </c>
      <c r="C99" s="9" t="s">
        <v>614</v>
      </c>
      <c r="D99" s="9" t="s">
        <v>361</v>
      </c>
      <c r="E99" s="17" t="s">
        <v>49</v>
      </c>
      <c r="F99" s="9" t="s">
        <v>69</v>
      </c>
      <c r="G99" s="9" t="s">
        <v>70</v>
      </c>
      <c r="H99" s="9" t="s">
        <v>362</v>
      </c>
      <c r="I99" s="9" t="s">
        <v>72</v>
      </c>
      <c r="J99" s="10">
        <v>44510</v>
      </c>
      <c r="K99" s="10">
        <v>44545</v>
      </c>
      <c r="L99" s="10">
        <v>44545</v>
      </c>
      <c r="M99" s="10">
        <v>44545</v>
      </c>
      <c r="N99" s="9">
        <v>2021</v>
      </c>
      <c r="O99" s="9" t="s">
        <v>558</v>
      </c>
      <c r="P99" s="9" t="s">
        <v>53</v>
      </c>
      <c r="Q99" s="9" t="s">
        <v>53</v>
      </c>
      <c r="R99" s="9" t="s">
        <v>92</v>
      </c>
      <c r="T99" s="9"/>
      <c r="V99" s="9"/>
      <c r="W99" s="11">
        <f>IFERROR(VLOOKUP(B99, PlumX_snapshot!$A:$B, 2, FALSE), " ")</f>
        <v>3</v>
      </c>
      <c r="X99" s="11">
        <f>IFERROR(VLOOKUP(B99, PlumX_snapshot!$A:$C, 3, FALSE), " ")</f>
        <v>0</v>
      </c>
      <c r="Y99" s="12">
        <f>IFERROR(VLOOKUP(B99, PlumX_snapshot!$A:$D, 4, FALSE), " ")</f>
        <v>0</v>
      </c>
      <c r="Z99" s="12">
        <f>IFERROR(VLOOKUP(B99, PlumX_snapshot!$A:$E, 5, FALSE), " ")</f>
        <v>0</v>
      </c>
      <c r="AA99" s="12">
        <f>IFERROR(VLOOKUP(B99, PlumX_snapshot!$A:$F, 6, FALSE), " ")</f>
        <v>0</v>
      </c>
      <c r="AB99" s="13">
        <v>44978</v>
      </c>
      <c r="AC99" s="11" t="s">
        <v>615</v>
      </c>
      <c r="AD99" s="11" t="s">
        <v>616</v>
      </c>
      <c r="AE99" s="11"/>
      <c r="AF99" s="11"/>
      <c r="AG99" s="11"/>
      <c r="AH99" s="11">
        <v>2045</v>
      </c>
      <c r="AI99" s="11" t="s">
        <v>77</v>
      </c>
      <c r="AJ99" s="12" t="s">
        <v>301</v>
      </c>
      <c r="AK99" s="11" t="str">
        <f t="shared" si="0"/>
        <v>2021GBP</v>
      </c>
      <c r="AL99" s="11">
        <f>VLOOKUP(AK99, Exchange_rates!$C:$D, 2, FALSE)</f>
        <v>1</v>
      </c>
      <c r="AM99" s="14">
        <f t="shared" si="1"/>
        <v>2454</v>
      </c>
      <c r="AN99" s="11"/>
      <c r="AO99" s="11"/>
      <c r="AP99" s="17"/>
      <c r="AQ99" s="15" t="s">
        <v>49</v>
      </c>
      <c r="AR99" t="s">
        <v>617</v>
      </c>
      <c r="AS99" s="16" t="s">
        <v>618</v>
      </c>
      <c r="AT99" s="11"/>
      <c r="AU99" s="11"/>
      <c r="AV99" s="11"/>
      <c r="AW99" s="11"/>
      <c r="AX99" s="11"/>
      <c r="AY99" s="11"/>
      <c r="AZ99" s="11"/>
      <c r="BA99" s="11"/>
      <c r="BB99" s="11"/>
      <c r="BC99" s="11"/>
      <c r="BD99" s="11"/>
      <c r="BE99" s="11"/>
      <c r="BF99" s="11"/>
      <c r="BG99" s="11"/>
      <c r="BH99" s="11"/>
    </row>
    <row r="100" spans="1:60" ht="14.5">
      <c r="A100" s="9" t="s">
        <v>619</v>
      </c>
      <c r="B100" s="9" t="s">
        <v>620</v>
      </c>
      <c r="C100" s="9" t="s">
        <v>621</v>
      </c>
      <c r="D100" s="9" t="s">
        <v>361</v>
      </c>
      <c r="E100" s="17" t="s">
        <v>49</v>
      </c>
      <c r="F100" s="9" t="s">
        <v>69</v>
      </c>
      <c r="G100" s="9" t="s">
        <v>70</v>
      </c>
      <c r="H100" s="9" t="s">
        <v>362</v>
      </c>
      <c r="I100" s="9" t="s">
        <v>72</v>
      </c>
      <c r="J100" s="10">
        <v>44467</v>
      </c>
      <c r="K100" s="10">
        <v>44542</v>
      </c>
      <c r="L100" s="10">
        <v>44542</v>
      </c>
      <c r="M100" s="10">
        <v>44546</v>
      </c>
      <c r="N100" s="9">
        <v>2021</v>
      </c>
      <c r="O100" s="9" t="s">
        <v>558</v>
      </c>
      <c r="P100" s="9" t="s">
        <v>53</v>
      </c>
      <c r="Q100" s="9" t="s">
        <v>53</v>
      </c>
      <c r="R100" s="9" t="s">
        <v>622</v>
      </c>
      <c r="T100" s="9"/>
      <c r="V100" s="9"/>
      <c r="W100" s="11">
        <f>IFERROR(VLOOKUP(B100, PlumX_snapshot!$A:$B, 2, FALSE), " ")</f>
        <v>19</v>
      </c>
      <c r="X100" s="11">
        <f>IFERROR(VLOOKUP(B100, PlumX_snapshot!$A:$C, 3, FALSE), " ")</f>
        <v>4</v>
      </c>
      <c r="Y100" s="12">
        <f>IFERROR(VLOOKUP(B100, PlumX_snapshot!$A:$D, 4, FALSE), " ")</f>
        <v>0</v>
      </c>
      <c r="Z100" s="12">
        <f>IFERROR(VLOOKUP(B100, PlumX_snapshot!$A:$E, 5, FALSE), " ")</f>
        <v>0</v>
      </c>
      <c r="AA100" s="12">
        <f>IFERROR(VLOOKUP(B100, PlumX_snapshot!$A:$F, 6, FALSE), " ")</f>
        <v>1</v>
      </c>
      <c r="AB100" s="13">
        <v>44978</v>
      </c>
      <c r="AC100" s="12" t="s">
        <v>623</v>
      </c>
      <c r="AD100" s="12" t="s">
        <v>624</v>
      </c>
      <c r="AE100" s="11"/>
      <c r="AF100" s="11"/>
      <c r="AG100" s="12"/>
      <c r="AH100" s="11">
        <v>2045</v>
      </c>
      <c r="AI100" s="11" t="s">
        <v>77</v>
      </c>
      <c r="AJ100" s="12" t="s">
        <v>301</v>
      </c>
      <c r="AK100" s="11" t="str">
        <f t="shared" si="0"/>
        <v>2021GBP</v>
      </c>
      <c r="AL100" s="11">
        <f>VLOOKUP(AK100, Exchange_rates!$C:$D, 2, FALSE)</f>
        <v>1</v>
      </c>
      <c r="AM100" s="14">
        <f t="shared" si="1"/>
        <v>2454</v>
      </c>
      <c r="AN100" s="11"/>
      <c r="AO100" s="11"/>
      <c r="AP100" s="17"/>
      <c r="AQ100" s="15" t="s">
        <v>49</v>
      </c>
      <c r="AR100" t="s">
        <v>625</v>
      </c>
      <c r="AS100" s="16" t="s">
        <v>626</v>
      </c>
      <c r="AT100" s="12"/>
      <c r="AU100" s="12"/>
      <c r="AV100" s="11"/>
      <c r="AW100" s="11"/>
      <c r="AX100" s="11"/>
      <c r="AY100" s="11"/>
      <c r="AZ100" s="11"/>
      <c r="BA100" s="11"/>
      <c r="BB100" s="11"/>
      <c r="BC100" s="11"/>
      <c r="BD100" s="11"/>
      <c r="BE100" s="11"/>
      <c r="BF100" s="11"/>
      <c r="BG100" s="11"/>
      <c r="BH100" s="11"/>
    </row>
    <row r="101" spans="1:60" ht="14.5">
      <c r="A101" s="9" t="s">
        <v>627</v>
      </c>
      <c r="B101" s="9" t="s">
        <v>628</v>
      </c>
      <c r="C101" s="9" t="s">
        <v>629</v>
      </c>
      <c r="D101" s="9" t="s">
        <v>361</v>
      </c>
      <c r="E101" s="17" t="s">
        <v>49</v>
      </c>
      <c r="F101" s="9" t="s">
        <v>69</v>
      </c>
      <c r="G101" s="9" t="s">
        <v>70</v>
      </c>
      <c r="H101" s="9" t="s">
        <v>362</v>
      </c>
      <c r="I101" s="9" t="s">
        <v>72</v>
      </c>
      <c r="J101" s="10">
        <v>44467</v>
      </c>
      <c r="K101" s="10">
        <v>44530</v>
      </c>
      <c r="L101" s="10">
        <v>44530</v>
      </c>
      <c r="M101" s="10">
        <v>44568</v>
      </c>
      <c r="N101" s="9">
        <v>2021</v>
      </c>
      <c r="O101" s="9" t="s">
        <v>558</v>
      </c>
      <c r="P101" s="9" t="s">
        <v>53</v>
      </c>
      <c r="Q101" s="9" t="s">
        <v>53</v>
      </c>
      <c r="R101" s="9" t="s">
        <v>630</v>
      </c>
      <c r="T101" s="9"/>
      <c r="V101" s="9"/>
      <c r="W101" s="11">
        <f>IFERROR(VLOOKUP(B101, PlumX_snapshot!$A:$B, 2, FALSE), " ")</f>
        <v>3</v>
      </c>
      <c r="X101" s="11">
        <f>IFERROR(VLOOKUP(B101, PlumX_snapshot!$A:$C, 3, FALSE), " ")</f>
        <v>1</v>
      </c>
      <c r="Y101" s="12">
        <f>IFERROR(VLOOKUP(B101, PlumX_snapshot!$A:$D, 4, FALSE), " ")</f>
        <v>0</v>
      </c>
      <c r="Z101" s="12">
        <f>IFERROR(VLOOKUP(B101, PlumX_snapshot!$A:$E, 5, FALSE), " ")</f>
        <v>0</v>
      </c>
      <c r="AA101" s="12">
        <f>IFERROR(VLOOKUP(B101, PlumX_snapshot!$A:$F, 6, FALSE), " ")</f>
        <v>0</v>
      </c>
      <c r="AB101" s="13">
        <v>44978</v>
      </c>
      <c r="AC101" s="12" t="s">
        <v>631</v>
      </c>
      <c r="AD101" s="11" t="s">
        <v>632</v>
      </c>
      <c r="AE101" s="11"/>
      <c r="AF101" s="11"/>
      <c r="AG101" s="11"/>
      <c r="AH101" s="11">
        <v>2045</v>
      </c>
      <c r="AI101" s="11" t="s">
        <v>77</v>
      </c>
      <c r="AJ101" s="12" t="s">
        <v>301</v>
      </c>
      <c r="AK101" s="11" t="str">
        <f t="shared" si="0"/>
        <v>2021GBP</v>
      </c>
      <c r="AL101" s="11">
        <f>VLOOKUP(AK101, Exchange_rates!$C:$D, 2, FALSE)</f>
        <v>1</v>
      </c>
      <c r="AM101" s="14">
        <f t="shared" si="1"/>
        <v>2454</v>
      </c>
      <c r="AN101" s="11"/>
      <c r="AO101" s="11"/>
      <c r="AP101" s="17"/>
      <c r="AQ101" s="15" t="s">
        <v>49</v>
      </c>
      <c r="AR101" t="s">
        <v>633</v>
      </c>
      <c r="AS101" s="16" t="s">
        <v>634</v>
      </c>
      <c r="AT101" s="11"/>
      <c r="AU101" s="11"/>
      <c r="AV101" s="11"/>
      <c r="AW101" s="11"/>
      <c r="AX101" s="11"/>
      <c r="AY101" s="11"/>
      <c r="AZ101" s="11"/>
      <c r="BA101" s="11"/>
      <c r="BB101" s="11"/>
      <c r="BC101" s="11"/>
      <c r="BD101" s="11"/>
      <c r="BE101" s="11"/>
      <c r="BF101" s="11"/>
      <c r="BG101" s="11"/>
      <c r="BH101" s="11"/>
    </row>
    <row r="102" spans="1:60" ht="14.5">
      <c r="A102" s="9" t="s">
        <v>635</v>
      </c>
      <c r="B102" s="9" t="s">
        <v>636</v>
      </c>
      <c r="C102" s="9" t="s">
        <v>637</v>
      </c>
      <c r="D102" s="9" t="s">
        <v>361</v>
      </c>
      <c r="E102" s="17" t="s">
        <v>49</v>
      </c>
      <c r="F102" s="9" t="s">
        <v>69</v>
      </c>
      <c r="G102" s="9" t="s">
        <v>70</v>
      </c>
      <c r="H102" s="9" t="s">
        <v>362</v>
      </c>
      <c r="I102" s="9" t="s">
        <v>72</v>
      </c>
      <c r="J102" s="10">
        <v>44511</v>
      </c>
      <c r="K102" s="10">
        <v>44516</v>
      </c>
      <c r="L102" s="10">
        <v>44516</v>
      </c>
      <c r="M102" s="10">
        <v>44628</v>
      </c>
      <c r="N102" s="9">
        <v>2021</v>
      </c>
      <c r="O102" s="9" t="s">
        <v>558</v>
      </c>
      <c r="P102" s="9" t="s">
        <v>53</v>
      </c>
      <c r="Q102" s="9" t="s">
        <v>53</v>
      </c>
      <c r="R102" s="9" t="s">
        <v>92</v>
      </c>
      <c r="T102" s="9"/>
      <c r="V102" s="9"/>
      <c r="W102" s="11">
        <f>IFERROR(VLOOKUP(B102, PlumX_snapshot!$A:$B, 2, FALSE), " ")</f>
        <v>2</v>
      </c>
      <c r="X102" s="11">
        <f>IFERROR(VLOOKUP(B102, PlumX_snapshot!$A:$C, 3, FALSE), " ")</f>
        <v>2</v>
      </c>
      <c r="Y102" s="12">
        <f>IFERROR(VLOOKUP(B102, PlumX_snapshot!$A:$D, 4, FALSE), " ")</f>
        <v>0</v>
      </c>
      <c r="Z102" s="12">
        <f>IFERROR(VLOOKUP(B102, PlumX_snapshot!$A:$E, 5, FALSE), " ")</f>
        <v>0</v>
      </c>
      <c r="AA102" s="12">
        <f>IFERROR(VLOOKUP(B102, PlumX_snapshot!$A:$F, 6, FALSE), " ")</f>
        <v>0</v>
      </c>
      <c r="AB102" s="13">
        <v>44978</v>
      </c>
      <c r="AC102" s="12" t="s">
        <v>638</v>
      </c>
      <c r="AD102" s="12" t="s">
        <v>639</v>
      </c>
      <c r="AE102" s="11"/>
      <c r="AF102" s="11"/>
      <c r="AG102" s="11"/>
      <c r="AH102" s="11">
        <v>2045</v>
      </c>
      <c r="AI102" s="11" t="s">
        <v>77</v>
      </c>
      <c r="AJ102" s="12" t="s">
        <v>301</v>
      </c>
      <c r="AK102" s="11" t="str">
        <f t="shared" si="0"/>
        <v>2021GBP</v>
      </c>
      <c r="AL102" s="11">
        <f>VLOOKUP(AK102, Exchange_rates!$C:$D, 2, FALSE)</f>
        <v>1</v>
      </c>
      <c r="AM102" s="14">
        <f t="shared" si="1"/>
        <v>2454</v>
      </c>
      <c r="AN102" s="11"/>
      <c r="AO102" s="11"/>
      <c r="AP102" s="17"/>
      <c r="AQ102" s="15" t="s">
        <v>49</v>
      </c>
      <c r="AR102" t="s">
        <v>640</v>
      </c>
      <c r="AS102" s="16" t="s">
        <v>641</v>
      </c>
      <c r="AT102" s="11"/>
      <c r="AU102" s="11"/>
      <c r="AV102" s="11"/>
      <c r="AW102" s="11"/>
      <c r="AX102" s="11"/>
      <c r="AY102" s="11"/>
      <c r="AZ102" s="11"/>
      <c r="BA102" s="11"/>
      <c r="BB102" s="11"/>
      <c r="BC102" s="11"/>
      <c r="BD102" s="11"/>
      <c r="BE102" s="11"/>
      <c r="BF102" s="11"/>
      <c r="BG102" s="11"/>
      <c r="BH102" s="11"/>
    </row>
    <row r="103" spans="1:60" ht="14.5">
      <c r="A103" s="9" t="s">
        <v>642</v>
      </c>
      <c r="B103" s="9" t="s">
        <v>643</v>
      </c>
      <c r="C103" s="9" t="s">
        <v>644</v>
      </c>
      <c r="D103" s="9" t="s">
        <v>361</v>
      </c>
      <c r="E103" s="17" t="s">
        <v>125</v>
      </c>
      <c r="F103" s="9" t="s">
        <v>69</v>
      </c>
      <c r="G103" s="9" t="s">
        <v>70</v>
      </c>
      <c r="H103" s="9" t="s">
        <v>362</v>
      </c>
      <c r="I103" s="9" t="s">
        <v>72</v>
      </c>
      <c r="J103" s="10">
        <v>44496</v>
      </c>
      <c r="K103" s="10">
        <v>44498</v>
      </c>
      <c r="L103" s="10">
        <v>44498</v>
      </c>
      <c r="M103" s="10">
        <v>44537</v>
      </c>
      <c r="N103" s="9">
        <v>2021</v>
      </c>
      <c r="O103" s="9" t="s">
        <v>558</v>
      </c>
      <c r="P103" s="9" t="s">
        <v>83</v>
      </c>
      <c r="Q103" s="9" t="s">
        <v>53</v>
      </c>
      <c r="R103" s="9" t="s">
        <v>645</v>
      </c>
      <c r="T103" s="9"/>
      <c r="V103" s="9"/>
      <c r="W103" s="11">
        <f>IFERROR(VLOOKUP(B103, PlumX_snapshot!$A:$B, 2, FALSE), " ")</f>
        <v>11</v>
      </c>
      <c r="X103" s="11">
        <f>IFERROR(VLOOKUP(B103, PlumX_snapshot!$A:$C, 3, FALSE), " ")</f>
        <v>0</v>
      </c>
      <c r="Y103" s="12">
        <f>IFERROR(VLOOKUP(B103, PlumX_snapshot!$A:$D, 4, FALSE), " ")</f>
        <v>0</v>
      </c>
      <c r="Z103" s="12">
        <f>IFERROR(VLOOKUP(B103, PlumX_snapshot!$A:$E, 5, FALSE), " ")</f>
        <v>0</v>
      </c>
      <c r="AA103" s="12">
        <f>IFERROR(VLOOKUP(B103, PlumX_snapshot!$A:$F, 6, FALSE), " ")</f>
        <v>0</v>
      </c>
      <c r="AB103" s="13">
        <v>44978</v>
      </c>
      <c r="AC103" s="11" t="s">
        <v>646</v>
      </c>
      <c r="AD103" s="11" t="s">
        <v>647</v>
      </c>
      <c r="AE103" s="11"/>
      <c r="AF103" s="11"/>
      <c r="AG103" s="11"/>
      <c r="AH103" s="11">
        <v>1360</v>
      </c>
      <c r="AI103" s="11" t="s">
        <v>77</v>
      </c>
      <c r="AJ103" s="12" t="s">
        <v>301</v>
      </c>
      <c r="AK103" s="11" t="str">
        <f t="shared" si="0"/>
        <v>2021GBP</v>
      </c>
      <c r="AL103" s="11">
        <f>VLOOKUP(AK103, Exchange_rates!$C:$D, 2, FALSE)</f>
        <v>1</v>
      </c>
      <c r="AM103" s="14">
        <f t="shared" si="1"/>
        <v>1632</v>
      </c>
      <c r="AN103" s="11"/>
      <c r="AO103" s="11"/>
      <c r="AP103" s="17"/>
      <c r="AQ103" s="15" t="s">
        <v>125</v>
      </c>
      <c r="AR103" t="s">
        <v>648</v>
      </c>
      <c r="AS103" s="16" t="s">
        <v>649</v>
      </c>
      <c r="AT103" s="11"/>
      <c r="AU103" s="11"/>
      <c r="AV103" s="11"/>
      <c r="AW103" s="11"/>
      <c r="AX103" s="11"/>
      <c r="AY103" s="11"/>
      <c r="AZ103" s="11"/>
      <c r="BA103" s="11"/>
      <c r="BB103" s="11"/>
      <c r="BC103" s="11"/>
      <c r="BD103" s="11"/>
      <c r="BE103" s="11"/>
      <c r="BF103" s="11"/>
      <c r="BG103" s="11"/>
      <c r="BH103" s="11"/>
    </row>
    <row r="104" spans="1:60" ht="14.5">
      <c r="A104" s="9" t="s">
        <v>650</v>
      </c>
      <c r="B104" s="9" t="s">
        <v>651</v>
      </c>
      <c r="C104" s="9" t="s">
        <v>652</v>
      </c>
      <c r="D104" s="9" t="s">
        <v>361</v>
      </c>
      <c r="E104" s="17" t="s">
        <v>49</v>
      </c>
      <c r="F104" s="9" t="s">
        <v>69</v>
      </c>
      <c r="G104" s="9" t="s">
        <v>70</v>
      </c>
      <c r="H104" s="9" t="s">
        <v>362</v>
      </c>
      <c r="I104" s="9" t="s">
        <v>72</v>
      </c>
      <c r="J104" s="10">
        <v>44434</v>
      </c>
      <c r="K104" s="10">
        <v>44492</v>
      </c>
      <c r="L104" s="10">
        <v>44492</v>
      </c>
      <c r="M104" s="10">
        <v>44441</v>
      </c>
      <c r="N104" s="9">
        <v>2021</v>
      </c>
      <c r="O104" s="9" t="s">
        <v>558</v>
      </c>
      <c r="P104" s="9" t="s">
        <v>53</v>
      </c>
      <c r="Q104" s="9" t="s">
        <v>53</v>
      </c>
      <c r="R104" s="9" t="s">
        <v>92</v>
      </c>
      <c r="T104" s="9"/>
      <c r="V104" s="9"/>
      <c r="W104" s="11">
        <f>IFERROR(VLOOKUP(B104, PlumX_snapshot!$A:$B, 2, FALSE), " ")</f>
        <v>2</v>
      </c>
      <c r="X104" s="11">
        <f>IFERROR(VLOOKUP(B104, PlumX_snapshot!$A:$C, 3, FALSE), " ")</f>
        <v>2</v>
      </c>
      <c r="Y104" s="12">
        <f>IFERROR(VLOOKUP(B104, PlumX_snapshot!$A:$D, 4, FALSE), " ")</f>
        <v>0</v>
      </c>
      <c r="Z104" s="12">
        <f>IFERROR(VLOOKUP(B104, PlumX_snapshot!$A:$E, 5, FALSE), " ")</f>
        <v>0</v>
      </c>
      <c r="AA104" s="12">
        <f>IFERROR(VLOOKUP(B104, PlumX_snapshot!$A:$F, 6, FALSE), " ")</f>
        <v>0</v>
      </c>
      <c r="AB104" s="13">
        <v>44978</v>
      </c>
      <c r="AC104" s="12" t="s">
        <v>653</v>
      </c>
      <c r="AD104" s="12" t="s">
        <v>654</v>
      </c>
      <c r="AE104" s="11"/>
      <c r="AF104" s="11"/>
      <c r="AG104" s="11"/>
      <c r="AH104" s="11">
        <v>2045</v>
      </c>
      <c r="AI104" s="11" t="s">
        <v>77</v>
      </c>
      <c r="AJ104" s="12" t="s">
        <v>301</v>
      </c>
      <c r="AK104" s="11" t="str">
        <f t="shared" si="0"/>
        <v>2021GBP</v>
      </c>
      <c r="AL104" s="11">
        <f>VLOOKUP(AK104, Exchange_rates!$C:$D, 2, FALSE)</f>
        <v>1</v>
      </c>
      <c r="AM104" s="14">
        <f t="shared" si="1"/>
        <v>2454</v>
      </c>
      <c r="AN104" s="11"/>
      <c r="AO104" s="11"/>
      <c r="AP104" s="17"/>
      <c r="AQ104" s="15" t="s">
        <v>49</v>
      </c>
      <c r="AR104" t="s">
        <v>655</v>
      </c>
      <c r="AS104" s="16" t="s">
        <v>656</v>
      </c>
      <c r="AT104" s="11"/>
      <c r="AU104" s="11"/>
      <c r="AV104" s="11"/>
      <c r="AW104" s="11"/>
      <c r="AX104" s="11"/>
      <c r="AY104" s="11"/>
      <c r="AZ104" s="11"/>
      <c r="BA104" s="11"/>
      <c r="BB104" s="11"/>
      <c r="BC104" s="11"/>
      <c r="BD104" s="11"/>
      <c r="BE104" s="11"/>
      <c r="BF104" s="11"/>
      <c r="BG104" s="11"/>
      <c r="BH104" s="11"/>
    </row>
    <row r="105" spans="1:60" ht="14.5">
      <c r="A105" s="9" t="s">
        <v>657</v>
      </c>
      <c r="B105" s="9" t="s">
        <v>658</v>
      </c>
      <c r="C105" s="9" t="s">
        <v>659</v>
      </c>
      <c r="D105" s="9" t="s">
        <v>361</v>
      </c>
      <c r="E105" s="17" t="s">
        <v>49</v>
      </c>
      <c r="F105" s="9" t="s">
        <v>50</v>
      </c>
      <c r="G105" s="9" t="s">
        <v>51</v>
      </c>
      <c r="H105" s="9"/>
      <c r="J105" s="10"/>
      <c r="K105" s="10"/>
      <c r="L105" s="10"/>
      <c r="M105" s="10">
        <v>44333</v>
      </c>
      <c r="N105" s="9">
        <v>2021</v>
      </c>
      <c r="O105" s="9" t="s">
        <v>660</v>
      </c>
      <c r="P105" s="9" t="s">
        <v>53</v>
      </c>
      <c r="Q105" s="9" t="s">
        <v>53</v>
      </c>
      <c r="R105" s="9" t="s">
        <v>92</v>
      </c>
      <c r="T105" s="9" t="s">
        <v>661</v>
      </c>
      <c r="V105" s="9"/>
      <c r="W105" s="11">
        <f>IFERROR(VLOOKUP(B105, PlumX_snapshot!$A:$B, 2, FALSE), " ")</f>
        <v>3</v>
      </c>
      <c r="X105" s="11">
        <f>IFERROR(VLOOKUP(B105, PlumX_snapshot!$A:$C, 3, FALSE), " ")</f>
        <v>0</v>
      </c>
      <c r="Y105" s="12">
        <f>IFERROR(VLOOKUP(B105, PlumX_snapshot!$A:$D, 4, FALSE), " ")</f>
        <v>0</v>
      </c>
      <c r="Z105" s="12">
        <f>IFERROR(VLOOKUP(B105, PlumX_snapshot!$A:$E, 5, FALSE), " ")</f>
        <v>0</v>
      </c>
      <c r="AA105" s="12">
        <f>IFERROR(VLOOKUP(B105, PlumX_snapshot!$A:$F, 6, FALSE), " ")</f>
        <v>0</v>
      </c>
      <c r="AB105" s="13">
        <v>44978</v>
      </c>
      <c r="AC105" s="11"/>
      <c r="AD105" s="11"/>
      <c r="AE105" s="11"/>
      <c r="AF105" s="11"/>
      <c r="AG105" s="11"/>
      <c r="AH105" s="11"/>
      <c r="AI105" s="11"/>
      <c r="AJ105" s="11"/>
      <c r="AK105" s="11" t="str">
        <f t="shared" si="0"/>
        <v>2021</v>
      </c>
      <c r="AL105" s="11" t="e">
        <f>VLOOKUP(AK105, Exchange_rates!$C:$D, 2, FALSE)</f>
        <v>#N/A</v>
      </c>
      <c r="AM105" s="14" t="str">
        <f t="shared" si="1"/>
        <v/>
      </c>
      <c r="AN105" s="11"/>
      <c r="AO105" s="11"/>
      <c r="AP105" s="17"/>
      <c r="AQ105" s="15" t="s">
        <v>49</v>
      </c>
      <c r="AR105" t="s">
        <v>662</v>
      </c>
      <c r="AS105" s="16" t="s">
        <v>663</v>
      </c>
      <c r="AT105" s="11"/>
      <c r="AU105" s="11"/>
      <c r="AV105" s="11"/>
      <c r="AW105" s="11"/>
      <c r="AX105" s="11"/>
      <c r="AY105" s="11"/>
      <c r="AZ105" s="11"/>
      <c r="BA105" s="11"/>
      <c r="BB105" s="11"/>
      <c r="BC105" s="11"/>
      <c r="BD105" s="11"/>
      <c r="BE105" s="11"/>
      <c r="BF105" s="11"/>
      <c r="BG105" s="11"/>
      <c r="BH105" s="11"/>
    </row>
    <row r="106" spans="1:60" ht="14.5">
      <c r="A106" s="9" t="s">
        <v>664</v>
      </c>
      <c r="B106" s="9" t="s">
        <v>665</v>
      </c>
      <c r="C106" s="9" t="s">
        <v>416</v>
      </c>
      <c r="D106" s="9" t="s">
        <v>361</v>
      </c>
      <c r="E106" s="17" t="s">
        <v>49</v>
      </c>
      <c r="F106" s="9" t="s">
        <v>50</v>
      </c>
      <c r="G106" s="9" t="s">
        <v>51</v>
      </c>
      <c r="H106" s="9"/>
      <c r="I106" s="9"/>
      <c r="J106" s="10"/>
      <c r="K106" s="10"/>
      <c r="L106" s="10"/>
      <c r="M106" s="10">
        <v>44369</v>
      </c>
      <c r="N106" s="9">
        <v>2021</v>
      </c>
      <c r="O106" s="9" t="s">
        <v>660</v>
      </c>
      <c r="P106" s="9" t="s">
        <v>83</v>
      </c>
      <c r="Q106" s="9" t="s">
        <v>53</v>
      </c>
      <c r="R106" s="9" t="s">
        <v>666</v>
      </c>
      <c r="T106" s="9" t="s">
        <v>661</v>
      </c>
      <c r="V106" s="9"/>
      <c r="W106" s="11">
        <f>IFERROR(VLOOKUP(B106, PlumX_snapshot!$A:$B, 2, FALSE), " ")</f>
        <v>13</v>
      </c>
      <c r="X106" s="11">
        <f>IFERROR(VLOOKUP(B106, PlumX_snapshot!$A:$C, 3, FALSE), " ")</f>
        <v>3</v>
      </c>
      <c r="Y106" s="12">
        <f>IFERROR(VLOOKUP(B106, PlumX_snapshot!$A:$D, 4, FALSE), " ")</f>
        <v>0</v>
      </c>
      <c r="Z106" s="12">
        <f>IFERROR(VLOOKUP(B106, PlumX_snapshot!$A:$E, 5, FALSE), " ")</f>
        <v>0</v>
      </c>
      <c r="AA106" s="12">
        <f>IFERROR(VLOOKUP(B106, PlumX_snapshot!$A:$F, 6, FALSE), " ")</f>
        <v>5</v>
      </c>
      <c r="AB106" s="13">
        <v>44978</v>
      </c>
      <c r="AC106" s="12"/>
      <c r="AD106" s="12"/>
      <c r="AE106" s="11"/>
      <c r="AF106" s="11"/>
      <c r="AG106" s="12"/>
      <c r="AH106" s="12"/>
      <c r="AI106" s="12"/>
      <c r="AJ106" s="12"/>
      <c r="AK106" s="11" t="str">
        <f t="shared" si="0"/>
        <v>2021</v>
      </c>
      <c r="AL106" s="11" t="e">
        <f>VLOOKUP(AK106, Exchange_rates!$C:$D, 2, FALSE)</f>
        <v>#N/A</v>
      </c>
      <c r="AM106" s="14" t="str">
        <f t="shared" si="1"/>
        <v/>
      </c>
      <c r="AN106" s="11"/>
      <c r="AO106" s="11"/>
      <c r="AP106" s="17"/>
      <c r="AQ106" s="15" t="s">
        <v>49</v>
      </c>
      <c r="AR106" t="s">
        <v>420</v>
      </c>
      <c r="AS106" s="16" t="s">
        <v>421</v>
      </c>
      <c r="AT106" s="11"/>
      <c r="AU106" s="11"/>
      <c r="AV106" s="11"/>
      <c r="AW106" s="11"/>
      <c r="AX106" s="11"/>
      <c r="AY106" s="11"/>
      <c r="AZ106" s="11"/>
      <c r="BA106" s="11"/>
      <c r="BB106" s="11"/>
      <c r="BC106" s="11"/>
      <c r="BD106" s="11"/>
      <c r="BE106" s="11"/>
      <c r="BF106" s="11"/>
      <c r="BG106" s="11"/>
      <c r="BH106" s="11"/>
    </row>
    <row r="107" spans="1:60" ht="14.5">
      <c r="A107" s="9" t="s">
        <v>667</v>
      </c>
      <c r="B107" s="9" t="s">
        <v>668</v>
      </c>
      <c r="C107" s="9" t="s">
        <v>669</v>
      </c>
      <c r="D107" s="9" t="s">
        <v>361</v>
      </c>
      <c r="E107" s="17" t="s">
        <v>49</v>
      </c>
      <c r="F107" s="9" t="s">
        <v>50</v>
      </c>
      <c r="G107" s="9" t="s">
        <v>51</v>
      </c>
      <c r="H107" s="9"/>
      <c r="J107" s="10"/>
      <c r="K107" s="10"/>
      <c r="L107" s="10"/>
      <c r="M107" s="10">
        <v>44470</v>
      </c>
      <c r="N107" s="9">
        <v>2021</v>
      </c>
      <c r="O107" s="9" t="s">
        <v>660</v>
      </c>
      <c r="P107" s="9" t="s">
        <v>53</v>
      </c>
      <c r="Q107" s="9" t="s">
        <v>53</v>
      </c>
      <c r="R107" s="9" t="s">
        <v>92</v>
      </c>
      <c r="T107" s="9" t="s">
        <v>661</v>
      </c>
      <c r="V107" s="9"/>
      <c r="W107" s="11">
        <f>IFERROR(VLOOKUP(B107, PlumX_snapshot!$A:$B, 2, FALSE), " ")</f>
        <v>0</v>
      </c>
      <c r="X107" s="11">
        <f>IFERROR(VLOOKUP(B107, PlumX_snapshot!$A:$C, 3, FALSE), " ")</f>
        <v>0</v>
      </c>
      <c r="Y107" s="12">
        <f>IFERROR(VLOOKUP(B107, PlumX_snapshot!$A:$D, 4, FALSE), " ")</f>
        <v>0</v>
      </c>
      <c r="Z107" s="12">
        <f>IFERROR(VLOOKUP(B107, PlumX_snapshot!$A:$E, 5, FALSE), " ")</f>
        <v>0</v>
      </c>
      <c r="AA107" s="12">
        <f>IFERROR(VLOOKUP(B107, PlumX_snapshot!$A:$F, 6, FALSE), " ")</f>
        <v>0</v>
      </c>
      <c r="AB107" s="13">
        <v>44978</v>
      </c>
      <c r="AC107" s="11"/>
      <c r="AD107" s="11"/>
      <c r="AE107" s="11"/>
      <c r="AF107" s="11"/>
      <c r="AG107" s="11"/>
      <c r="AH107" s="11"/>
      <c r="AI107" s="11"/>
      <c r="AJ107" s="11"/>
      <c r="AK107" s="11" t="str">
        <f t="shared" si="0"/>
        <v>2021</v>
      </c>
      <c r="AL107" s="11" t="e">
        <f>VLOOKUP(AK107, Exchange_rates!$C:$D, 2, FALSE)</f>
        <v>#N/A</v>
      </c>
      <c r="AM107" s="14" t="str">
        <f t="shared" si="1"/>
        <v/>
      </c>
      <c r="AN107" s="11"/>
      <c r="AO107" s="11"/>
      <c r="AP107" s="17"/>
      <c r="AQ107" s="15" t="s">
        <v>49</v>
      </c>
      <c r="AR107" t="s">
        <v>670</v>
      </c>
      <c r="AS107" s="16" t="s">
        <v>671</v>
      </c>
      <c r="AT107" s="11"/>
      <c r="AU107" s="11"/>
      <c r="AV107" s="11"/>
      <c r="AW107" s="11"/>
      <c r="AX107" s="11"/>
      <c r="AY107" s="11"/>
      <c r="AZ107" s="11"/>
      <c r="BA107" s="11"/>
      <c r="BB107" s="11"/>
      <c r="BC107" s="11"/>
      <c r="BD107" s="11"/>
      <c r="BE107" s="11"/>
      <c r="BF107" s="11"/>
      <c r="BG107" s="11"/>
      <c r="BH107" s="11"/>
    </row>
    <row r="108" spans="1:60" ht="14.5">
      <c r="A108" s="9" t="s">
        <v>672</v>
      </c>
      <c r="B108" s="9" t="s">
        <v>673</v>
      </c>
      <c r="C108" s="9" t="s">
        <v>674</v>
      </c>
      <c r="D108" s="9" t="s">
        <v>361</v>
      </c>
      <c r="E108" s="17" t="s">
        <v>49</v>
      </c>
      <c r="F108" s="9" t="s">
        <v>50</v>
      </c>
      <c r="G108" s="9" t="s">
        <v>51</v>
      </c>
      <c r="H108" s="9"/>
      <c r="J108" s="10"/>
      <c r="K108" s="10"/>
      <c r="L108" s="10"/>
      <c r="M108" s="10">
        <v>44348</v>
      </c>
      <c r="N108" s="9">
        <v>2021</v>
      </c>
      <c r="O108" s="9" t="s">
        <v>660</v>
      </c>
      <c r="P108" s="9" t="s">
        <v>53</v>
      </c>
      <c r="Q108" s="9" t="s">
        <v>53</v>
      </c>
      <c r="R108" s="9" t="s">
        <v>675</v>
      </c>
      <c r="T108" s="9" t="s">
        <v>661</v>
      </c>
      <c r="V108" s="9"/>
      <c r="W108" s="11">
        <f>IFERROR(VLOOKUP(B108, PlumX_snapshot!$A:$B, 2, FALSE), " ")</f>
        <v>3</v>
      </c>
      <c r="X108" s="11">
        <f>IFERROR(VLOOKUP(B108, PlumX_snapshot!$A:$C, 3, FALSE), " ")</f>
        <v>1</v>
      </c>
      <c r="Y108" s="12">
        <f>IFERROR(VLOOKUP(B108, PlumX_snapshot!$A:$D, 4, FALSE), " ")</f>
        <v>0</v>
      </c>
      <c r="Z108" s="12">
        <f>IFERROR(VLOOKUP(B108, PlumX_snapshot!$A:$E, 5, FALSE), " ")</f>
        <v>0</v>
      </c>
      <c r="AA108" s="12">
        <f>IFERROR(VLOOKUP(B108, PlumX_snapshot!$A:$F, 6, FALSE), " ")</f>
        <v>0</v>
      </c>
      <c r="AB108" s="13">
        <v>44978</v>
      </c>
      <c r="AC108" s="12"/>
      <c r="AD108" s="11"/>
      <c r="AE108" s="11"/>
      <c r="AF108" s="11"/>
      <c r="AG108" s="11"/>
      <c r="AH108" s="11"/>
      <c r="AI108" s="11"/>
      <c r="AJ108" s="11"/>
      <c r="AK108" s="11" t="str">
        <f t="shared" si="0"/>
        <v>2021</v>
      </c>
      <c r="AL108" s="11" t="e">
        <f>VLOOKUP(AK108, Exchange_rates!$C:$D, 2, FALSE)</f>
        <v>#N/A</v>
      </c>
      <c r="AM108" s="14" t="str">
        <f t="shared" si="1"/>
        <v/>
      </c>
      <c r="AN108" s="11"/>
      <c r="AO108" s="11"/>
      <c r="AP108" s="17"/>
      <c r="AQ108" s="15" t="s">
        <v>49</v>
      </c>
      <c r="AR108" t="s">
        <v>676</v>
      </c>
      <c r="AS108" s="16" t="s">
        <v>677</v>
      </c>
      <c r="AT108" s="11"/>
      <c r="AU108" s="11"/>
      <c r="AV108" s="11"/>
      <c r="AW108" s="11"/>
      <c r="AX108" s="11"/>
      <c r="AY108" s="11"/>
      <c r="AZ108" s="11"/>
      <c r="BA108" s="11"/>
      <c r="BB108" s="11"/>
      <c r="BC108" s="11"/>
      <c r="BD108" s="11"/>
      <c r="BE108" s="11"/>
      <c r="BF108" s="11"/>
      <c r="BG108" s="11"/>
      <c r="BH108" s="11"/>
    </row>
    <row r="109" spans="1:60" ht="14.5">
      <c r="A109" s="9" t="s">
        <v>678</v>
      </c>
      <c r="B109" s="9" t="s">
        <v>679</v>
      </c>
      <c r="C109" s="9" t="s">
        <v>680</v>
      </c>
      <c r="D109" s="9" t="s">
        <v>361</v>
      </c>
      <c r="E109" s="17" t="s">
        <v>49</v>
      </c>
      <c r="F109" s="9" t="s">
        <v>50</v>
      </c>
      <c r="G109" s="9" t="s">
        <v>51</v>
      </c>
      <c r="H109" s="9"/>
      <c r="J109" s="10"/>
      <c r="K109" s="10"/>
      <c r="L109" s="10"/>
      <c r="M109" s="10">
        <v>44371</v>
      </c>
      <c r="N109" s="9">
        <v>2021</v>
      </c>
      <c r="O109" s="9" t="s">
        <v>660</v>
      </c>
      <c r="P109" s="9" t="s">
        <v>53</v>
      </c>
      <c r="Q109" s="9" t="s">
        <v>53</v>
      </c>
      <c r="R109" s="9" t="s">
        <v>92</v>
      </c>
      <c r="T109" s="9" t="s">
        <v>661</v>
      </c>
      <c r="V109" s="9"/>
      <c r="W109" s="11">
        <f>IFERROR(VLOOKUP(B109, PlumX_snapshot!$A:$B, 2, FALSE), " ")</f>
        <v>0</v>
      </c>
      <c r="X109" s="11">
        <f>IFERROR(VLOOKUP(B109, PlumX_snapshot!$A:$C, 3, FALSE), " ")</f>
        <v>0</v>
      </c>
      <c r="Y109" s="12">
        <f>IFERROR(VLOOKUP(B109, PlumX_snapshot!$A:$D, 4, FALSE), " ")</f>
        <v>0</v>
      </c>
      <c r="Z109" s="12">
        <f>IFERROR(VLOOKUP(B109, PlumX_snapshot!$A:$E, 5, FALSE), " ")</f>
        <v>0</v>
      </c>
      <c r="AA109" s="12">
        <f>IFERROR(VLOOKUP(B109, PlumX_snapshot!$A:$F, 6, FALSE), " ")</f>
        <v>0</v>
      </c>
      <c r="AB109" s="13">
        <v>44978</v>
      </c>
      <c r="AC109" s="11"/>
      <c r="AD109" s="11"/>
      <c r="AE109" s="11"/>
      <c r="AF109" s="11"/>
      <c r="AG109" s="11"/>
      <c r="AH109" s="11"/>
      <c r="AI109" s="11"/>
      <c r="AJ109" s="11"/>
      <c r="AK109" s="11" t="str">
        <f t="shared" si="0"/>
        <v>2021</v>
      </c>
      <c r="AL109" s="11" t="e">
        <f>VLOOKUP(AK109, Exchange_rates!$C:$D, 2, FALSE)</f>
        <v>#N/A</v>
      </c>
      <c r="AM109" s="14" t="str">
        <f t="shared" si="1"/>
        <v/>
      </c>
      <c r="AN109" s="11"/>
      <c r="AO109" s="11"/>
      <c r="AP109" s="17"/>
      <c r="AQ109" s="15" t="s">
        <v>49</v>
      </c>
      <c r="AR109" t="s">
        <v>681</v>
      </c>
      <c r="AS109" s="16" t="s">
        <v>682</v>
      </c>
      <c r="AT109" s="11"/>
      <c r="AU109" s="11"/>
      <c r="AV109" s="11"/>
      <c r="AW109" s="11"/>
      <c r="AX109" s="11"/>
      <c r="AY109" s="11"/>
      <c r="AZ109" s="11"/>
      <c r="BA109" s="11"/>
      <c r="BB109" s="11"/>
      <c r="BC109" s="11"/>
      <c r="BD109" s="11"/>
      <c r="BE109" s="11"/>
      <c r="BF109" s="11"/>
      <c r="BG109" s="11"/>
      <c r="BH109" s="11"/>
    </row>
    <row r="110" spans="1:60" ht="14.5">
      <c r="A110" s="9" t="s">
        <v>683</v>
      </c>
      <c r="B110" s="9" t="s">
        <v>684</v>
      </c>
      <c r="C110" s="9" t="s">
        <v>588</v>
      </c>
      <c r="D110" s="9" t="s">
        <v>361</v>
      </c>
      <c r="E110" s="17" t="s">
        <v>49</v>
      </c>
      <c r="F110" s="9" t="s">
        <v>50</v>
      </c>
      <c r="G110" s="9" t="s">
        <v>51</v>
      </c>
      <c r="H110" s="9"/>
      <c r="J110" s="10"/>
      <c r="K110" s="10"/>
      <c r="L110" s="10"/>
      <c r="M110" s="10">
        <v>44396</v>
      </c>
      <c r="N110" s="9">
        <v>2021</v>
      </c>
      <c r="O110" s="9" t="s">
        <v>660</v>
      </c>
      <c r="P110" s="9" t="s">
        <v>53</v>
      </c>
      <c r="Q110" s="9" t="s">
        <v>53</v>
      </c>
      <c r="R110" s="9" t="s">
        <v>92</v>
      </c>
      <c r="T110" s="9" t="s">
        <v>661</v>
      </c>
      <c r="V110" s="9"/>
      <c r="W110" s="11">
        <f>IFERROR(VLOOKUP(B110, PlumX_snapshot!$A:$B, 2, FALSE), " ")</f>
        <v>2</v>
      </c>
      <c r="X110" s="11">
        <f>IFERROR(VLOOKUP(B110, PlumX_snapshot!$A:$C, 3, FALSE), " ")</f>
        <v>0</v>
      </c>
      <c r="Y110" s="12">
        <f>IFERROR(VLOOKUP(B110, PlumX_snapshot!$A:$D, 4, FALSE), " ")</f>
        <v>0</v>
      </c>
      <c r="Z110" s="12">
        <f>IFERROR(VLOOKUP(B110, PlumX_snapshot!$A:$E, 5, FALSE), " ")</f>
        <v>0</v>
      </c>
      <c r="AA110" s="12">
        <f>IFERROR(VLOOKUP(B110, PlumX_snapshot!$A:$F, 6, FALSE), " ")</f>
        <v>0</v>
      </c>
      <c r="AB110" s="13">
        <v>44978</v>
      </c>
      <c r="AC110" s="11"/>
      <c r="AD110" s="11"/>
      <c r="AE110" s="11"/>
      <c r="AF110" s="11"/>
      <c r="AG110" s="11"/>
      <c r="AH110" s="11"/>
      <c r="AI110" s="11"/>
      <c r="AJ110" s="11"/>
      <c r="AK110" s="11" t="str">
        <f t="shared" si="0"/>
        <v>2021</v>
      </c>
      <c r="AL110" s="11" t="e">
        <f>VLOOKUP(AK110, Exchange_rates!$C:$D, 2, FALSE)</f>
        <v>#N/A</v>
      </c>
      <c r="AM110" s="14" t="str">
        <f t="shared" si="1"/>
        <v/>
      </c>
      <c r="AN110" s="11"/>
      <c r="AO110" s="11"/>
      <c r="AP110" s="17"/>
      <c r="AQ110" s="15" t="s">
        <v>49</v>
      </c>
      <c r="AR110" t="s">
        <v>592</v>
      </c>
      <c r="AS110" s="16" t="s">
        <v>593</v>
      </c>
      <c r="AT110" s="11"/>
      <c r="AU110" s="11"/>
      <c r="AV110" s="11"/>
      <c r="AW110" s="11"/>
      <c r="AX110" s="11"/>
      <c r="AY110" s="11"/>
      <c r="AZ110" s="11"/>
      <c r="BA110" s="11"/>
      <c r="BB110" s="11"/>
      <c r="BC110" s="11"/>
      <c r="BD110" s="11"/>
      <c r="BE110" s="11"/>
      <c r="BF110" s="11"/>
      <c r="BG110" s="11"/>
      <c r="BH110" s="11"/>
    </row>
    <row r="111" spans="1:60" ht="14.5">
      <c r="A111" s="9" t="s">
        <v>685</v>
      </c>
      <c r="B111" s="9" t="s">
        <v>686</v>
      </c>
      <c r="C111" s="9" t="s">
        <v>424</v>
      </c>
      <c r="D111" s="9" t="s">
        <v>361</v>
      </c>
      <c r="E111" s="17" t="s">
        <v>49</v>
      </c>
      <c r="F111" s="9" t="s">
        <v>69</v>
      </c>
      <c r="G111" s="9" t="s">
        <v>70</v>
      </c>
      <c r="H111" s="9" t="s">
        <v>362</v>
      </c>
      <c r="I111" s="9" t="s">
        <v>72</v>
      </c>
      <c r="J111" s="10"/>
      <c r="K111" s="10">
        <v>44540</v>
      </c>
      <c r="L111" s="10"/>
      <c r="M111" s="10">
        <v>44572</v>
      </c>
      <c r="N111" s="9">
        <v>2021</v>
      </c>
      <c r="O111" s="9" t="s">
        <v>687</v>
      </c>
      <c r="P111" s="9" t="s">
        <v>53</v>
      </c>
      <c r="Q111" s="9" t="s">
        <v>53</v>
      </c>
      <c r="R111" s="9" t="s">
        <v>688</v>
      </c>
      <c r="S111" s="9" t="s">
        <v>689</v>
      </c>
      <c r="T111" s="9"/>
      <c r="V111" s="9"/>
      <c r="W111" s="11">
        <f>IFERROR(VLOOKUP(B111, PlumX_snapshot!$A:$B, 2, FALSE), " ")</f>
        <v>32</v>
      </c>
      <c r="X111" s="11">
        <f>IFERROR(VLOOKUP(B111, PlumX_snapshot!$A:$C, 3, FALSE), " ")</f>
        <v>2</v>
      </c>
      <c r="Y111" s="12">
        <f>IFERROR(VLOOKUP(B111, PlumX_snapshot!$A:$D, 4, FALSE), " ")</f>
        <v>0</v>
      </c>
      <c r="Z111" s="12">
        <f>IFERROR(VLOOKUP(B111, PlumX_snapshot!$A:$E, 5, FALSE), " ")</f>
        <v>0</v>
      </c>
      <c r="AA111" s="12">
        <f>IFERROR(VLOOKUP(B111, PlumX_snapshot!$A:$F, 6, FALSE), " ")</f>
        <v>0</v>
      </c>
      <c r="AB111" s="13">
        <v>44978</v>
      </c>
      <c r="AC111" s="12" t="s">
        <v>690</v>
      </c>
      <c r="AD111" s="11" t="s">
        <v>691</v>
      </c>
      <c r="AE111" s="11"/>
      <c r="AF111" s="11"/>
      <c r="AG111" s="11"/>
      <c r="AH111" s="11">
        <v>2730</v>
      </c>
      <c r="AI111" s="11" t="s">
        <v>77</v>
      </c>
      <c r="AJ111" s="12" t="s">
        <v>301</v>
      </c>
      <c r="AK111" s="11" t="str">
        <f t="shared" si="0"/>
        <v>2021GBP</v>
      </c>
      <c r="AL111" s="11">
        <f>VLOOKUP(AK111, Exchange_rates!$C:$D, 2, FALSE)</f>
        <v>1</v>
      </c>
      <c r="AM111" s="14">
        <f t="shared" si="1"/>
        <v>3276</v>
      </c>
      <c r="AN111" s="11"/>
      <c r="AO111" s="11"/>
      <c r="AP111" s="17"/>
      <c r="AQ111" s="15" t="s">
        <v>49</v>
      </c>
      <c r="AR111" t="s">
        <v>428</v>
      </c>
      <c r="AS111" s="16" t="s">
        <v>429</v>
      </c>
      <c r="AT111" s="11"/>
      <c r="AU111" s="11"/>
      <c r="AV111" s="11"/>
      <c r="AW111" s="11"/>
      <c r="AX111" s="11"/>
      <c r="AY111" s="11"/>
      <c r="AZ111" s="11"/>
      <c r="BA111" s="11"/>
      <c r="BB111" s="11"/>
      <c r="BC111" s="11"/>
      <c r="BD111" s="11"/>
      <c r="BE111" s="11"/>
      <c r="BF111" s="11"/>
      <c r="BG111" s="11"/>
      <c r="BH111" s="11"/>
    </row>
    <row r="112" spans="1:60" ht="14.5">
      <c r="A112" s="9" t="s">
        <v>692</v>
      </c>
      <c r="B112" s="9" t="s">
        <v>693</v>
      </c>
      <c r="C112" s="9" t="s">
        <v>659</v>
      </c>
      <c r="D112" s="9" t="s">
        <v>361</v>
      </c>
      <c r="E112" s="9" t="s">
        <v>49</v>
      </c>
      <c r="F112" s="9" t="s">
        <v>69</v>
      </c>
      <c r="G112" s="9" t="s">
        <v>51</v>
      </c>
      <c r="H112" s="9" t="s">
        <v>557</v>
      </c>
      <c r="I112" s="9" t="s">
        <v>72</v>
      </c>
      <c r="J112" s="10"/>
      <c r="K112" s="10"/>
      <c r="L112" s="10"/>
      <c r="M112" s="10">
        <v>44635</v>
      </c>
      <c r="N112" s="9">
        <v>2022</v>
      </c>
      <c r="O112" s="9" t="s">
        <v>694</v>
      </c>
      <c r="P112" s="9" t="s">
        <v>53</v>
      </c>
      <c r="Q112" s="9" t="s">
        <v>53</v>
      </c>
      <c r="R112" s="9" t="s">
        <v>92</v>
      </c>
      <c r="S112" s="9" t="s">
        <v>695</v>
      </c>
      <c r="T112" s="9"/>
      <c r="V112" s="9"/>
      <c r="W112" s="11">
        <f>IFERROR(VLOOKUP(B112, PlumX_snapshot!$A:$B, 2, FALSE), " ")</f>
        <v>1</v>
      </c>
      <c r="X112" s="11">
        <f>IFERROR(VLOOKUP(B112, PlumX_snapshot!$A:$C, 3, FALSE), " ")</f>
        <v>0</v>
      </c>
      <c r="Y112" s="12">
        <f>IFERROR(VLOOKUP(B112, PlumX_snapshot!$A:$D, 4, FALSE), " ")</f>
        <v>0</v>
      </c>
      <c r="Z112" s="12">
        <f>IFERROR(VLOOKUP(B112, PlumX_snapshot!$A:$E, 5, FALSE), " ")</f>
        <v>0</v>
      </c>
      <c r="AA112" s="12">
        <f>IFERROR(VLOOKUP(B112, PlumX_snapshot!$A:$F, 6, FALSE), " ")</f>
        <v>0</v>
      </c>
      <c r="AB112" s="13">
        <v>44978</v>
      </c>
      <c r="AC112" s="11" t="s">
        <v>696</v>
      </c>
      <c r="AD112" s="11" t="s">
        <v>697</v>
      </c>
      <c r="AE112" s="11"/>
      <c r="AF112" s="11"/>
      <c r="AG112" s="11"/>
      <c r="AH112" s="11">
        <v>2045</v>
      </c>
      <c r="AI112" s="11" t="s">
        <v>77</v>
      </c>
      <c r="AJ112" s="12" t="s">
        <v>301</v>
      </c>
      <c r="AK112" s="11" t="str">
        <f t="shared" si="0"/>
        <v>2022GBP</v>
      </c>
      <c r="AL112" s="11">
        <f>VLOOKUP(AK112, Exchange_rates!$C:$D, 2, FALSE)</f>
        <v>1</v>
      </c>
      <c r="AM112" s="14">
        <f t="shared" si="1"/>
        <v>2454</v>
      </c>
      <c r="AN112" s="11"/>
      <c r="AO112" s="11"/>
      <c r="AP112" s="9"/>
      <c r="AQ112" s="15" t="s">
        <v>49</v>
      </c>
      <c r="AR112" t="s">
        <v>662</v>
      </c>
      <c r="AS112" s="16" t="s">
        <v>663</v>
      </c>
      <c r="AT112" s="11"/>
      <c r="AU112" s="11"/>
      <c r="AV112" s="11"/>
      <c r="AW112" s="11"/>
      <c r="AX112" s="11"/>
      <c r="AY112" s="11"/>
      <c r="AZ112" s="11"/>
      <c r="BA112" s="11"/>
      <c r="BB112" s="11"/>
      <c r="BC112" s="11"/>
      <c r="BD112" s="11"/>
      <c r="BE112" s="11"/>
      <c r="BF112" s="11"/>
      <c r="BG112" s="11"/>
      <c r="BH112" s="11"/>
    </row>
    <row r="113" spans="1:60" ht="14.5">
      <c r="A113" s="9" t="s">
        <v>698</v>
      </c>
      <c r="B113" s="9" t="s">
        <v>699</v>
      </c>
      <c r="C113" s="9" t="s">
        <v>700</v>
      </c>
      <c r="D113" s="9" t="s">
        <v>361</v>
      </c>
      <c r="E113" s="17" t="s">
        <v>49</v>
      </c>
      <c r="F113" s="9" t="s">
        <v>69</v>
      </c>
      <c r="G113" s="9" t="s">
        <v>70</v>
      </c>
      <c r="H113" s="9" t="s">
        <v>557</v>
      </c>
      <c r="I113" s="9" t="s">
        <v>72</v>
      </c>
      <c r="J113" s="10">
        <v>44645</v>
      </c>
      <c r="K113" s="10">
        <v>44684</v>
      </c>
      <c r="L113" s="10">
        <v>44684</v>
      </c>
      <c r="M113" s="10"/>
      <c r="N113" s="9">
        <v>2022</v>
      </c>
      <c r="O113" s="9" t="s">
        <v>701</v>
      </c>
      <c r="P113" s="9" t="s">
        <v>53</v>
      </c>
      <c r="Q113" s="9" t="s">
        <v>53</v>
      </c>
      <c r="R113" s="9" t="s">
        <v>92</v>
      </c>
      <c r="T113" s="9"/>
      <c r="V113" s="9"/>
      <c r="W113" s="11">
        <f>IFERROR(VLOOKUP(B113, PlumX_snapshot!$A:$B, 2, FALSE), " ")</f>
        <v>1</v>
      </c>
      <c r="X113" s="11">
        <f>IFERROR(VLOOKUP(B113, PlumX_snapshot!$A:$C, 3, FALSE), " ")</f>
        <v>0</v>
      </c>
      <c r="Y113" s="12">
        <f>IFERROR(VLOOKUP(B113, PlumX_snapshot!$A:$D, 4, FALSE), " ")</f>
        <v>0</v>
      </c>
      <c r="Z113" s="12">
        <f>IFERROR(VLOOKUP(B113, PlumX_snapshot!$A:$E, 5, FALSE), " ")</f>
        <v>0</v>
      </c>
      <c r="AA113" s="12">
        <f>IFERROR(VLOOKUP(B113, PlumX_snapshot!$A:$F, 6, FALSE), " ")</f>
        <v>0</v>
      </c>
      <c r="AB113" s="13">
        <v>44978</v>
      </c>
      <c r="AC113" s="11" t="s">
        <v>702</v>
      </c>
      <c r="AD113" s="11" t="s">
        <v>703</v>
      </c>
      <c r="AE113" s="11"/>
      <c r="AF113" s="11"/>
      <c r="AG113" s="11"/>
      <c r="AH113" s="11">
        <v>2045</v>
      </c>
      <c r="AI113" s="11" t="s">
        <v>77</v>
      </c>
      <c r="AJ113" s="12" t="s">
        <v>301</v>
      </c>
      <c r="AK113" s="11" t="str">
        <f t="shared" si="0"/>
        <v>2022GBP</v>
      </c>
      <c r="AL113" s="11">
        <f>VLOOKUP(AK113, Exchange_rates!$C:$D, 2, FALSE)</f>
        <v>1</v>
      </c>
      <c r="AM113" s="14">
        <f t="shared" si="1"/>
        <v>2454</v>
      </c>
      <c r="AN113" s="11"/>
      <c r="AO113" s="11"/>
      <c r="AP113" s="17"/>
      <c r="AQ113" s="15" t="s">
        <v>49</v>
      </c>
      <c r="AR113" t="s">
        <v>704</v>
      </c>
      <c r="AS113" s="16" t="s">
        <v>705</v>
      </c>
      <c r="AT113" s="11"/>
      <c r="AU113" s="11"/>
      <c r="AV113" s="11"/>
      <c r="AW113" s="11"/>
      <c r="AX113" s="11"/>
      <c r="AY113" s="11"/>
      <c r="AZ113" s="11"/>
      <c r="BA113" s="11"/>
      <c r="BB113" s="11"/>
      <c r="BC113" s="11"/>
      <c r="BD113" s="11"/>
      <c r="BE113" s="11"/>
      <c r="BF113" s="11"/>
      <c r="BG113" s="11"/>
      <c r="BH113" s="11"/>
    </row>
    <row r="114" spans="1:60" ht="14.5">
      <c r="A114" s="9" t="s">
        <v>706</v>
      </c>
      <c r="B114" s="9" t="s">
        <v>707</v>
      </c>
      <c r="C114" s="9" t="s">
        <v>708</v>
      </c>
      <c r="D114" s="9" t="s">
        <v>361</v>
      </c>
      <c r="E114" s="17" t="s">
        <v>125</v>
      </c>
      <c r="F114" s="9" t="s">
        <v>69</v>
      </c>
      <c r="G114" s="9" t="s">
        <v>70</v>
      </c>
      <c r="H114" s="9" t="s">
        <v>557</v>
      </c>
      <c r="I114" s="9" t="s">
        <v>72</v>
      </c>
      <c r="J114" s="10">
        <v>44659</v>
      </c>
      <c r="K114" s="10">
        <v>44662</v>
      </c>
      <c r="L114" s="10">
        <v>44662</v>
      </c>
      <c r="M114" s="10"/>
      <c r="N114" s="9">
        <v>2022</v>
      </c>
      <c r="O114" s="9" t="s">
        <v>701</v>
      </c>
      <c r="P114" s="9" t="s">
        <v>53</v>
      </c>
      <c r="Q114" s="9" t="s">
        <v>53</v>
      </c>
      <c r="R114" s="9" t="s">
        <v>92</v>
      </c>
      <c r="T114" s="9"/>
      <c r="V114" s="9"/>
      <c r="W114" s="11">
        <f>IFERROR(VLOOKUP(B114, PlumX_snapshot!$A:$B, 2, FALSE), " ")</f>
        <v>6</v>
      </c>
      <c r="X114" s="11">
        <f>IFERROR(VLOOKUP(B114, PlumX_snapshot!$A:$C, 3, FALSE), " ")</f>
        <v>0</v>
      </c>
      <c r="Y114" s="12">
        <f>IFERROR(VLOOKUP(B114, PlumX_snapshot!$A:$D, 4, FALSE), " ")</f>
        <v>0</v>
      </c>
      <c r="Z114" s="12">
        <f>IFERROR(VLOOKUP(B114, PlumX_snapshot!$A:$E, 5, FALSE), " ")</f>
        <v>0</v>
      </c>
      <c r="AA114" s="12">
        <f>IFERROR(VLOOKUP(B114, PlumX_snapshot!$A:$F, 6, FALSE), " ")</f>
        <v>0</v>
      </c>
      <c r="AB114" s="13">
        <v>44978</v>
      </c>
      <c r="AC114" s="11" t="s">
        <v>709</v>
      </c>
      <c r="AD114" s="11" t="s">
        <v>710</v>
      </c>
      <c r="AE114" s="11"/>
      <c r="AF114" s="11"/>
      <c r="AG114" s="11"/>
      <c r="AH114" s="11">
        <v>1370</v>
      </c>
      <c r="AI114" s="11" t="s">
        <v>77</v>
      </c>
      <c r="AJ114" s="12" t="s">
        <v>301</v>
      </c>
      <c r="AK114" s="11" t="str">
        <f t="shared" si="0"/>
        <v>2022GBP</v>
      </c>
      <c r="AL114" s="11">
        <f>VLOOKUP(AK114, Exchange_rates!$C:$D, 2, FALSE)</f>
        <v>1</v>
      </c>
      <c r="AM114" s="14">
        <f t="shared" si="1"/>
        <v>1644</v>
      </c>
      <c r="AN114" s="11"/>
      <c r="AO114" s="11"/>
      <c r="AP114" s="17"/>
      <c r="AQ114" s="15" t="s">
        <v>125</v>
      </c>
      <c r="AR114" t="s">
        <v>711</v>
      </c>
      <c r="AS114" s="16"/>
      <c r="AT114" s="11"/>
      <c r="AU114" s="11"/>
      <c r="AV114" s="11"/>
      <c r="AW114" s="11"/>
      <c r="AX114" s="11"/>
      <c r="AY114" s="11"/>
      <c r="AZ114" s="11"/>
      <c r="BA114" s="11"/>
      <c r="BB114" s="11"/>
      <c r="BC114" s="11"/>
      <c r="BD114" s="11"/>
      <c r="BE114" s="11"/>
      <c r="BF114" s="11"/>
      <c r="BG114" s="11"/>
      <c r="BH114" s="11"/>
    </row>
    <row r="115" spans="1:60" ht="14.5">
      <c r="A115" s="9" t="s">
        <v>712</v>
      </c>
      <c r="B115" s="9" t="s">
        <v>713</v>
      </c>
      <c r="C115" s="9" t="s">
        <v>714</v>
      </c>
      <c r="D115" s="9" t="s">
        <v>361</v>
      </c>
      <c r="E115" s="17" t="s">
        <v>49</v>
      </c>
      <c r="F115" s="9" t="s">
        <v>69</v>
      </c>
      <c r="G115" s="9" t="s">
        <v>70</v>
      </c>
      <c r="H115" s="9" t="s">
        <v>557</v>
      </c>
      <c r="I115" s="9" t="s">
        <v>72</v>
      </c>
      <c r="J115" s="10">
        <v>44634</v>
      </c>
      <c r="K115" s="10">
        <v>44645</v>
      </c>
      <c r="L115" s="10">
        <v>44645</v>
      </c>
      <c r="M115" s="10"/>
      <c r="N115" s="9">
        <v>2022</v>
      </c>
      <c r="O115" s="9" t="s">
        <v>701</v>
      </c>
      <c r="P115" s="9" t="s">
        <v>53</v>
      </c>
      <c r="Q115" s="9" t="s">
        <v>53</v>
      </c>
      <c r="R115" s="9" t="s">
        <v>92</v>
      </c>
      <c r="T115" s="9"/>
      <c r="V115" s="9"/>
      <c r="W115" s="11">
        <f>IFERROR(VLOOKUP(B115, PlumX_snapshot!$A:$B, 2, FALSE), " ")</f>
        <v>5</v>
      </c>
      <c r="X115" s="11">
        <f>IFERROR(VLOOKUP(B115, PlumX_snapshot!$A:$C, 3, FALSE), " ")</f>
        <v>0</v>
      </c>
      <c r="Y115" s="12">
        <f>IFERROR(VLOOKUP(B115, PlumX_snapshot!$A:$D, 4, FALSE), " ")</f>
        <v>0</v>
      </c>
      <c r="Z115" s="12">
        <f>IFERROR(VLOOKUP(B115, PlumX_snapshot!$A:$E, 5, FALSE), " ")</f>
        <v>0</v>
      </c>
      <c r="AA115" s="12">
        <f>IFERROR(VLOOKUP(B115, PlumX_snapshot!$A:$F, 6, FALSE), " ")</f>
        <v>0</v>
      </c>
      <c r="AB115" s="13">
        <v>44978</v>
      </c>
      <c r="AC115" s="11" t="s">
        <v>715</v>
      </c>
      <c r="AD115" s="11" t="s">
        <v>716</v>
      </c>
      <c r="AE115" s="11"/>
      <c r="AF115" s="11"/>
      <c r="AG115" s="11"/>
      <c r="AH115" s="11">
        <v>2045</v>
      </c>
      <c r="AI115" s="11" t="s">
        <v>77</v>
      </c>
      <c r="AJ115" s="12" t="s">
        <v>301</v>
      </c>
      <c r="AK115" s="11" t="str">
        <f t="shared" si="0"/>
        <v>2022GBP</v>
      </c>
      <c r="AL115" s="11">
        <f>VLOOKUP(AK115, Exchange_rates!$C:$D, 2, FALSE)</f>
        <v>1</v>
      </c>
      <c r="AM115" s="14">
        <f t="shared" si="1"/>
        <v>2454</v>
      </c>
      <c r="AN115" s="11"/>
      <c r="AO115" s="11"/>
      <c r="AP115" s="17"/>
      <c r="AQ115" s="15" t="s">
        <v>49</v>
      </c>
      <c r="AR115" t="s">
        <v>717</v>
      </c>
      <c r="AS115" s="16" t="s">
        <v>718</v>
      </c>
      <c r="AT115" s="11"/>
      <c r="AU115" s="11"/>
      <c r="AV115" s="11"/>
      <c r="AW115" s="11"/>
      <c r="AX115" s="11"/>
      <c r="AY115" s="11"/>
      <c r="AZ115" s="11"/>
      <c r="BA115" s="11"/>
      <c r="BB115" s="11"/>
      <c r="BC115" s="11"/>
      <c r="BD115" s="11"/>
      <c r="BE115" s="11"/>
      <c r="BF115" s="11"/>
      <c r="BG115" s="11"/>
      <c r="BH115" s="11"/>
    </row>
    <row r="116" spans="1:60" ht="14.5">
      <c r="A116" s="9" t="s">
        <v>719</v>
      </c>
      <c r="B116" s="9" t="s">
        <v>720</v>
      </c>
      <c r="C116" s="9" t="s">
        <v>721</v>
      </c>
      <c r="D116" s="9" t="s">
        <v>361</v>
      </c>
      <c r="E116" s="9" t="s">
        <v>49</v>
      </c>
      <c r="F116" s="9" t="s">
        <v>50</v>
      </c>
      <c r="G116" s="9" t="s">
        <v>51</v>
      </c>
      <c r="H116" s="9"/>
      <c r="J116" s="10"/>
      <c r="K116" s="10"/>
      <c r="L116" s="10"/>
      <c r="M116" s="10">
        <v>44655</v>
      </c>
      <c r="N116" s="9">
        <v>2022</v>
      </c>
      <c r="O116" s="9" t="s">
        <v>722</v>
      </c>
      <c r="P116" s="9" t="s">
        <v>53</v>
      </c>
      <c r="Q116" s="9" t="s">
        <v>53</v>
      </c>
      <c r="R116" s="9" t="s">
        <v>92</v>
      </c>
      <c r="T116" s="9" t="s">
        <v>723</v>
      </c>
      <c r="V116" s="9"/>
      <c r="W116" s="11">
        <f>IFERROR(VLOOKUP(B116, PlumX_snapshot!$A:$B, 2, FALSE), " ")</f>
        <v>2</v>
      </c>
      <c r="X116" s="11">
        <f>IFERROR(VLOOKUP(B116, PlumX_snapshot!$A:$C, 3, FALSE), " ")</f>
        <v>0</v>
      </c>
      <c r="Y116" s="12">
        <f>IFERROR(VLOOKUP(B116, PlumX_snapshot!$A:$D, 4, FALSE), " ")</f>
        <v>0</v>
      </c>
      <c r="Z116" s="12">
        <f>IFERROR(VLOOKUP(B116, PlumX_snapshot!$A:$E, 5, FALSE), " ")</f>
        <v>0</v>
      </c>
      <c r="AA116" s="12">
        <f>IFERROR(VLOOKUP(B116, PlumX_snapshot!$A:$F, 6, FALSE), " ")</f>
        <v>0</v>
      </c>
      <c r="AB116" s="13">
        <v>44978</v>
      </c>
      <c r="AC116" s="11"/>
      <c r="AD116" s="11"/>
      <c r="AE116" s="11"/>
      <c r="AF116" s="11"/>
      <c r="AG116" s="11"/>
      <c r="AH116" s="11"/>
      <c r="AI116" s="11"/>
      <c r="AJ116" s="11"/>
      <c r="AK116" s="11" t="str">
        <f t="shared" si="0"/>
        <v>2022</v>
      </c>
      <c r="AL116" s="11" t="e">
        <f>VLOOKUP(AK116, Exchange_rates!$C:$D, 2, FALSE)</f>
        <v>#N/A</v>
      </c>
      <c r="AM116" s="14" t="str">
        <f t="shared" si="1"/>
        <v/>
      </c>
      <c r="AN116" s="11"/>
      <c r="AO116" s="11"/>
      <c r="AP116" s="9"/>
      <c r="AQ116" s="15" t="s">
        <v>49</v>
      </c>
      <c r="AR116" t="s">
        <v>724</v>
      </c>
      <c r="AS116" s="16" t="s">
        <v>725</v>
      </c>
      <c r="AT116" s="11"/>
      <c r="AU116" s="11"/>
      <c r="AV116" s="11"/>
      <c r="AW116" s="11"/>
      <c r="AX116" s="11"/>
      <c r="AY116" s="11"/>
      <c r="AZ116" s="11"/>
      <c r="BA116" s="11"/>
      <c r="BB116" s="11"/>
      <c r="BC116" s="11"/>
      <c r="BD116" s="11"/>
      <c r="BE116" s="11"/>
      <c r="BF116" s="11"/>
      <c r="BG116" s="11"/>
      <c r="BH116" s="11"/>
    </row>
    <row r="117" spans="1:60" ht="14.5">
      <c r="A117" s="9" t="s">
        <v>726</v>
      </c>
      <c r="B117" s="9" t="s">
        <v>727</v>
      </c>
      <c r="C117" s="9" t="s">
        <v>728</v>
      </c>
      <c r="D117" s="9" t="s">
        <v>361</v>
      </c>
      <c r="E117" s="9" t="s">
        <v>125</v>
      </c>
      <c r="F117" s="9" t="s">
        <v>69</v>
      </c>
      <c r="G117" s="9" t="s">
        <v>51</v>
      </c>
      <c r="H117" s="9"/>
      <c r="I117" s="9" t="s">
        <v>291</v>
      </c>
      <c r="J117" s="10"/>
      <c r="K117" s="10"/>
      <c r="L117" s="10"/>
      <c r="M117" s="10">
        <v>44739</v>
      </c>
      <c r="N117" s="9">
        <v>2022</v>
      </c>
      <c r="O117" s="9" t="s">
        <v>729</v>
      </c>
      <c r="P117" s="9" t="s">
        <v>53</v>
      </c>
      <c r="Q117" s="9" t="s">
        <v>53</v>
      </c>
      <c r="R117" s="9" t="s">
        <v>92</v>
      </c>
      <c r="S117" s="9" t="s">
        <v>730</v>
      </c>
      <c r="T117" s="9" t="s">
        <v>731</v>
      </c>
      <c r="V117" s="9"/>
      <c r="W117" s="11">
        <f>IFERROR(VLOOKUP(B117, PlumX_snapshot!$A:$B, 2, FALSE), " ")</f>
        <v>2</v>
      </c>
      <c r="X117" s="11">
        <f>IFERROR(VLOOKUP(B117, PlumX_snapshot!$A:$C, 3, FALSE), " ")</f>
        <v>0</v>
      </c>
      <c r="Y117" s="12">
        <f>IFERROR(VLOOKUP(B117, PlumX_snapshot!$A:$D, 4, FALSE), " ")</f>
        <v>0</v>
      </c>
      <c r="Z117" s="12">
        <f>IFERROR(VLOOKUP(B117, PlumX_snapshot!$A:$E, 5, FALSE), " ")</f>
        <v>0</v>
      </c>
      <c r="AA117" s="12">
        <f>IFERROR(VLOOKUP(B117, PlumX_snapshot!$A:$F, 6, FALSE), " ")</f>
        <v>0</v>
      </c>
      <c r="AB117" s="13">
        <v>44978</v>
      </c>
      <c r="AC117" s="11" t="s">
        <v>732</v>
      </c>
      <c r="AD117" s="11"/>
      <c r="AE117" s="11"/>
      <c r="AF117" s="11"/>
      <c r="AG117" s="11"/>
      <c r="AH117" s="11">
        <v>0</v>
      </c>
      <c r="AI117" s="11" t="s">
        <v>77</v>
      </c>
      <c r="AJ117" s="11" t="s">
        <v>301</v>
      </c>
      <c r="AK117" s="11" t="str">
        <f t="shared" si="0"/>
        <v>2022GBP</v>
      </c>
      <c r="AL117" s="11">
        <f>VLOOKUP(AK117, Exchange_rates!$C:$D, 2, FALSE)</f>
        <v>1</v>
      </c>
      <c r="AM117" s="14">
        <f t="shared" si="1"/>
        <v>0</v>
      </c>
      <c r="AN117" s="11"/>
      <c r="AO117" s="11"/>
      <c r="AP117" s="9"/>
      <c r="AQ117" s="15" t="s">
        <v>125</v>
      </c>
      <c r="AR117" t="s">
        <v>733</v>
      </c>
      <c r="AS117" s="16"/>
      <c r="AT117" s="11"/>
      <c r="AU117" s="11"/>
      <c r="AV117" s="11"/>
      <c r="AW117" s="11"/>
      <c r="AX117" s="11"/>
      <c r="AY117" s="11"/>
      <c r="AZ117" s="11"/>
      <c r="BA117" s="11"/>
      <c r="BB117" s="11"/>
      <c r="BC117" s="11"/>
      <c r="BD117" s="11"/>
      <c r="BE117" s="11"/>
      <c r="BF117" s="11"/>
      <c r="BG117" s="11"/>
      <c r="BH117" s="11"/>
    </row>
    <row r="118" spans="1:60" ht="14.5">
      <c r="A118" s="9" t="s">
        <v>734</v>
      </c>
      <c r="B118" s="9" t="s">
        <v>735</v>
      </c>
      <c r="C118" s="9" t="s">
        <v>736</v>
      </c>
      <c r="D118" s="9" t="s">
        <v>361</v>
      </c>
      <c r="E118" s="9" t="s">
        <v>49</v>
      </c>
      <c r="F118" s="9" t="s">
        <v>50</v>
      </c>
      <c r="G118" s="9" t="s">
        <v>51</v>
      </c>
      <c r="H118" s="9"/>
      <c r="J118" s="10"/>
      <c r="K118" s="10"/>
      <c r="L118" s="10"/>
      <c r="M118" s="10">
        <v>44734</v>
      </c>
      <c r="N118" s="9">
        <v>2022</v>
      </c>
      <c r="O118" s="9" t="s">
        <v>729</v>
      </c>
      <c r="P118" s="9" t="s">
        <v>53</v>
      </c>
      <c r="Q118" s="9" t="s">
        <v>53</v>
      </c>
      <c r="R118" s="9" t="s">
        <v>92</v>
      </c>
      <c r="T118" s="9" t="s">
        <v>723</v>
      </c>
      <c r="V118" s="9"/>
      <c r="W118" s="11">
        <f>IFERROR(VLOOKUP(B118, PlumX_snapshot!$A:$B, 2, FALSE), " ")</f>
        <v>0</v>
      </c>
      <c r="X118" s="11">
        <f>IFERROR(VLOOKUP(B118, PlumX_snapshot!$A:$C, 3, FALSE), " ")</f>
        <v>0</v>
      </c>
      <c r="Y118" s="12">
        <f>IFERROR(VLOOKUP(B118, PlumX_snapshot!$A:$D, 4, FALSE), " ")</f>
        <v>0</v>
      </c>
      <c r="Z118" s="12">
        <f>IFERROR(VLOOKUP(B118, PlumX_snapshot!$A:$E, 5, FALSE), " ")</f>
        <v>0</v>
      </c>
      <c r="AA118" s="12">
        <f>IFERROR(VLOOKUP(B118, PlumX_snapshot!$A:$F, 6, FALSE), " ")</f>
        <v>0</v>
      </c>
      <c r="AB118" s="13">
        <v>44978</v>
      </c>
      <c r="AC118" s="11" t="s">
        <v>737</v>
      </c>
      <c r="AD118" s="11" t="s">
        <v>738</v>
      </c>
      <c r="AE118" s="11"/>
      <c r="AF118" s="11"/>
      <c r="AG118" s="11"/>
      <c r="AH118" s="11">
        <v>2110</v>
      </c>
      <c r="AI118" s="11" t="s">
        <v>77</v>
      </c>
      <c r="AJ118" s="12" t="s">
        <v>301</v>
      </c>
      <c r="AK118" s="11" t="str">
        <f t="shared" si="0"/>
        <v>2022GBP</v>
      </c>
      <c r="AL118" s="11">
        <f>VLOOKUP(AK118, Exchange_rates!$C:$D, 2, FALSE)</f>
        <v>1</v>
      </c>
      <c r="AM118" s="14">
        <f t="shared" si="1"/>
        <v>2532</v>
      </c>
      <c r="AN118" s="11"/>
      <c r="AO118" s="11"/>
      <c r="AP118" s="9"/>
      <c r="AQ118" s="15" t="s">
        <v>49</v>
      </c>
      <c r="AR118" t="s">
        <v>739</v>
      </c>
      <c r="AS118" s="16" t="s">
        <v>740</v>
      </c>
      <c r="AT118" s="11"/>
      <c r="AU118" s="11"/>
      <c r="AV118" s="11"/>
      <c r="AW118" s="11"/>
      <c r="AX118" s="11"/>
      <c r="AY118" s="11"/>
      <c r="AZ118" s="11"/>
      <c r="BA118" s="11"/>
      <c r="BB118" s="11"/>
      <c r="BC118" s="11"/>
      <c r="BD118" s="11"/>
      <c r="BE118" s="11"/>
      <c r="BF118" s="11"/>
      <c r="BG118" s="11"/>
      <c r="BH118" s="11"/>
    </row>
    <row r="119" spans="1:60" ht="14.5">
      <c r="A119" s="9" t="s">
        <v>741</v>
      </c>
      <c r="B119" s="9" t="s">
        <v>742</v>
      </c>
      <c r="C119" s="9" t="s">
        <v>743</v>
      </c>
      <c r="D119" s="9" t="s">
        <v>361</v>
      </c>
      <c r="E119" s="9" t="s">
        <v>49</v>
      </c>
      <c r="F119" s="9" t="s">
        <v>50</v>
      </c>
      <c r="G119" s="9" t="s">
        <v>70</v>
      </c>
      <c r="H119" s="9" t="s">
        <v>557</v>
      </c>
      <c r="I119" s="9" t="s">
        <v>72</v>
      </c>
      <c r="J119" s="10"/>
      <c r="K119" s="10"/>
      <c r="L119" s="10"/>
      <c r="M119" s="10">
        <v>44756</v>
      </c>
      <c r="N119" s="9">
        <v>2022</v>
      </c>
      <c r="O119" s="9" t="s">
        <v>744</v>
      </c>
      <c r="P119" s="9" t="s">
        <v>53</v>
      </c>
      <c r="Q119" s="9" t="s">
        <v>53</v>
      </c>
      <c r="R119" s="9" t="s">
        <v>92</v>
      </c>
      <c r="S119" s="9" t="s">
        <v>745</v>
      </c>
      <c r="T119" s="9"/>
      <c r="U119" s="9"/>
      <c r="V119" s="9"/>
      <c r="W119" s="11">
        <f>IFERROR(VLOOKUP(B119, PlumX_snapshot!$A:$B, 2, FALSE), " ")</f>
        <v>0</v>
      </c>
      <c r="X119" s="11">
        <f>IFERROR(VLOOKUP(B119, PlumX_snapshot!$A:$C, 3, FALSE), " ")</f>
        <v>0</v>
      </c>
      <c r="Y119" s="12">
        <f>IFERROR(VLOOKUP(B119, PlumX_snapshot!$A:$D, 4, FALSE), " ")</f>
        <v>0</v>
      </c>
      <c r="Z119" s="12">
        <f>IFERROR(VLOOKUP(B119, PlumX_snapshot!$A:$E, 5, FALSE), " ")</f>
        <v>0</v>
      </c>
      <c r="AA119" s="12">
        <f>IFERROR(VLOOKUP(B119, PlumX_snapshot!$A:$F, 6, FALSE), " ")</f>
        <v>0</v>
      </c>
      <c r="AB119" s="13">
        <v>44978</v>
      </c>
      <c r="AC119" s="11" t="s">
        <v>746</v>
      </c>
      <c r="AD119" s="11" t="s">
        <v>747</v>
      </c>
      <c r="AE119" s="11"/>
      <c r="AF119" s="11"/>
      <c r="AG119" s="11"/>
      <c r="AH119" s="11">
        <v>2045</v>
      </c>
      <c r="AI119" s="11" t="s">
        <v>77</v>
      </c>
      <c r="AJ119" s="12" t="s">
        <v>301</v>
      </c>
      <c r="AK119" s="11" t="str">
        <f t="shared" si="0"/>
        <v>2022GBP</v>
      </c>
      <c r="AL119" s="11">
        <f>VLOOKUP(AK119, Exchange_rates!$C:$D, 2, FALSE)</f>
        <v>1</v>
      </c>
      <c r="AM119" s="14">
        <f t="shared" si="1"/>
        <v>2454</v>
      </c>
      <c r="AN119" s="11"/>
      <c r="AO119" s="11"/>
      <c r="AP119" s="9"/>
      <c r="AQ119" s="15" t="s">
        <v>49</v>
      </c>
      <c r="AR119" t="s">
        <v>748</v>
      </c>
      <c r="AS119" s="16" t="s">
        <v>749</v>
      </c>
      <c r="AT119" s="11"/>
      <c r="AU119" s="11"/>
      <c r="AV119" s="11"/>
      <c r="AW119" s="11"/>
      <c r="AX119" s="11"/>
      <c r="AY119" s="11"/>
      <c r="AZ119" s="11"/>
      <c r="BA119" s="11"/>
      <c r="BB119" s="11"/>
      <c r="BC119" s="11"/>
      <c r="BD119" s="11"/>
      <c r="BE119" s="11"/>
      <c r="BF119" s="11"/>
      <c r="BG119" s="11"/>
      <c r="BH119" s="11"/>
    </row>
    <row r="120" spans="1:60" ht="14.5">
      <c r="A120" s="9" t="s">
        <v>750</v>
      </c>
      <c r="B120" s="9" t="s">
        <v>751</v>
      </c>
      <c r="C120" s="9" t="s">
        <v>752</v>
      </c>
      <c r="D120" s="9" t="s">
        <v>361</v>
      </c>
      <c r="E120" s="9" t="s">
        <v>49</v>
      </c>
      <c r="F120" s="9" t="s">
        <v>69</v>
      </c>
      <c r="G120" s="9" t="s">
        <v>70</v>
      </c>
      <c r="H120" s="9" t="s">
        <v>557</v>
      </c>
      <c r="I120" s="9" t="s">
        <v>72</v>
      </c>
      <c r="J120" s="10"/>
      <c r="K120" s="10"/>
      <c r="L120" s="10"/>
      <c r="M120" s="10">
        <v>44764</v>
      </c>
      <c r="N120" s="9">
        <v>2022</v>
      </c>
      <c r="O120" s="9" t="s">
        <v>744</v>
      </c>
      <c r="P120" s="9" t="s">
        <v>53</v>
      </c>
      <c r="Q120" s="9" t="s">
        <v>53</v>
      </c>
      <c r="R120" s="9" t="s">
        <v>753</v>
      </c>
      <c r="T120" s="9"/>
      <c r="V120" s="9"/>
      <c r="W120" s="11">
        <f>IFERROR(VLOOKUP(B120, PlumX_snapshot!$A:$B, 2, FALSE), " ")</f>
        <v>7</v>
      </c>
      <c r="X120" s="11">
        <f>IFERROR(VLOOKUP(B120, PlumX_snapshot!$A:$C, 3, FALSE), " ")</f>
        <v>0</v>
      </c>
      <c r="Y120" s="12">
        <f>IFERROR(VLOOKUP(B120, PlumX_snapshot!$A:$D, 4, FALSE), " ")</f>
        <v>0</v>
      </c>
      <c r="Z120" s="12">
        <f>IFERROR(VLOOKUP(B120, PlumX_snapshot!$A:$E, 5, FALSE), " ")</f>
        <v>0</v>
      </c>
      <c r="AA120" s="12">
        <f>IFERROR(VLOOKUP(B120, PlumX_snapshot!$A:$F, 6, FALSE), " ")</f>
        <v>0</v>
      </c>
      <c r="AB120" s="13">
        <v>44978</v>
      </c>
      <c r="AC120" s="11" t="s">
        <v>754</v>
      </c>
      <c r="AD120" s="11" t="s">
        <v>755</v>
      </c>
      <c r="AE120" s="11"/>
      <c r="AF120" s="11"/>
      <c r="AG120" s="11"/>
      <c r="AH120" s="11">
        <v>2045</v>
      </c>
      <c r="AI120" s="11" t="s">
        <v>77</v>
      </c>
      <c r="AJ120" s="12" t="s">
        <v>301</v>
      </c>
      <c r="AK120" s="11" t="str">
        <f t="shared" si="0"/>
        <v>2022GBP</v>
      </c>
      <c r="AL120" s="11">
        <f>VLOOKUP(AK120, Exchange_rates!$C:$D, 2, FALSE)</f>
        <v>1</v>
      </c>
      <c r="AM120" s="14">
        <f t="shared" si="1"/>
        <v>2454</v>
      </c>
      <c r="AN120" s="11"/>
      <c r="AO120" s="11"/>
      <c r="AP120" s="9"/>
      <c r="AQ120" s="15" t="s">
        <v>49</v>
      </c>
      <c r="AR120" t="s">
        <v>756</v>
      </c>
      <c r="AS120" s="16" t="s">
        <v>757</v>
      </c>
      <c r="AT120" s="11"/>
      <c r="AU120" s="11"/>
      <c r="AV120" s="11"/>
      <c r="AW120" s="11"/>
      <c r="AX120" s="11"/>
      <c r="AY120" s="11"/>
      <c r="AZ120" s="11"/>
      <c r="BA120" s="11"/>
      <c r="BB120" s="11"/>
      <c r="BC120" s="11"/>
      <c r="BD120" s="11"/>
      <c r="BE120" s="11"/>
      <c r="BF120" s="11"/>
      <c r="BG120" s="11"/>
      <c r="BH120" s="11"/>
    </row>
    <row r="121" spans="1:60" ht="14.5">
      <c r="A121" s="9" t="s">
        <v>758</v>
      </c>
      <c r="B121" s="9" t="s">
        <v>759</v>
      </c>
      <c r="C121" s="9" t="s">
        <v>501</v>
      </c>
      <c r="D121" s="9" t="s">
        <v>361</v>
      </c>
      <c r="E121" s="9" t="s">
        <v>49</v>
      </c>
      <c r="F121" s="9" t="s">
        <v>69</v>
      </c>
      <c r="G121" s="9" t="s">
        <v>70</v>
      </c>
      <c r="H121" s="9" t="s">
        <v>557</v>
      </c>
      <c r="I121" s="9" t="s">
        <v>72</v>
      </c>
      <c r="J121" s="10"/>
      <c r="K121" s="10"/>
      <c r="L121" s="10"/>
      <c r="M121" s="10">
        <v>44796</v>
      </c>
      <c r="N121" s="9">
        <v>2022</v>
      </c>
      <c r="O121" s="9" t="s">
        <v>760</v>
      </c>
      <c r="P121" s="9" t="s">
        <v>53</v>
      </c>
      <c r="Q121" s="9" t="s">
        <v>53</v>
      </c>
      <c r="R121" s="9" t="s">
        <v>92</v>
      </c>
      <c r="T121" s="9"/>
      <c r="V121" s="9"/>
      <c r="W121" s="11">
        <f>IFERROR(VLOOKUP(B121, PlumX_snapshot!$A:$B, 2, FALSE), " ")</f>
        <v>3</v>
      </c>
      <c r="X121" s="11">
        <f>IFERROR(VLOOKUP(B121, PlumX_snapshot!$A:$C, 3, FALSE), " ")</f>
        <v>0</v>
      </c>
      <c r="Y121" s="12">
        <f>IFERROR(VLOOKUP(B121, PlumX_snapshot!$A:$D, 4, FALSE), " ")</f>
        <v>0</v>
      </c>
      <c r="Z121" s="12">
        <f>IFERROR(VLOOKUP(B121, PlumX_snapshot!$A:$E, 5, FALSE), " ")</f>
        <v>0</v>
      </c>
      <c r="AA121" s="12">
        <f>IFERROR(VLOOKUP(B121, PlumX_snapshot!$A:$F, 6, FALSE), " ")</f>
        <v>0</v>
      </c>
      <c r="AB121" s="13">
        <v>44978</v>
      </c>
      <c r="AC121" s="11" t="s">
        <v>761</v>
      </c>
      <c r="AD121" s="11" t="s">
        <v>762</v>
      </c>
      <c r="AE121" s="11"/>
      <c r="AF121" s="11"/>
      <c r="AG121" s="11"/>
      <c r="AH121" s="11">
        <v>2045</v>
      </c>
      <c r="AI121" s="11" t="s">
        <v>77</v>
      </c>
      <c r="AJ121" s="12" t="s">
        <v>301</v>
      </c>
      <c r="AK121" s="11" t="str">
        <f t="shared" si="0"/>
        <v>2022GBP</v>
      </c>
      <c r="AL121" s="11">
        <f>VLOOKUP(AK121, Exchange_rates!$C:$D, 2, FALSE)</f>
        <v>1</v>
      </c>
      <c r="AM121" s="14">
        <f t="shared" si="1"/>
        <v>2454</v>
      </c>
      <c r="AN121" s="11"/>
      <c r="AO121" s="11"/>
      <c r="AP121" s="9"/>
      <c r="AQ121" s="15" t="s">
        <v>49</v>
      </c>
      <c r="AR121" t="s">
        <v>504</v>
      </c>
      <c r="AS121" s="16" t="s">
        <v>505</v>
      </c>
      <c r="AT121" s="11"/>
      <c r="AU121" s="11"/>
      <c r="AV121" s="11"/>
      <c r="AW121" s="11"/>
      <c r="AX121" s="11"/>
      <c r="AY121" s="11"/>
      <c r="AZ121" s="11"/>
      <c r="BA121" s="11"/>
      <c r="BB121" s="11"/>
      <c r="BC121" s="11"/>
      <c r="BD121" s="11"/>
      <c r="BE121" s="11"/>
      <c r="BF121" s="11"/>
      <c r="BG121" s="11"/>
      <c r="BH121" s="11"/>
    </row>
    <row r="122" spans="1:60" ht="14.5">
      <c r="A122" s="9" t="s">
        <v>763</v>
      </c>
      <c r="B122" s="9" t="s">
        <v>764</v>
      </c>
      <c r="C122" s="9" t="s">
        <v>765</v>
      </c>
      <c r="D122" s="9" t="s">
        <v>361</v>
      </c>
      <c r="E122" s="9" t="s">
        <v>49</v>
      </c>
      <c r="F122" s="9" t="s">
        <v>69</v>
      </c>
      <c r="G122" s="9" t="s">
        <v>70</v>
      </c>
      <c r="H122" s="9" t="s">
        <v>557</v>
      </c>
      <c r="I122" s="9" t="s">
        <v>72</v>
      </c>
      <c r="J122" s="10"/>
      <c r="K122" s="10"/>
      <c r="L122" s="10"/>
      <c r="M122" s="10">
        <v>44782</v>
      </c>
      <c r="N122" s="9">
        <v>2022</v>
      </c>
      <c r="O122" s="9" t="s">
        <v>760</v>
      </c>
      <c r="P122" s="9" t="s">
        <v>53</v>
      </c>
      <c r="Q122" s="9" t="s">
        <v>53</v>
      </c>
      <c r="R122" s="9" t="s">
        <v>766</v>
      </c>
      <c r="T122" s="9"/>
      <c r="V122" s="9"/>
      <c r="W122" s="11">
        <f>IFERROR(VLOOKUP(B122, PlumX_snapshot!$A:$B, 2, FALSE), " ")</f>
        <v>1</v>
      </c>
      <c r="X122" s="11">
        <f>IFERROR(VLOOKUP(B122, PlumX_snapshot!$A:$C, 3, FALSE), " ")</f>
        <v>0</v>
      </c>
      <c r="Y122" s="12">
        <f>IFERROR(VLOOKUP(B122, PlumX_snapshot!$A:$D, 4, FALSE), " ")</f>
        <v>0</v>
      </c>
      <c r="Z122" s="12">
        <f>IFERROR(VLOOKUP(B122, PlumX_snapshot!$A:$E, 5, FALSE), " ")</f>
        <v>0</v>
      </c>
      <c r="AA122" s="12">
        <f>IFERROR(VLOOKUP(B122, PlumX_snapshot!$A:$F, 6, FALSE), " ")</f>
        <v>0</v>
      </c>
      <c r="AB122" s="13">
        <v>44978</v>
      </c>
      <c r="AC122" s="11" t="s">
        <v>448</v>
      </c>
      <c r="AD122" s="11" t="s">
        <v>449</v>
      </c>
      <c r="AE122" s="11"/>
      <c r="AF122" s="11"/>
      <c r="AG122" s="11"/>
      <c r="AH122" s="11">
        <v>2045</v>
      </c>
      <c r="AI122" s="11" t="s">
        <v>77</v>
      </c>
      <c r="AJ122" s="12" t="s">
        <v>301</v>
      </c>
      <c r="AK122" s="11" t="str">
        <f t="shared" si="0"/>
        <v>2022GBP</v>
      </c>
      <c r="AL122" s="11">
        <f>VLOOKUP(AK122, Exchange_rates!$C:$D, 2, FALSE)</f>
        <v>1</v>
      </c>
      <c r="AM122" s="14">
        <f t="shared" si="1"/>
        <v>2454</v>
      </c>
      <c r="AN122" s="11"/>
      <c r="AO122" s="11"/>
      <c r="AP122" s="9"/>
      <c r="AQ122" s="15" t="s">
        <v>49</v>
      </c>
      <c r="AR122" t="s">
        <v>767</v>
      </c>
      <c r="AS122" s="16" t="s">
        <v>768</v>
      </c>
      <c r="AT122" s="11"/>
      <c r="AU122" s="11"/>
      <c r="AV122" s="11"/>
      <c r="AW122" s="11"/>
      <c r="AX122" s="11"/>
      <c r="AY122" s="11"/>
      <c r="AZ122" s="11"/>
      <c r="BA122" s="11"/>
      <c r="BB122" s="11"/>
      <c r="BC122" s="11"/>
      <c r="BD122" s="11"/>
      <c r="BE122" s="11"/>
      <c r="BF122" s="11"/>
      <c r="BG122" s="11"/>
      <c r="BH122" s="11"/>
    </row>
    <row r="123" spans="1:60" ht="14.5">
      <c r="A123" s="9" t="s">
        <v>769</v>
      </c>
      <c r="B123" s="9" t="s">
        <v>770</v>
      </c>
      <c r="C123" s="9" t="s">
        <v>771</v>
      </c>
      <c r="D123" s="9" t="s">
        <v>361</v>
      </c>
      <c r="E123" s="9" t="s">
        <v>49</v>
      </c>
      <c r="F123" s="9" t="s">
        <v>69</v>
      </c>
      <c r="G123" s="9" t="s">
        <v>70</v>
      </c>
      <c r="H123" s="9" t="s">
        <v>557</v>
      </c>
      <c r="I123" s="9" t="s">
        <v>72</v>
      </c>
      <c r="J123" s="10"/>
      <c r="K123" s="10"/>
      <c r="L123" s="10"/>
      <c r="M123" s="10">
        <v>44796</v>
      </c>
      <c r="N123" s="9">
        <v>2022</v>
      </c>
      <c r="O123" s="9" t="s">
        <v>760</v>
      </c>
      <c r="P123" s="9" t="s">
        <v>53</v>
      </c>
      <c r="Q123" s="9" t="s">
        <v>53</v>
      </c>
      <c r="R123" s="9" t="s">
        <v>92</v>
      </c>
      <c r="T123" s="9"/>
      <c r="V123" s="9"/>
      <c r="W123" s="11">
        <f>IFERROR(VLOOKUP(B123, PlumX_snapshot!$A:$B, 2, FALSE), " ")</f>
        <v>3</v>
      </c>
      <c r="X123" s="11">
        <f>IFERROR(VLOOKUP(B123, PlumX_snapshot!$A:$C, 3, FALSE), " ")</f>
        <v>0</v>
      </c>
      <c r="Y123" s="12">
        <f>IFERROR(VLOOKUP(B123, PlumX_snapshot!$A:$D, 4, FALSE), " ")</f>
        <v>0</v>
      </c>
      <c r="Z123" s="12">
        <f>IFERROR(VLOOKUP(B123, PlumX_snapshot!$A:$E, 5, FALSE), " ")</f>
        <v>0</v>
      </c>
      <c r="AA123" s="12">
        <f>IFERROR(VLOOKUP(B123, PlumX_snapshot!$A:$F, 6, FALSE), " ")</f>
        <v>0</v>
      </c>
      <c r="AB123" s="13">
        <v>44978</v>
      </c>
      <c r="AC123" s="11" t="s">
        <v>772</v>
      </c>
      <c r="AD123" s="11" t="s">
        <v>773</v>
      </c>
      <c r="AE123" s="11"/>
      <c r="AF123" s="11"/>
      <c r="AG123" s="11"/>
      <c r="AH123" s="11">
        <v>2045</v>
      </c>
      <c r="AI123" s="11" t="s">
        <v>77</v>
      </c>
      <c r="AJ123" s="12" t="s">
        <v>301</v>
      </c>
      <c r="AK123" s="11" t="str">
        <f t="shared" si="0"/>
        <v>2022GBP</v>
      </c>
      <c r="AL123" s="11">
        <f>VLOOKUP(AK123, Exchange_rates!$C:$D, 2, FALSE)</f>
        <v>1</v>
      </c>
      <c r="AM123" s="14">
        <f t="shared" si="1"/>
        <v>2454</v>
      </c>
      <c r="AN123" s="11"/>
      <c r="AO123" s="11"/>
      <c r="AP123" s="9"/>
      <c r="AQ123" s="15" t="s">
        <v>49</v>
      </c>
      <c r="AR123" t="s">
        <v>774</v>
      </c>
      <c r="AS123" s="16" t="s">
        <v>775</v>
      </c>
      <c r="AT123" s="11"/>
      <c r="AU123" s="11"/>
      <c r="AV123" s="11"/>
      <c r="AW123" s="11"/>
      <c r="AX123" s="11"/>
      <c r="AY123" s="11"/>
      <c r="AZ123" s="11"/>
      <c r="BA123" s="11"/>
      <c r="BB123" s="11"/>
      <c r="BC123" s="11"/>
      <c r="BD123" s="11"/>
      <c r="BE123" s="11"/>
      <c r="BF123" s="11"/>
      <c r="BG123" s="11"/>
      <c r="BH123" s="11"/>
    </row>
    <row r="124" spans="1:60" ht="14.5">
      <c r="A124" s="9" t="s">
        <v>776</v>
      </c>
      <c r="B124" s="9" t="s">
        <v>777</v>
      </c>
      <c r="C124" s="9" t="s">
        <v>778</v>
      </c>
      <c r="D124" s="9" t="s">
        <v>361</v>
      </c>
      <c r="E124" s="9" t="s">
        <v>49</v>
      </c>
      <c r="F124" s="9" t="s">
        <v>69</v>
      </c>
      <c r="G124" s="9" t="s">
        <v>70</v>
      </c>
      <c r="H124" s="9" t="s">
        <v>557</v>
      </c>
      <c r="I124" s="9" t="s">
        <v>72</v>
      </c>
      <c r="J124" s="10"/>
      <c r="K124" s="10"/>
      <c r="L124" s="10"/>
      <c r="M124" s="10">
        <v>44795</v>
      </c>
      <c r="N124" s="9">
        <v>2022</v>
      </c>
      <c r="O124" s="9" t="s">
        <v>760</v>
      </c>
      <c r="P124" s="9" t="s">
        <v>53</v>
      </c>
      <c r="Q124" s="9" t="s">
        <v>53</v>
      </c>
      <c r="R124" s="9" t="s">
        <v>92</v>
      </c>
      <c r="T124" s="9"/>
      <c r="V124" s="9"/>
      <c r="W124" s="11">
        <f>IFERROR(VLOOKUP(B124, PlumX_snapshot!$A:$B, 2, FALSE), " ")</f>
        <v>2</v>
      </c>
      <c r="X124" s="11">
        <f>IFERROR(VLOOKUP(B124, PlumX_snapshot!$A:$C, 3, FALSE), " ")</f>
        <v>0</v>
      </c>
      <c r="Y124" s="12">
        <f>IFERROR(VLOOKUP(B124, PlumX_snapshot!$A:$D, 4, FALSE), " ")</f>
        <v>0</v>
      </c>
      <c r="Z124" s="12">
        <f>IFERROR(VLOOKUP(B124, PlumX_snapshot!$A:$E, 5, FALSE), " ")</f>
        <v>0</v>
      </c>
      <c r="AA124" s="12">
        <f>IFERROR(VLOOKUP(B124, PlumX_snapshot!$A:$F, 6, FALSE), " ")</f>
        <v>0</v>
      </c>
      <c r="AB124" s="13">
        <v>44978</v>
      </c>
      <c r="AC124" s="11" t="s">
        <v>779</v>
      </c>
      <c r="AD124" s="11" t="s">
        <v>780</v>
      </c>
      <c r="AE124" s="11"/>
      <c r="AF124" s="11"/>
      <c r="AG124" s="11"/>
      <c r="AH124" s="11">
        <v>2045</v>
      </c>
      <c r="AI124" s="11" t="s">
        <v>77</v>
      </c>
      <c r="AJ124" s="12" t="s">
        <v>301</v>
      </c>
      <c r="AK124" s="11" t="str">
        <f t="shared" si="0"/>
        <v>2022GBP</v>
      </c>
      <c r="AL124" s="11">
        <f>VLOOKUP(AK124, Exchange_rates!$C:$D, 2, FALSE)</f>
        <v>1</v>
      </c>
      <c r="AM124" s="14">
        <f t="shared" si="1"/>
        <v>2454</v>
      </c>
      <c r="AN124" s="11"/>
      <c r="AO124" s="11"/>
      <c r="AP124" s="9"/>
      <c r="AQ124" s="15" t="s">
        <v>49</v>
      </c>
      <c r="AR124" t="s">
        <v>781</v>
      </c>
      <c r="AS124" s="16" t="s">
        <v>782</v>
      </c>
      <c r="AT124" s="11"/>
      <c r="AU124" s="11"/>
      <c r="AV124" s="11"/>
      <c r="AW124" s="11"/>
      <c r="AX124" s="11"/>
      <c r="AY124" s="11"/>
      <c r="AZ124" s="11"/>
      <c r="BA124" s="11"/>
      <c r="BB124" s="11"/>
      <c r="BC124" s="11"/>
      <c r="BD124" s="11"/>
      <c r="BE124" s="11"/>
      <c r="BF124" s="11"/>
      <c r="BG124" s="11"/>
      <c r="BH124" s="11"/>
    </row>
    <row r="125" spans="1:60" ht="14.5">
      <c r="A125" s="9" t="s">
        <v>783</v>
      </c>
      <c r="B125" s="9" t="s">
        <v>784</v>
      </c>
      <c r="C125" s="9" t="s">
        <v>785</v>
      </c>
      <c r="D125" s="9" t="s">
        <v>361</v>
      </c>
      <c r="E125" s="9" t="s">
        <v>49</v>
      </c>
      <c r="F125" s="9" t="s">
        <v>69</v>
      </c>
      <c r="G125" s="9" t="s">
        <v>70</v>
      </c>
      <c r="H125" s="9" t="s">
        <v>557</v>
      </c>
      <c r="I125" s="9" t="s">
        <v>72</v>
      </c>
      <c r="J125" s="10"/>
      <c r="K125" s="10"/>
      <c r="L125" s="10"/>
      <c r="M125" s="10">
        <v>44785</v>
      </c>
      <c r="N125" s="9">
        <v>2022</v>
      </c>
      <c r="O125" s="9" t="s">
        <v>760</v>
      </c>
      <c r="P125" s="9" t="s">
        <v>53</v>
      </c>
      <c r="Q125" s="9" t="s">
        <v>53</v>
      </c>
      <c r="R125" s="9" t="s">
        <v>786</v>
      </c>
      <c r="T125" s="9"/>
      <c r="V125" s="9"/>
      <c r="W125" s="11">
        <f>IFERROR(VLOOKUP(B125, PlumX_snapshot!$A:$B, 2, FALSE), " ")</f>
        <v>7</v>
      </c>
      <c r="X125" s="11">
        <f>IFERROR(VLOOKUP(B125, PlumX_snapshot!$A:$C, 3, FALSE), " ")</f>
        <v>0</v>
      </c>
      <c r="Y125" s="12">
        <f>IFERROR(VLOOKUP(B125, PlumX_snapshot!$A:$D, 4, FALSE), " ")</f>
        <v>0</v>
      </c>
      <c r="Z125" s="12">
        <f>IFERROR(VLOOKUP(B125, PlumX_snapshot!$A:$E, 5, FALSE), " ")</f>
        <v>0</v>
      </c>
      <c r="AA125" s="12">
        <f>IFERROR(VLOOKUP(B125, PlumX_snapshot!$A:$F, 6, FALSE), " ")</f>
        <v>0</v>
      </c>
      <c r="AB125" s="13">
        <v>44978</v>
      </c>
      <c r="AC125" s="11" t="s">
        <v>787</v>
      </c>
      <c r="AD125" s="11" t="s">
        <v>788</v>
      </c>
      <c r="AE125" s="11"/>
      <c r="AF125" s="11"/>
      <c r="AG125" s="11"/>
      <c r="AH125" s="11">
        <v>2045</v>
      </c>
      <c r="AI125" s="11" t="s">
        <v>77</v>
      </c>
      <c r="AJ125" s="12" t="s">
        <v>301</v>
      </c>
      <c r="AK125" s="11" t="str">
        <f t="shared" si="0"/>
        <v>2022GBP</v>
      </c>
      <c r="AL125" s="11">
        <f>VLOOKUP(AK125, Exchange_rates!$C:$D, 2, FALSE)</f>
        <v>1</v>
      </c>
      <c r="AM125" s="14">
        <f t="shared" si="1"/>
        <v>2454</v>
      </c>
      <c r="AN125" s="11"/>
      <c r="AO125" s="11"/>
      <c r="AP125" s="9"/>
      <c r="AQ125" s="15" t="s">
        <v>49</v>
      </c>
      <c r="AR125" t="s">
        <v>789</v>
      </c>
      <c r="AS125" s="16" t="s">
        <v>790</v>
      </c>
      <c r="AT125" s="11"/>
      <c r="AU125" s="11"/>
      <c r="AV125" s="11"/>
      <c r="AW125" s="11"/>
      <c r="AX125" s="11"/>
      <c r="AY125" s="11"/>
      <c r="AZ125" s="11"/>
      <c r="BA125" s="11"/>
      <c r="BB125" s="11"/>
      <c r="BC125" s="11"/>
      <c r="BD125" s="11"/>
      <c r="BE125" s="11"/>
      <c r="BF125" s="11"/>
      <c r="BG125" s="11"/>
      <c r="BH125" s="11"/>
    </row>
    <row r="126" spans="1:60" ht="14.5">
      <c r="A126" s="9" t="s">
        <v>791</v>
      </c>
      <c r="B126" s="9" t="s">
        <v>792</v>
      </c>
      <c r="C126" s="9" t="s">
        <v>793</v>
      </c>
      <c r="D126" s="9" t="s">
        <v>361</v>
      </c>
      <c r="E126" s="9" t="s">
        <v>49</v>
      </c>
      <c r="F126" s="9" t="s">
        <v>50</v>
      </c>
      <c r="G126" s="9" t="s">
        <v>51</v>
      </c>
      <c r="H126" s="9"/>
      <c r="J126" s="10"/>
      <c r="K126" s="10"/>
      <c r="L126" s="10"/>
      <c r="M126" s="10">
        <v>44774</v>
      </c>
      <c r="N126" s="9">
        <v>2022</v>
      </c>
      <c r="O126" s="9" t="s">
        <v>760</v>
      </c>
      <c r="P126" s="9" t="s">
        <v>53</v>
      </c>
      <c r="Q126" s="9" t="s">
        <v>53</v>
      </c>
      <c r="R126" s="9" t="s">
        <v>92</v>
      </c>
      <c r="T126" s="9" t="s">
        <v>661</v>
      </c>
      <c r="U126" s="9" t="s">
        <v>794</v>
      </c>
      <c r="V126" s="9"/>
      <c r="W126" s="11">
        <f>IFERROR(VLOOKUP(B126, PlumX_snapshot!$A:$B, 2, FALSE), " ")</f>
        <v>2</v>
      </c>
      <c r="X126" s="11">
        <f>IFERROR(VLOOKUP(B126, PlumX_snapshot!$A:$C, 3, FALSE), " ")</f>
        <v>1</v>
      </c>
      <c r="Y126" s="12">
        <f>IFERROR(VLOOKUP(B126, PlumX_snapshot!$A:$D, 4, FALSE), " ")</f>
        <v>0</v>
      </c>
      <c r="Z126" s="12">
        <f>IFERROR(VLOOKUP(B126, PlumX_snapshot!$A:$E, 5, FALSE), " ")</f>
        <v>0</v>
      </c>
      <c r="AA126" s="12">
        <f>IFERROR(VLOOKUP(B126, PlumX_snapshot!$A:$F, 6, FALSE), " ")</f>
        <v>1</v>
      </c>
      <c r="AB126" s="13">
        <v>44978</v>
      </c>
      <c r="AC126" s="11"/>
      <c r="AD126" s="11"/>
      <c r="AE126" s="11"/>
      <c r="AF126" s="11"/>
      <c r="AG126" s="12"/>
      <c r="AH126" s="11"/>
      <c r="AI126" s="11"/>
      <c r="AJ126" s="11"/>
      <c r="AK126" s="11" t="str">
        <f t="shared" si="0"/>
        <v>2022</v>
      </c>
      <c r="AL126" s="11" t="e">
        <f>VLOOKUP(AK126, Exchange_rates!$C:$D, 2, FALSE)</f>
        <v>#N/A</v>
      </c>
      <c r="AM126" s="14" t="str">
        <f t="shared" si="1"/>
        <v/>
      </c>
      <c r="AN126" s="11"/>
      <c r="AO126" s="11"/>
      <c r="AP126" s="9"/>
      <c r="AQ126" s="15" t="s">
        <v>49</v>
      </c>
      <c r="AR126" t="s">
        <v>795</v>
      </c>
      <c r="AS126" s="16" t="s">
        <v>796</v>
      </c>
      <c r="AT126" s="12"/>
      <c r="AU126" s="12"/>
      <c r="AV126" s="11"/>
      <c r="AW126" s="11"/>
      <c r="AX126" s="11"/>
      <c r="AY126" s="11"/>
      <c r="AZ126" s="11"/>
      <c r="BA126" s="11"/>
      <c r="BB126" s="11"/>
      <c r="BC126" s="11"/>
      <c r="BD126" s="11"/>
      <c r="BE126" s="11"/>
      <c r="BF126" s="11"/>
      <c r="BG126" s="11"/>
      <c r="BH126" s="11"/>
    </row>
    <row r="127" spans="1:60" ht="14.5">
      <c r="A127" s="9" t="s">
        <v>797</v>
      </c>
      <c r="B127" s="9" t="s">
        <v>798</v>
      </c>
      <c r="C127" s="9" t="s">
        <v>771</v>
      </c>
      <c r="D127" s="9" t="s">
        <v>361</v>
      </c>
      <c r="E127" s="9" t="s">
        <v>49</v>
      </c>
      <c r="F127" s="9" t="s">
        <v>50</v>
      </c>
      <c r="G127" s="9" t="s">
        <v>51</v>
      </c>
      <c r="H127" s="9"/>
      <c r="J127" s="10"/>
      <c r="K127" s="10"/>
      <c r="L127" s="10"/>
      <c r="M127" s="10">
        <v>44778</v>
      </c>
      <c r="N127" s="9">
        <v>2022</v>
      </c>
      <c r="O127" s="9" t="s">
        <v>760</v>
      </c>
      <c r="P127" s="9" t="s">
        <v>53</v>
      </c>
      <c r="Q127" s="9" t="s">
        <v>53</v>
      </c>
      <c r="R127" s="9" t="s">
        <v>799</v>
      </c>
      <c r="T127" s="9" t="s">
        <v>661</v>
      </c>
      <c r="U127" s="9" t="s">
        <v>794</v>
      </c>
      <c r="V127" s="9"/>
      <c r="W127" s="11">
        <f>IFERROR(VLOOKUP(B127, PlumX_snapshot!$A:$B, 2, FALSE), " ")</f>
        <v>1</v>
      </c>
      <c r="X127" s="11">
        <f>IFERROR(VLOOKUP(B127, PlumX_snapshot!$A:$C, 3, FALSE), " ")</f>
        <v>0</v>
      </c>
      <c r="Y127" s="12">
        <f>IFERROR(VLOOKUP(B127, PlumX_snapshot!$A:$D, 4, FALSE), " ")</f>
        <v>0</v>
      </c>
      <c r="Z127" s="12">
        <f>IFERROR(VLOOKUP(B127, PlumX_snapshot!$A:$E, 5, FALSE), " ")</f>
        <v>0</v>
      </c>
      <c r="AA127" s="12">
        <f>IFERROR(VLOOKUP(B127, PlumX_snapshot!$A:$F, 6, FALSE), " ")</f>
        <v>0</v>
      </c>
      <c r="AB127" s="13">
        <v>44978</v>
      </c>
      <c r="AC127" s="11"/>
      <c r="AD127" s="11"/>
      <c r="AE127" s="11"/>
      <c r="AF127" s="11"/>
      <c r="AG127" s="11"/>
      <c r="AH127" s="11"/>
      <c r="AI127" s="11"/>
      <c r="AJ127" s="11"/>
      <c r="AK127" s="11" t="str">
        <f t="shared" si="0"/>
        <v>2022</v>
      </c>
      <c r="AL127" s="11" t="e">
        <f>VLOOKUP(AK127, Exchange_rates!$C:$D, 2, FALSE)</f>
        <v>#N/A</v>
      </c>
      <c r="AM127" s="14" t="str">
        <f t="shared" si="1"/>
        <v/>
      </c>
      <c r="AN127" s="11"/>
      <c r="AO127" s="11"/>
      <c r="AP127" s="9"/>
      <c r="AQ127" s="15" t="s">
        <v>49</v>
      </c>
      <c r="AR127" t="s">
        <v>774</v>
      </c>
      <c r="AS127" s="16" t="s">
        <v>775</v>
      </c>
      <c r="AT127" s="11"/>
      <c r="AU127" s="11"/>
      <c r="AV127" s="11"/>
      <c r="AW127" s="11"/>
      <c r="AX127" s="11"/>
      <c r="AY127" s="11"/>
      <c r="AZ127" s="11"/>
      <c r="BA127" s="11"/>
      <c r="BB127" s="11"/>
      <c r="BC127" s="11"/>
      <c r="BD127" s="11"/>
      <c r="BE127" s="11"/>
      <c r="BF127" s="11"/>
      <c r="BG127" s="11"/>
      <c r="BH127" s="11"/>
    </row>
    <row r="128" spans="1:60" ht="14.5">
      <c r="A128" s="9" t="s">
        <v>800</v>
      </c>
      <c r="B128" s="9" t="s">
        <v>801</v>
      </c>
      <c r="C128" s="9" t="s">
        <v>370</v>
      </c>
      <c r="D128" s="9" t="s">
        <v>361</v>
      </c>
      <c r="E128" s="9" t="s">
        <v>49</v>
      </c>
      <c r="F128" s="9" t="s">
        <v>69</v>
      </c>
      <c r="G128" s="9" t="s">
        <v>70</v>
      </c>
      <c r="H128" s="9" t="s">
        <v>557</v>
      </c>
      <c r="I128" s="9" t="s">
        <v>72</v>
      </c>
      <c r="J128" s="10"/>
      <c r="K128" s="10"/>
      <c r="L128" s="10"/>
      <c r="M128" s="10">
        <v>44830</v>
      </c>
      <c r="N128" s="9">
        <v>2022</v>
      </c>
      <c r="O128" s="9" t="s">
        <v>802</v>
      </c>
      <c r="P128" s="9" t="s">
        <v>53</v>
      </c>
      <c r="Q128" s="9" t="s">
        <v>53</v>
      </c>
      <c r="R128" s="9" t="s">
        <v>92</v>
      </c>
      <c r="T128" s="9"/>
      <c r="V128" s="9"/>
      <c r="W128" s="11">
        <f>IFERROR(VLOOKUP(B128, PlumX_snapshot!$A:$B, 2, FALSE), " ")</f>
        <v>0</v>
      </c>
      <c r="X128" s="11">
        <f>IFERROR(VLOOKUP(B128, PlumX_snapshot!$A:$C, 3, FALSE), " ")</f>
        <v>0</v>
      </c>
      <c r="Y128" s="12">
        <f>IFERROR(VLOOKUP(B128, PlumX_snapshot!$A:$D, 4, FALSE), " ")</f>
        <v>0</v>
      </c>
      <c r="Z128" s="12">
        <f>IFERROR(VLOOKUP(B128, PlumX_snapshot!$A:$E, 5, FALSE), " ")</f>
        <v>0</v>
      </c>
      <c r="AA128" s="12">
        <f>IFERROR(VLOOKUP(B128, PlumX_snapshot!$A:$F, 6, FALSE), " ")</f>
        <v>0</v>
      </c>
      <c r="AB128" s="13">
        <v>44978</v>
      </c>
      <c r="AC128" s="11" t="s">
        <v>803</v>
      </c>
      <c r="AD128" s="11" t="s">
        <v>804</v>
      </c>
      <c r="AE128" s="11"/>
      <c r="AF128" s="11"/>
      <c r="AG128" s="11"/>
      <c r="AH128" s="11">
        <v>2045</v>
      </c>
      <c r="AI128" s="11" t="s">
        <v>77</v>
      </c>
      <c r="AJ128" s="12" t="s">
        <v>301</v>
      </c>
      <c r="AK128" s="11" t="str">
        <f t="shared" si="0"/>
        <v>2022GBP</v>
      </c>
      <c r="AL128" s="11">
        <f>VLOOKUP(AK128, Exchange_rates!$C:$D, 2, FALSE)</f>
        <v>1</v>
      </c>
      <c r="AM128" s="14">
        <f t="shared" si="1"/>
        <v>2454</v>
      </c>
      <c r="AN128" s="11"/>
      <c r="AO128" s="11"/>
      <c r="AP128" s="9"/>
      <c r="AQ128" s="15" t="s">
        <v>49</v>
      </c>
      <c r="AR128" t="s">
        <v>374</v>
      </c>
      <c r="AS128" s="16" t="s">
        <v>375</v>
      </c>
      <c r="AT128" s="11"/>
      <c r="AU128" s="11"/>
      <c r="AV128" s="11"/>
      <c r="AW128" s="11"/>
      <c r="AX128" s="11"/>
      <c r="AY128" s="11"/>
      <c r="AZ128" s="11"/>
      <c r="BA128" s="11"/>
      <c r="BB128" s="11"/>
      <c r="BC128" s="11"/>
      <c r="BD128" s="11"/>
      <c r="BE128" s="11"/>
      <c r="BF128" s="11"/>
      <c r="BG128" s="11"/>
      <c r="BH128" s="11"/>
    </row>
    <row r="129" spans="1:60" ht="14.5">
      <c r="A129" s="9" t="s">
        <v>805</v>
      </c>
      <c r="B129" s="9" t="s">
        <v>806</v>
      </c>
      <c r="C129" s="9" t="s">
        <v>807</v>
      </c>
      <c r="D129" s="9" t="s">
        <v>361</v>
      </c>
      <c r="E129" s="9" t="s">
        <v>49</v>
      </c>
      <c r="F129" s="9" t="s">
        <v>69</v>
      </c>
      <c r="G129" s="9" t="s">
        <v>70</v>
      </c>
      <c r="H129" s="9" t="s">
        <v>557</v>
      </c>
      <c r="I129" s="9" t="s">
        <v>72</v>
      </c>
      <c r="J129" s="10"/>
      <c r="K129" s="10"/>
      <c r="L129" s="10"/>
      <c r="M129" s="10">
        <v>44805</v>
      </c>
      <c r="N129" s="9">
        <v>2022</v>
      </c>
      <c r="O129" s="9" t="s">
        <v>802</v>
      </c>
      <c r="P129" s="9" t="s">
        <v>83</v>
      </c>
      <c r="Q129" s="9" t="s">
        <v>53</v>
      </c>
      <c r="R129" s="9" t="s">
        <v>808</v>
      </c>
      <c r="T129" s="9"/>
      <c r="V129" s="9"/>
      <c r="W129" s="11">
        <f>IFERROR(VLOOKUP(B129, PlumX_snapshot!$A:$B, 2, FALSE), " ")</f>
        <v>9</v>
      </c>
      <c r="X129" s="11">
        <f>IFERROR(VLOOKUP(B129, PlumX_snapshot!$A:$C, 3, FALSE), " ")</f>
        <v>0</v>
      </c>
      <c r="Y129" s="12">
        <f>IFERROR(VLOOKUP(B129, PlumX_snapshot!$A:$D, 4, FALSE), " ")</f>
        <v>0</v>
      </c>
      <c r="Z129" s="12">
        <f>IFERROR(VLOOKUP(B129, PlumX_snapshot!$A:$E, 5, FALSE), " ")</f>
        <v>0</v>
      </c>
      <c r="AA129" s="12">
        <f>IFERROR(VLOOKUP(B129, PlumX_snapshot!$A:$F, 6, FALSE), " ")</f>
        <v>0</v>
      </c>
      <c r="AB129" s="13">
        <v>44978</v>
      </c>
      <c r="AC129" s="11" t="s">
        <v>809</v>
      </c>
      <c r="AD129" s="11" t="s">
        <v>810</v>
      </c>
      <c r="AE129" s="11"/>
      <c r="AF129" s="11"/>
      <c r="AG129" s="11"/>
      <c r="AH129" s="11">
        <v>2045</v>
      </c>
      <c r="AI129" s="11" t="s">
        <v>77</v>
      </c>
      <c r="AJ129" s="12" t="s">
        <v>301</v>
      </c>
      <c r="AK129" s="11" t="str">
        <f t="shared" si="0"/>
        <v>2022GBP</v>
      </c>
      <c r="AL129" s="11">
        <f>VLOOKUP(AK129, Exchange_rates!$C:$D, 2, FALSE)</f>
        <v>1</v>
      </c>
      <c r="AM129" s="14">
        <f t="shared" si="1"/>
        <v>2454</v>
      </c>
      <c r="AN129" s="11"/>
      <c r="AO129" s="11"/>
      <c r="AP129" s="9"/>
      <c r="AQ129" s="15" t="s">
        <v>49</v>
      </c>
      <c r="AR129" t="s">
        <v>811</v>
      </c>
      <c r="AS129" s="16" t="s">
        <v>812</v>
      </c>
      <c r="AT129" s="11"/>
      <c r="AU129" s="11"/>
      <c r="AV129" s="11"/>
      <c r="AW129" s="11"/>
      <c r="AX129" s="11"/>
      <c r="AY129" s="11"/>
      <c r="AZ129" s="11"/>
      <c r="BA129" s="11"/>
      <c r="BB129" s="11"/>
      <c r="BC129" s="11"/>
      <c r="BD129" s="11"/>
      <c r="BE129" s="11"/>
      <c r="BF129" s="11"/>
      <c r="BG129" s="11"/>
      <c r="BH129" s="11"/>
    </row>
    <row r="130" spans="1:60" ht="14.5">
      <c r="A130" s="9" t="s">
        <v>813</v>
      </c>
      <c r="B130" s="9" t="s">
        <v>814</v>
      </c>
      <c r="C130" s="9" t="s">
        <v>570</v>
      </c>
      <c r="D130" s="9" t="s">
        <v>361</v>
      </c>
      <c r="E130" s="9" t="s">
        <v>49</v>
      </c>
      <c r="F130" s="9" t="s">
        <v>69</v>
      </c>
      <c r="G130" s="9" t="s">
        <v>70</v>
      </c>
      <c r="H130" s="9" t="s">
        <v>557</v>
      </c>
      <c r="I130" s="9" t="s">
        <v>72</v>
      </c>
      <c r="J130" s="10"/>
      <c r="K130" s="10"/>
      <c r="L130" s="10"/>
      <c r="M130" s="10">
        <v>44860</v>
      </c>
      <c r="N130" s="9">
        <v>2022</v>
      </c>
      <c r="O130" s="9" t="s">
        <v>815</v>
      </c>
      <c r="P130" s="9" t="s">
        <v>83</v>
      </c>
      <c r="Q130" s="9" t="s">
        <v>53</v>
      </c>
      <c r="R130" s="9" t="s">
        <v>816</v>
      </c>
      <c r="T130" s="9"/>
      <c r="V130" s="9"/>
      <c r="W130" s="11">
        <f>IFERROR(VLOOKUP(B130, PlumX_snapshot!$A:$B, 2, FALSE), " ")</f>
        <v>3</v>
      </c>
      <c r="X130" s="11">
        <f>IFERROR(VLOOKUP(B130, PlumX_snapshot!$A:$C, 3, FALSE), " ")</f>
        <v>0</v>
      </c>
      <c r="Y130" s="12">
        <f>IFERROR(VLOOKUP(B130, PlumX_snapshot!$A:$D, 4, FALSE), " ")</f>
        <v>0</v>
      </c>
      <c r="Z130" s="12">
        <f>IFERROR(VLOOKUP(B130, PlumX_snapshot!$A:$E, 5, FALSE), " ")</f>
        <v>0</v>
      </c>
      <c r="AA130" s="12">
        <f>IFERROR(VLOOKUP(B130, PlumX_snapshot!$A:$F, 6, FALSE), " ")</f>
        <v>0</v>
      </c>
      <c r="AB130" s="13">
        <v>44978</v>
      </c>
      <c r="AC130" s="11" t="s">
        <v>817</v>
      </c>
      <c r="AD130" s="11" t="s">
        <v>818</v>
      </c>
      <c r="AE130" s="11"/>
      <c r="AF130" s="11"/>
      <c r="AG130" s="11"/>
      <c r="AH130" s="11">
        <v>2045</v>
      </c>
      <c r="AI130" s="11" t="s">
        <v>77</v>
      </c>
      <c r="AJ130" s="12" t="s">
        <v>301</v>
      </c>
      <c r="AK130" s="11" t="str">
        <f t="shared" si="0"/>
        <v>2022GBP</v>
      </c>
      <c r="AL130" s="11">
        <f>VLOOKUP(AK130, Exchange_rates!$C:$D, 2, FALSE)</f>
        <v>1</v>
      </c>
      <c r="AM130" s="14">
        <f t="shared" si="1"/>
        <v>2454</v>
      </c>
      <c r="AN130" s="11"/>
      <c r="AO130" s="11"/>
      <c r="AP130" s="9"/>
      <c r="AQ130" s="15" t="s">
        <v>49</v>
      </c>
      <c r="AR130" t="s">
        <v>574</v>
      </c>
      <c r="AS130" s="16" t="s">
        <v>575</v>
      </c>
      <c r="AT130" s="11"/>
      <c r="AU130" s="11"/>
      <c r="AV130" s="11"/>
      <c r="AW130" s="11"/>
      <c r="AX130" s="11"/>
      <c r="AY130" s="11"/>
      <c r="AZ130" s="11"/>
      <c r="BA130" s="11"/>
      <c r="BB130" s="11"/>
      <c r="BC130" s="11"/>
      <c r="BD130" s="11"/>
      <c r="BE130" s="11"/>
      <c r="BF130" s="11"/>
      <c r="BG130" s="11"/>
      <c r="BH130" s="11"/>
    </row>
    <row r="131" spans="1:60" ht="14.5">
      <c r="A131" s="9" t="s">
        <v>819</v>
      </c>
      <c r="B131" s="9" t="s">
        <v>820</v>
      </c>
      <c r="C131" s="9" t="s">
        <v>508</v>
      </c>
      <c r="D131" s="9" t="s">
        <v>361</v>
      </c>
      <c r="E131" s="9" t="s">
        <v>49</v>
      </c>
      <c r="F131" s="9" t="s">
        <v>69</v>
      </c>
      <c r="G131" s="9" t="s">
        <v>70</v>
      </c>
      <c r="H131" s="9" t="s">
        <v>557</v>
      </c>
      <c r="I131" s="9" t="s">
        <v>72</v>
      </c>
      <c r="J131" s="10"/>
      <c r="K131" s="10"/>
      <c r="L131" s="10"/>
      <c r="M131" s="10">
        <v>44862</v>
      </c>
      <c r="N131" s="9">
        <v>2022</v>
      </c>
      <c r="O131" s="9" t="s">
        <v>815</v>
      </c>
      <c r="P131" s="9" t="s">
        <v>83</v>
      </c>
      <c r="Q131" s="9" t="s">
        <v>53</v>
      </c>
      <c r="R131" s="9" t="s">
        <v>821</v>
      </c>
      <c r="T131" s="9"/>
      <c r="V131" s="9"/>
      <c r="W131" s="11">
        <f>IFERROR(VLOOKUP(B131, PlumX_snapshot!$A:$B, 2, FALSE), " ")</f>
        <v>5</v>
      </c>
      <c r="X131" s="11">
        <f>IFERROR(VLOOKUP(B131, PlumX_snapshot!$A:$C, 3, FALSE), " ")</f>
        <v>0</v>
      </c>
      <c r="Y131" s="12">
        <f>IFERROR(VLOOKUP(B131, PlumX_snapshot!$A:$D, 4, FALSE), " ")</f>
        <v>0</v>
      </c>
      <c r="Z131" s="12">
        <f>IFERROR(VLOOKUP(B131, PlumX_snapshot!$A:$E, 5, FALSE), " ")</f>
        <v>0</v>
      </c>
      <c r="AA131" s="12">
        <f>IFERROR(VLOOKUP(B131, PlumX_snapshot!$A:$F, 6, FALSE), " ")</f>
        <v>0</v>
      </c>
      <c r="AB131" s="13">
        <v>44978</v>
      </c>
      <c r="AC131" s="11" t="s">
        <v>822</v>
      </c>
      <c r="AD131" s="11" t="s">
        <v>823</v>
      </c>
      <c r="AE131" s="11"/>
      <c r="AF131" s="11"/>
      <c r="AG131" s="11"/>
      <c r="AH131" s="11">
        <v>2045</v>
      </c>
      <c r="AI131" s="11" t="s">
        <v>77</v>
      </c>
      <c r="AJ131" s="12" t="s">
        <v>301</v>
      </c>
      <c r="AK131" s="11" t="str">
        <f t="shared" si="0"/>
        <v>2022GBP</v>
      </c>
      <c r="AL131" s="11">
        <f>VLOOKUP(AK131, Exchange_rates!$C:$D, 2, FALSE)</f>
        <v>1</v>
      </c>
      <c r="AM131" s="14">
        <f t="shared" si="1"/>
        <v>2454</v>
      </c>
      <c r="AN131" s="11"/>
      <c r="AO131" s="11"/>
      <c r="AP131" s="9"/>
      <c r="AQ131" s="15" t="s">
        <v>49</v>
      </c>
      <c r="AR131" t="s">
        <v>512</v>
      </c>
      <c r="AS131" s="16" t="s">
        <v>513</v>
      </c>
      <c r="AT131" s="11"/>
      <c r="AU131" s="11"/>
      <c r="AV131" s="11"/>
      <c r="AW131" s="11"/>
      <c r="AX131" s="11"/>
      <c r="AY131" s="11"/>
      <c r="AZ131" s="11"/>
      <c r="BA131" s="11"/>
      <c r="BB131" s="11"/>
      <c r="BC131" s="11"/>
      <c r="BD131" s="11"/>
      <c r="BE131" s="11"/>
      <c r="BF131" s="11"/>
      <c r="BG131" s="11"/>
      <c r="BH131" s="11"/>
    </row>
    <row r="132" spans="1:60" ht="14.5">
      <c r="A132" s="9" t="s">
        <v>824</v>
      </c>
      <c r="B132" s="9" t="s">
        <v>825</v>
      </c>
      <c r="C132" s="9" t="s">
        <v>458</v>
      </c>
      <c r="D132" s="9" t="s">
        <v>361</v>
      </c>
      <c r="E132" s="9" t="s">
        <v>49</v>
      </c>
      <c r="F132" s="9" t="s">
        <v>69</v>
      </c>
      <c r="G132" s="9" t="s">
        <v>70</v>
      </c>
      <c r="H132" s="9" t="s">
        <v>557</v>
      </c>
      <c r="I132" s="9" t="s">
        <v>72</v>
      </c>
      <c r="J132" s="10"/>
      <c r="K132" s="10"/>
      <c r="L132" s="10"/>
      <c r="M132" s="10">
        <v>44841</v>
      </c>
      <c r="N132" s="9">
        <v>2022</v>
      </c>
      <c r="O132" s="9" t="s">
        <v>815</v>
      </c>
      <c r="P132" s="9" t="s">
        <v>53</v>
      </c>
      <c r="Q132" s="9" t="s">
        <v>53</v>
      </c>
      <c r="R132" s="9" t="s">
        <v>92</v>
      </c>
      <c r="T132" s="9"/>
      <c r="V132" s="9"/>
      <c r="W132" s="11">
        <f>IFERROR(VLOOKUP(B132, PlumX_snapshot!$A:$B, 2, FALSE), " ")</f>
        <v>2</v>
      </c>
      <c r="X132" s="11">
        <f>IFERROR(VLOOKUP(B132, PlumX_snapshot!$A:$C, 3, FALSE), " ")</f>
        <v>0</v>
      </c>
      <c r="Y132" s="12">
        <f>IFERROR(VLOOKUP(B132, PlumX_snapshot!$A:$D, 4, FALSE), " ")</f>
        <v>0</v>
      </c>
      <c r="Z132" s="12">
        <f>IFERROR(VLOOKUP(B132, PlumX_snapshot!$A:$E, 5, FALSE), " ")</f>
        <v>0</v>
      </c>
      <c r="AA132" s="12">
        <f>IFERROR(VLOOKUP(B132, PlumX_snapshot!$A:$F, 6, FALSE), " ")</f>
        <v>0</v>
      </c>
      <c r="AB132" s="13">
        <v>44978</v>
      </c>
      <c r="AC132" s="11" t="s">
        <v>826</v>
      </c>
      <c r="AD132" s="11" t="s">
        <v>827</v>
      </c>
      <c r="AE132" s="11"/>
      <c r="AF132" s="11"/>
      <c r="AG132" s="11"/>
      <c r="AH132" s="11">
        <v>2045</v>
      </c>
      <c r="AI132" s="11" t="s">
        <v>77</v>
      </c>
      <c r="AJ132" s="12" t="s">
        <v>301</v>
      </c>
      <c r="AK132" s="11" t="str">
        <f t="shared" si="0"/>
        <v>2022GBP</v>
      </c>
      <c r="AL132" s="11">
        <f>VLOOKUP(AK132, Exchange_rates!$C:$D, 2, FALSE)</f>
        <v>1</v>
      </c>
      <c r="AM132" s="14">
        <f t="shared" si="1"/>
        <v>2454</v>
      </c>
      <c r="AN132" s="11"/>
      <c r="AO132" s="11"/>
      <c r="AP132" s="9"/>
      <c r="AQ132" s="15" t="s">
        <v>49</v>
      </c>
      <c r="AR132" t="s">
        <v>461</v>
      </c>
      <c r="AS132" s="16" t="s">
        <v>462</v>
      </c>
      <c r="AT132" s="11"/>
      <c r="AU132" s="11"/>
      <c r="AV132" s="11"/>
      <c r="AW132" s="11"/>
      <c r="AX132" s="11"/>
      <c r="AY132" s="11"/>
      <c r="AZ132" s="11"/>
      <c r="BA132" s="11"/>
      <c r="BB132" s="11"/>
      <c r="BC132" s="11"/>
      <c r="BD132" s="11"/>
      <c r="BE132" s="11"/>
      <c r="BF132" s="11"/>
      <c r="BG132" s="11"/>
      <c r="BH132" s="11"/>
    </row>
    <row r="133" spans="1:60" ht="14.5">
      <c r="A133" s="9" t="s">
        <v>828</v>
      </c>
      <c r="B133" s="9" t="s">
        <v>829</v>
      </c>
      <c r="C133" s="9" t="s">
        <v>830</v>
      </c>
      <c r="D133" s="9" t="s">
        <v>361</v>
      </c>
      <c r="E133" s="9" t="s">
        <v>49</v>
      </c>
      <c r="F133" s="9" t="s">
        <v>69</v>
      </c>
      <c r="G133" s="9" t="s">
        <v>70</v>
      </c>
      <c r="H133" s="9" t="s">
        <v>557</v>
      </c>
      <c r="I133" s="9" t="s">
        <v>72</v>
      </c>
      <c r="J133" s="10"/>
      <c r="K133" s="10"/>
      <c r="L133" s="10"/>
      <c r="M133" s="10">
        <v>44882</v>
      </c>
      <c r="N133" s="9">
        <v>2022</v>
      </c>
      <c r="O133" s="9" t="s">
        <v>831</v>
      </c>
      <c r="P133" s="9" t="s">
        <v>53</v>
      </c>
      <c r="Q133" s="9" t="s">
        <v>53</v>
      </c>
      <c r="T133" s="9"/>
      <c r="V133" s="9"/>
      <c r="W133" s="11">
        <f>IFERROR(VLOOKUP(B133, PlumX_snapshot!$A:$B, 2, FALSE), " ")</f>
        <v>5</v>
      </c>
      <c r="X133" s="11">
        <f>IFERROR(VLOOKUP(B133, PlumX_snapshot!$A:$C, 3, FALSE), " ")</f>
        <v>0</v>
      </c>
      <c r="Y133" s="12">
        <f>IFERROR(VLOOKUP(B133, PlumX_snapshot!$A:$D, 4, FALSE), " ")</f>
        <v>0</v>
      </c>
      <c r="Z133" s="12">
        <f>IFERROR(VLOOKUP(B133, PlumX_snapshot!$A:$E, 5, FALSE), " ")</f>
        <v>0</v>
      </c>
      <c r="AA133" s="12">
        <f>IFERROR(VLOOKUP(B133, PlumX_snapshot!$A:$F, 6, FALSE), " ")</f>
        <v>0</v>
      </c>
      <c r="AB133" s="13">
        <v>44978</v>
      </c>
      <c r="AC133" s="11" t="s">
        <v>832</v>
      </c>
      <c r="AD133" s="11" t="s">
        <v>833</v>
      </c>
      <c r="AE133" s="11"/>
      <c r="AF133" s="11"/>
      <c r="AG133" s="11"/>
      <c r="AH133" s="11">
        <v>2045</v>
      </c>
      <c r="AI133" s="11" t="s">
        <v>77</v>
      </c>
      <c r="AJ133" s="12" t="s">
        <v>301</v>
      </c>
      <c r="AK133" s="11" t="str">
        <f t="shared" si="0"/>
        <v>2022GBP</v>
      </c>
      <c r="AL133" s="11">
        <f>VLOOKUP(AK133, Exchange_rates!$C:$D, 2, FALSE)</f>
        <v>1</v>
      </c>
      <c r="AM133" s="14">
        <f t="shared" si="1"/>
        <v>2454</v>
      </c>
      <c r="AN133" s="11"/>
      <c r="AO133" s="11"/>
      <c r="AP133" s="9"/>
      <c r="AQ133" s="15" t="s">
        <v>49</v>
      </c>
      <c r="AR133" t="s">
        <v>834</v>
      </c>
      <c r="AS133" s="16" t="s">
        <v>835</v>
      </c>
      <c r="AT133" s="11"/>
      <c r="AU133" s="11"/>
      <c r="AV133" s="11"/>
      <c r="AW133" s="11"/>
      <c r="AX133" s="11"/>
      <c r="AY133" s="11"/>
      <c r="AZ133" s="11"/>
      <c r="BA133" s="11"/>
      <c r="BB133" s="11"/>
      <c r="BC133" s="11"/>
      <c r="BD133" s="11"/>
      <c r="BE133" s="11"/>
      <c r="BF133" s="11"/>
      <c r="BG133" s="11"/>
      <c r="BH133" s="11"/>
    </row>
    <row r="134" spans="1:60" ht="14.5">
      <c r="A134" s="9" t="s">
        <v>836</v>
      </c>
      <c r="B134" s="9" t="s">
        <v>837</v>
      </c>
      <c r="C134" s="9" t="s">
        <v>838</v>
      </c>
      <c r="D134" s="9" t="s">
        <v>361</v>
      </c>
      <c r="E134" s="9" t="s">
        <v>49</v>
      </c>
      <c r="F134" s="9" t="s">
        <v>69</v>
      </c>
      <c r="G134" s="9" t="s">
        <v>70</v>
      </c>
      <c r="H134" s="9" t="s">
        <v>557</v>
      </c>
      <c r="I134" s="9" t="s">
        <v>72</v>
      </c>
      <c r="J134" s="10"/>
      <c r="K134" s="10"/>
      <c r="L134" s="10"/>
      <c r="M134" s="10">
        <v>44875</v>
      </c>
      <c r="N134" s="9">
        <v>2022</v>
      </c>
      <c r="O134" s="9" t="s">
        <v>831</v>
      </c>
      <c r="P134" s="9" t="s">
        <v>53</v>
      </c>
      <c r="Q134" s="9" t="s">
        <v>53</v>
      </c>
      <c r="T134" s="9"/>
      <c r="V134" s="9"/>
      <c r="W134" s="11">
        <f>IFERROR(VLOOKUP(B134, PlumX_snapshot!$A:$B, 2, FALSE), " ")</f>
        <v>1</v>
      </c>
      <c r="X134" s="11">
        <f>IFERROR(VLOOKUP(B134, PlumX_snapshot!$A:$C, 3, FALSE), " ")</f>
        <v>0</v>
      </c>
      <c r="Y134" s="12">
        <f>IFERROR(VLOOKUP(B134, PlumX_snapshot!$A:$D, 4, FALSE), " ")</f>
        <v>0</v>
      </c>
      <c r="Z134" s="12">
        <f>IFERROR(VLOOKUP(B134, PlumX_snapshot!$A:$E, 5, FALSE), " ")</f>
        <v>0</v>
      </c>
      <c r="AA134" s="12">
        <f>IFERROR(VLOOKUP(B134, PlumX_snapshot!$A:$F, 6, FALSE), " ")</f>
        <v>0</v>
      </c>
      <c r="AB134" s="13">
        <v>44978</v>
      </c>
      <c r="AC134" s="11" t="s">
        <v>839</v>
      </c>
      <c r="AD134" s="11" t="s">
        <v>840</v>
      </c>
      <c r="AE134" s="11"/>
      <c r="AF134" s="11"/>
      <c r="AG134" s="11"/>
      <c r="AH134" s="11">
        <v>2045</v>
      </c>
      <c r="AI134" s="11" t="s">
        <v>77</v>
      </c>
      <c r="AJ134" s="12" t="s">
        <v>301</v>
      </c>
      <c r="AK134" s="11" t="str">
        <f t="shared" si="0"/>
        <v>2022GBP</v>
      </c>
      <c r="AL134" s="11">
        <f>VLOOKUP(AK134, Exchange_rates!$C:$D, 2, FALSE)</f>
        <v>1</v>
      </c>
      <c r="AM134" s="14">
        <f t="shared" si="1"/>
        <v>2454</v>
      </c>
      <c r="AN134" s="11"/>
      <c r="AO134" s="11"/>
      <c r="AP134" s="9"/>
      <c r="AQ134" s="15" t="s">
        <v>49</v>
      </c>
      <c r="AR134" t="s">
        <v>841</v>
      </c>
      <c r="AS134" s="16" t="s">
        <v>842</v>
      </c>
      <c r="AT134" s="11"/>
      <c r="AU134" s="11"/>
      <c r="AV134" s="11"/>
      <c r="AW134" s="11"/>
      <c r="AX134" s="11"/>
      <c r="AY134" s="11"/>
      <c r="AZ134" s="11"/>
      <c r="BA134" s="11"/>
      <c r="BB134" s="11"/>
      <c r="BC134" s="11"/>
      <c r="BD134" s="11"/>
      <c r="BE134" s="11"/>
      <c r="BF134" s="11"/>
      <c r="BG134" s="11"/>
      <c r="BH134" s="11"/>
    </row>
    <row r="135" spans="1:60" ht="14.5">
      <c r="A135" s="9" t="s">
        <v>843</v>
      </c>
      <c r="B135" s="9" t="s">
        <v>844</v>
      </c>
      <c r="C135" s="9" t="s">
        <v>845</v>
      </c>
      <c r="D135" s="9" t="s">
        <v>361</v>
      </c>
      <c r="E135" s="9" t="s">
        <v>49</v>
      </c>
      <c r="F135" s="9" t="s">
        <v>50</v>
      </c>
      <c r="G135" s="9" t="s">
        <v>51</v>
      </c>
      <c r="H135" s="9"/>
      <c r="I135" s="9"/>
      <c r="J135" s="10"/>
      <c r="K135" s="10"/>
      <c r="L135" s="10"/>
      <c r="M135" s="10">
        <v>44880</v>
      </c>
      <c r="N135" s="9">
        <v>2022</v>
      </c>
      <c r="O135" s="9" t="s">
        <v>831</v>
      </c>
      <c r="P135" s="9" t="s">
        <v>83</v>
      </c>
      <c r="Q135" s="9" t="s">
        <v>53</v>
      </c>
      <c r="R135" s="9" t="s">
        <v>846</v>
      </c>
      <c r="T135" s="9" t="s">
        <v>723</v>
      </c>
      <c r="V135" s="9"/>
      <c r="W135" s="11">
        <f>IFERROR(VLOOKUP(B135, PlumX_snapshot!$A:$B, 2, FALSE), " ")</f>
        <v>0</v>
      </c>
      <c r="X135" s="11">
        <f>IFERROR(VLOOKUP(B135, PlumX_snapshot!$A:$C, 3, FALSE), " ")</f>
        <v>0</v>
      </c>
      <c r="Y135" s="12">
        <f>IFERROR(VLOOKUP(B135, PlumX_snapshot!$A:$D, 4, FALSE), " ")</f>
        <v>0</v>
      </c>
      <c r="Z135" s="12">
        <f>IFERROR(VLOOKUP(B135, PlumX_snapshot!$A:$E, 5, FALSE), " ")</f>
        <v>0</v>
      </c>
      <c r="AA135" s="12">
        <f>IFERROR(VLOOKUP(B135, PlumX_snapshot!$A:$F, 6, FALSE), " ")</f>
        <v>0</v>
      </c>
      <c r="AB135" s="13">
        <v>44978</v>
      </c>
      <c r="AC135" s="11" t="s">
        <v>847</v>
      </c>
      <c r="AD135" s="11" t="s">
        <v>848</v>
      </c>
      <c r="AE135" s="11"/>
      <c r="AF135" s="11"/>
      <c r="AG135" s="11"/>
      <c r="AH135" s="11">
        <v>1298</v>
      </c>
      <c r="AI135" s="11" t="s">
        <v>77</v>
      </c>
      <c r="AJ135" s="12" t="s">
        <v>301</v>
      </c>
      <c r="AK135" s="11" t="str">
        <f t="shared" si="0"/>
        <v>2022GBP</v>
      </c>
      <c r="AL135" s="11">
        <f>VLOOKUP(AK135, Exchange_rates!$C:$D, 2, FALSE)</f>
        <v>1</v>
      </c>
      <c r="AM135" s="14">
        <f t="shared" si="1"/>
        <v>1557.6</v>
      </c>
      <c r="AN135" s="11"/>
      <c r="AO135" s="11"/>
      <c r="AP135" s="9"/>
      <c r="AQ135" s="15" t="s">
        <v>49</v>
      </c>
      <c r="AR135" t="s">
        <v>849</v>
      </c>
      <c r="AS135" s="16" t="s">
        <v>850</v>
      </c>
      <c r="AT135" s="11"/>
      <c r="AU135" s="11"/>
      <c r="AV135" s="11"/>
      <c r="AW135" s="11"/>
      <c r="AX135" s="11"/>
      <c r="AY135" s="11"/>
      <c r="AZ135" s="11"/>
      <c r="BA135" s="11"/>
      <c r="BB135" s="11"/>
      <c r="BC135" s="11"/>
      <c r="BD135" s="11"/>
      <c r="BE135" s="11"/>
      <c r="BF135" s="11"/>
      <c r="BG135" s="11"/>
      <c r="BH135" s="11"/>
    </row>
    <row r="136" spans="1:60" ht="14.5">
      <c r="A136" s="9" t="s">
        <v>851</v>
      </c>
      <c r="B136" s="9" t="s">
        <v>852</v>
      </c>
      <c r="C136" s="9" t="s">
        <v>853</v>
      </c>
      <c r="D136" s="9" t="s">
        <v>361</v>
      </c>
      <c r="E136" s="9" t="s">
        <v>49</v>
      </c>
      <c r="F136" s="9" t="s">
        <v>69</v>
      </c>
      <c r="G136" s="9" t="s">
        <v>70</v>
      </c>
      <c r="H136" s="9" t="s">
        <v>557</v>
      </c>
      <c r="I136" s="9" t="s">
        <v>72</v>
      </c>
      <c r="J136" s="10"/>
      <c r="K136" s="10"/>
      <c r="L136" s="10"/>
      <c r="M136" s="10">
        <v>44887</v>
      </c>
      <c r="N136" s="9">
        <v>2022</v>
      </c>
      <c r="O136" s="9" t="s">
        <v>831</v>
      </c>
      <c r="P136" s="9" t="s">
        <v>53</v>
      </c>
      <c r="Q136" s="9" t="s">
        <v>53</v>
      </c>
      <c r="R136" s="9" t="s">
        <v>92</v>
      </c>
      <c r="S136" s="9" t="s">
        <v>854</v>
      </c>
      <c r="T136" s="9"/>
      <c r="V136" s="9"/>
      <c r="W136" s="11">
        <f>IFERROR(VLOOKUP(B136, PlumX_snapshot!$A:$B, 2, FALSE), " ")</f>
        <v>0</v>
      </c>
      <c r="X136" s="11">
        <f>IFERROR(VLOOKUP(B136, PlumX_snapshot!$A:$C, 3, FALSE), " ")</f>
        <v>0</v>
      </c>
      <c r="Y136" s="12">
        <f>IFERROR(VLOOKUP(B136, PlumX_snapshot!$A:$D, 4, FALSE), " ")</f>
        <v>0</v>
      </c>
      <c r="Z136" s="12">
        <f>IFERROR(VLOOKUP(B136, PlumX_snapshot!$A:$E, 5, FALSE), " ")</f>
        <v>0</v>
      </c>
      <c r="AA136" s="12">
        <f>IFERROR(VLOOKUP(B136, PlumX_snapshot!$A:$F, 6, FALSE), " ")</f>
        <v>0</v>
      </c>
      <c r="AB136" s="13">
        <v>44978</v>
      </c>
      <c r="AC136" s="11" t="s">
        <v>855</v>
      </c>
      <c r="AD136" s="11" t="s">
        <v>856</v>
      </c>
      <c r="AE136" s="11"/>
      <c r="AF136" s="11"/>
      <c r="AG136" s="11"/>
      <c r="AH136" s="11">
        <v>2045</v>
      </c>
      <c r="AI136" s="11" t="s">
        <v>77</v>
      </c>
      <c r="AJ136" s="12" t="s">
        <v>301</v>
      </c>
      <c r="AK136" s="11" t="str">
        <f t="shared" si="0"/>
        <v>2022GBP</v>
      </c>
      <c r="AL136" s="11">
        <f>VLOOKUP(AK136, Exchange_rates!$C:$D, 2, FALSE)</f>
        <v>1</v>
      </c>
      <c r="AM136" s="14">
        <f t="shared" si="1"/>
        <v>2454</v>
      </c>
      <c r="AN136" s="11"/>
      <c r="AO136" s="11"/>
      <c r="AP136" s="9"/>
      <c r="AQ136" s="15" t="s">
        <v>49</v>
      </c>
      <c r="AR136" t="s">
        <v>857</v>
      </c>
      <c r="AS136" s="16" t="s">
        <v>858</v>
      </c>
      <c r="AT136" s="11"/>
      <c r="AU136" s="11"/>
      <c r="AV136" s="11"/>
      <c r="AW136" s="11"/>
      <c r="AX136" s="11"/>
      <c r="AY136" s="11"/>
      <c r="AZ136" s="11"/>
      <c r="BA136" s="11"/>
      <c r="BB136" s="11"/>
      <c r="BC136" s="11"/>
      <c r="BD136" s="11"/>
      <c r="BE136" s="11"/>
      <c r="BF136" s="11"/>
      <c r="BG136" s="11"/>
      <c r="BH136" s="11"/>
    </row>
    <row r="137" spans="1:60" ht="14.5">
      <c r="A137" s="9" t="s">
        <v>859</v>
      </c>
      <c r="B137" s="9" t="s">
        <v>860</v>
      </c>
      <c r="C137" s="9" t="s">
        <v>861</v>
      </c>
      <c r="D137" s="9" t="s">
        <v>361</v>
      </c>
      <c r="E137" s="9" t="s">
        <v>49</v>
      </c>
      <c r="F137" s="9" t="s">
        <v>50</v>
      </c>
      <c r="G137" s="9" t="s">
        <v>51</v>
      </c>
      <c r="H137" s="9"/>
      <c r="J137" s="10"/>
      <c r="K137" s="10"/>
      <c r="L137" s="10"/>
      <c r="M137" s="10">
        <v>44802</v>
      </c>
      <c r="N137" s="9">
        <v>2022</v>
      </c>
      <c r="O137" s="9" t="s">
        <v>862</v>
      </c>
      <c r="P137" s="9" t="s">
        <v>53</v>
      </c>
      <c r="Q137" s="9" t="s">
        <v>53</v>
      </c>
      <c r="R137" s="9" t="s">
        <v>92</v>
      </c>
      <c r="T137" s="9" t="s">
        <v>723</v>
      </c>
      <c r="V137" s="9"/>
      <c r="W137" s="11">
        <f>IFERROR(VLOOKUP(B137, PlumX_snapshot!$A:$B, 2, FALSE), " ")</f>
        <v>3</v>
      </c>
      <c r="X137" s="11">
        <f>IFERROR(VLOOKUP(B137, PlumX_snapshot!$A:$C, 3, FALSE), " ")</f>
        <v>0</v>
      </c>
      <c r="Y137" s="12">
        <f>IFERROR(VLOOKUP(B137, PlumX_snapshot!$A:$D, 4, FALSE), " ")</f>
        <v>0</v>
      </c>
      <c r="Z137" s="12">
        <f>IFERROR(VLOOKUP(B137, PlumX_snapshot!$A:$E, 5, FALSE), " ")</f>
        <v>0</v>
      </c>
      <c r="AA137" s="12">
        <f>IFERROR(VLOOKUP(B137, PlumX_snapshot!$A:$F, 6, FALSE), " ")</f>
        <v>0</v>
      </c>
      <c r="AB137" s="13">
        <v>44978</v>
      </c>
      <c r="AC137" s="11" t="s">
        <v>863</v>
      </c>
      <c r="AD137" s="11" t="s">
        <v>864</v>
      </c>
      <c r="AE137" s="11"/>
      <c r="AF137" s="11"/>
      <c r="AG137" s="11"/>
      <c r="AH137" s="11">
        <v>2110</v>
      </c>
      <c r="AI137" s="11" t="s">
        <v>77</v>
      </c>
      <c r="AJ137" s="12" t="s">
        <v>301</v>
      </c>
      <c r="AK137" s="11" t="str">
        <f t="shared" si="0"/>
        <v>2022GBP</v>
      </c>
      <c r="AL137" s="11">
        <f>VLOOKUP(AK137, Exchange_rates!$C:$D, 2, FALSE)</f>
        <v>1</v>
      </c>
      <c r="AM137" s="14">
        <f t="shared" si="1"/>
        <v>2532</v>
      </c>
      <c r="AN137" s="11"/>
      <c r="AO137" s="11"/>
      <c r="AP137" s="9"/>
      <c r="AQ137" s="15" t="s">
        <v>49</v>
      </c>
      <c r="AR137" t="s">
        <v>865</v>
      </c>
      <c r="AS137" s="16" t="s">
        <v>866</v>
      </c>
      <c r="AT137" s="11"/>
      <c r="AU137" s="11"/>
      <c r="AV137" s="11"/>
      <c r="AW137" s="11"/>
      <c r="AX137" s="11"/>
      <c r="AY137" s="11"/>
      <c r="AZ137" s="11"/>
      <c r="BA137" s="11"/>
      <c r="BB137" s="11"/>
      <c r="BC137" s="11"/>
      <c r="BD137" s="11"/>
      <c r="BE137" s="11"/>
      <c r="BF137" s="11"/>
      <c r="BG137" s="11"/>
      <c r="BH137" s="11"/>
    </row>
    <row r="138" spans="1:60" ht="14.5">
      <c r="A138" s="9" t="s">
        <v>867</v>
      </c>
      <c r="B138" s="9" t="s">
        <v>868</v>
      </c>
      <c r="C138" s="9" t="s">
        <v>869</v>
      </c>
      <c r="D138" s="9" t="s">
        <v>870</v>
      </c>
      <c r="E138" s="9" t="s">
        <v>49</v>
      </c>
      <c r="F138" s="9" t="s">
        <v>69</v>
      </c>
      <c r="G138" s="9" t="s">
        <v>70</v>
      </c>
      <c r="H138" s="9" t="s">
        <v>871</v>
      </c>
      <c r="I138" s="9" t="s">
        <v>72</v>
      </c>
      <c r="J138" s="10"/>
      <c r="K138" s="10"/>
      <c r="L138" s="10">
        <v>44684</v>
      </c>
      <c r="M138" s="10"/>
      <c r="N138" s="9">
        <v>2022</v>
      </c>
      <c r="O138" s="9" t="s">
        <v>872</v>
      </c>
      <c r="P138" s="9" t="s">
        <v>83</v>
      </c>
      <c r="Q138" s="9" t="s">
        <v>53</v>
      </c>
      <c r="R138" s="9" t="s">
        <v>873</v>
      </c>
      <c r="T138" s="9"/>
      <c r="V138" s="9"/>
      <c r="W138" s="11">
        <f>IFERROR(VLOOKUP(B138, PlumX_snapshot!$A:$B, 2, FALSE), " ")</f>
        <v>5</v>
      </c>
      <c r="X138" s="11">
        <f>IFERROR(VLOOKUP(B138, PlumX_snapshot!$A:$C, 3, FALSE), " ")</f>
        <v>2</v>
      </c>
      <c r="Y138" s="12">
        <f>IFERROR(VLOOKUP(B138, PlumX_snapshot!$A:$D, 4, FALSE), " ")</f>
        <v>0</v>
      </c>
      <c r="Z138" s="12">
        <f>IFERROR(VLOOKUP(B138, PlumX_snapshot!$A:$E, 5, FALSE), " ")</f>
        <v>0</v>
      </c>
      <c r="AA138" s="12">
        <f>IFERROR(VLOOKUP(B138, PlumX_snapshot!$A:$F, 6, FALSE), " ")</f>
        <v>0</v>
      </c>
      <c r="AB138" s="13">
        <v>44978</v>
      </c>
      <c r="AC138" s="9" t="s">
        <v>874</v>
      </c>
      <c r="AH138" s="18">
        <v>2940</v>
      </c>
      <c r="AI138" s="19" t="s">
        <v>875</v>
      </c>
      <c r="AJ138" s="11" t="s">
        <v>301</v>
      </c>
      <c r="AK138" s="11" t="str">
        <f t="shared" si="0"/>
        <v>2022GBP</v>
      </c>
      <c r="AL138" s="11">
        <f>VLOOKUP(AK138, Exchange_rates!$C:$D, 2, FALSE)</f>
        <v>1</v>
      </c>
      <c r="AM138" s="14">
        <f t="shared" si="1"/>
        <v>3528</v>
      </c>
      <c r="AN138" s="9"/>
      <c r="AO138" s="9"/>
      <c r="AP138" s="9"/>
      <c r="AQ138" s="15" t="s">
        <v>49</v>
      </c>
      <c r="AS138" s="16" t="s">
        <v>876</v>
      </c>
    </row>
    <row r="139" spans="1:60" ht="14.5">
      <c r="A139" s="9" t="s">
        <v>877</v>
      </c>
      <c r="B139" s="9" t="s">
        <v>878</v>
      </c>
      <c r="C139" s="9" t="s">
        <v>879</v>
      </c>
      <c r="D139" s="9" t="s">
        <v>870</v>
      </c>
      <c r="E139" s="9" t="s">
        <v>49</v>
      </c>
      <c r="F139" s="9" t="s">
        <v>69</v>
      </c>
      <c r="G139" s="9" t="s">
        <v>70</v>
      </c>
      <c r="H139" s="9" t="s">
        <v>871</v>
      </c>
      <c r="I139" s="9" t="s">
        <v>72</v>
      </c>
      <c r="J139" s="10"/>
      <c r="K139" s="10"/>
      <c r="L139" s="10">
        <v>44718</v>
      </c>
      <c r="M139" s="10"/>
      <c r="N139" s="9">
        <v>2022</v>
      </c>
      <c r="O139" s="9" t="s">
        <v>872</v>
      </c>
      <c r="P139" s="9" t="s">
        <v>53</v>
      </c>
      <c r="Q139" s="9" t="s">
        <v>53</v>
      </c>
      <c r="T139" s="9"/>
      <c r="V139" s="9"/>
      <c r="W139" s="11">
        <f>IFERROR(VLOOKUP(B139, PlumX_snapshot!$A:$B, 2, FALSE), " ")</f>
        <v>18</v>
      </c>
      <c r="X139" s="11">
        <f>IFERROR(VLOOKUP(B139, PlumX_snapshot!$A:$C, 3, FALSE), " ")</f>
        <v>2</v>
      </c>
      <c r="Y139" s="12">
        <f>IFERROR(VLOOKUP(B139, PlumX_snapshot!$A:$D, 4, FALSE), " ")</f>
        <v>0</v>
      </c>
      <c r="Z139" s="12">
        <f>IFERROR(VLOOKUP(B139, PlumX_snapshot!$A:$E, 5, FALSE), " ")</f>
        <v>0</v>
      </c>
      <c r="AA139" s="12">
        <f>IFERROR(VLOOKUP(B139, PlumX_snapshot!$A:$F, 6, FALSE), " ")</f>
        <v>0</v>
      </c>
      <c r="AB139" s="13">
        <v>44978</v>
      </c>
      <c r="AC139" s="9" t="s">
        <v>880</v>
      </c>
      <c r="AH139" s="18">
        <v>3860</v>
      </c>
      <c r="AI139" s="19" t="s">
        <v>875</v>
      </c>
      <c r="AJ139" s="11" t="s">
        <v>301</v>
      </c>
      <c r="AK139" s="11" t="str">
        <f t="shared" si="0"/>
        <v>2022GBP</v>
      </c>
      <c r="AL139" s="11">
        <f>VLOOKUP(AK139, Exchange_rates!$C:$D, 2, FALSE)</f>
        <v>1</v>
      </c>
      <c r="AM139" s="14">
        <f t="shared" si="1"/>
        <v>4632</v>
      </c>
      <c r="AN139" s="9"/>
      <c r="AO139" s="9"/>
      <c r="AP139" s="9"/>
      <c r="AQ139" s="15" t="s">
        <v>49</v>
      </c>
      <c r="AR139" t="s">
        <v>881</v>
      </c>
      <c r="AS139" s="16" t="s">
        <v>881</v>
      </c>
    </row>
    <row r="140" spans="1:60" ht="14.5">
      <c r="A140" s="9" t="s">
        <v>882</v>
      </c>
      <c r="B140" s="9" t="s">
        <v>883</v>
      </c>
      <c r="C140" s="9" t="s">
        <v>884</v>
      </c>
      <c r="D140" s="9" t="s">
        <v>870</v>
      </c>
      <c r="E140" s="9" t="s">
        <v>49</v>
      </c>
      <c r="F140" s="9" t="s">
        <v>69</v>
      </c>
      <c r="G140" s="9" t="s">
        <v>70</v>
      </c>
      <c r="H140" s="9" t="s">
        <v>871</v>
      </c>
      <c r="I140" s="9" t="s">
        <v>72</v>
      </c>
      <c r="J140" s="10"/>
      <c r="K140" s="10"/>
      <c r="L140" s="10">
        <v>44697</v>
      </c>
      <c r="M140" s="10"/>
      <c r="N140" s="9">
        <v>2022</v>
      </c>
      <c r="O140" s="9" t="s">
        <v>872</v>
      </c>
      <c r="P140" s="9" t="s">
        <v>53</v>
      </c>
      <c r="Q140" s="9" t="s">
        <v>53</v>
      </c>
      <c r="R140" s="9" t="s">
        <v>885</v>
      </c>
      <c r="T140" s="9"/>
      <c r="V140" s="9"/>
      <c r="W140" s="11">
        <f>IFERROR(VLOOKUP(B140, PlumX_snapshot!$A:$B, 2, FALSE), " ")</f>
        <v>40</v>
      </c>
      <c r="X140" s="11">
        <f>IFERROR(VLOOKUP(B140, PlumX_snapshot!$A:$C, 3, FALSE), " ")</f>
        <v>18</v>
      </c>
      <c r="Y140" s="12">
        <f>IFERROR(VLOOKUP(B140, PlumX_snapshot!$A:$D, 4, FALSE), " ")</f>
        <v>1</v>
      </c>
      <c r="Z140" s="12">
        <f>IFERROR(VLOOKUP(B140, PlumX_snapshot!$A:$E, 5, FALSE), " ")</f>
        <v>0</v>
      </c>
      <c r="AA140" s="12">
        <f>IFERROR(VLOOKUP(B140, PlumX_snapshot!$A:$F, 6, FALSE), " ")</f>
        <v>0</v>
      </c>
      <c r="AB140" s="13">
        <v>44978</v>
      </c>
      <c r="AC140" s="9" t="s">
        <v>886</v>
      </c>
      <c r="AH140" s="18">
        <v>3190</v>
      </c>
      <c r="AI140" s="19" t="s">
        <v>875</v>
      </c>
      <c r="AJ140" s="11" t="s">
        <v>301</v>
      </c>
      <c r="AK140" s="11" t="str">
        <f t="shared" si="0"/>
        <v>2022GBP</v>
      </c>
      <c r="AL140" s="11">
        <f>VLOOKUP(AK140, Exchange_rates!$C:$D, 2, FALSE)</f>
        <v>1</v>
      </c>
      <c r="AM140" s="14">
        <f t="shared" si="1"/>
        <v>3828</v>
      </c>
      <c r="AN140" s="9"/>
      <c r="AO140" s="9"/>
      <c r="AP140" s="9"/>
      <c r="AQ140" s="15" t="s">
        <v>49</v>
      </c>
      <c r="AS140" s="16" t="s">
        <v>887</v>
      </c>
    </row>
    <row r="141" spans="1:60" ht="14.5">
      <c r="A141" s="9" t="s">
        <v>888</v>
      </c>
      <c r="B141" s="9" t="s">
        <v>889</v>
      </c>
      <c r="C141" s="9" t="s">
        <v>890</v>
      </c>
      <c r="D141" s="9" t="s">
        <v>870</v>
      </c>
      <c r="E141" s="9" t="s">
        <v>49</v>
      </c>
      <c r="F141" s="9" t="s">
        <v>69</v>
      </c>
      <c r="G141" s="9" t="s">
        <v>70</v>
      </c>
      <c r="H141" s="9" t="s">
        <v>871</v>
      </c>
      <c r="I141" s="9" t="s">
        <v>72</v>
      </c>
      <c r="J141" s="10"/>
      <c r="K141" s="10"/>
      <c r="L141" s="10">
        <v>44704</v>
      </c>
      <c r="M141" s="10"/>
      <c r="N141" s="9">
        <v>2022</v>
      </c>
      <c r="O141" s="9" t="s">
        <v>872</v>
      </c>
      <c r="P141" s="9" t="s">
        <v>53</v>
      </c>
      <c r="Q141" s="9" t="s">
        <v>53</v>
      </c>
      <c r="T141" s="9"/>
      <c r="V141" s="9"/>
      <c r="W141" s="11">
        <f>IFERROR(VLOOKUP(B141, PlumX_snapshot!$A:$B, 2, FALSE), " ")</f>
        <v>60</v>
      </c>
      <c r="X141" s="11">
        <f>IFERROR(VLOOKUP(B141, PlumX_snapshot!$A:$C, 3, FALSE), " ")</f>
        <v>6</v>
      </c>
      <c r="Y141" s="12">
        <f>IFERROR(VLOOKUP(B141, PlumX_snapshot!$A:$D, 4, FALSE), " ")</f>
        <v>0</v>
      </c>
      <c r="Z141" s="12">
        <f>IFERROR(VLOOKUP(B141, PlumX_snapshot!$A:$E, 5, FALSE), " ")</f>
        <v>0</v>
      </c>
      <c r="AA141" s="12">
        <f>IFERROR(VLOOKUP(B141, PlumX_snapshot!$A:$F, 6, FALSE), " ")</f>
        <v>1</v>
      </c>
      <c r="AB141" s="13">
        <v>44978</v>
      </c>
      <c r="AC141" s="9" t="s">
        <v>891</v>
      </c>
      <c r="AH141" s="18">
        <v>2090</v>
      </c>
      <c r="AI141" s="19" t="s">
        <v>875</v>
      </c>
      <c r="AJ141" s="11" t="s">
        <v>301</v>
      </c>
      <c r="AK141" s="11" t="str">
        <f t="shared" si="0"/>
        <v>2022GBP</v>
      </c>
      <c r="AL141" s="11">
        <f>VLOOKUP(AK141, Exchange_rates!$C:$D, 2, FALSE)</f>
        <v>1</v>
      </c>
      <c r="AM141" s="14">
        <f t="shared" si="1"/>
        <v>2508</v>
      </c>
      <c r="AN141" s="9"/>
      <c r="AO141" s="9"/>
      <c r="AP141" s="9"/>
      <c r="AQ141" s="15" t="s">
        <v>49</v>
      </c>
      <c r="AR141" t="s">
        <v>892</v>
      </c>
      <c r="AS141" s="16" t="s">
        <v>892</v>
      </c>
    </row>
    <row r="142" spans="1:60" ht="14.5">
      <c r="A142" s="9" t="s">
        <v>893</v>
      </c>
      <c r="B142" s="9" t="s">
        <v>894</v>
      </c>
      <c r="C142" s="9" t="s">
        <v>895</v>
      </c>
      <c r="D142" s="9" t="s">
        <v>870</v>
      </c>
      <c r="E142" s="9" t="s">
        <v>49</v>
      </c>
      <c r="F142" s="9" t="s">
        <v>69</v>
      </c>
      <c r="G142" s="9" t="s">
        <v>70</v>
      </c>
      <c r="H142" s="9" t="s">
        <v>871</v>
      </c>
      <c r="I142" s="9" t="s">
        <v>72</v>
      </c>
      <c r="J142" s="10"/>
      <c r="K142" s="10"/>
      <c r="L142" s="10">
        <v>44707</v>
      </c>
      <c r="M142" s="10">
        <v>44805</v>
      </c>
      <c r="N142" s="9">
        <v>2022</v>
      </c>
      <c r="O142" s="9" t="s">
        <v>872</v>
      </c>
      <c r="P142" s="9" t="s">
        <v>83</v>
      </c>
      <c r="Q142" s="9" t="s">
        <v>83</v>
      </c>
      <c r="R142" s="9" t="s">
        <v>896</v>
      </c>
      <c r="T142" s="9"/>
      <c r="V142" s="9"/>
      <c r="W142" s="11">
        <f>IFERROR(VLOOKUP(B142, PlumX_snapshot!$A:$B, 2, FALSE), " ")</f>
        <v>3</v>
      </c>
      <c r="X142" s="11">
        <f>IFERROR(VLOOKUP(B142, PlumX_snapshot!$A:$C, 3, FALSE), " ")</f>
        <v>1</v>
      </c>
      <c r="Y142" s="12">
        <f>IFERROR(VLOOKUP(B142, PlumX_snapshot!$A:$D, 4, FALSE), " ")</f>
        <v>13</v>
      </c>
      <c r="Z142" s="12">
        <f>IFERROR(VLOOKUP(B142, PlumX_snapshot!$A:$E, 5, FALSE), " ")</f>
        <v>0</v>
      </c>
      <c r="AA142" s="12">
        <f>IFERROR(VLOOKUP(B142, PlumX_snapshot!$A:$F, 6, FALSE), " ")</f>
        <v>0</v>
      </c>
      <c r="AB142" s="13">
        <v>44978</v>
      </c>
      <c r="AC142" s="9" t="s">
        <v>897</v>
      </c>
      <c r="AH142" s="18">
        <v>2910</v>
      </c>
      <c r="AI142" s="19" t="s">
        <v>875</v>
      </c>
      <c r="AJ142" s="11" t="s">
        <v>301</v>
      </c>
      <c r="AK142" s="11" t="str">
        <f t="shared" si="0"/>
        <v>2022GBP</v>
      </c>
      <c r="AL142" s="11">
        <f>VLOOKUP(AK142, Exchange_rates!$C:$D, 2, FALSE)</f>
        <v>1</v>
      </c>
      <c r="AM142" s="14">
        <f t="shared" si="1"/>
        <v>3492</v>
      </c>
      <c r="AN142" s="9"/>
      <c r="AO142" s="9"/>
      <c r="AP142" s="9"/>
      <c r="AQ142" s="15" t="s">
        <v>49</v>
      </c>
      <c r="AS142" s="16" t="s">
        <v>898</v>
      </c>
    </row>
    <row r="143" spans="1:60" ht="14.5">
      <c r="A143" s="9" t="s">
        <v>899</v>
      </c>
      <c r="B143" s="9" t="s">
        <v>900</v>
      </c>
      <c r="C143" s="9" t="s">
        <v>901</v>
      </c>
      <c r="D143" s="9" t="s">
        <v>870</v>
      </c>
      <c r="E143" s="9" t="s">
        <v>49</v>
      </c>
      <c r="F143" s="9" t="s">
        <v>69</v>
      </c>
      <c r="G143" s="9" t="s">
        <v>70</v>
      </c>
      <c r="H143" s="9" t="s">
        <v>871</v>
      </c>
      <c r="I143" s="9" t="s">
        <v>72</v>
      </c>
      <c r="J143" s="10"/>
      <c r="K143" s="10"/>
      <c r="L143" s="10">
        <v>44673</v>
      </c>
      <c r="M143" s="10"/>
      <c r="N143" s="9">
        <v>2022</v>
      </c>
      <c r="O143" s="9" t="s">
        <v>872</v>
      </c>
      <c r="P143" s="9" t="s">
        <v>53</v>
      </c>
      <c r="Q143" s="9" t="s">
        <v>53</v>
      </c>
      <c r="T143" s="9"/>
      <c r="V143" s="9"/>
      <c r="W143" s="11">
        <f>IFERROR(VLOOKUP(B143, PlumX_snapshot!$A:$B, 2, FALSE), " ")</f>
        <v>8</v>
      </c>
      <c r="X143" s="11">
        <f>IFERROR(VLOOKUP(B143, PlumX_snapshot!$A:$C, 3, FALSE), " ")</f>
        <v>0</v>
      </c>
      <c r="Y143" s="12">
        <f>IFERROR(VLOOKUP(B143, PlumX_snapshot!$A:$D, 4, FALSE), " ")</f>
        <v>8</v>
      </c>
      <c r="Z143" s="12">
        <f>IFERROR(VLOOKUP(B143, PlumX_snapshot!$A:$E, 5, FALSE), " ")</f>
        <v>0</v>
      </c>
      <c r="AA143" s="12">
        <f>IFERROR(VLOOKUP(B143, PlumX_snapshot!$A:$F, 6, FALSE), " ")</f>
        <v>0</v>
      </c>
      <c r="AB143" s="13">
        <v>44978</v>
      </c>
      <c r="AC143" s="9" t="s">
        <v>902</v>
      </c>
      <c r="AH143" s="18">
        <v>2770</v>
      </c>
      <c r="AI143" s="19" t="s">
        <v>875</v>
      </c>
      <c r="AJ143" s="11" t="s">
        <v>301</v>
      </c>
      <c r="AK143" s="11" t="str">
        <f t="shared" si="0"/>
        <v>2022GBP</v>
      </c>
      <c r="AL143" s="11">
        <f>VLOOKUP(AK143, Exchange_rates!$C:$D, 2, FALSE)</f>
        <v>1</v>
      </c>
      <c r="AM143" s="14">
        <f t="shared" si="1"/>
        <v>3324</v>
      </c>
      <c r="AN143" s="9"/>
      <c r="AO143" s="9"/>
      <c r="AP143" s="9"/>
      <c r="AQ143" s="15" t="s">
        <v>49</v>
      </c>
      <c r="AR143" t="s">
        <v>903</v>
      </c>
      <c r="AS143" s="16" t="s">
        <v>904</v>
      </c>
    </row>
    <row r="144" spans="1:60" ht="14.5">
      <c r="A144" s="9" t="s">
        <v>905</v>
      </c>
      <c r="B144" s="9" t="s">
        <v>906</v>
      </c>
      <c r="C144" s="9" t="s">
        <v>907</v>
      </c>
      <c r="D144" s="9" t="s">
        <v>870</v>
      </c>
      <c r="E144" s="9" t="s">
        <v>49</v>
      </c>
      <c r="F144" s="9" t="s">
        <v>69</v>
      </c>
      <c r="G144" s="9" t="s">
        <v>70</v>
      </c>
      <c r="H144" s="9" t="s">
        <v>871</v>
      </c>
      <c r="I144" s="9" t="s">
        <v>72</v>
      </c>
      <c r="J144" s="10"/>
      <c r="K144" s="10"/>
      <c r="L144" s="10">
        <v>44672</v>
      </c>
      <c r="M144" s="10"/>
      <c r="N144" s="9">
        <v>2022</v>
      </c>
      <c r="O144" s="9" t="s">
        <v>872</v>
      </c>
      <c r="P144" s="9" t="s">
        <v>53</v>
      </c>
      <c r="Q144" s="9" t="s">
        <v>53</v>
      </c>
      <c r="R144" s="9" t="s">
        <v>908</v>
      </c>
      <c r="T144" s="9"/>
      <c r="V144" s="9"/>
      <c r="W144" s="11">
        <f>IFERROR(VLOOKUP(B144, PlumX_snapshot!$A:$B, 2, FALSE), " ")</f>
        <v>10</v>
      </c>
      <c r="X144" s="11">
        <f>IFERROR(VLOOKUP(B144, PlumX_snapshot!$A:$C, 3, FALSE), " ")</f>
        <v>3</v>
      </c>
      <c r="Y144" s="12">
        <f>IFERROR(VLOOKUP(B144, PlumX_snapshot!$A:$D, 4, FALSE), " ")</f>
        <v>33</v>
      </c>
      <c r="Z144" s="12">
        <f>IFERROR(VLOOKUP(B144, PlumX_snapshot!$A:$E, 5, FALSE), " ")</f>
        <v>0</v>
      </c>
      <c r="AA144" s="12">
        <f>IFERROR(VLOOKUP(B144, PlumX_snapshot!$A:$F, 6, FALSE), " ")</f>
        <v>0</v>
      </c>
      <c r="AB144" s="13">
        <v>44978</v>
      </c>
      <c r="AC144" s="9" t="s">
        <v>909</v>
      </c>
      <c r="AH144" s="18">
        <v>2190</v>
      </c>
      <c r="AI144" s="19" t="s">
        <v>875</v>
      </c>
      <c r="AJ144" s="11" t="s">
        <v>301</v>
      </c>
      <c r="AK144" s="11" t="str">
        <f t="shared" si="0"/>
        <v>2022GBP</v>
      </c>
      <c r="AL144" s="11">
        <f>VLOOKUP(AK144, Exchange_rates!$C:$D, 2, FALSE)</f>
        <v>1</v>
      </c>
      <c r="AM144" s="14">
        <f t="shared" si="1"/>
        <v>2628</v>
      </c>
      <c r="AN144" s="9"/>
      <c r="AO144" s="9"/>
      <c r="AP144" s="9"/>
      <c r="AQ144" s="15" t="s">
        <v>49</v>
      </c>
      <c r="AS144" s="16" t="s">
        <v>910</v>
      </c>
    </row>
    <row r="145" spans="1:45" ht="14.5">
      <c r="A145" s="9" t="s">
        <v>911</v>
      </c>
      <c r="B145" s="9" t="s">
        <v>912</v>
      </c>
      <c r="C145" s="9" t="s">
        <v>913</v>
      </c>
      <c r="D145" s="9" t="s">
        <v>870</v>
      </c>
      <c r="E145" s="9" t="s">
        <v>49</v>
      </c>
      <c r="F145" s="9" t="s">
        <v>69</v>
      </c>
      <c r="G145" s="9" t="s">
        <v>70</v>
      </c>
      <c r="H145" s="9" t="s">
        <v>871</v>
      </c>
      <c r="I145" s="9" t="s">
        <v>72</v>
      </c>
      <c r="J145" s="10"/>
      <c r="K145" s="10"/>
      <c r="L145" s="10">
        <v>44679</v>
      </c>
      <c r="M145" s="10">
        <v>44713</v>
      </c>
      <c r="N145" s="9">
        <v>2022</v>
      </c>
      <c r="O145" s="9" t="s">
        <v>872</v>
      </c>
      <c r="P145" s="9" t="s">
        <v>83</v>
      </c>
      <c r="Q145" s="9" t="s">
        <v>83</v>
      </c>
      <c r="R145" s="9" t="s">
        <v>914</v>
      </c>
      <c r="T145" s="9"/>
      <c r="V145" s="9"/>
      <c r="W145" s="11">
        <f>IFERROR(VLOOKUP(B145, PlumX_snapshot!$A:$B, 2, FALSE), " ")</f>
        <v>39</v>
      </c>
      <c r="X145" s="11">
        <f>IFERROR(VLOOKUP(B145, PlumX_snapshot!$A:$C, 3, FALSE), " ")</f>
        <v>0</v>
      </c>
      <c r="Y145" s="12">
        <f>IFERROR(VLOOKUP(B145, PlumX_snapshot!$A:$D, 4, FALSE), " ")</f>
        <v>15</v>
      </c>
      <c r="Z145" s="12">
        <f>IFERROR(VLOOKUP(B145, PlumX_snapshot!$A:$E, 5, FALSE), " ")</f>
        <v>0</v>
      </c>
      <c r="AA145" s="12">
        <f>IFERROR(VLOOKUP(B145, PlumX_snapshot!$A:$F, 6, FALSE), " ")</f>
        <v>0</v>
      </c>
      <c r="AB145" s="13">
        <v>44978</v>
      </c>
      <c r="AC145" s="9" t="s">
        <v>915</v>
      </c>
      <c r="AH145" s="18">
        <v>2690</v>
      </c>
      <c r="AI145" s="19" t="s">
        <v>875</v>
      </c>
      <c r="AJ145" s="11" t="s">
        <v>301</v>
      </c>
      <c r="AK145" s="11" t="str">
        <f t="shared" si="0"/>
        <v>2022GBP</v>
      </c>
      <c r="AL145" s="11">
        <f>VLOOKUP(AK145, Exchange_rates!$C:$D, 2, FALSE)</f>
        <v>1</v>
      </c>
      <c r="AM145" s="14">
        <f t="shared" si="1"/>
        <v>3228</v>
      </c>
      <c r="AN145" s="9"/>
      <c r="AO145" s="9"/>
      <c r="AP145" s="9"/>
      <c r="AQ145" s="15" t="s">
        <v>49</v>
      </c>
      <c r="AS145" s="16" t="s">
        <v>916</v>
      </c>
    </row>
    <row r="146" spans="1:45" ht="14.5">
      <c r="A146" s="9" t="s">
        <v>917</v>
      </c>
      <c r="B146" s="9" t="s">
        <v>918</v>
      </c>
      <c r="C146" s="9" t="s">
        <v>919</v>
      </c>
      <c r="D146" s="9" t="s">
        <v>870</v>
      </c>
      <c r="E146" s="9" t="s">
        <v>49</v>
      </c>
      <c r="F146" s="9" t="s">
        <v>69</v>
      </c>
      <c r="G146" s="9" t="s">
        <v>70</v>
      </c>
      <c r="H146" s="9" t="s">
        <v>871</v>
      </c>
      <c r="I146" s="9" t="s">
        <v>72</v>
      </c>
      <c r="J146" s="10"/>
      <c r="K146" s="10"/>
      <c r="L146" s="10">
        <v>44706</v>
      </c>
      <c r="M146" s="10"/>
      <c r="N146" s="9">
        <v>2022</v>
      </c>
      <c r="O146" s="9" t="s">
        <v>872</v>
      </c>
      <c r="P146" s="9" t="s">
        <v>83</v>
      </c>
      <c r="Q146" s="9" t="s">
        <v>53</v>
      </c>
      <c r="R146" s="9" t="s">
        <v>920</v>
      </c>
      <c r="T146" s="9"/>
      <c r="V146" s="9"/>
      <c r="W146" s="11">
        <f>IFERROR(VLOOKUP(B146, PlumX_snapshot!$A:$B, 2, FALSE), " ")</f>
        <v>10</v>
      </c>
      <c r="X146" s="11">
        <f>IFERROR(VLOOKUP(B146, PlumX_snapshot!$A:$C, 3, FALSE), " ")</f>
        <v>1</v>
      </c>
      <c r="Y146" s="12">
        <f>IFERROR(VLOOKUP(B146, PlumX_snapshot!$A:$D, 4, FALSE), " ")</f>
        <v>20</v>
      </c>
      <c r="Z146" s="12">
        <f>IFERROR(VLOOKUP(B146, PlumX_snapshot!$A:$E, 5, FALSE), " ")</f>
        <v>0</v>
      </c>
      <c r="AA146" s="12">
        <f>IFERROR(VLOOKUP(B146, PlumX_snapshot!$A:$F, 6, FALSE), " ")</f>
        <v>0</v>
      </c>
      <c r="AB146" s="13">
        <v>44978</v>
      </c>
      <c r="AC146" s="9" t="s">
        <v>921</v>
      </c>
      <c r="AH146" s="18">
        <v>2710</v>
      </c>
      <c r="AI146" s="19" t="s">
        <v>875</v>
      </c>
      <c r="AJ146" s="11" t="s">
        <v>301</v>
      </c>
      <c r="AK146" s="11" t="str">
        <f t="shared" si="0"/>
        <v>2022GBP</v>
      </c>
      <c r="AL146" s="11">
        <f>VLOOKUP(AK146, Exchange_rates!$C:$D, 2, FALSE)</f>
        <v>1</v>
      </c>
      <c r="AM146" s="14">
        <f t="shared" si="1"/>
        <v>3252</v>
      </c>
      <c r="AN146" s="9"/>
      <c r="AO146" s="9"/>
      <c r="AP146" s="9"/>
      <c r="AQ146" s="15" t="s">
        <v>49</v>
      </c>
      <c r="AR146" t="s">
        <v>922</v>
      </c>
      <c r="AS146" s="16" t="s">
        <v>922</v>
      </c>
    </row>
    <row r="147" spans="1:45" ht="14.5">
      <c r="A147" s="9" t="s">
        <v>923</v>
      </c>
      <c r="B147" s="9" t="s">
        <v>924</v>
      </c>
      <c r="C147" s="9" t="s">
        <v>913</v>
      </c>
      <c r="D147" s="9" t="s">
        <v>870</v>
      </c>
      <c r="E147" s="9" t="s">
        <v>49</v>
      </c>
      <c r="F147" s="9" t="s">
        <v>69</v>
      </c>
      <c r="G147" s="9" t="s">
        <v>70</v>
      </c>
      <c r="H147" s="9" t="s">
        <v>871</v>
      </c>
      <c r="I147" s="9" t="s">
        <v>291</v>
      </c>
      <c r="J147" s="10"/>
      <c r="K147" s="10"/>
      <c r="L147" s="10">
        <v>44706</v>
      </c>
      <c r="M147" s="10"/>
      <c r="N147" s="9">
        <v>2022</v>
      </c>
      <c r="O147" s="9" t="s">
        <v>872</v>
      </c>
      <c r="P147" s="9" t="s">
        <v>53</v>
      </c>
      <c r="Q147" s="9" t="s">
        <v>53</v>
      </c>
      <c r="T147" s="9"/>
      <c r="V147" s="9"/>
      <c r="W147" s="11">
        <f>IFERROR(VLOOKUP(B147, PlumX_snapshot!$A:$B, 2, FALSE), " ")</f>
        <v>61</v>
      </c>
      <c r="X147" s="11">
        <f>IFERROR(VLOOKUP(B147, PlumX_snapshot!$A:$C, 3, FALSE), " ")</f>
        <v>0</v>
      </c>
      <c r="Y147" s="12">
        <f>IFERROR(VLOOKUP(B147, PlumX_snapshot!$A:$D, 4, FALSE), " ")</f>
        <v>21</v>
      </c>
      <c r="Z147" s="12">
        <f>IFERROR(VLOOKUP(B147, PlumX_snapshot!$A:$E, 5, FALSE), " ")</f>
        <v>0</v>
      </c>
      <c r="AA147" s="12">
        <f>IFERROR(VLOOKUP(B147, PlumX_snapshot!$A:$F, 6, FALSE), " ")</f>
        <v>0</v>
      </c>
      <c r="AB147" s="13">
        <v>44978</v>
      </c>
      <c r="AC147" s="9" t="s">
        <v>925</v>
      </c>
      <c r="AH147" s="18">
        <v>2690</v>
      </c>
      <c r="AI147" s="19" t="s">
        <v>875</v>
      </c>
      <c r="AJ147" s="11" t="s">
        <v>301</v>
      </c>
      <c r="AK147" s="11" t="str">
        <f t="shared" si="0"/>
        <v>2022GBP</v>
      </c>
      <c r="AL147" s="11">
        <f>VLOOKUP(AK147, Exchange_rates!$C:$D, 2, FALSE)</f>
        <v>1</v>
      </c>
      <c r="AM147" s="14">
        <f t="shared" si="1"/>
        <v>3228</v>
      </c>
      <c r="AN147" s="9"/>
      <c r="AO147" s="9"/>
      <c r="AP147" s="9"/>
      <c r="AQ147" s="15" t="s">
        <v>49</v>
      </c>
      <c r="AS147" s="16" t="s">
        <v>916</v>
      </c>
    </row>
    <row r="148" spans="1:45" ht="14.5">
      <c r="A148" s="9" t="s">
        <v>926</v>
      </c>
      <c r="B148" s="9" t="s">
        <v>927</v>
      </c>
      <c r="C148" s="9" t="s">
        <v>928</v>
      </c>
      <c r="D148" s="9" t="s">
        <v>870</v>
      </c>
      <c r="E148" s="9" t="s">
        <v>49</v>
      </c>
      <c r="F148" s="9" t="s">
        <v>69</v>
      </c>
      <c r="G148" s="9" t="s">
        <v>70</v>
      </c>
      <c r="H148" s="9" t="s">
        <v>871</v>
      </c>
      <c r="I148" s="9" t="s">
        <v>72</v>
      </c>
      <c r="J148" s="10"/>
      <c r="K148" s="10"/>
      <c r="L148" s="10">
        <v>44676</v>
      </c>
      <c r="M148" s="10"/>
      <c r="N148" s="9">
        <v>2022</v>
      </c>
      <c r="O148" s="9" t="s">
        <v>872</v>
      </c>
      <c r="P148" s="9" t="s">
        <v>83</v>
      </c>
      <c r="Q148" s="9" t="s">
        <v>53</v>
      </c>
      <c r="R148" s="9" t="s">
        <v>929</v>
      </c>
      <c r="T148" s="9"/>
      <c r="V148" s="9"/>
      <c r="W148" s="11">
        <f>IFERROR(VLOOKUP(B148, PlumX_snapshot!$A:$B, 2, FALSE), " ")</f>
        <v>3</v>
      </c>
      <c r="X148" s="11">
        <f>IFERROR(VLOOKUP(B148, PlumX_snapshot!$A:$C, 3, FALSE), " ")</f>
        <v>1</v>
      </c>
      <c r="Y148" s="12">
        <f>IFERROR(VLOOKUP(B148, PlumX_snapshot!$A:$D, 4, FALSE), " ")</f>
        <v>0</v>
      </c>
      <c r="Z148" s="12">
        <f>IFERROR(VLOOKUP(B148, PlumX_snapshot!$A:$E, 5, FALSE), " ")</f>
        <v>0</v>
      </c>
      <c r="AA148" s="12">
        <f>IFERROR(VLOOKUP(B148, PlumX_snapshot!$A:$F, 6, FALSE), " ")</f>
        <v>0</v>
      </c>
      <c r="AB148" s="13">
        <v>44978</v>
      </c>
      <c r="AC148" s="9" t="s">
        <v>930</v>
      </c>
      <c r="AH148" s="18">
        <v>2560</v>
      </c>
      <c r="AI148" s="19" t="s">
        <v>875</v>
      </c>
      <c r="AJ148" s="11" t="s">
        <v>301</v>
      </c>
      <c r="AK148" s="11" t="str">
        <f t="shared" si="0"/>
        <v>2022GBP</v>
      </c>
      <c r="AL148" s="11">
        <f>VLOOKUP(AK148, Exchange_rates!$C:$D, 2, FALSE)</f>
        <v>1</v>
      </c>
      <c r="AM148" s="14">
        <f t="shared" si="1"/>
        <v>3072</v>
      </c>
      <c r="AN148" s="9"/>
      <c r="AO148" s="9"/>
      <c r="AP148" s="9"/>
      <c r="AQ148" s="15" t="s">
        <v>49</v>
      </c>
      <c r="AS148" s="16" t="s">
        <v>931</v>
      </c>
    </row>
    <row r="149" spans="1:45" ht="14.5">
      <c r="A149" s="9" t="s">
        <v>932</v>
      </c>
      <c r="B149" s="9" t="s">
        <v>933</v>
      </c>
      <c r="C149" s="9" t="s">
        <v>934</v>
      </c>
      <c r="D149" s="9" t="s">
        <v>870</v>
      </c>
      <c r="E149" s="9" t="s">
        <v>49</v>
      </c>
      <c r="F149" s="9" t="s">
        <v>69</v>
      </c>
      <c r="G149" s="9" t="s">
        <v>70</v>
      </c>
      <c r="H149" s="9" t="s">
        <v>871</v>
      </c>
      <c r="I149" s="9" t="s">
        <v>72</v>
      </c>
      <c r="J149" s="10"/>
      <c r="K149" s="10"/>
      <c r="L149" s="10">
        <v>44691</v>
      </c>
      <c r="M149" s="10"/>
      <c r="N149" s="9">
        <v>2022</v>
      </c>
      <c r="O149" s="9" t="s">
        <v>872</v>
      </c>
      <c r="P149" s="9" t="s">
        <v>83</v>
      </c>
      <c r="Q149" s="9" t="s">
        <v>53</v>
      </c>
      <c r="R149" s="9" t="s">
        <v>935</v>
      </c>
      <c r="T149" s="9"/>
      <c r="V149" s="9"/>
      <c r="W149" s="11">
        <f>IFERROR(VLOOKUP(B149, PlumX_snapshot!$A:$B, 2, FALSE), " ")</f>
        <v>15</v>
      </c>
      <c r="X149" s="11">
        <f>IFERROR(VLOOKUP(B149, PlumX_snapshot!$A:$C, 3, FALSE), " ")</f>
        <v>0</v>
      </c>
      <c r="Y149" s="12">
        <f>IFERROR(VLOOKUP(B149, PlumX_snapshot!$A:$D, 4, FALSE), " ")</f>
        <v>34</v>
      </c>
      <c r="Z149" s="12">
        <f>IFERROR(VLOOKUP(B149, PlumX_snapshot!$A:$E, 5, FALSE), " ")</f>
        <v>0</v>
      </c>
      <c r="AA149" s="12">
        <f>IFERROR(VLOOKUP(B149, PlumX_snapshot!$A:$F, 6, FALSE), " ")</f>
        <v>0</v>
      </c>
      <c r="AB149" s="13">
        <v>44978</v>
      </c>
      <c r="AC149" s="9" t="s">
        <v>936</v>
      </c>
      <c r="AH149" s="18">
        <v>1200</v>
      </c>
      <c r="AI149" s="19" t="s">
        <v>875</v>
      </c>
      <c r="AJ149" s="11" t="s">
        <v>301</v>
      </c>
      <c r="AK149" s="11" t="str">
        <f t="shared" si="0"/>
        <v>2022GBP</v>
      </c>
      <c r="AL149" s="11">
        <f>VLOOKUP(AK149, Exchange_rates!$C:$D, 2, FALSE)</f>
        <v>1</v>
      </c>
      <c r="AM149" s="14">
        <f t="shared" si="1"/>
        <v>1440</v>
      </c>
      <c r="AN149" s="9"/>
      <c r="AO149" s="9"/>
      <c r="AP149" s="9"/>
      <c r="AQ149" s="15" t="s">
        <v>49</v>
      </c>
      <c r="AS149" s="16" t="s">
        <v>937</v>
      </c>
    </row>
    <row r="150" spans="1:45" ht="14.5">
      <c r="A150" s="9" t="s">
        <v>938</v>
      </c>
      <c r="B150" s="9" t="s">
        <v>939</v>
      </c>
      <c r="C150" s="9" t="s">
        <v>940</v>
      </c>
      <c r="D150" s="9" t="s">
        <v>870</v>
      </c>
      <c r="E150" s="9" t="s">
        <v>49</v>
      </c>
      <c r="F150" s="9" t="s">
        <v>69</v>
      </c>
      <c r="G150" s="9" t="s">
        <v>70</v>
      </c>
      <c r="H150" s="9" t="s">
        <v>871</v>
      </c>
      <c r="I150" s="9" t="s">
        <v>72</v>
      </c>
      <c r="J150" s="10"/>
      <c r="K150" s="10"/>
      <c r="L150" s="10">
        <v>44691</v>
      </c>
      <c r="M150" s="10"/>
      <c r="N150" s="9">
        <v>2022</v>
      </c>
      <c r="O150" s="9" t="s">
        <v>872</v>
      </c>
      <c r="P150" s="9" t="s">
        <v>83</v>
      </c>
      <c r="Q150" s="9" t="s">
        <v>53</v>
      </c>
      <c r="R150" s="9" t="s">
        <v>941</v>
      </c>
      <c r="T150" s="9"/>
      <c r="V150" s="9"/>
      <c r="W150" s="11">
        <f>IFERROR(VLOOKUP(B150, PlumX_snapshot!$A:$B, 2, FALSE), " ")</f>
        <v>39</v>
      </c>
      <c r="X150" s="11">
        <f>IFERROR(VLOOKUP(B150, PlumX_snapshot!$A:$C, 3, FALSE), " ")</f>
        <v>0</v>
      </c>
      <c r="Y150" s="12">
        <f>IFERROR(VLOOKUP(B150, PlumX_snapshot!$A:$D, 4, FALSE), " ")</f>
        <v>21</v>
      </c>
      <c r="Z150" s="12">
        <f>IFERROR(VLOOKUP(B150, PlumX_snapshot!$A:$E, 5, FALSE), " ")</f>
        <v>0</v>
      </c>
      <c r="AA150" s="12">
        <f>IFERROR(VLOOKUP(B150, PlumX_snapshot!$A:$F, 6, FALSE), " ")</f>
        <v>0</v>
      </c>
      <c r="AB150" s="13">
        <v>44978</v>
      </c>
      <c r="AC150" s="9" t="s">
        <v>942</v>
      </c>
      <c r="AH150" s="18">
        <v>2640</v>
      </c>
      <c r="AI150" s="19" t="s">
        <v>875</v>
      </c>
      <c r="AJ150" s="11" t="s">
        <v>301</v>
      </c>
      <c r="AK150" s="11" t="str">
        <f t="shared" si="0"/>
        <v>2022GBP</v>
      </c>
      <c r="AL150" s="11">
        <f>VLOOKUP(AK150, Exchange_rates!$C:$D, 2, FALSE)</f>
        <v>1</v>
      </c>
      <c r="AM150" s="14">
        <f t="shared" si="1"/>
        <v>3168</v>
      </c>
      <c r="AN150" s="9"/>
      <c r="AO150" s="9"/>
      <c r="AP150" s="9"/>
      <c r="AQ150" s="15" t="s">
        <v>49</v>
      </c>
      <c r="AR150" t="s">
        <v>943</v>
      </c>
      <c r="AS150" s="16"/>
    </row>
    <row r="151" spans="1:45" ht="14.5">
      <c r="A151" s="9" t="s">
        <v>944</v>
      </c>
      <c r="B151" s="9" t="s">
        <v>945</v>
      </c>
      <c r="C151" s="9" t="s">
        <v>946</v>
      </c>
      <c r="D151" s="9" t="s">
        <v>870</v>
      </c>
      <c r="E151" s="9" t="s">
        <v>49</v>
      </c>
      <c r="F151" s="9" t="s">
        <v>69</v>
      </c>
      <c r="G151" s="9" t="s">
        <v>70</v>
      </c>
      <c r="H151" s="9" t="s">
        <v>871</v>
      </c>
      <c r="I151" s="9" t="s">
        <v>72</v>
      </c>
      <c r="J151" s="10"/>
      <c r="K151" s="10"/>
      <c r="L151" s="10">
        <v>44704</v>
      </c>
      <c r="M151" s="10"/>
      <c r="N151" s="9">
        <v>2022</v>
      </c>
      <c r="O151" s="9" t="s">
        <v>872</v>
      </c>
      <c r="P151" s="9" t="s">
        <v>83</v>
      </c>
      <c r="Q151" s="9" t="s">
        <v>53</v>
      </c>
      <c r="R151" s="9" t="s">
        <v>947</v>
      </c>
      <c r="T151" s="9"/>
      <c r="V151" s="9"/>
      <c r="W151" s="11">
        <f>IFERROR(VLOOKUP(B151, PlumX_snapshot!$A:$B, 2, FALSE), " ")</f>
        <v>1</v>
      </c>
      <c r="X151" s="11">
        <f>IFERROR(VLOOKUP(B151, PlumX_snapshot!$A:$C, 3, FALSE), " ")</f>
        <v>3</v>
      </c>
      <c r="Y151" s="12">
        <f>IFERROR(VLOOKUP(B151, PlumX_snapshot!$A:$D, 4, FALSE), " ")</f>
        <v>10</v>
      </c>
      <c r="Z151" s="12">
        <f>IFERROR(VLOOKUP(B151, PlumX_snapshot!$A:$E, 5, FALSE), " ")</f>
        <v>5</v>
      </c>
      <c r="AA151" s="12">
        <f>IFERROR(VLOOKUP(B151, PlumX_snapshot!$A:$F, 6, FALSE), " ")</f>
        <v>0</v>
      </c>
      <c r="AB151" s="13">
        <v>44978</v>
      </c>
      <c r="AC151" s="9" t="s">
        <v>948</v>
      </c>
      <c r="AH151" s="18">
        <v>2760</v>
      </c>
      <c r="AI151" s="19" t="s">
        <v>875</v>
      </c>
      <c r="AJ151" s="11" t="s">
        <v>301</v>
      </c>
      <c r="AK151" s="11" t="str">
        <f t="shared" si="0"/>
        <v>2022GBP</v>
      </c>
      <c r="AL151" s="11">
        <f>VLOOKUP(AK151, Exchange_rates!$C:$D, 2, FALSE)</f>
        <v>1</v>
      </c>
      <c r="AM151" s="14">
        <f t="shared" si="1"/>
        <v>3312</v>
      </c>
      <c r="AN151" s="9"/>
      <c r="AO151" s="9"/>
      <c r="AP151" s="9"/>
      <c r="AQ151" s="15" t="s">
        <v>49</v>
      </c>
      <c r="AR151" t="s">
        <v>949</v>
      </c>
      <c r="AS151" s="16" t="s">
        <v>950</v>
      </c>
    </row>
    <row r="152" spans="1:45" ht="14.5">
      <c r="A152" s="9" t="s">
        <v>951</v>
      </c>
      <c r="B152" s="9" t="s">
        <v>952</v>
      </c>
      <c r="C152" s="9" t="s">
        <v>953</v>
      </c>
      <c r="D152" s="9" t="s">
        <v>870</v>
      </c>
      <c r="E152" s="9" t="s">
        <v>49</v>
      </c>
      <c r="F152" s="9" t="s">
        <v>69</v>
      </c>
      <c r="G152" s="9" t="s">
        <v>70</v>
      </c>
      <c r="H152" s="9" t="s">
        <v>871</v>
      </c>
      <c r="I152" s="9" t="s">
        <v>72</v>
      </c>
      <c r="J152" s="10"/>
      <c r="K152" s="10"/>
      <c r="L152" s="10">
        <v>44718</v>
      </c>
      <c r="M152" s="10"/>
      <c r="N152" s="9">
        <v>2022</v>
      </c>
      <c r="O152" s="9" t="s">
        <v>872</v>
      </c>
      <c r="P152" s="9" t="s">
        <v>83</v>
      </c>
      <c r="Q152" s="9" t="s">
        <v>53</v>
      </c>
      <c r="R152" s="9" t="s">
        <v>954</v>
      </c>
      <c r="T152" s="9"/>
      <c r="V152" s="9"/>
      <c r="W152" s="11">
        <f>IFERROR(VLOOKUP(B152, PlumX_snapshot!$A:$B, 2, FALSE), " ")</f>
        <v>6</v>
      </c>
      <c r="X152" s="11">
        <f>IFERROR(VLOOKUP(B152, PlumX_snapshot!$A:$C, 3, FALSE), " ")</f>
        <v>0</v>
      </c>
      <c r="Y152" s="12">
        <f>IFERROR(VLOOKUP(B152, PlumX_snapshot!$A:$D, 4, FALSE), " ")</f>
        <v>0</v>
      </c>
      <c r="Z152" s="12">
        <f>IFERROR(VLOOKUP(B152, PlumX_snapshot!$A:$E, 5, FALSE), " ")</f>
        <v>0</v>
      </c>
      <c r="AA152" s="12">
        <f>IFERROR(VLOOKUP(B152, PlumX_snapshot!$A:$F, 6, FALSE), " ")</f>
        <v>0</v>
      </c>
      <c r="AB152" s="13">
        <v>44978</v>
      </c>
      <c r="AC152" s="9" t="s">
        <v>955</v>
      </c>
      <c r="AH152" s="18">
        <v>2600</v>
      </c>
      <c r="AI152" s="19" t="s">
        <v>875</v>
      </c>
      <c r="AJ152" s="11" t="s">
        <v>301</v>
      </c>
      <c r="AK152" s="11" t="str">
        <f t="shared" si="0"/>
        <v>2022GBP</v>
      </c>
      <c r="AL152" s="11">
        <f>VLOOKUP(AK152, Exchange_rates!$C:$D, 2, FALSE)</f>
        <v>1</v>
      </c>
      <c r="AM152" s="14">
        <f t="shared" si="1"/>
        <v>3120</v>
      </c>
      <c r="AN152" s="9"/>
      <c r="AO152" s="9"/>
      <c r="AP152" s="9"/>
      <c r="AQ152" s="15" t="s">
        <v>49</v>
      </c>
      <c r="AS152" s="16" t="s">
        <v>956</v>
      </c>
    </row>
    <row r="153" spans="1:45" ht="14.5">
      <c r="A153" s="9" t="s">
        <v>957</v>
      </c>
      <c r="B153" s="9" t="s">
        <v>958</v>
      </c>
      <c r="C153" s="9" t="s">
        <v>959</v>
      </c>
      <c r="D153" s="9" t="s">
        <v>870</v>
      </c>
      <c r="E153" s="9" t="s">
        <v>49</v>
      </c>
      <c r="F153" s="9" t="s">
        <v>69</v>
      </c>
      <c r="G153" s="9" t="s">
        <v>70</v>
      </c>
      <c r="H153" s="9" t="s">
        <v>871</v>
      </c>
      <c r="I153" s="9" t="s">
        <v>72</v>
      </c>
      <c r="J153" s="10"/>
      <c r="K153" s="10"/>
      <c r="L153" s="10">
        <v>44676</v>
      </c>
      <c r="M153" s="10"/>
      <c r="N153" s="9">
        <v>2022</v>
      </c>
      <c r="O153" s="9" t="s">
        <v>872</v>
      </c>
      <c r="P153" s="9" t="s">
        <v>53</v>
      </c>
      <c r="Q153" s="9" t="s">
        <v>53</v>
      </c>
      <c r="T153" s="9"/>
      <c r="V153" s="9"/>
      <c r="W153" s="11">
        <f>IFERROR(VLOOKUP(B153, PlumX_snapshot!$A:$B, 2, FALSE), " ")</f>
        <v>1</v>
      </c>
      <c r="X153" s="11">
        <f>IFERROR(VLOOKUP(B153, PlumX_snapshot!$A:$C, 3, FALSE), " ")</f>
        <v>2</v>
      </c>
      <c r="Y153" s="12">
        <f>IFERROR(VLOOKUP(B153, PlumX_snapshot!$A:$D, 4, FALSE), " ")</f>
        <v>0</v>
      </c>
      <c r="Z153" s="12">
        <f>IFERROR(VLOOKUP(B153, PlumX_snapshot!$A:$E, 5, FALSE), " ")</f>
        <v>0</v>
      </c>
      <c r="AA153" s="12">
        <f>IFERROR(VLOOKUP(B153, PlumX_snapshot!$A:$F, 6, FALSE), " ")</f>
        <v>0</v>
      </c>
      <c r="AB153" s="13">
        <v>44978</v>
      </c>
      <c r="AC153" s="9" t="s">
        <v>960</v>
      </c>
      <c r="AH153" s="18">
        <v>1870</v>
      </c>
      <c r="AI153" s="19" t="s">
        <v>875</v>
      </c>
      <c r="AJ153" s="11" t="s">
        <v>301</v>
      </c>
      <c r="AK153" s="11" t="str">
        <f t="shared" si="0"/>
        <v>2022GBP</v>
      </c>
      <c r="AL153" s="11">
        <f>VLOOKUP(AK153, Exchange_rates!$C:$D, 2, FALSE)</f>
        <v>1</v>
      </c>
      <c r="AM153" s="14">
        <f t="shared" si="1"/>
        <v>2244</v>
      </c>
      <c r="AN153" s="9"/>
      <c r="AO153" s="9"/>
      <c r="AP153" s="9"/>
      <c r="AQ153" s="15" t="s">
        <v>49</v>
      </c>
      <c r="AS153" s="16" t="s">
        <v>961</v>
      </c>
    </row>
    <row r="154" spans="1:45" ht="14.5">
      <c r="A154" s="9" t="s">
        <v>962</v>
      </c>
      <c r="B154" s="9" t="s">
        <v>963</v>
      </c>
      <c r="C154" s="9" t="s">
        <v>964</v>
      </c>
      <c r="D154" s="9" t="s">
        <v>870</v>
      </c>
      <c r="E154" s="9" t="s">
        <v>49</v>
      </c>
      <c r="F154" s="9" t="s">
        <v>69</v>
      </c>
      <c r="G154" s="9" t="s">
        <v>70</v>
      </c>
      <c r="H154" s="9" t="s">
        <v>871</v>
      </c>
      <c r="I154" s="9" t="s">
        <v>72</v>
      </c>
      <c r="J154" s="10"/>
      <c r="K154" s="10"/>
      <c r="L154" s="10">
        <v>44705</v>
      </c>
      <c r="M154" s="10"/>
      <c r="N154" s="9">
        <v>2022</v>
      </c>
      <c r="O154" s="9" t="s">
        <v>872</v>
      </c>
      <c r="P154" s="9" t="s">
        <v>53</v>
      </c>
      <c r="Q154" s="9" t="s">
        <v>53</v>
      </c>
      <c r="R154" s="9" t="s">
        <v>965</v>
      </c>
      <c r="T154" s="9"/>
      <c r="V154" s="9"/>
      <c r="W154" s="11">
        <f>IFERROR(VLOOKUP(B154, PlumX_snapshot!$A:$B, 2, FALSE), " ")</f>
        <v>3</v>
      </c>
      <c r="X154" s="11">
        <f>IFERROR(VLOOKUP(B154, PlumX_snapshot!$A:$C, 3, FALSE), " ")</f>
        <v>1</v>
      </c>
      <c r="Y154" s="12">
        <f>IFERROR(VLOOKUP(B154, PlumX_snapshot!$A:$D, 4, FALSE), " ")</f>
        <v>10</v>
      </c>
      <c r="Z154" s="12">
        <f>IFERROR(VLOOKUP(B154, PlumX_snapshot!$A:$E, 5, FALSE), " ")</f>
        <v>0</v>
      </c>
      <c r="AA154" s="12">
        <f>IFERROR(VLOOKUP(B154, PlumX_snapshot!$A:$F, 6, FALSE), " ")</f>
        <v>0</v>
      </c>
      <c r="AB154" s="13">
        <v>44978</v>
      </c>
      <c r="AC154" s="9" t="s">
        <v>966</v>
      </c>
      <c r="AH154" s="18">
        <v>2480</v>
      </c>
      <c r="AI154" s="19" t="s">
        <v>875</v>
      </c>
      <c r="AJ154" s="11" t="s">
        <v>301</v>
      </c>
      <c r="AK154" s="11" t="str">
        <f t="shared" si="0"/>
        <v>2022GBP</v>
      </c>
      <c r="AL154" s="11">
        <f>VLOOKUP(AK154, Exchange_rates!$C:$D, 2, FALSE)</f>
        <v>1</v>
      </c>
      <c r="AM154" s="14">
        <f t="shared" si="1"/>
        <v>2976</v>
      </c>
      <c r="AN154" s="9"/>
      <c r="AO154" s="9"/>
      <c r="AP154" s="9"/>
      <c r="AQ154" s="15" t="s">
        <v>49</v>
      </c>
      <c r="AS154" s="16" t="s">
        <v>967</v>
      </c>
    </row>
    <row r="155" spans="1:45" ht="14.5">
      <c r="A155" s="9" t="s">
        <v>968</v>
      </c>
      <c r="B155" s="9" t="s">
        <v>969</v>
      </c>
      <c r="C155" s="9" t="s">
        <v>970</v>
      </c>
      <c r="D155" s="9" t="s">
        <v>870</v>
      </c>
      <c r="E155" s="9" t="s">
        <v>49</v>
      </c>
      <c r="F155" s="9" t="s">
        <v>69</v>
      </c>
      <c r="G155" s="9" t="s">
        <v>70</v>
      </c>
      <c r="H155" s="9" t="s">
        <v>871</v>
      </c>
      <c r="I155" s="9" t="s">
        <v>72</v>
      </c>
      <c r="J155" s="10"/>
      <c r="K155" s="10"/>
      <c r="L155" s="10">
        <v>44706</v>
      </c>
      <c r="M155" s="10"/>
      <c r="N155" s="9">
        <v>2022</v>
      </c>
      <c r="O155" s="9" t="s">
        <v>872</v>
      </c>
      <c r="P155" s="9" t="s">
        <v>53</v>
      </c>
      <c r="Q155" s="9" t="s">
        <v>53</v>
      </c>
      <c r="T155" s="9"/>
      <c r="V155" s="9"/>
      <c r="W155" s="11">
        <f>IFERROR(VLOOKUP(B155, PlumX_snapshot!$A:$B, 2, FALSE), " ")</f>
        <v>24</v>
      </c>
      <c r="X155" s="11">
        <f>IFERROR(VLOOKUP(B155, PlumX_snapshot!$A:$C, 3, FALSE), " ")</f>
        <v>0</v>
      </c>
      <c r="Y155" s="12">
        <f>IFERROR(VLOOKUP(B155, PlumX_snapshot!$A:$D, 4, FALSE), " ")</f>
        <v>5</v>
      </c>
      <c r="Z155" s="12">
        <f>IFERROR(VLOOKUP(B155, PlumX_snapshot!$A:$E, 5, FALSE), " ")</f>
        <v>0</v>
      </c>
      <c r="AA155" s="12">
        <f>IFERROR(VLOOKUP(B155, PlumX_snapshot!$A:$F, 6, FALSE), " ")</f>
        <v>0</v>
      </c>
      <c r="AB155" s="13">
        <v>44978</v>
      </c>
      <c r="AC155" s="9" t="s">
        <v>971</v>
      </c>
      <c r="AH155" s="18">
        <v>2320</v>
      </c>
      <c r="AI155" s="19" t="s">
        <v>875</v>
      </c>
      <c r="AJ155" s="11" t="s">
        <v>301</v>
      </c>
      <c r="AK155" s="11" t="str">
        <f t="shared" si="0"/>
        <v>2022GBP</v>
      </c>
      <c r="AL155" s="11">
        <f>VLOOKUP(AK155, Exchange_rates!$C:$D, 2, FALSE)</f>
        <v>1</v>
      </c>
      <c r="AM155" s="14">
        <f t="shared" si="1"/>
        <v>2784</v>
      </c>
      <c r="AN155" s="9"/>
      <c r="AO155" s="9"/>
      <c r="AP155" s="9"/>
      <c r="AQ155" s="15" t="s">
        <v>49</v>
      </c>
      <c r="AS155" s="16" t="s">
        <v>972</v>
      </c>
    </row>
    <row r="156" spans="1:45" ht="14.5">
      <c r="A156" s="9" t="s">
        <v>973</v>
      </c>
      <c r="B156" s="9" t="s">
        <v>974</v>
      </c>
      <c r="C156" s="9" t="s">
        <v>975</v>
      </c>
      <c r="D156" s="9" t="s">
        <v>870</v>
      </c>
      <c r="E156" s="9" t="s">
        <v>49</v>
      </c>
      <c r="F156" s="9" t="s">
        <v>69</v>
      </c>
      <c r="G156" s="9" t="s">
        <v>70</v>
      </c>
      <c r="H156" s="9" t="s">
        <v>871</v>
      </c>
      <c r="I156" s="9" t="s">
        <v>72</v>
      </c>
      <c r="J156" s="10"/>
      <c r="K156" s="10"/>
      <c r="L156" s="10">
        <v>44711</v>
      </c>
      <c r="M156" s="10"/>
      <c r="N156" s="9">
        <v>2022</v>
      </c>
      <c r="O156" s="9" t="s">
        <v>872</v>
      </c>
      <c r="P156" s="9" t="s">
        <v>83</v>
      </c>
      <c r="Q156" s="9" t="s">
        <v>53</v>
      </c>
      <c r="R156" s="9" t="s">
        <v>976</v>
      </c>
      <c r="T156" s="9"/>
      <c r="V156" s="9"/>
      <c r="W156" s="11">
        <f>IFERROR(VLOOKUP(B156, PlumX_snapshot!$A:$B, 2, FALSE), " ")</f>
        <v>2</v>
      </c>
      <c r="X156" s="11">
        <f>IFERROR(VLOOKUP(B156, PlumX_snapshot!$A:$C, 3, FALSE), " ")</f>
        <v>1</v>
      </c>
      <c r="Y156" s="12">
        <f>IFERROR(VLOOKUP(B156, PlumX_snapshot!$A:$D, 4, FALSE), " ")</f>
        <v>0</v>
      </c>
      <c r="Z156" s="12">
        <f>IFERROR(VLOOKUP(B156, PlumX_snapshot!$A:$E, 5, FALSE), " ")</f>
        <v>0</v>
      </c>
      <c r="AA156" s="12">
        <f>IFERROR(VLOOKUP(B156, PlumX_snapshot!$A:$F, 6, FALSE), " ")</f>
        <v>0</v>
      </c>
      <c r="AB156" s="13">
        <v>44978</v>
      </c>
      <c r="AC156" s="9" t="s">
        <v>977</v>
      </c>
      <c r="AH156" s="18">
        <v>2400</v>
      </c>
      <c r="AI156" s="19" t="s">
        <v>875</v>
      </c>
      <c r="AJ156" s="11" t="s">
        <v>301</v>
      </c>
      <c r="AK156" s="11" t="str">
        <f t="shared" si="0"/>
        <v>2022GBP</v>
      </c>
      <c r="AL156" s="11">
        <f>VLOOKUP(AK156, Exchange_rates!$C:$D, 2, FALSE)</f>
        <v>1</v>
      </c>
      <c r="AM156" s="14">
        <f t="shared" si="1"/>
        <v>2880</v>
      </c>
      <c r="AN156" s="9"/>
      <c r="AO156" s="9"/>
      <c r="AP156" s="9"/>
      <c r="AQ156" s="15" t="s">
        <v>49</v>
      </c>
      <c r="AS156" s="16" t="s">
        <v>978</v>
      </c>
    </row>
    <row r="157" spans="1:45" ht="14.5">
      <c r="A157" s="9" t="s">
        <v>979</v>
      </c>
      <c r="B157" s="9" t="s">
        <v>980</v>
      </c>
      <c r="C157" s="9" t="s">
        <v>981</v>
      </c>
      <c r="D157" s="9" t="s">
        <v>870</v>
      </c>
      <c r="E157" s="9" t="s">
        <v>49</v>
      </c>
      <c r="F157" s="9" t="s">
        <v>69</v>
      </c>
      <c r="G157" s="9" t="s">
        <v>70</v>
      </c>
      <c r="H157" s="9" t="s">
        <v>871</v>
      </c>
      <c r="I157" s="9" t="s">
        <v>72</v>
      </c>
      <c r="J157" s="10"/>
      <c r="K157" s="10"/>
      <c r="L157" s="10">
        <v>44678</v>
      </c>
      <c r="M157" s="10"/>
      <c r="N157" s="9">
        <v>2022</v>
      </c>
      <c r="O157" s="9" t="s">
        <v>872</v>
      </c>
      <c r="P157" s="9" t="s">
        <v>53</v>
      </c>
      <c r="Q157" s="9" t="s">
        <v>53</v>
      </c>
      <c r="T157" s="9"/>
      <c r="V157" s="9"/>
      <c r="W157" s="11">
        <f>IFERROR(VLOOKUP(B157, PlumX_snapshot!$A:$B, 2, FALSE), " ")</f>
        <v>2</v>
      </c>
      <c r="X157" s="11">
        <f>IFERROR(VLOOKUP(B157, PlumX_snapshot!$A:$C, 3, FALSE), " ")</f>
        <v>0</v>
      </c>
      <c r="Y157" s="12">
        <f>IFERROR(VLOOKUP(B157, PlumX_snapshot!$A:$D, 4, FALSE), " ")</f>
        <v>0</v>
      </c>
      <c r="Z157" s="12">
        <f>IFERROR(VLOOKUP(B157, PlumX_snapshot!$A:$E, 5, FALSE), " ")</f>
        <v>0</v>
      </c>
      <c r="AA157" s="12">
        <f>IFERROR(VLOOKUP(B157, PlumX_snapshot!$A:$F, 6, FALSE), " ")</f>
        <v>0</v>
      </c>
      <c r="AB157" s="13">
        <v>44978</v>
      </c>
      <c r="AC157" s="9" t="s">
        <v>982</v>
      </c>
      <c r="AH157" s="18">
        <v>2370</v>
      </c>
      <c r="AI157" s="19" t="s">
        <v>875</v>
      </c>
      <c r="AJ157" s="11" t="s">
        <v>301</v>
      </c>
      <c r="AK157" s="11" t="str">
        <f t="shared" si="0"/>
        <v>2022GBP</v>
      </c>
      <c r="AL157" s="11">
        <f>VLOOKUP(AK157, Exchange_rates!$C:$D, 2, FALSE)</f>
        <v>1</v>
      </c>
      <c r="AM157" s="14">
        <f t="shared" si="1"/>
        <v>2844</v>
      </c>
      <c r="AN157" s="9"/>
      <c r="AO157" s="9"/>
      <c r="AP157" s="9"/>
      <c r="AQ157" s="15" t="s">
        <v>49</v>
      </c>
      <c r="AS157" s="16" t="s">
        <v>983</v>
      </c>
    </row>
    <row r="158" spans="1:45" ht="14.5">
      <c r="A158" s="9" t="s">
        <v>984</v>
      </c>
      <c r="B158" s="9" t="s">
        <v>985</v>
      </c>
      <c r="C158" s="9" t="s">
        <v>986</v>
      </c>
      <c r="D158" s="9" t="s">
        <v>870</v>
      </c>
      <c r="E158" s="9" t="s">
        <v>49</v>
      </c>
      <c r="F158" s="9" t="s">
        <v>69</v>
      </c>
      <c r="G158" s="9" t="s">
        <v>70</v>
      </c>
      <c r="H158" s="9" t="s">
        <v>871</v>
      </c>
      <c r="I158" s="9" t="s">
        <v>72</v>
      </c>
      <c r="J158" s="10"/>
      <c r="K158" s="10"/>
      <c r="L158" s="10">
        <v>44698</v>
      </c>
      <c r="M158" s="10"/>
      <c r="N158" s="9">
        <v>2022</v>
      </c>
      <c r="O158" s="9" t="s">
        <v>872</v>
      </c>
      <c r="P158" s="9" t="s">
        <v>53</v>
      </c>
      <c r="Q158" s="9" t="s">
        <v>53</v>
      </c>
      <c r="T158" s="9"/>
      <c r="V158" s="9"/>
      <c r="W158" s="11">
        <f>IFERROR(VLOOKUP(B158, PlumX_snapshot!$A:$B, 2, FALSE), " ")</f>
        <v>8</v>
      </c>
      <c r="X158" s="11">
        <f>IFERROR(VLOOKUP(B158, PlumX_snapshot!$A:$C, 3, FALSE), " ")</f>
        <v>0</v>
      </c>
      <c r="Y158" s="12">
        <f>IFERROR(VLOOKUP(B158, PlumX_snapshot!$A:$D, 4, FALSE), " ")</f>
        <v>266</v>
      </c>
      <c r="Z158" s="12">
        <f>IFERROR(VLOOKUP(B158, PlumX_snapshot!$A:$E, 5, FALSE), " ")</f>
        <v>0</v>
      </c>
      <c r="AA158" s="12">
        <f>IFERROR(VLOOKUP(B158, PlumX_snapshot!$A:$F, 6, FALSE), " ")</f>
        <v>0</v>
      </c>
      <c r="AB158" s="13">
        <v>44978</v>
      </c>
      <c r="AC158" s="9" t="s">
        <v>987</v>
      </c>
      <c r="AH158" s="18">
        <v>1930</v>
      </c>
      <c r="AI158" s="19" t="s">
        <v>875</v>
      </c>
      <c r="AJ158" s="11" t="s">
        <v>301</v>
      </c>
      <c r="AK158" s="11" t="str">
        <f t="shared" si="0"/>
        <v>2022GBP</v>
      </c>
      <c r="AL158" s="11">
        <f>VLOOKUP(AK158, Exchange_rates!$C:$D, 2, FALSE)</f>
        <v>1</v>
      </c>
      <c r="AM158" s="14">
        <f t="shared" si="1"/>
        <v>2316</v>
      </c>
      <c r="AN158" s="9"/>
      <c r="AO158" s="9"/>
      <c r="AP158" s="9"/>
      <c r="AQ158" s="15" t="s">
        <v>49</v>
      </c>
      <c r="AS158" s="16" t="s">
        <v>988</v>
      </c>
    </row>
    <row r="159" spans="1:45" ht="14.5">
      <c r="A159" s="9" t="s">
        <v>989</v>
      </c>
      <c r="B159" s="9" t="s">
        <v>990</v>
      </c>
      <c r="C159" s="9" t="s">
        <v>991</v>
      </c>
      <c r="D159" s="9" t="s">
        <v>870</v>
      </c>
      <c r="E159" s="9" t="s">
        <v>49</v>
      </c>
      <c r="F159" s="9" t="s">
        <v>69</v>
      </c>
      <c r="G159" s="9" t="s">
        <v>70</v>
      </c>
      <c r="H159" s="9" t="s">
        <v>871</v>
      </c>
      <c r="I159" s="9" t="s">
        <v>72</v>
      </c>
      <c r="J159" s="10"/>
      <c r="K159" s="10"/>
      <c r="L159" s="10">
        <v>44840</v>
      </c>
      <c r="M159" s="10"/>
      <c r="N159" s="9">
        <v>2022</v>
      </c>
      <c r="O159" s="9" t="s">
        <v>992</v>
      </c>
      <c r="P159" s="9" t="s">
        <v>53</v>
      </c>
      <c r="Q159" s="9" t="s">
        <v>53</v>
      </c>
      <c r="R159" s="9" t="s">
        <v>993</v>
      </c>
      <c r="T159" s="9"/>
      <c r="V159" s="9"/>
      <c r="W159" s="11">
        <f>IFERROR(VLOOKUP(B159, PlumX_snapshot!$A:$B, 2, FALSE), " ")</f>
        <v>11</v>
      </c>
      <c r="X159" s="11">
        <f>IFERROR(VLOOKUP(B159, PlumX_snapshot!$A:$C, 3, FALSE), " ")</f>
        <v>1</v>
      </c>
      <c r="Y159" s="12">
        <f>IFERROR(VLOOKUP(B159, PlumX_snapshot!$A:$D, 4, FALSE), " ")</f>
        <v>10</v>
      </c>
      <c r="Z159" s="12">
        <f>IFERROR(VLOOKUP(B159, PlumX_snapshot!$A:$E, 5, FALSE), " ")</f>
        <v>0</v>
      </c>
      <c r="AA159" s="12">
        <f>IFERROR(VLOOKUP(B159, PlumX_snapshot!$A:$F, 6, FALSE), " ")</f>
        <v>0</v>
      </c>
      <c r="AB159" s="13">
        <v>44978</v>
      </c>
      <c r="AC159" s="9" t="s">
        <v>994</v>
      </c>
      <c r="AH159" s="18">
        <v>1960</v>
      </c>
      <c r="AI159" s="19" t="s">
        <v>875</v>
      </c>
      <c r="AJ159" s="11" t="s">
        <v>301</v>
      </c>
      <c r="AK159" s="11" t="str">
        <f t="shared" si="0"/>
        <v>2022GBP</v>
      </c>
      <c r="AL159" s="11">
        <f>VLOOKUP(AK159, Exchange_rates!$C:$D, 2, FALSE)</f>
        <v>1</v>
      </c>
      <c r="AM159" s="14">
        <f t="shared" si="1"/>
        <v>2352</v>
      </c>
      <c r="AN159" s="9"/>
      <c r="AO159" s="9"/>
      <c r="AP159" s="9"/>
      <c r="AQ159" s="15" t="s">
        <v>49</v>
      </c>
      <c r="AS159" s="16" t="s">
        <v>995</v>
      </c>
    </row>
    <row r="160" spans="1:45" ht="14.5">
      <c r="A160" s="9" t="s">
        <v>996</v>
      </c>
      <c r="B160" s="9" t="s">
        <v>997</v>
      </c>
      <c r="C160" s="9" t="s">
        <v>998</v>
      </c>
      <c r="D160" s="9" t="s">
        <v>870</v>
      </c>
      <c r="E160" s="9" t="s">
        <v>49</v>
      </c>
      <c r="F160" s="9" t="s">
        <v>69</v>
      </c>
      <c r="G160" s="9" t="s">
        <v>70</v>
      </c>
      <c r="H160" s="9" t="s">
        <v>871</v>
      </c>
      <c r="I160" s="9" t="s">
        <v>291</v>
      </c>
      <c r="J160" s="10"/>
      <c r="K160" s="10"/>
      <c r="L160" s="10">
        <v>44754</v>
      </c>
      <c r="M160" s="10"/>
      <c r="N160" s="9">
        <v>2022</v>
      </c>
      <c r="O160" s="9" t="s">
        <v>992</v>
      </c>
      <c r="P160" s="9" t="s">
        <v>53</v>
      </c>
      <c r="Q160" s="9" t="s">
        <v>53</v>
      </c>
      <c r="T160" s="9"/>
      <c r="V160" s="9"/>
      <c r="W160" s="11">
        <f>IFERROR(VLOOKUP(B160, PlumX_snapshot!$A:$B, 2, FALSE), " ")</f>
        <v>12</v>
      </c>
      <c r="X160" s="11">
        <f>IFERROR(VLOOKUP(B160, PlumX_snapshot!$A:$C, 3, FALSE), " ")</f>
        <v>0</v>
      </c>
      <c r="Y160" s="12">
        <f>IFERROR(VLOOKUP(B160, PlumX_snapshot!$A:$D, 4, FALSE), " ")</f>
        <v>1</v>
      </c>
      <c r="Z160" s="12">
        <f>IFERROR(VLOOKUP(B160, PlumX_snapshot!$A:$E, 5, FALSE), " ")</f>
        <v>0</v>
      </c>
      <c r="AA160" s="12">
        <f>IFERROR(VLOOKUP(B160, PlumX_snapshot!$A:$F, 6, FALSE), " ")</f>
        <v>0</v>
      </c>
      <c r="AB160" s="13">
        <v>44978</v>
      </c>
      <c r="AC160" s="9" t="s">
        <v>999</v>
      </c>
      <c r="AH160" s="18">
        <v>2960</v>
      </c>
      <c r="AI160" s="19" t="s">
        <v>875</v>
      </c>
      <c r="AJ160" s="11" t="s">
        <v>301</v>
      </c>
      <c r="AK160" s="11" t="str">
        <f t="shared" si="0"/>
        <v>2022GBP</v>
      </c>
      <c r="AL160" s="11">
        <f>VLOOKUP(AK160, Exchange_rates!$C:$D, 2, FALSE)</f>
        <v>1</v>
      </c>
      <c r="AM160" s="14">
        <f t="shared" si="1"/>
        <v>3552</v>
      </c>
      <c r="AN160" s="9"/>
      <c r="AO160" s="9"/>
      <c r="AP160" s="9"/>
      <c r="AQ160" s="15" t="s">
        <v>49</v>
      </c>
      <c r="AS160" s="16" t="s">
        <v>1000</v>
      </c>
    </row>
    <row r="161" spans="1:45" ht="14.5">
      <c r="A161" s="9" t="s">
        <v>1001</v>
      </c>
      <c r="B161" s="9" t="s">
        <v>1002</v>
      </c>
      <c r="C161" s="9" t="s">
        <v>1003</v>
      </c>
      <c r="D161" s="9" t="s">
        <v>870</v>
      </c>
      <c r="E161" s="9" t="s">
        <v>49</v>
      </c>
      <c r="F161" s="9" t="s">
        <v>69</v>
      </c>
      <c r="G161" s="9" t="s">
        <v>70</v>
      </c>
      <c r="H161" s="9" t="s">
        <v>871</v>
      </c>
      <c r="I161" s="9" t="s">
        <v>238</v>
      </c>
      <c r="J161" s="10"/>
      <c r="K161" s="10"/>
      <c r="L161" s="10">
        <v>44783</v>
      </c>
      <c r="M161" s="10"/>
      <c r="N161" s="9">
        <v>2022</v>
      </c>
      <c r="O161" s="9" t="s">
        <v>992</v>
      </c>
      <c r="P161" s="9" t="s">
        <v>53</v>
      </c>
      <c r="Q161" s="9" t="s">
        <v>53</v>
      </c>
      <c r="T161" s="9"/>
      <c r="V161" s="9"/>
      <c r="W161" s="11">
        <f>IFERROR(VLOOKUP(B161, PlumX_snapshot!$A:$B, 2, FALSE), " ")</f>
        <v>17</v>
      </c>
      <c r="X161" s="11">
        <f>IFERROR(VLOOKUP(B161, PlumX_snapshot!$A:$C, 3, FALSE), " ")</f>
        <v>0</v>
      </c>
      <c r="Y161" s="12">
        <f>IFERROR(VLOOKUP(B161, PlumX_snapshot!$A:$D, 4, FALSE), " ")</f>
        <v>2</v>
      </c>
      <c r="Z161" s="12">
        <f>IFERROR(VLOOKUP(B161, PlumX_snapshot!$A:$E, 5, FALSE), " ")</f>
        <v>0</v>
      </c>
      <c r="AA161" s="12">
        <f>IFERROR(VLOOKUP(B161, PlumX_snapshot!$A:$F, 6, FALSE), " ")</f>
        <v>0</v>
      </c>
      <c r="AB161" s="13">
        <v>44978</v>
      </c>
      <c r="AC161" s="9" t="s">
        <v>1004</v>
      </c>
      <c r="AH161" s="18">
        <v>3310</v>
      </c>
      <c r="AI161" s="19" t="s">
        <v>875</v>
      </c>
      <c r="AJ161" s="11" t="s">
        <v>301</v>
      </c>
      <c r="AK161" s="11" t="str">
        <f t="shared" si="0"/>
        <v>2022GBP</v>
      </c>
      <c r="AL161" s="11">
        <f>VLOOKUP(AK161, Exchange_rates!$C:$D, 2, FALSE)</f>
        <v>1</v>
      </c>
      <c r="AM161" s="14">
        <f t="shared" si="1"/>
        <v>3972</v>
      </c>
      <c r="AN161" s="9"/>
      <c r="AO161" s="9"/>
      <c r="AP161" s="9"/>
      <c r="AQ161" s="15" t="s">
        <v>49</v>
      </c>
      <c r="AS161" s="16" t="s">
        <v>1005</v>
      </c>
    </row>
    <row r="162" spans="1:45" ht="14.5">
      <c r="A162" s="9" t="s">
        <v>1006</v>
      </c>
      <c r="B162" s="9" t="s">
        <v>1007</v>
      </c>
      <c r="C162" s="9" t="s">
        <v>1008</v>
      </c>
      <c r="D162" s="9" t="s">
        <v>870</v>
      </c>
      <c r="E162" s="9" t="s">
        <v>49</v>
      </c>
      <c r="F162" s="9" t="s">
        <v>69</v>
      </c>
      <c r="G162" s="9" t="s">
        <v>70</v>
      </c>
      <c r="H162" s="9" t="s">
        <v>871</v>
      </c>
      <c r="I162" s="9" t="s">
        <v>72</v>
      </c>
      <c r="J162" s="10"/>
      <c r="K162" s="10"/>
      <c r="L162" s="10">
        <v>44792</v>
      </c>
      <c r="M162" s="10"/>
      <c r="N162" s="9">
        <v>2022</v>
      </c>
      <c r="O162" s="9" t="s">
        <v>992</v>
      </c>
      <c r="P162" s="9" t="s">
        <v>53</v>
      </c>
      <c r="Q162" s="9" t="s">
        <v>53</v>
      </c>
      <c r="T162" s="9"/>
      <c r="V162" s="9"/>
      <c r="W162" s="11">
        <f>IFERROR(VLOOKUP(B162, PlumX_snapshot!$A:$B, 2, FALSE), " ")</f>
        <v>3</v>
      </c>
      <c r="X162" s="11">
        <f>IFERROR(VLOOKUP(B162, PlumX_snapshot!$A:$C, 3, FALSE), " ")</f>
        <v>0</v>
      </c>
      <c r="Y162" s="12">
        <f>IFERROR(VLOOKUP(B162, PlumX_snapshot!$A:$D, 4, FALSE), " ")</f>
        <v>0</v>
      </c>
      <c r="Z162" s="12">
        <f>IFERROR(VLOOKUP(B162, PlumX_snapshot!$A:$E, 5, FALSE), " ")</f>
        <v>0</v>
      </c>
      <c r="AA162" s="12">
        <f>IFERROR(VLOOKUP(B162, PlumX_snapshot!$A:$F, 6, FALSE), " ")</f>
        <v>0</v>
      </c>
      <c r="AB162" s="13">
        <v>44978</v>
      </c>
      <c r="AC162" s="9" t="s">
        <v>1009</v>
      </c>
      <c r="AH162" s="18">
        <v>2680</v>
      </c>
      <c r="AI162" s="19" t="s">
        <v>875</v>
      </c>
      <c r="AJ162" s="11" t="s">
        <v>301</v>
      </c>
      <c r="AK162" s="11" t="str">
        <f t="shared" si="0"/>
        <v>2022GBP</v>
      </c>
      <c r="AL162" s="11">
        <f>VLOOKUP(AK162, Exchange_rates!$C:$D, 2, FALSE)</f>
        <v>1</v>
      </c>
      <c r="AM162" s="14">
        <f t="shared" si="1"/>
        <v>3216</v>
      </c>
      <c r="AN162" s="9"/>
      <c r="AO162" s="9"/>
      <c r="AP162" s="9"/>
      <c r="AQ162" s="15" t="s">
        <v>49</v>
      </c>
      <c r="AS162" s="16" t="s">
        <v>1010</v>
      </c>
    </row>
    <row r="163" spans="1:45" ht="14.5">
      <c r="A163" s="9" t="s">
        <v>1011</v>
      </c>
      <c r="B163" s="9" t="s">
        <v>1012</v>
      </c>
      <c r="C163" s="9" t="s">
        <v>1013</v>
      </c>
      <c r="D163" s="9" t="s">
        <v>870</v>
      </c>
      <c r="E163" s="9" t="s">
        <v>49</v>
      </c>
      <c r="F163" s="9" t="s">
        <v>69</v>
      </c>
      <c r="G163" s="9" t="s">
        <v>70</v>
      </c>
      <c r="H163" s="9" t="s">
        <v>871</v>
      </c>
      <c r="I163" s="9" t="s">
        <v>72</v>
      </c>
      <c r="J163" s="10"/>
      <c r="K163" s="10"/>
      <c r="L163" s="10">
        <v>44809</v>
      </c>
      <c r="M163" s="10"/>
      <c r="N163" s="9">
        <v>2022</v>
      </c>
      <c r="O163" s="9" t="s">
        <v>992</v>
      </c>
      <c r="P163" s="9" t="s">
        <v>83</v>
      </c>
      <c r="Q163" s="9" t="s">
        <v>53</v>
      </c>
      <c r="R163" s="9" t="s">
        <v>1014</v>
      </c>
      <c r="T163" s="9"/>
      <c r="V163" s="9"/>
      <c r="W163" s="11">
        <f>IFERROR(VLOOKUP(B163, PlumX_snapshot!$A:$B, 2, FALSE), " ")</f>
        <v>17</v>
      </c>
      <c r="X163" s="11">
        <f>IFERROR(VLOOKUP(B163, PlumX_snapshot!$A:$C, 3, FALSE), " ")</f>
        <v>0</v>
      </c>
      <c r="Y163" s="12">
        <f>IFERROR(VLOOKUP(B163, PlumX_snapshot!$A:$D, 4, FALSE), " ")</f>
        <v>206</v>
      </c>
      <c r="Z163" s="12">
        <f>IFERROR(VLOOKUP(B163, PlumX_snapshot!$A:$E, 5, FALSE), " ")</f>
        <v>0</v>
      </c>
      <c r="AA163" s="12">
        <f>IFERROR(VLOOKUP(B163, PlumX_snapshot!$A:$F, 6, FALSE), " ")</f>
        <v>0</v>
      </c>
      <c r="AB163" s="13">
        <v>44978</v>
      </c>
      <c r="AC163" s="9" t="s">
        <v>1015</v>
      </c>
      <c r="AH163" s="18">
        <v>1200</v>
      </c>
      <c r="AI163" s="19" t="s">
        <v>875</v>
      </c>
      <c r="AJ163" s="11" t="s">
        <v>301</v>
      </c>
      <c r="AK163" s="11" t="str">
        <f t="shared" si="0"/>
        <v>2022GBP</v>
      </c>
      <c r="AL163" s="11">
        <f>VLOOKUP(AK163, Exchange_rates!$C:$D, 2, FALSE)</f>
        <v>1</v>
      </c>
      <c r="AM163" s="14">
        <f t="shared" si="1"/>
        <v>1440</v>
      </c>
      <c r="AN163" s="9"/>
      <c r="AO163" s="9"/>
      <c r="AP163" s="9"/>
      <c r="AQ163" s="15" t="s">
        <v>49</v>
      </c>
      <c r="AS163" s="16" t="s">
        <v>1016</v>
      </c>
    </row>
    <row r="164" spans="1:45" ht="14.5">
      <c r="A164" s="9" t="s">
        <v>1017</v>
      </c>
      <c r="B164" s="9" t="s">
        <v>1018</v>
      </c>
      <c r="C164" s="9" t="s">
        <v>1019</v>
      </c>
      <c r="D164" s="9" t="s">
        <v>870</v>
      </c>
      <c r="E164" s="9" t="s">
        <v>49</v>
      </c>
      <c r="F164" s="9" t="s">
        <v>69</v>
      </c>
      <c r="G164" s="9" t="s">
        <v>70</v>
      </c>
      <c r="H164" s="9" t="s">
        <v>871</v>
      </c>
      <c r="I164" s="9" t="s">
        <v>72</v>
      </c>
      <c r="J164" s="10"/>
      <c r="K164" s="10"/>
      <c r="L164" s="10">
        <v>44827</v>
      </c>
      <c r="M164" s="10"/>
      <c r="N164" s="9">
        <v>2022</v>
      </c>
      <c r="O164" s="9" t="s">
        <v>992</v>
      </c>
      <c r="P164" s="9" t="s">
        <v>53</v>
      </c>
      <c r="Q164" s="9" t="s">
        <v>53</v>
      </c>
      <c r="T164" s="9"/>
      <c r="V164" s="9"/>
      <c r="W164" s="11">
        <f>IFERROR(VLOOKUP(B164, PlumX_snapshot!$A:$B, 2, FALSE), " ")</f>
        <v>16</v>
      </c>
      <c r="X164" s="11">
        <f>IFERROR(VLOOKUP(B164, PlumX_snapshot!$A:$C, 3, FALSE), " ")</f>
        <v>0</v>
      </c>
      <c r="Y164" s="12">
        <f>IFERROR(VLOOKUP(B164, PlumX_snapshot!$A:$D, 4, FALSE), " ")</f>
        <v>3</v>
      </c>
      <c r="Z164" s="12">
        <f>IFERROR(VLOOKUP(B164, PlumX_snapshot!$A:$E, 5, FALSE), " ")</f>
        <v>0</v>
      </c>
      <c r="AA164" s="12">
        <f>IFERROR(VLOOKUP(B164, PlumX_snapshot!$A:$F, 6, FALSE), " ")</f>
        <v>0</v>
      </c>
      <c r="AB164" s="13">
        <v>44978</v>
      </c>
      <c r="AC164" s="9" t="s">
        <v>1020</v>
      </c>
      <c r="AH164" s="18">
        <v>3180</v>
      </c>
      <c r="AI164" s="19" t="s">
        <v>875</v>
      </c>
      <c r="AJ164" s="11" t="s">
        <v>301</v>
      </c>
      <c r="AK164" s="11" t="str">
        <f t="shared" si="0"/>
        <v>2022GBP</v>
      </c>
      <c r="AL164" s="11">
        <f>VLOOKUP(AK164, Exchange_rates!$C:$D, 2, FALSE)</f>
        <v>1</v>
      </c>
      <c r="AM164" s="14">
        <f t="shared" si="1"/>
        <v>3816</v>
      </c>
      <c r="AN164" s="9"/>
      <c r="AO164" s="9"/>
      <c r="AP164" s="9"/>
      <c r="AQ164" s="15" t="s">
        <v>49</v>
      </c>
      <c r="AS164" s="16" t="s">
        <v>1021</v>
      </c>
    </row>
    <row r="165" spans="1:45" ht="14.5">
      <c r="A165" s="9" t="s">
        <v>1022</v>
      </c>
      <c r="B165" s="9" t="s">
        <v>1023</v>
      </c>
      <c r="C165" s="9" t="s">
        <v>1024</v>
      </c>
      <c r="D165" s="9" t="s">
        <v>870</v>
      </c>
      <c r="E165" s="9" t="s">
        <v>125</v>
      </c>
      <c r="F165" s="9" t="s">
        <v>69</v>
      </c>
      <c r="G165" s="9" t="s">
        <v>51</v>
      </c>
      <c r="H165" s="9"/>
      <c r="I165" s="9" t="s">
        <v>72</v>
      </c>
      <c r="J165" s="10"/>
      <c r="K165" s="10"/>
      <c r="L165" s="10">
        <v>44813</v>
      </c>
      <c r="M165" s="10"/>
      <c r="N165" s="9">
        <v>2022</v>
      </c>
      <c r="O165" s="9" t="s">
        <v>992</v>
      </c>
      <c r="P165" s="9" t="s">
        <v>83</v>
      </c>
      <c r="Q165" s="9" t="s">
        <v>53</v>
      </c>
      <c r="R165" s="9" t="s">
        <v>1025</v>
      </c>
      <c r="S165" s="9" t="s">
        <v>1026</v>
      </c>
      <c r="T165" s="9" t="s">
        <v>279</v>
      </c>
      <c r="U165" s="9" t="s">
        <v>1027</v>
      </c>
      <c r="V165" s="9"/>
      <c r="W165" s="11">
        <f>IFERROR(VLOOKUP(B165, PlumX_snapshot!$A:$B, 2, FALSE), " ")</f>
        <v>36</v>
      </c>
      <c r="X165" s="11">
        <f>IFERROR(VLOOKUP(B165, PlumX_snapshot!$A:$C, 3, FALSE), " ")</f>
        <v>0</v>
      </c>
      <c r="Y165" s="12">
        <f>IFERROR(VLOOKUP(B165, PlumX_snapshot!$A:$D, 4, FALSE), " ")</f>
        <v>1</v>
      </c>
      <c r="Z165" s="12">
        <f>IFERROR(VLOOKUP(B165, PlumX_snapshot!$A:$E, 5, FALSE), " ")</f>
        <v>0</v>
      </c>
      <c r="AA165" s="12">
        <f>IFERROR(VLOOKUP(B165, PlumX_snapshot!$A:$F, 6, FALSE), " ")</f>
        <v>0</v>
      </c>
      <c r="AB165" s="13">
        <v>44978</v>
      </c>
      <c r="AC165" s="9" t="s">
        <v>1028</v>
      </c>
      <c r="AH165" s="18">
        <v>2080</v>
      </c>
      <c r="AI165" s="19" t="s">
        <v>875</v>
      </c>
      <c r="AJ165" s="11" t="s">
        <v>301</v>
      </c>
      <c r="AK165" s="11" t="str">
        <f t="shared" si="0"/>
        <v>2022GBP</v>
      </c>
      <c r="AL165" s="11">
        <f>VLOOKUP(AK165, Exchange_rates!$C:$D, 2, FALSE)</f>
        <v>1</v>
      </c>
      <c r="AM165" s="14">
        <f t="shared" si="1"/>
        <v>2496</v>
      </c>
      <c r="AN165" s="9"/>
      <c r="AO165" s="9"/>
      <c r="AP165" s="9"/>
      <c r="AQ165" s="15" t="s">
        <v>125</v>
      </c>
      <c r="AR165" t="s">
        <v>1029</v>
      </c>
      <c r="AS165" s="16" t="s">
        <v>1030</v>
      </c>
    </row>
    <row r="166" spans="1:45" ht="14.5">
      <c r="A166" s="9" t="s">
        <v>1031</v>
      </c>
      <c r="B166" s="9" t="s">
        <v>1032</v>
      </c>
      <c r="C166" s="9" t="s">
        <v>1033</v>
      </c>
      <c r="D166" s="9" t="s">
        <v>870</v>
      </c>
      <c r="E166" s="9" t="s">
        <v>49</v>
      </c>
      <c r="F166" s="9" t="s">
        <v>69</v>
      </c>
      <c r="G166" s="9" t="s">
        <v>70</v>
      </c>
      <c r="H166" s="9" t="s">
        <v>871</v>
      </c>
      <c r="I166" s="9" t="s">
        <v>72</v>
      </c>
      <c r="J166" s="10"/>
      <c r="K166" s="10"/>
      <c r="L166" s="10">
        <v>44791</v>
      </c>
      <c r="M166" s="10">
        <v>44866</v>
      </c>
      <c r="N166" s="9">
        <v>2022</v>
      </c>
      <c r="O166" s="9" t="s">
        <v>992</v>
      </c>
      <c r="P166" s="9" t="s">
        <v>53</v>
      </c>
      <c r="Q166" s="9" t="s">
        <v>83</v>
      </c>
      <c r="R166" s="9" t="s">
        <v>1034</v>
      </c>
      <c r="T166" s="9"/>
      <c r="V166" s="9"/>
      <c r="W166" s="11">
        <f>IFERROR(VLOOKUP(B166, PlumX_snapshot!$A:$B, 2, FALSE), " ")</f>
        <v>10</v>
      </c>
      <c r="X166" s="11">
        <f>IFERROR(VLOOKUP(B166, PlumX_snapshot!$A:$C, 3, FALSE), " ")</f>
        <v>0</v>
      </c>
      <c r="Y166" s="12">
        <f>IFERROR(VLOOKUP(B166, PlumX_snapshot!$A:$D, 4, FALSE), " ")</f>
        <v>31</v>
      </c>
      <c r="Z166" s="12">
        <f>IFERROR(VLOOKUP(B166, PlumX_snapshot!$A:$E, 5, FALSE), " ")</f>
        <v>0</v>
      </c>
      <c r="AA166" s="12">
        <f>IFERROR(VLOOKUP(B166, PlumX_snapshot!$A:$F, 6, FALSE), " ")</f>
        <v>0</v>
      </c>
      <c r="AB166" s="13">
        <v>44978</v>
      </c>
      <c r="AC166" s="9" t="s">
        <v>1035</v>
      </c>
      <c r="AH166" s="18">
        <v>5470</v>
      </c>
      <c r="AI166" s="19" t="s">
        <v>875</v>
      </c>
      <c r="AJ166" s="11" t="s">
        <v>301</v>
      </c>
      <c r="AK166" s="11" t="str">
        <f t="shared" si="0"/>
        <v>2022GBP</v>
      </c>
      <c r="AL166" s="11">
        <f>VLOOKUP(AK166, Exchange_rates!$C:$D, 2, FALSE)</f>
        <v>1</v>
      </c>
      <c r="AM166" s="14">
        <f t="shared" si="1"/>
        <v>6564</v>
      </c>
      <c r="AN166" s="9"/>
      <c r="AO166" s="9"/>
      <c r="AP166" s="9"/>
      <c r="AQ166" s="15" t="s">
        <v>49</v>
      </c>
      <c r="AR166" t="s">
        <v>1036</v>
      </c>
      <c r="AS166" s="16" t="s">
        <v>1036</v>
      </c>
    </row>
    <row r="167" spans="1:45" ht="14.5">
      <c r="A167" s="9" t="s">
        <v>1037</v>
      </c>
      <c r="B167" s="9" t="s">
        <v>1038</v>
      </c>
      <c r="C167" s="9" t="s">
        <v>1039</v>
      </c>
      <c r="D167" s="9" t="s">
        <v>870</v>
      </c>
      <c r="E167" s="9" t="s">
        <v>49</v>
      </c>
      <c r="F167" s="9" t="s">
        <v>69</v>
      </c>
      <c r="G167" s="9" t="s">
        <v>70</v>
      </c>
      <c r="H167" s="9" t="s">
        <v>871</v>
      </c>
      <c r="I167" s="9" t="s">
        <v>72</v>
      </c>
      <c r="J167" s="10"/>
      <c r="K167" s="10"/>
      <c r="L167" s="10">
        <v>44795</v>
      </c>
      <c r="M167" s="10"/>
      <c r="N167" s="9">
        <v>2022</v>
      </c>
      <c r="O167" s="9" t="s">
        <v>992</v>
      </c>
      <c r="P167" s="9" t="s">
        <v>53</v>
      </c>
      <c r="Q167" s="9" t="s">
        <v>53</v>
      </c>
      <c r="T167" s="9"/>
      <c r="V167" s="9"/>
      <c r="W167" s="11">
        <f>IFERROR(VLOOKUP(B167, PlumX_snapshot!$A:$B, 2, FALSE), " ")</f>
        <v>21</v>
      </c>
      <c r="X167" s="11">
        <f>IFERROR(VLOOKUP(B167, PlumX_snapshot!$A:$C, 3, FALSE), " ")</f>
        <v>1</v>
      </c>
      <c r="Y167" s="12">
        <f>IFERROR(VLOOKUP(B167, PlumX_snapshot!$A:$D, 4, FALSE), " ")</f>
        <v>0</v>
      </c>
      <c r="Z167" s="12">
        <f>IFERROR(VLOOKUP(B167, PlumX_snapshot!$A:$E, 5, FALSE), " ")</f>
        <v>0</v>
      </c>
      <c r="AA167" s="12">
        <f>IFERROR(VLOOKUP(B167, PlumX_snapshot!$A:$F, 6, FALSE), " ")</f>
        <v>0</v>
      </c>
      <c r="AB167" s="13">
        <v>44978</v>
      </c>
      <c r="AC167" s="9" t="s">
        <v>1040</v>
      </c>
      <c r="AH167" s="18">
        <v>2640</v>
      </c>
      <c r="AI167" s="19" t="s">
        <v>875</v>
      </c>
      <c r="AJ167" s="11" t="s">
        <v>301</v>
      </c>
      <c r="AK167" s="11" t="str">
        <f t="shared" si="0"/>
        <v>2022GBP</v>
      </c>
      <c r="AL167" s="11">
        <f>VLOOKUP(AK167, Exchange_rates!$C:$D, 2, FALSE)</f>
        <v>1</v>
      </c>
      <c r="AM167" s="14">
        <f t="shared" si="1"/>
        <v>3168</v>
      </c>
      <c r="AN167" s="9"/>
      <c r="AO167" s="9"/>
      <c r="AP167" s="9"/>
      <c r="AQ167" s="15" t="s">
        <v>49</v>
      </c>
      <c r="AS167" s="16" t="s">
        <v>1041</v>
      </c>
    </row>
    <row r="168" spans="1:45" ht="14.5">
      <c r="A168" s="9" t="s">
        <v>1042</v>
      </c>
      <c r="B168" s="9" t="s">
        <v>1043</v>
      </c>
      <c r="C168" s="9" t="s">
        <v>913</v>
      </c>
      <c r="D168" s="9" t="s">
        <v>870</v>
      </c>
      <c r="E168" s="9" t="s">
        <v>49</v>
      </c>
      <c r="F168" s="9" t="s">
        <v>69</v>
      </c>
      <c r="G168" s="9" t="s">
        <v>70</v>
      </c>
      <c r="H168" s="9" t="s">
        <v>871</v>
      </c>
      <c r="I168" s="9" t="s">
        <v>291</v>
      </c>
      <c r="J168" s="10"/>
      <c r="K168" s="10"/>
      <c r="L168" s="10">
        <v>44845</v>
      </c>
      <c r="M168" s="10"/>
      <c r="N168" s="9">
        <v>2022</v>
      </c>
      <c r="O168" s="9" t="s">
        <v>992</v>
      </c>
      <c r="P168" s="9" t="s">
        <v>53</v>
      </c>
      <c r="Q168" s="9" t="s">
        <v>53</v>
      </c>
      <c r="T168" s="9"/>
      <c r="V168" s="9"/>
      <c r="W168" s="11">
        <f>IFERROR(VLOOKUP(B168, PlumX_snapshot!$A:$B, 2, FALSE), " ")</f>
        <v>20</v>
      </c>
      <c r="X168" s="11">
        <f>IFERROR(VLOOKUP(B168, PlumX_snapshot!$A:$C, 3, FALSE), " ")</f>
        <v>0</v>
      </c>
      <c r="Y168" s="12">
        <f>IFERROR(VLOOKUP(B168, PlumX_snapshot!$A:$D, 4, FALSE), " ")</f>
        <v>3</v>
      </c>
      <c r="Z168" s="12">
        <f>IFERROR(VLOOKUP(B168, PlumX_snapshot!$A:$E, 5, FALSE), " ")</f>
        <v>0</v>
      </c>
      <c r="AA168" s="12">
        <f>IFERROR(VLOOKUP(B168, PlumX_snapshot!$A:$F, 6, FALSE), " ")</f>
        <v>0</v>
      </c>
      <c r="AB168" s="13">
        <v>44978</v>
      </c>
      <c r="AC168" s="9" t="s">
        <v>1044</v>
      </c>
      <c r="AH168" s="18">
        <v>2690</v>
      </c>
      <c r="AI168" s="19" t="s">
        <v>875</v>
      </c>
      <c r="AJ168" s="11" t="s">
        <v>301</v>
      </c>
      <c r="AK168" s="11" t="str">
        <f t="shared" si="0"/>
        <v>2022GBP</v>
      </c>
      <c r="AL168" s="11">
        <f>VLOOKUP(AK168, Exchange_rates!$C:$D, 2, FALSE)</f>
        <v>1</v>
      </c>
      <c r="AM168" s="14">
        <f t="shared" si="1"/>
        <v>3228</v>
      </c>
      <c r="AN168" s="9"/>
      <c r="AO168" s="9"/>
      <c r="AP168" s="9"/>
      <c r="AQ168" s="15" t="s">
        <v>49</v>
      </c>
      <c r="AS168" s="16" t="s">
        <v>916</v>
      </c>
    </row>
    <row r="169" spans="1:45" ht="14.5">
      <c r="A169" s="9" t="s">
        <v>1045</v>
      </c>
      <c r="B169" s="9" t="s">
        <v>1046</v>
      </c>
      <c r="C169" s="9" t="s">
        <v>1047</v>
      </c>
      <c r="D169" s="9" t="s">
        <v>870</v>
      </c>
      <c r="E169" s="9" t="s">
        <v>49</v>
      </c>
      <c r="F169" s="9" t="s">
        <v>69</v>
      </c>
      <c r="G169" s="9" t="s">
        <v>70</v>
      </c>
      <c r="H169" s="9" t="s">
        <v>871</v>
      </c>
      <c r="I169" s="9" t="s">
        <v>72</v>
      </c>
      <c r="J169" s="10"/>
      <c r="K169" s="10"/>
      <c r="L169" s="10">
        <v>44743</v>
      </c>
      <c r="M169" s="10"/>
      <c r="N169" s="9">
        <v>2022</v>
      </c>
      <c r="O169" s="9" t="s">
        <v>992</v>
      </c>
      <c r="P169" s="9" t="s">
        <v>83</v>
      </c>
      <c r="Q169" s="9" t="s">
        <v>53</v>
      </c>
      <c r="R169" s="9" t="s">
        <v>1048</v>
      </c>
      <c r="S169" s="9" t="s">
        <v>1049</v>
      </c>
      <c r="T169" s="9"/>
      <c r="V169" s="9"/>
      <c r="W169" s="11">
        <f>IFERROR(VLOOKUP(B169, PlumX_snapshot!$A:$B, 2, FALSE), " ")</f>
        <v>1</v>
      </c>
      <c r="X169" s="11">
        <f>IFERROR(VLOOKUP(B169, PlumX_snapshot!$A:$C, 3, FALSE), " ")</f>
        <v>3</v>
      </c>
      <c r="Y169" s="12">
        <f>IFERROR(VLOOKUP(B169, PlumX_snapshot!$A:$D, 4, FALSE), " ")</f>
        <v>0</v>
      </c>
      <c r="Z169" s="12">
        <f>IFERROR(VLOOKUP(B169, PlumX_snapshot!$A:$E, 5, FALSE), " ")</f>
        <v>0</v>
      </c>
      <c r="AA169" s="12">
        <f>IFERROR(VLOOKUP(B169, PlumX_snapshot!$A:$F, 6, FALSE), " ")</f>
        <v>0</v>
      </c>
      <c r="AB169" s="13">
        <v>44978</v>
      </c>
      <c r="AC169" s="9" t="s">
        <v>1050</v>
      </c>
      <c r="AH169" s="18">
        <v>2790</v>
      </c>
      <c r="AI169" s="19" t="s">
        <v>875</v>
      </c>
      <c r="AJ169" s="11" t="s">
        <v>301</v>
      </c>
      <c r="AK169" s="11" t="str">
        <f t="shared" si="0"/>
        <v>2022GBP</v>
      </c>
      <c r="AL169" s="11">
        <f>VLOOKUP(AK169, Exchange_rates!$C:$D, 2, FALSE)</f>
        <v>1</v>
      </c>
      <c r="AM169" s="14">
        <f t="shared" si="1"/>
        <v>3348</v>
      </c>
      <c r="AN169" s="9"/>
      <c r="AO169" s="9"/>
      <c r="AP169" s="9"/>
      <c r="AQ169" s="15" t="s">
        <v>49</v>
      </c>
      <c r="AS169" s="16" t="s">
        <v>1051</v>
      </c>
    </row>
    <row r="170" spans="1:45" ht="14.5">
      <c r="A170" s="9" t="s">
        <v>1052</v>
      </c>
      <c r="B170" s="9" t="s">
        <v>1053</v>
      </c>
      <c r="C170" s="9" t="s">
        <v>919</v>
      </c>
      <c r="D170" s="9" t="s">
        <v>870</v>
      </c>
      <c r="E170" s="9" t="s">
        <v>49</v>
      </c>
      <c r="F170" s="9" t="s">
        <v>69</v>
      </c>
      <c r="G170" s="9" t="s">
        <v>70</v>
      </c>
      <c r="H170" s="9" t="s">
        <v>871</v>
      </c>
      <c r="I170" s="9" t="s">
        <v>72</v>
      </c>
      <c r="J170" s="10"/>
      <c r="K170" s="10"/>
      <c r="L170" s="10">
        <v>44721</v>
      </c>
      <c r="M170" s="10"/>
      <c r="N170" s="9">
        <v>2022</v>
      </c>
      <c r="O170" s="9" t="s">
        <v>992</v>
      </c>
      <c r="P170" s="9" t="s">
        <v>83</v>
      </c>
      <c r="Q170" s="9" t="s">
        <v>53</v>
      </c>
      <c r="R170" s="9" t="s">
        <v>1054</v>
      </c>
      <c r="T170" s="9"/>
      <c r="V170" s="9"/>
      <c r="W170" s="11">
        <f>IFERROR(VLOOKUP(B170, PlumX_snapshot!$A:$B, 2, FALSE), " ")</f>
        <v>19</v>
      </c>
      <c r="X170" s="11">
        <f>IFERROR(VLOOKUP(B170, PlumX_snapshot!$A:$C, 3, FALSE), " ")</f>
        <v>1</v>
      </c>
      <c r="Y170" s="12">
        <f>IFERROR(VLOOKUP(B170, PlumX_snapshot!$A:$D, 4, FALSE), " ")</f>
        <v>19</v>
      </c>
      <c r="Z170" s="12">
        <f>IFERROR(VLOOKUP(B170, PlumX_snapshot!$A:$E, 5, FALSE), " ")</f>
        <v>0</v>
      </c>
      <c r="AA170" s="12">
        <f>IFERROR(VLOOKUP(B170, PlumX_snapshot!$A:$F, 6, FALSE), " ")</f>
        <v>0</v>
      </c>
      <c r="AB170" s="13">
        <v>44978</v>
      </c>
      <c r="AC170" s="9" t="s">
        <v>1055</v>
      </c>
      <c r="AH170" s="18">
        <v>2710</v>
      </c>
      <c r="AI170" s="19" t="s">
        <v>875</v>
      </c>
      <c r="AJ170" s="11" t="s">
        <v>301</v>
      </c>
      <c r="AK170" s="11" t="str">
        <f t="shared" si="0"/>
        <v>2022GBP</v>
      </c>
      <c r="AL170" s="11">
        <f>VLOOKUP(AK170, Exchange_rates!$C:$D, 2, FALSE)</f>
        <v>1</v>
      </c>
      <c r="AM170" s="14">
        <f t="shared" si="1"/>
        <v>3252</v>
      </c>
      <c r="AN170" s="9"/>
      <c r="AO170" s="9"/>
      <c r="AP170" s="9"/>
      <c r="AQ170" s="15" t="s">
        <v>49</v>
      </c>
      <c r="AR170" t="s">
        <v>922</v>
      </c>
      <c r="AS170" s="16" t="s">
        <v>922</v>
      </c>
    </row>
    <row r="171" spans="1:45" ht="14.5">
      <c r="A171" s="9" t="s">
        <v>1056</v>
      </c>
      <c r="B171" s="9" t="s">
        <v>1057</v>
      </c>
      <c r="C171" s="9" t="s">
        <v>1058</v>
      </c>
      <c r="D171" s="9" t="s">
        <v>870</v>
      </c>
      <c r="E171" s="9" t="s">
        <v>49</v>
      </c>
      <c r="F171" s="9" t="s">
        <v>69</v>
      </c>
      <c r="G171" s="9" t="s">
        <v>70</v>
      </c>
      <c r="H171" s="9" t="s">
        <v>871</v>
      </c>
      <c r="I171" s="9" t="s">
        <v>72</v>
      </c>
      <c r="J171" s="10"/>
      <c r="K171" s="10"/>
      <c r="L171" s="10">
        <v>44753</v>
      </c>
      <c r="M171" s="10"/>
      <c r="N171" s="9">
        <v>2022</v>
      </c>
      <c r="O171" s="9" t="s">
        <v>992</v>
      </c>
      <c r="P171" s="9" t="s">
        <v>53</v>
      </c>
      <c r="Q171" s="9" t="s">
        <v>53</v>
      </c>
      <c r="T171" s="9"/>
      <c r="V171" s="9"/>
      <c r="W171" s="11">
        <f>IFERROR(VLOOKUP(B171, PlumX_snapshot!$A:$B, 2, FALSE), " ")</f>
        <v>5</v>
      </c>
      <c r="X171" s="11">
        <f>IFERROR(VLOOKUP(B171, PlumX_snapshot!$A:$C, 3, FALSE), " ")</f>
        <v>93</v>
      </c>
      <c r="Y171" s="12">
        <f>IFERROR(VLOOKUP(B171, PlumX_snapshot!$A:$D, 4, FALSE), " ")</f>
        <v>0</v>
      </c>
      <c r="Z171" s="12">
        <f>IFERROR(VLOOKUP(B171, PlumX_snapshot!$A:$E, 5, FALSE), " ")</f>
        <v>0</v>
      </c>
      <c r="AA171" s="12">
        <f>IFERROR(VLOOKUP(B171, PlumX_snapshot!$A:$F, 6, FALSE), " ")</f>
        <v>0</v>
      </c>
      <c r="AB171" s="13">
        <v>44978</v>
      </c>
      <c r="AC171" s="9" t="s">
        <v>1059</v>
      </c>
      <c r="AH171" s="18">
        <v>2630</v>
      </c>
      <c r="AI171" s="19" t="s">
        <v>875</v>
      </c>
      <c r="AJ171" s="11" t="s">
        <v>301</v>
      </c>
      <c r="AK171" s="11" t="str">
        <f t="shared" si="0"/>
        <v>2022GBP</v>
      </c>
      <c r="AL171" s="11">
        <f>VLOOKUP(AK171, Exchange_rates!$C:$D, 2, FALSE)</f>
        <v>1</v>
      </c>
      <c r="AM171" s="14">
        <f t="shared" si="1"/>
        <v>3156</v>
      </c>
      <c r="AN171" s="9"/>
      <c r="AO171" s="9"/>
      <c r="AP171" s="9"/>
      <c r="AQ171" s="15" t="s">
        <v>49</v>
      </c>
      <c r="AS171" s="16" t="s">
        <v>1060</v>
      </c>
    </row>
    <row r="172" spans="1:45" ht="14.5">
      <c r="A172" s="9" t="s">
        <v>1061</v>
      </c>
      <c r="B172" s="9" t="s">
        <v>1062</v>
      </c>
      <c r="C172" s="9" t="s">
        <v>1063</v>
      </c>
      <c r="D172" s="9" t="s">
        <v>870</v>
      </c>
      <c r="E172" s="9" t="s">
        <v>49</v>
      </c>
      <c r="F172" s="9" t="s">
        <v>69</v>
      </c>
      <c r="G172" s="9" t="s">
        <v>70</v>
      </c>
      <c r="H172" s="9" t="s">
        <v>871</v>
      </c>
      <c r="I172" s="9" t="s">
        <v>72</v>
      </c>
      <c r="J172" s="10"/>
      <c r="K172" s="10"/>
      <c r="L172" s="10">
        <v>44749</v>
      </c>
      <c r="M172" s="10"/>
      <c r="N172" s="9">
        <v>2022</v>
      </c>
      <c r="O172" s="9" t="s">
        <v>992</v>
      </c>
      <c r="P172" s="9" t="s">
        <v>53</v>
      </c>
      <c r="Q172" s="9" t="s">
        <v>53</v>
      </c>
      <c r="R172" s="9" t="s">
        <v>1064</v>
      </c>
      <c r="T172" s="9"/>
      <c r="V172" s="9"/>
      <c r="W172" s="11">
        <f>IFERROR(VLOOKUP(B172, PlumX_snapshot!$A:$B, 2, FALSE), " ")</f>
        <v>19</v>
      </c>
      <c r="X172" s="11">
        <f>IFERROR(VLOOKUP(B172, PlumX_snapshot!$A:$C, 3, FALSE), " ")</f>
        <v>1</v>
      </c>
      <c r="Y172" s="12">
        <f>IFERROR(VLOOKUP(B172, PlumX_snapshot!$A:$D, 4, FALSE), " ")</f>
        <v>0</v>
      </c>
      <c r="Z172" s="12">
        <f>IFERROR(VLOOKUP(B172, PlumX_snapshot!$A:$E, 5, FALSE), " ")</f>
        <v>0</v>
      </c>
      <c r="AA172" s="12">
        <f>IFERROR(VLOOKUP(B172, PlumX_snapshot!$A:$F, 6, FALSE), " ")</f>
        <v>0</v>
      </c>
      <c r="AB172" s="13">
        <v>44978</v>
      </c>
      <c r="AC172" s="9" t="s">
        <v>1065</v>
      </c>
      <c r="AH172" s="18">
        <v>2820</v>
      </c>
      <c r="AI172" s="19" t="s">
        <v>875</v>
      </c>
      <c r="AJ172" s="11" t="s">
        <v>301</v>
      </c>
      <c r="AK172" s="11" t="str">
        <f t="shared" si="0"/>
        <v>2022GBP</v>
      </c>
      <c r="AL172" s="11">
        <f>VLOOKUP(AK172, Exchange_rates!$C:$D, 2, FALSE)</f>
        <v>1</v>
      </c>
      <c r="AM172" s="14">
        <f t="shared" si="1"/>
        <v>3384</v>
      </c>
      <c r="AN172" s="9"/>
      <c r="AO172" s="9"/>
      <c r="AP172" s="9"/>
      <c r="AQ172" s="15" t="s">
        <v>49</v>
      </c>
      <c r="AS172" s="16" t="s">
        <v>1066</v>
      </c>
    </row>
    <row r="173" spans="1:45" ht="14.5">
      <c r="A173" s="9" t="s">
        <v>1067</v>
      </c>
      <c r="B173" s="9" t="s">
        <v>1068</v>
      </c>
      <c r="C173" s="9" t="s">
        <v>1069</v>
      </c>
      <c r="D173" s="9" t="s">
        <v>870</v>
      </c>
      <c r="E173" s="9" t="s">
        <v>49</v>
      </c>
      <c r="F173" s="9" t="s">
        <v>69</v>
      </c>
      <c r="G173" s="9" t="s">
        <v>70</v>
      </c>
      <c r="H173" s="9" t="s">
        <v>871</v>
      </c>
      <c r="I173" s="9" t="s">
        <v>72</v>
      </c>
      <c r="J173" s="10"/>
      <c r="K173" s="10"/>
      <c r="L173" s="10">
        <v>44762</v>
      </c>
      <c r="M173" s="10"/>
      <c r="N173" s="9">
        <v>2022</v>
      </c>
      <c r="O173" s="9" t="s">
        <v>992</v>
      </c>
      <c r="P173" s="9" t="s">
        <v>83</v>
      </c>
      <c r="Q173" s="9" t="s">
        <v>53</v>
      </c>
      <c r="R173" s="9" t="s">
        <v>1070</v>
      </c>
      <c r="T173" s="9"/>
      <c r="V173" s="9"/>
      <c r="W173" s="11">
        <f>IFERROR(VLOOKUP(B173, PlumX_snapshot!$A:$B, 2, FALSE), " ")</f>
        <v>1</v>
      </c>
      <c r="X173" s="11">
        <f>IFERROR(VLOOKUP(B173, PlumX_snapshot!$A:$C, 3, FALSE), " ")</f>
        <v>0</v>
      </c>
      <c r="Y173" s="12">
        <f>IFERROR(VLOOKUP(B173, PlumX_snapshot!$A:$D, 4, FALSE), " ")</f>
        <v>0</v>
      </c>
      <c r="Z173" s="12">
        <f>IFERROR(VLOOKUP(B173, PlumX_snapshot!$A:$E, 5, FALSE), " ")</f>
        <v>0</v>
      </c>
      <c r="AA173" s="12">
        <f>IFERROR(VLOOKUP(B173, PlumX_snapshot!$A:$F, 6, FALSE), " ")</f>
        <v>0</v>
      </c>
      <c r="AB173" s="13">
        <v>44978</v>
      </c>
      <c r="AC173" s="9" t="s">
        <v>1071</v>
      </c>
      <c r="AH173" s="18">
        <v>2790</v>
      </c>
      <c r="AI173" s="19" t="s">
        <v>875</v>
      </c>
      <c r="AJ173" s="11" t="s">
        <v>301</v>
      </c>
      <c r="AK173" s="11" t="str">
        <f t="shared" si="0"/>
        <v>2022GBP</v>
      </c>
      <c r="AL173" s="11">
        <f>VLOOKUP(AK173, Exchange_rates!$C:$D, 2, FALSE)</f>
        <v>1</v>
      </c>
      <c r="AM173" s="14">
        <f t="shared" si="1"/>
        <v>3348</v>
      </c>
      <c r="AN173" s="9"/>
      <c r="AO173" s="9"/>
      <c r="AP173" s="9"/>
      <c r="AQ173" s="15" t="s">
        <v>49</v>
      </c>
      <c r="AS173" s="16" t="s">
        <v>1072</v>
      </c>
    </row>
    <row r="174" spans="1:45" ht="14.5">
      <c r="A174" s="9" t="s">
        <v>1073</v>
      </c>
      <c r="B174" s="9" t="s">
        <v>1074</v>
      </c>
      <c r="C174" s="9" t="s">
        <v>1075</v>
      </c>
      <c r="D174" s="9" t="s">
        <v>870</v>
      </c>
      <c r="E174" s="9" t="s">
        <v>49</v>
      </c>
      <c r="F174" s="9" t="s">
        <v>69</v>
      </c>
      <c r="G174" s="9" t="s">
        <v>70</v>
      </c>
      <c r="H174" s="9" t="s">
        <v>871</v>
      </c>
      <c r="I174" s="9" t="s">
        <v>72</v>
      </c>
      <c r="J174" s="10"/>
      <c r="K174" s="10"/>
      <c r="L174" s="10">
        <v>44783</v>
      </c>
      <c r="M174" s="10"/>
      <c r="N174" s="9">
        <v>2022</v>
      </c>
      <c r="O174" s="9" t="s">
        <v>992</v>
      </c>
      <c r="P174" s="9" t="s">
        <v>83</v>
      </c>
      <c r="Q174" s="9" t="s">
        <v>53</v>
      </c>
      <c r="R174" s="9" t="s">
        <v>1076</v>
      </c>
      <c r="T174" s="9"/>
      <c r="V174" s="9"/>
      <c r="W174" s="11">
        <f>IFERROR(VLOOKUP(B174, PlumX_snapshot!$A:$B, 2, FALSE), " ")</f>
        <v>0</v>
      </c>
      <c r="X174" s="11">
        <f>IFERROR(VLOOKUP(B174, PlumX_snapshot!$A:$C, 3, FALSE), " ")</f>
        <v>0</v>
      </c>
      <c r="Y174" s="12">
        <f>IFERROR(VLOOKUP(B174, PlumX_snapshot!$A:$D, 4, FALSE), " ")</f>
        <v>0</v>
      </c>
      <c r="Z174" s="12">
        <f>IFERROR(VLOOKUP(B174, PlumX_snapshot!$A:$E, 5, FALSE), " ")</f>
        <v>0</v>
      </c>
      <c r="AA174" s="12">
        <f>IFERROR(VLOOKUP(B174, PlumX_snapshot!$A:$F, 6, FALSE), " ")</f>
        <v>0</v>
      </c>
      <c r="AB174" s="13">
        <v>44978</v>
      </c>
      <c r="AC174" s="9" t="s">
        <v>1077</v>
      </c>
      <c r="AH174" s="18">
        <v>2040</v>
      </c>
      <c r="AI174" s="19" t="s">
        <v>875</v>
      </c>
      <c r="AJ174" s="11" t="s">
        <v>301</v>
      </c>
      <c r="AK174" s="11" t="str">
        <f t="shared" si="0"/>
        <v>2022GBP</v>
      </c>
      <c r="AL174" s="11">
        <f>VLOOKUP(AK174, Exchange_rates!$C:$D, 2, FALSE)</f>
        <v>1</v>
      </c>
      <c r="AM174" s="14">
        <f t="shared" si="1"/>
        <v>2448</v>
      </c>
      <c r="AN174" s="9"/>
      <c r="AO174" s="9"/>
      <c r="AP174" s="9"/>
      <c r="AQ174" s="15" t="s">
        <v>49</v>
      </c>
      <c r="AS174" s="16" t="s">
        <v>1078</v>
      </c>
    </row>
    <row r="175" spans="1:45" ht="14.5">
      <c r="A175" s="9" t="s">
        <v>1079</v>
      </c>
      <c r="B175" s="9" t="s">
        <v>1080</v>
      </c>
      <c r="C175" s="9" t="s">
        <v>919</v>
      </c>
      <c r="D175" s="9" t="s">
        <v>870</v>
      </c>
      <c r="E175" s="9" t="s">
        <v>49</v>
      </c>
      <c r="F175" s="9" t="s">
        <v>69</v>
      </c>
      <c r="G175" s="9" t="s">
        <v>70</v>
      </c>
      <c r="H175" s="9" t="s">
        <v>871</v>
      </c>
      <c r="I175" s="9" t="s">
        <v>291</v>
      </c>
      <c r="J175" s="10"/>
      <c r="K175" s="10"/>
      <c r="L175" s="10">
        <v>44824</v>
      </c>
      <c r="M175" s="10"/>
      <c r="N175" s="9">
        <v>2022</v>
      </c>
      <c r="O175" s="9" t="s">
        <v>992</v>
      </c>
      <c r="P175" s="9" t="s">
        <v>53</v>
      </c>
      <c r="Q175" s="9" t="s">
        <v>53</v>
      </c>
      <c r="R175" s="9" t="s">
        <v>1081</v>
      </c>
      <c r="T175" s="9"/>
      <c r="V175" s="9"/>
      <c r="W175" s="11">
        <f>IFERROR(VLOOKUP(B175, PlumX_snapshot!$A:$B, 2, FALSE), " ")</f>
        <v>3</v>
      </c>
      <c r="X175" s="11">
        <f>IFERROR(VLOOKUP(B175, PlumX_snapshot!$A:$C, 3, FALSE), " ")</f>
        <v>0</v>
      </c>
      <c r="Y175" s="12">
        <f>IFERROR(VLOOKUP(B175, PlumX_snapshot!$A:$D, 4, FALSE), " ")</f>
        <v>7</v>
      </c>
      <c r="Z175" s="12">
        <f>IFERROR(VLOOKUP(B175, PlumX_snapshot!$A:$E, 5, FALSE), " ")</f>
        <v>0</v>
      </c>
      <c r="AA175" s="12">
        <f>IFERROR(VLOOKUP(B175, PlumX_snapshot!$A:$F, 6, FALSE), " ")</f>
        <v>0</v>
      </c>
      <c r="AB175" s="13">
        <v>44978</v>
      </c>
      <c r="AC175" s="9" t="s">
        <v>1082</v>
      </c>
      <c r="AH175" s="18">
        <v>2710</v>
      </c>
      <c r="AI175" s="19" t="s">
        <v>875</v>
      </c>
      <c r="AJ175" s="11" t="s">
        <v>301</v>
      </c>
      <c r="AK175" s="11" t="str">
        <f t="shared" si="0"/>
        <v>2022GBP</v>
      </c>
      <c r="AL175" s="11">
        <f>VLOOKUP(AK175, Exchange_rates!$C:$D, 2, FALSE)</f>
        <v>1</v>
      </c>
      <c r="AM175" s="14">
        <f t="shared" si="1"/>
        <v>3252</v>
      </c>
      <c r="AN175" s="9"/>
      <c r="AO175" s="9"/>
      <c r="AP175" s="9"/>
      <c r="AQ175" s="15" t="s">
        <v>49</v>
      </c>
      <c r="AR175" t="s">
        <v>922</v>
      </c>
      <c r="AS175" s="16" t="s">
        <v>922</v>
      </c>
    </row>
    <row r="176" spans="1:45" ht="14.5">
      <c r="A176" s="9" t="s">
        <v>1083</v>
      </c>
      <c r="B176" s="9" t="s">
        <v>1084</v>
      </c>
      <c r="C176" s="9" t="s">
        <v>1085</v>
      </c>
      <c r="D176" s="9" t="s">
        <v>870</v>
      </c>
      <c r="E176" s="9" t="s">
        <v>49</v>
      </c>
      <c r="F176" s="9" t="s">
        <v>69</v>
      </c>
      <c r="G176" s="9" t="s">
        <v>70</v>
      </c>
      <c r="H176" s="9" t="s">
        <v>871</v>
      </c>
      <c r="I176" s="9" t="s">
        <v>72</v>
      </c>
      <c r="J176" s="10"/>
      <c r="K176" s="10"/>
      <c r="L176" s="10">
        <v>44830</v>
      </c>
      <c r="M176" s="10"/>
      <c r="N176" s="9">
        <v>2022</v>
      </c>
      <c r="O176" s="9" t="s">
        <v>992</v>
      </c>
      <c r="P176" s="9" t="s">
        <v>83</v>
      </c>
      <c r="Q176" s="9" t="s">
        <v>53</v>
      </c>
      <c r="R176" s="9" t="s">
        <v>1086</v>
      </c>
      <c r="T176" s="9"/>
      <c r="V176" s="9"/>
      <c r="W176" s="11">
        <f>IFERROR(VLOOKUP(B176, PlumX_snapshot!$A:$B, 2, FALSE), " ")</f>
        <v>11</v>
      </c>
      <c r="X176" s="11">
        <f>IFERROR(VLOOKUP(B176, PlumX_snapshot!$A:$C, 3, FALSE), " ")</f>
        <v>0</v>
      </c>
      <c r="Y176" s="12">
        <f>IFERROR(VLOOKUP(B176, PlumX_snapshot!$A:$D, 4, FALSE), " ")</f>
        <v>20</v>
      </c>
      <c r="Z176" s="12">
        <f>IFERROR(VLOOKUP(B176, PlumX_snapshot!$A:$E, 5, FALSE), " ")</f>
        <v>0</v>
      </c>
      <c r="AA176" s="12">
        <f>IFERROR(VLOOKUP(B176, PlumX_snapshot!$A:$F, 6, FALSE), " ")</f>
        <v>0</v>
      </c>
      <c r="AB176" s="13">
        <v>44978</v>
      </c>
      <c r="AC176" s="9" t="s">
        <v>1087</v>
      </c>
      <c r="AH176" s="18">
        <v>2910</v>
      </c>
      <c r="AI176" s="19" t="s">
        <v>875</v>
      </c>
      <c r="AJ176" s="11" t="s">
        <v>301</v>
      </c>
      <c r="AK176" s="11" t="str">
        <f t="shared" si="0"/>
        <v>2022GBP</v>
      </c>
      <c r="AL176" s="11">
        <f>VLOOKUP(AK176, Exchange_rates!$C:$D, 2, FALSE)</f>
        <v>1</v>
      </c>
      <c r="AM176" s="14">
        <f t="shared" si="1"/>
        <v>3492</v>
      </c>
      <c r="AN176" s="9"/>
      <c r="AO176" s="9"/>
      <c r="AP176" s="9"/>
      <c r="AQ176" s="15" t="s">
        <v>49</v>
      </c>
      <c r="AS176" s="16" t="s">
        <v>1088</v>
      </c>
    </row>
    <row r="177" spans="1:45" ht="14.5">
      <c r="A177" s="9" t="s">
        <v>1089</v>
      </c>
      <c r="B177" s="9" t="s">
        <v>1090</v>
      </c>
      <c r="C177" s="9" t="s">
        <v>1091</v>
      </c>
      <c r="D177" s="9" t="s">
        <v>870</v>
      </c>
      <c r="E177" s="9" t="s">
        <v>49</v>
      </c>
      <c r="F177" s="9" t="s">
        <v>69</v>
      </c>
      <c r="G177" s="9" t="s">
        <v>70</v>
      </c>
      <c r="H177" s="9" t="s">
        <v>871</v>
      </c>
      <c r="I177" s="9" t="s">
        <v>72</v>
      </c>
      <c r="J177" s="10"/>
      <c r="K177" s="10"/>
      <c r="L177" s="10">
        <v>44860</v>
      </c>
      <c r="M177" s="10"/>
      <c r="N177" s="9">
        <v>2022</v>
      </c>
      <c r="O177" s="9" t="s">
        <v>992</v>
      </c>
      <c r="P177" s="9" t="s">
        <v>53</v>
      </c>
      <c r="Q177" s="9" t="s">
        <v>53</v>
      </c>
      <c r="R177" s="9" t="s">
        <v>1092</v>
      </c>
      <c r="T177" s="9"/>
      <c r="V177" s="9"/>
      <c r="W177" s="11">
        <f>IFERROR(VLOOKUP(B177, PlumX_snapshot!$A:$B, 2, FALSE), " ")</f>
        <v>6</v>
      </c>
      <c r="X177" s="11">
        <f>IFERROR(VLOOKUP(B177, PlumX_snapshot!$A:$C, 3, FALSE), " ")</f>
        <v>0</v>
      </c>
      <c r="Y177" s="12">
        <f>IFERROR(VLOOKUP(B177, PlumX_snapshot!$A:$D, 4, FALSE), " ")</f>
        <v>10</v>
      </c>
      <c r="Z177" s="12">
        <f>IFERROR(VLOOKUP(B177, PlumX_snapshot!$A:$E, 5, FALSE), " ")</f>
        <v>0</v>
      </c>
      <c r="AA177" s="12">
        <f>IFERROR(VLOOKUP(B177, PlumX_snapshot!$A:$F, 6, FALSE), " ")</f>
        <v>0</v>
      </c>
      <c r="AB177" s="13">
        <v>44978</v>
      </c>
      <c r="AC177" s="9" t="s">
        <v>1093</v>
      </c>
      <c r="AH177" s="18">
        <v>3030</v>
      </c>
      <c r="AI177" s="19" t="s">
        <v>875</v>
      </c>
      <c r="AJ177" s="11" t="s">
        <v>301</v>
      </c>
      <c r="AK177" s="11" t="str">
        <f t="shared" si="0"/>
        <v>2022GBP</v>
      </c>
      <c r="AL177" s="11">
        <f>VLOOKUP(AK177, Exchange_rates!$C:$D, 2, FALSE)</f>
        <v>1</v>
      </c>
      <c r="AM177" s="14">
        <f t="shared" si="1"/>
        <v>3636</v>
      </c>
      <c r="AN177" s="9"/>
      <c r="AO177" s="9"/>
      <c r="AP177" s="9"/>
      <c r="AQ177" s="15" t="s">
        <v>49</v>
      </c>
      <c r="AS177" s="16" t="s">
        <v>1094</v>
      </c>
    </row>
    <row r="178" spans="1:45" ht="14.5">
      <c r="A178" s="9" t="s">
        <v>1095</v>
      </c>
      <c r="B178" s="9" t="s">
        <v>1096</v>
      </c>
      <c r="C178" s="9" t="s">
        <v>1097</v>
      </c>
      <c r="D178" s="9" t="s">
        <v>870</v>
      </c>
      <c r="E178" s="9" t="s">
        <v>125</v>
      </c>
      <c r="F178" s="9" t="s">
        <v>69</v>
      </c>
      <c r="G178" s="9" t="s">
        <v>51</v>
      </c>
      <c r="H178" s="9"/>
      <c r="I178" s="9" t="s">
        <v>72</v>
      </c>
      <c r="J178" s="10"/>
      <c r="K178" s="10"/>
      <c r="L178" s="10">
        <v>44840</v>
      </c>
      <c r="M178" s="10"/>
      <c r="N178" s="9">
        <v>2022</v>
      </c>
      <c r="O178" s="9" t="s">
        <v>992</v>
      </c>
      <c r="P178" s="9" t="s">
        <v>53</v>
      </c>
      <c r="Q178" s="9" t="s">
        <v>53</v>
      </c>
      <c r="R178" s="9" t="s">
        <v>1098</v>
      </c>
      <c r="T178" s="9" t="s">
        <v>279</v>
      </c>
      <c r="U178" s="9" t="s">
        <v>1027</v>
      </c>
      <c r="V178" s="9"/>
      <c r="W178" s="11">
        <f>IFERROR(VLOOKUP(B178, PlumX_snapshot!$A:$B, 2, FALSE), " ")</f>
        <v>17</v>
      </c>
      <c r="X178" s="11">
        <f>IFERROR(VLOOKUP(B178, PlumX_snapshot!$A:$C, 3, FALSE), " ")</f>
        <v>0</v>
      </c>
      <c r="Y178" s="12">
        <f>IFERROR(VLOOKUP(B178, PlumX_snapshot!$A:$D, 4, FALSE), " ")</f>
        <v>7</v>
      </c>
      <c r="Z178" s="12">
        <f>IFERROR(VLOOKUP(B178, PlumX_snapshot!$A:$E, 5, FALSE), " ")</f>
        <v>0</v>
      </c>
      <c r="AA178" s="12">
        <f>IFERROR(VLOOKUP(B178, PlumX_snapshot!$A:$F, 6, FALSE), " ")</f>
        <v>0</v>
      </c>
      <c r="AB178" s="13">
        <v>44978</v>
      </c>
      <c r="AC178" s="9" t="s">
        <v>1099</v>
      </c>
      <c r="AI178" s="9"/>
      <c r="AJ178" s="11"/>
      <c r="AK178" s="11" t="str">
        <f t="shared" si="0"/>
        <v>2022</v>
      </c>
      <c r="AL178" s="11" t="e">
        <f>VLOOKUP(AK178, Exchange_rates!$C:$D, 2, FALSE)</f>
        <v>#N/A</v>
      </c>
      <c r="AM178" s="14" t="str">
        <f t="shared" si="1"/>
        <v/>
      </c>
      <c r="AN178" s="9"/>
      <c r="AO178" s="9"/>
      <c r="AP178" s="9"/>
      <c r="AQ178" s="15" t="s">
        <v>125</v>
      </c>
      <c r="AR178" t="s">
        <v>1100</v>
      </c>
      <c r="AS178" s="16"/>
    </row>
    <row r="179" spans="1:45" ht="14.5">
      <c r="A179" s="9" t="s">
        <v>1101</v>
      </c>
      <c r="B179" s="9" t="s">
        <v>1102</v>
      </c>
      <c r="C179" s="9" t="s">
        <v>1103</v>
      </c>
      <c r="D179" s="9" t="s">
        <v>870</v>
      </c>
      <c r="E179" s="9" t="s">
        <v>49</v>
      </c>
      <c r="F179" s="9" t="s">
        <v>69</v>
      </c>
      <c r="G179" s="9" t="s">
        <v>70</v>
      </c>
      <c r="H179" s="9" t="s">
        <v>871</v>
      </c>
      <c r="I179" s="9" t="s">
        <v>72</v>
      </c>
      <c r="J179" s="10"/>
      <c r="K179" s="10"/>
      <c r="L179" s="10">
        <v>44750</v>
      </c>
      <c r="M179" s="10"/>
      <c r="N179" s="9">
        <v>2022</v>
      </c>
      <c r="O179" s="9" t="s">
        <v>992</v>
      </c>
      <c r="P179" s="9" t="s">
        <v>53</v>
      </c>
      <c r="Q179" s="9" t="s">
        <v>53</v>
      </c>
      <c r="R179" s="9" t="s">
        <v>1104</v>
      </c>
      <c r="T179" s="9"/>
      <c r="V179" s="9"/>
      <c r="W179" s="11">
        <f>IFERROR(VLOOKUP(B179, PlumX_snapshot!$A:$B, 2, FALSE), " ")</f>
        <v>4</v>
      </c>
      <c r="X179" s="11">
        <f>IFERROR(VLOOKUP(B179, PlumX_snapshot!$A:$C, 3, FALSE), " ")</f>
        <v>1</v>
      </c>
      <c r="Y179" s="12">
        <f>IFERROR(VLOOKUP(B179, PlumX_snapshot!$A:$D, 4, FALSE), " ")</f>
        <v>2</v>
      </c>
      <c r="Z179" s="12">
        <f>IFERROR(VLOOKUP(B179, PlumX_snapshot!$A:$E, 5, FALSE), " ")</f>
        <v>0</v>
      </c>
      <c r="AA179" s="12">
        <f>IFERROR(VLOOKUP(B179, PlumX_snapshot!$A:$F, 6, FALSE), " ")</f>
        <v>0</v>
      </c>
      <c r="AB179" s="13">
        <v>44978</v>
      </c>
      <c r="AC179" s="9" t="s">
        <v>1105</v>
      </c>
      <c r="AH179" s="18">
        <v>2940</v>
      </c>
      <c r="AI179" s="19" t="s">
        <v>875</v>
      </c>
      <c r="AJ179" s="11" t="s">
        <v>301</v>
      </c>
      <c r="AK179" s="11" t="str">
        <f t="shared" si="0"/>
        <v>2022GBP</v>
      </c>
      <c r="AL179" s="11">
        <f>VLOOKUP(AK179, Exchange_rates!$C:$D, 2, FALSE)</f>
        <v>1</v>
      </c>
      <c r="AM179" s="14">
        <f t="shared" si="1"/>
        <v>3528</v>
      </c>
      <c r="AN179" s="9"/>
      <c r="AO179" s="9"/>
      <c r="AP179" s="9"/>
      <c r="AQ179" s="15" t="s">
        <v>49</v>
      </c>
      <c r="AR179" t="s">
        <v>1106</v>
      </c>
      <c r="AS179" s="16" t="s">
        <v>1106</v>
      </c>
    </row>
    <row r="180" spans="1:45" ht="14.5">
      <c r="A180" s="9" t="s">
        <v>1107</v>
      </c>
      <c r="B180" s="9" t="s">
        <v>1108</v>
      </c>
      <c r="C180" s="9" t="s">
        <v>1109</v>
      </c>
      <c r="D180" s="9" t="s">
        <v>870</v>
      </c>
      <c r="E180" s="9" t="s">
        <v>49</v>
      </c>
      <c r="F180" s="9" t="s">
        <v>69</v>
      </c>
      <c r="G180" s="9" t="s">
        <v>70</v>
      </c>
      <c r="H180" s="9" t="s">
        <v>871</v>
      </c>
      <c r="I180" s="9" t="s">
        <v>72</v>
      </c>
      <c r="J180" s="10"/>
      <c r="K180" s="10"/>
      <c r="L180" s="10">
        <v>44756</v>
      </c>
      <c r="M180" s="10">
        <v>44805</v>
      </c>
      <c r="N180" s="9">
        <v>2022</v>
      </c>
      <c r="O180" s="9" t="s">
        <v>992</v>
      </c>
      <c r="P180" s="9" t="s">
        <v>53</v>
      </c>
      <c r="Q180" s="9" t="s">
        <v>83</v>
      </c>
      <c r="R180" s="9" t="s">
        <v>1110</v>
      </c>
      <c r="T180" s="9"/>
      <c r="V180" s="9"/>
      <c r="W180" s="11">
        <f>IFERROR(VLOOKUP(B180, PlumX_snapshot!$A:$B, 2, FALSE), " ")</f>
        <v>17</v>
      </c>
      <c r="X180" s="11">
        <f>IFERROR(VLOOKUP(B180, PlumX_snapshot!$A:$C, 3, FALSE), " ")</f>
        <v>2</v>
      </c>
      <c r="Y180" s="12">
        <f>IFERROR(VLOOKUP(B180, PlumX_snapshot!$A:$D, 4, FALSE), " ")</f>
        <v>2</v>
      </c>
      <c r="Z180" s="12">
        <f>IFERROR(VLOOKUP(B180, PlumX_snapshot!$A:$E, 5, FALSE), " ")</f>
        <v>0</v>
      </c>
      <c r="AA180" s="12">
        <f>IFERROR(VLOOKUP(B180, PlumX_snapshot!$A:$F, 6, FALSE), " ")</f>
        <v>0</v>
      </c>
      <c r="AB180" s="13">
        <v>44978</v>
      </c>
      <c r="AC180" s="9" t="s">
        <v>1111</v>
      </c>
      <c r="AH180" s="18">
        <v>2670</v>
      </c>
      <c r="AI180" s="19" t="s">
        <v>875</v>
      </c>
      <c r="AJ180" s="11" t="s">
        <v>301</v>
      </c>
      <c r="AK180" s="11" t="str">
        <f t="shared" si="0"/>
        <v>2022GBP</v>
      </c>
      <c r="AL180" s="11">
        <f>VLOOKUP(AK180, Exchange_rates!$C:$D, 2, FALSE)</f>
        <v>1</v>
      </c>
      <c r="AM180" s="14">
        <f t="shared" si="1"/>
        <v>3204</v>
      </c>
      <c r="AN180" s="9"/>
      <c r="AO180" s="9"/>
      <c r="AP180" s="9"/>
      <c r="AQ180" s="15" t="s">
        <v>49</v>
      </c>
      <c r="AS180" s="16" t="s">
        <v>1112</v>
      </c>
    </row>
    <row r="181" spans="1:45" ht="14.5">
      <c r="A181" s="9" t="s">
        <v>1113</v>
      </c>
      <c r="B181" s="9" t="s">
        <v>1114</v>
      </c>
      <c r="C181" s="9" t="s">
        <v>919</v>
      </c>
      <c r="D181" s="9" t="s">
        <v>870</v>
      </c>
      <c r="E181" s="9" t="s">
        <v>49</v>
      </c>
      <c r="F181" s="9" t="s">
        <v>69</v>
      </c>
      <c r="G181" s="9" t="s">
        <v>70</v>
      </c>
      <c r="H181" s="9" t="s">
        <v>871</v>
      </c>
      <c r="I181" s="9" t="s">
        <v>72</v>
      </c>
      <c r="J181" s="10"/>
      <c r="K181" s="10"/>
      <c r="L181" s="10">
        <v>44760</v>
      </c>
      <c r="M181" s="10"/>
      <c r="N181" s="9">
        <v>2022</v>
      </c>
      <c r="O181" s="9" t="s">
        <v>992</v>
      </c>
      <c r="P181" s="9" t="s">
        <v>53</v>
      </c>
      <c r="Q181" s="9" t="s">
        <v>53</v>
      </c>
      <c r="R181" s="9" t="s">
        <v>1115</v>
      </c>
      <c r="T181" s="9"/>
      <c r="V181" s="9"/>
      <c r="W181" s="11">
        <f>IFERROR(VLOOKUP(B181, PlumX_snapshot!$A:$B, 2, FALSE), " ")</f>
        <v>9</v>
      </c>
      <c r="X181" s="11">
        <f>IFERROR(VLOOKUP(B181, PlumX_snapshot!$A:$C, 3, FALSE), " ")</f>
        <v>0</v>
      </c>
      <c r="Y181" s="12">
        <f>IFERROR(VLOOKUP(B181, PlumX_snapshot!$A:$D, 4, FALSE), " ")</f>
        <v>7</v>
      </c>
      <c r="Z181" s="12">
        <f>IFERROR(VLOOKUP(B181, PlumX_snapshot!$A:$E, 5, FALSE), " ")</f>
        <v>0</v>
      </c>
      <c r="AA181" s="12">
        <f>IFERROR(VLOOKUP(B181, PlumX_snapshot!$A:$F, 6, FALSE), " ")</f>
        <v>0</v>
      </c>
      <c r="AB181" s="13">
        <v>44978</v>
      </c>
      <c r="AC181" s="9" t="s">
        <v>1116</v>
      </c>
      <c r="AH181" s="18">
        <v>2710</v>
      </c>
      <c r="AI181" s="19" t="s">
        <v>875</v>
      </c>
      <c r="AJ181" s="11" t="s">
        <v>301</v>
      </c>
      <c r="AK181" s="11" t="str">
        <f t="shared" si="0"/>
        <v>2022GBP</v>
      </c>
      <c r="AL181" s="11">
        <f>VLOOKUP(AK181, Exchange_rates!$C:$D, 2, FALSE)</f>
        <v>1</v>
      </c>
      <c r="AM181" s="14">
        <f t="shared" si="1"/>
        <v>3252</v>
      </c>
      <c r="AN181" s="9"/>
      <c r="AO181" s="9"/>
      <c r="AP181" s="9"/>
      <c r="AQ181" s="15" t="s">
        <v>49</v>
      </c>
      <c r="AR181" t="s">
        <v>922</v>
      </c>
      <c r="AS181" s="16" t="s">
        <v>922</v>
      </c>
    </row>
    <row r="182" spans="1:45" ht="14.5">
      <c r="A182" s="9" t="s">
        <v>1117</v>
      </c>
      <c r="B182" s="9" t="s">
        <v>1118</v>
      </c>
      <c r="C182" s="9" t="s">
        <v>1119</v>
      </c>
      <c r="D182" s="9" t="s">
        <v>870</v>
      </c>
      <c r="E182" s="9" t="s">
        <v>49</v>
      </c>
      <c r="F182" s="9" t="s">
        <v>69</v>
      </c>
      <c r="G182" s="9" t="s">
        <v>70</v>
      </c>
      <c r="H182" s="9" t="s">
        <v>871</v>
      </c>
      <c r="I182" s="9" t="s">
        <v>72</v>
      </c>
      <c r="J182" s="10"/>
      <c r="K182" s="10"/>
      <c r="L182" s="10">
        <v>44750</v>
      </c>
      <c r="M182" s="10"/>
      <c r="N182" s="9">
        <v>2022</v>
      </c>
      <c r="O182" s="9" t="s">
        <v>992</v>
      </c>
      <c r="P182" s="9" t="s">
        <v>53</v>
      </c>
      <c r="Q182" s="9" t="s">
        <v>53</v>
      </c>
      <c r="T182" s="9"/>
      <c r="V182" s="9"/>
      <c r="W182" s="11">
        <f>IFERROR(VLOOKUP(B182, PlumX_snapshot!$A:$B, 2, FALSE), " ")</f>
        <v>8</v>
      </c>
      <c r="X182" s="11">
        <f>IFERROR(VLOOKUP(B182, PlumX_snapshot!$A:$C, 3, FALSE), " ")</f>
        <v>0</v>
      </c>
      <c r="Y182" s="12">
        <f>IFERROR(VLOOKUP(B182, PlumX_snapshot!$A:$D, 4, FALSE), " ")</f>
        <v>0</v>
      </c>
      <c r="Z182" s="12">
        <f>IFERROR(VLOOKUP(B182, PlumX_snapshot!$A:$E, 5, FALSE), " ")</f>
        <v>0</v>
      </c>
      <c r="AA182" s="12">
        <f>IFERROR(VLOOKUP(B182, PlumX_snapshot!$A:$F, 6, FALSE), " ")</f>
        <v>0</v>
      </c>
      <c r="AB182" s="13">
        <v>44978</v>
      </c>
      <c r="AC182" s="9" t="s">
        <v>1120</v>
      </c>
      <c r="AH182" s="18">
        <v>2350</v>
      </c>
      <c r="AI182" s="19" t="s">
        <v>875</v>
      </c>
      <c r="AJ182" s="11" t="s">
        <v>301</v>
      </c>
      <c r="AK182" s="11" t="str">
        <f t="shared" si="0"/>
        <v>2022GBP</v>
      </c>
      <c r="AL182" s="11">
        <f>VLOOKUP(AK182, Exchange_rates!$C:$D, 2, FALSE)</f>
        <v>1</v>
      </c>
      <c r="AM182" s="14">
        <f t="shared" si="1"/>
        <v>2820</v>
      </c>
      <c r="AN182" s="9"/>
      <c r="AO182" s="9"/>
      <c r="AP182" s="9"/>
      <c r="AQ182" s="15" t="s">
        <v>49</v>
      </c>
      <c r="AS182" s="16" t="s">
        <v>1121</v>
      </c>
    </row>
    <row r="183" spans="1:45" ht="14.5">
      <c r="A183" s="9" t="s">
        <v>1122</v>
      </c>
      <c r="B183" s="9" t="s">
        <v>1123</v>
      </c>
      <c r="C183" s="9" t="s">
        <v>1124</v>
      </c>
      <c r="D183" s="9" t="s">
        <v>870</v>
      </c>
      <c r="E183" s="9" t="s">
        <v>49</v>
      </c>
      <c r="F183" s="9" t="s">
        <v>69</v>
      </c>
      <c r="G183" s="9" t="s">
        <v>70</v>
      </c>
      <c r="H183" s="9" t="s">
        <v>871</v>
      </c>
      <c r="I183" s="9" t="s">
        <v>72</v>
      </c>
      <c r="J183" s="10"/>
      <c r="K183" s="10"/>
      <c r="L183" s="10">
        <v>44740</v>
      </c>
      <c r="M183" s="10"/>
      <c r="N183" s="9">
        <v>2022</v>
      </c>
      <c r="O183" s="9" t="s">
        <v>992</v>
      </c>
      <c r="P183" s="9" t="s">
        <v>83</v>
      </c>
      <c r="Q183" s="9" t="s">
        <v>53</v>
      </c>
      <c r="R183" s="9" t="s">
        <v>1125</v>
      </c>
      <c r="T183" s="9"/>
      <c r="V183" s="9"/>
      <c r="W183" s="11">
        <f>IFERROR(VLOOKUP(B183, PlumX_snapshot!$A:$B, 2, FALSE), " ")</f>
        <v>7</v>
      </c>
      <c r="X183" s="11">
        <f>IFERROR(VLOOKUP(B183, PlumX_snapshot!$A:$C, 3, FALSE), " ")</f>
        <v>0</v>
      </c>
      <c r="Y183" s="12">
        <f>IFERROR(VLOOKUP(B183, PlumX_snapshot!$A:$D, 4, FALSE), " ")</f>
        <v>3</v>
      </c>
      <c r="Z183" s="12">
        <f>IFERROR(VLOOKUP(B183, PlumX_snapshot!$A:$E, 5, FALSE), " ")</f>
        <v>0</v>
      </c>
      <c r="AA183" s="12">
        <f>IFERROR(VLOOKUP(B183, PlumX_snapshot!$A:$F, 6, FALSE), " ")</f>
        <v>0</v>
      </c>
      <c r="AB183" s="13">
        <v>44978</v>
      </c>
      <c r="AC183" s="9" t="s">
        <v>1126</v>
      </c>
      <c r="AH183" s="18">
        <v>3100</v>
      </c>
      <c r="AI183" s="19" t="s">
        <v>875</v>
      </c>
      <c r="AJ183" s="11" t="s">
        <v>301</v>
      </c>
      <c r="AK183" s="11" t="str">
        <f t="shared" si="0"/>
        <v>2022GBP</v>
      </c>
      <c r="AL183" s="11">
        <f>VLOOKUP(AK183, Exchange_rates!$C:$D, 2, FALSE)</f>
        <v>1</v>
      </c>
      <c r="AM183" s="14">
        <f t="shared" si="1"/>
        <v>3720</v>
      </c>
      <c r="AN183" s="9"/>
      <c r="AO183" s="9"/>
      <c r="AP183" s="9"/>
      <c r="AQ183" s="15" t="s">
        <v>49</v>
      </c>
      <c r="AS183" s="16" t="s">
        <v>1127</v>
      </c>
    </row>
    <row r="184" spans="1:45" ht="14.5">
      <c r="A184" s="9" t="s">
        <v>1128</v>
      </c>
      <c r="B184" s="9" t="s">
        <v>1129</v>
      </c>
      <c r="C184" s="9" t="s">
        <v>1130</v>
      </c>
      <c r="D184" s="9" t="s">
        <v>870</v>
      </c>
      <c r="E184" s="9" t="s">
        <v>49</v>
      </c>
      <c r="F184" s="9" t="s">
        <v>69</v>
      </c>
      <c r="G184" s="9" t="s">
        <v>70</v>
      </c>
      <c r="H184" s="9" t="s">
        <v>871</v>
      </c>
      <c r="I184" s="9" t="s">
        <v>72</v>
      </c>
      <c r="J184" s="10"/>
      <c r="K184" s="10"/>
      <c r="L184" s="10">
        <v>44798</v>
      </c>
      <c r="M184" s="10"/>
      <c r="N184" s="9">
        <v>2022</v>
      </c>
      <c r="O184" s="9" t="s">
        <v>992</v>
      </c>
      <c r="P184" s="9" t="s">
        <v>53</v>
      </c>
      <c r="Q184" s="9" t="s">
        <v>53</v>
      </c>
      <c r="T184" s="9"/>
      <c r="V184" s="9"/>
      <c r="W184" s="11">
        <f>IFERROR(VLOOKUP(B184, PlumX_snapshot!$A:$B, 2, FALSE), " ")</f>
        <v>13</v>
      </c>
      <c r="X184" s="11">
        <f>IFERROR(VLOOKUP(B184, PlumX_snapshot!$A:$C, 3, FALSE), " ")</f>
        <v>3</v>
      </c>
      <c r="Y184" s="12">
        <f>IFERROR(VLOOKUP(B184, PlumX_snapshot!$A:$D, 4, FALSE), " ")</f>
        <v>0</v>
      </c>
      <c r="Z184" s="12">
        <f>IFERROR(VLOOKUP(B184, PlumX_snapshot!$A:$E, 5, FALSE), " ")</f>
        <v>0</v>
      </c>
      <c r="AA184" s="12">
        <f>IFERROR(VLOOKUP(B184, PlumX_snapshot!$A:$F, 6, FALSE), " ")</f>
        <v>0</v>
      </c>
      <c r="AB184" s="13">
        <v>44978</v>
      </c>
      <c r="AC184" s="9" t="s">
        <v>1131</v>
      </c>
      <c r="AH184" s="18">
        <v>2320</v>
      </c>
      <c r="AI184" s="19" t="s">
        <v>875</v>
      </c>
      <c r="AJ184" s="11" t="s">
        <v>301</v>
      </c>
      <c r="AK184" s="11" t="str">
        <f t="shared" si="0"/>
        <v>2022GBP</v>
      </c>
      <c r="AL184" s="11">
        <f>VLOOKUP(AK184, Exchange_rates!$C:$D, 2, FALSE)</f>
        <v>1</v>
      </c>
      <c r="AM184" s="14">
        <f t="shared" si="1"/>
        <v>2784</v>
      </c>
      <c r="AN184" s="9"/>
      <c r="AO184" s="9"/>
      <c r="AP184" s="9"/>
      <c r="AQ184" s="15" t="s">
        <v>49</v>
      </c>
      <c r="AS184" s="16" t="s">
        <v>1132</v>
      </c>
    </row>
    <row r="185" spans="1:45" ht="14.5">
      <c r="A185" s="9" t="s">
        <v>1133</v>
      </c>
      <c r="B185" s="9" t="s">
        <v>1134</v>
      </c>
      <c r="C185" s="9" t="s">
        <v>1135</v>
      </c>
      <c r="D185" s="9" t="s">
        <v>870</v>
      </c>
      <c r="E185" s="9" t="s">
        <v>49</v>
      </c>
      <c r="F185" s="9" t="s">
        <v>69</v>
      </c>
      <c r="G185" s="9" t="s">
        <v>70</v>
      </c>
      <c r="H185" s="9" t="s">
        <v>871</v>
      </c>
      <c r="I185" s="9" t="s">
        <v>72</v>
      </c>
      <c r="J185" s="10"/>
      <c r="K185" s="10"/>
      <c r="L185" s="10">
        <v>44727</v>
      </c>
      <c r="M185" s="10"/>
      <c r="N185" s="9">
        <v>2022</v>
      </c>
      <c r="O185" s="9" t="s">
        <v>992</v>
      </c>
      <c r="P185" s="9" t="s">
        <v>53</v>
      </c>
      <c r="Q185" s="9" t="s">
        <v>53</v>
      </c>
      <c r="T185" s="9"/>
      <c r="V185" s="9"/>
      <c r="W185" s="11">
        <f>IFERROR(VLOOKUP(B185, PlumX_snapshot!$A:$B, 2, FALSE), " ")</f>
        <v>28</v>
      </c>
      <c r="X185" s="11">
        <f>IFERROR(VLOOKUP(B185, PlumX_snapshot!$A:$C, 3, FALSE), " ")</f>
        <v>0</v>
      </c>
      <c r="Y185" s="12">
        <f>IFERROR(VLOOKUP(B185, PlumX_snapshot!$A:$D, 4, FALSE), " ")</f>
        <v>7</v>
      </c>
      <c r="Z185" s="12">
        <f>IFERROR(VLOOKUP(B185, PlumX_snapshot!$A:$E, 5, FALSE), " ")</f>
        <v>0</v>
      </c>
      <c r="AA185" s="12">
        <f>IFERROR(VLOOKUP(B185, PlumX_snapshot!$A:$F, 6, FALSE), " ")</f>
        <v>0</v>
      </c>
      <c r="AB185" s="13">
        <v>44978</v>
      </c>
      <c r="AC185" s="9" t="s">
        <v>1136</v>
      </c>
      <c r="AH185" s="18">
        <v>2640</v>
      </c>
      <c r="AI185" s="19" t="s">
        <v>875</v>
      </c>
      <c r="AJ185" s="11" t="s">
        <v>301</v>
      </c>
      <c r="AK185" s="11" t="str">
        <f t="shared" si="0"/>
        <v>2022GBP</v>
      </c>
      <c r="AL185" s="11">
        <f>VLOOKUP(AK185, Exchange_rates!$C:$D, 2, FALSE)</f>
        <v>1</v>
      </c>
      <c r="AM185" s="14">
        <f t="shared" si="1"/>
        <v>3168</v>
      </c>
      <c r="AN185" s="9"/>
      <c r="AO185" s="9"/>
      <c r="AP185" s="9"/>
      <c r="AQ185" s="15" t="s">
        <v>49</v>
      </c>
      <c r="AS185" s="16" t="s">
        <v>1137</v>
      </c>
    </row>
    <row r="186" spans="1:45" ht="14.5">
      <c r="A186" s="9" t="s">
        <v>1138</v>
      </c>
      <c r="B186" s="9" t="s">
        <v>1139</v>
      </c>
      <c r="C186" s="9" t="s">
        <v>1140</v>
      </c>
      <c r="D186" s="9" t="s">
        <v>870</v>
      </c>
      <c r="E186" s="9" t="s">
        <v>49</v>
      </c>
      <c r="F186" s="9" t="s">
        <v>69</v>
      </c>
      <c r="G186" s="9" t="s">
        <v>70</v>
      </c>
      <c r="H186" s="9" t="s">
        <v>871</v>
      </c>
      <c r="I186" s="9" t="s">
        <v>291</v>
      </c>
      <c r="J186" s="10"/>
      <c r="K186" s="10"/>
      <c r="L186" s="10">
        <v>44725</v>
      </c>
      <c r="M186" s="10"/>
      <c r="N186" s="9">
        <v>2022</v>
      </c>
      <c r="O186" s="9" t="s">
        <v>992</v>
      </c>
      <c r="P186" s="9" t="s">
        <v>53</v>
      </c>
      <c r="Q186" s="9" t="s">
        <v>53</v>
      </c>
      <c r="T186" s="9"/>
      <c r="V186" s="9"/>
      <c r="W186" s="11">
        <f>IFERROR(VLOOKUP(B186, PlumX_snapshot!$A:$B, 2, FALSE), " ")</f>
        <v>21</v>
      </c>
      <c r="X186" s="11">
        <f>IFERROR(VLOOKUP(B186, PlumX_snapshot!$A:$C, 3, FALSE), " ")</f>
        <v>1</v>
      </c>
      <c r="Y186" s="12">
        <f>IFERROR(VLOOKUP(B186, PlumX_snapshot!$A:$D, 4, FALSE), " ")</f>
        <v>10</v>
      </c>
      <c r="Z186" s="12">
        <f>IFERROR(VLOOKUP(B186, PlumX_snapshot!$A:$E, 5, FALSE), " ")</f>
        <v>0</v>
      </c>
      <c r="AA186" s="12">
        <f>IFERROR(VLOOKUP(B186, PlumX_snapshot!$A:$F, 6, FALSE), " ")</f>
        <v>0</v>
      </c>
      <c r="AB186" s="13">
        <v>44978</v>
      </c>
      <c r="AC186" s="9" t="s">
        <v>1141</v>
      </c>
      <c r="AH186" s="18">
        <v>2470</v>
      </c>
      <c r="AI186" s="19" t="s">
        <v>875</v>
      </c>
      <c r="AJ186" s="11" t="s">
        <v>301</v>
      </c>
      <c r="AK186" s="11" t="str">
        <f t="shared" si="0"/>
        <v>2022GBP</v>
      </c>
      <c r="AL186" s="11">
        <f>VLOOKUP(AK186, Exchange_rates!$C:$D, 2, FALSE)</f>
        <v>1</v>
      </c>
      <c r="AM186" s="14">
        <f t="shared" si="1"/>
        <v>2964</v>
      </c>
      <c r="AN186" s="9"/>
      <c r="AO186" s="9"/>
      <c r="AP186" s="9"/>
      <c r="AQ186" s="15" t="s">
        <v>49</v>
      </c>
      <c r="AS186" s="16" t="s">
        <v>1142</v>
      </c>
    </row>
    <row r="187" spans="1:45" ht="14.5">
      <c r="A187" s="9" t="s">
        <v>1143</v>
      </c>
      <c r="B187" s="9" t="s">
        <v>1144</v>
      </c>
      <c r="C187" s="9" t="s">
        <v>928</v>
      </c>
      <c r="D187" s="9" t="s">
        <v>870</v>
      </c>
      <c r="E187" s="9" t="s">
        <v>49</v>
      </c>
      <c r="F187" s="9" t="s">
        <v>69</v>
      </c>
      <c r="G187" s="9" t="s">
        <v>70</v>
      </c>
      <c r="H187" s="9" t="s">
        <v>871</v>
      </c>
      <c r="I187" s="9" t="s">
        <v>72</v>
      </c>
      <c r="J187" s="10"/>
      <c r="K187" s="10"/>
      <c r="L187" s="10">
        <v>44728</v>
      </c>
      <c r="M187" s="10"/>
      <c r="N187" s="9">
        <v>2022</v>
      </c>
      <c r="O187" s="9" t="s">
        <v>992</v>
      </c>
      <c r="P187" s="9" t="s">
        <v>83</v>
      </c>
      <c r="Q187" s="9" t="s">
        <v>53</v>
      </c>
      <c r="R187" s="9" t="s">
        <v>929</v>
      </c>
      <c r="T187" s="9"/>
      <c r="V187" s="9"/>
      <c r="W187" s="11">
        <f>IFERROR(VLOOKUP(B187, PlumX_snapshot!$A:$B, 2, FALSE), " ")</f>
        <v>2</v>
      </c>
      <c r="X187" s="11">
        <f>IFERROR(VLOOKUP(B187, PlumX_snapshot!$A:$C, 3, FALSE), " ")</f>
        <v>0</v>
      </c>
      <c r="Y187" s="12">
        <f>IFERROR(VLOOKUP(B187, PlumX_snapshot!$A:$D, 4, FALSE), " ")</f>
        <v>1</v>
      </c>
      <c r="Z187" s="12">
        <f>IFERROR(VLOOKUP(B187, PlumX_snapshot!$A:$E, 5, FALSE), " ")</f>
        <v>0</v>
      </c>
      <c r="AA187" s="12">
        <f>IFERROR(VLOOKUP(B187, PlumX_snapshot!$A:$F, 6, FALSE), " ")</f>
        <v>0</v>
      </c>
      <c r="AB187" s="13">
        <v>44978</v>
      </c>
      <c r="AC187" s="9" t="s">
        <v>930</v>
      </c>
      <c r="AH187" s="18">
        <v>2560</v>
      </c>
      <c r="AI187" s="19" t="s">
        <v>875</v>
      </c>
      <c r="AJ187" s="11" t="s">
        <v>301</v>
      </c>
      <c r="AK187" s="11" t="str">
        <f t="shared" si="0"/>
        <v>2022GBP</v>
      </c>
      <c r="AL187" s="11">
        <f>VLOOKUP(AK187, Exchange_rates!$C:$D, 2, FALSE)</f>
        <v>1</v>
      </c>
      <c r="AM187" s="14">
        <f t="shared" si="1"/>
        <v>3072</v>
      </c>
      <c r="AN187" s="9"/>
      <c r="AO187" s="9"/>
      <c r="AP187" s="9"/>
      <c r="AQ187" s="15" t="s">
        <v>49</v>
      </c>
      <c r="AS187" s="16" t="s">
        <v>931</v>
      </c>
    </row>
    <row r="188" spans="1:45" ht="14.5">
      <c r="A188" s="9" t="s">
        <v>1145</v>
      </c>
      <c r="B188" s="9" t="s">
        <v>1146</v>
      </c>
      <c r="C188" s="9" t="s">
        <v>1091</v>
      </c>
      <c r="D188" s="9" t="s">
        <v>870</v>
      </c>
      <c r="E188" s="9" t="s">
        <v>49</v>
      </c>
      <c r="F188" s="9" t="s">
        <v>69</v>
      </c>
      <c r="G188" s="9" t="s">
        <v>70</v>
      </c>
      <c r="H188" s="9" t="s">
        <v>871</v>
      </c>
      <c r="I188" s="9" t="s">
        <v>72</v>
      </c>
      <c r="J188" s="10"/>
      <c r="K188" s="10"/>
      <c r="L188" s="10">
        <v>44750</v>
      </c>
      <c r="M188" s="10"/>
      <c r="N188" s="9">
        <v>2022</v>
      </c>
      <c r="O188" s="9" t="s">
        <v>992</v>
      </c>
      <c r="P188" s="9" t="s">
        <v>83</v>
      </c>
      <c r="Q188" s="9" t="s">
        <v>53</v>
      </c>
      <c r="R188" s="9" t="s">
        <v>1147</v>
      </c>
      <c r="T188" s="9"/>
      <c r="V188" s="9"/>
      <c r="W188" s="11">
        <f>IFERROR(VLOOKUP(B188, PlumX_snapshot!$A:$B, 2, FALSE), " ")</f>
        <v>17</v>
      </c>
      <c r="X188" s="11">
        <f>IFERROR(VLOOKUP(B188, PlumX_snapshot!$A:$C, 3, FALSE), " ")</f>
        <v>1</v>
      </c>
      <c r="Y188" s="12">
        <f>IFERROR(VLOOKUP(B188, PlumX_snapshot!$A:$D, 4, FALSE), " ")</f>
        <v>0</v>
      </c>
      <c r="Z188" s="12">
        <f>IFERROR(VLOOKUP(B188, PlumX_snapshot!$A:$E, 5, FALSE), " ")</f>
        <v>0</v>
      </c>
      <c r="AA188" s="12">
        <f>IFERROR(VLOOKUP(B188, PlumX_snapshot!$A:$F, 6, FALSE), " ")</f>
        <v>4</v>
      </c>
      <c r="AB188" s="13">
        <v>44978</v>
      </c>
      <c r="AC188" s="9" t="s">
        <v>1148</v>
      </c>
      <c r="AH188" s="18">
        <v>3030</v>
      </c>
      <c r="AI188" s="19" t="s">
        <v>875</v>
      </c>
      <c r="AJ188" s="11" t="s">
        <v>301</v>
      </c>
      <c r="AK188" s="11" t="str">
        <f t="shared" si="0"/>
        <v>2022GBP</v>
      </c>
      <c r="AL188" s="11">
        <f>VLOOKUP(AK188, Exchange_rates!$C:$D, 2, FALSE)</f>
        <v>1</v>
      </c>
      <c r="AM188" s="14">
        <f t="shared" si="1"/>
        <v>3636</v>
      </c>
      <c r="AN188" s="9"/>
      <c r="AO188" s="9"/>
      <c r="AP188" s="9"/>
      <c r="AQ188" s="15" t="s">
        <v>49</v>
      </c>
      <c r="AS188" s="16" t="s">
        <v>1094</v>
      </c>
    </row>
    <row r="189" spans="1:45" ht="14.5">
      <c r="A189" s="9" t="s">
        <v>1149</v>
      </c>
      <c r="B189" s="9" t="s">
        <v>1150</v>
      </c>
      <c r="C189" s="9" t="s">
        <v>1151</v>
      </c>
      <c r="D189" s="9" t="s">
        <v>870</v>
      </c>
      <c r="E189" s="9" t="s">
        <v>125</v>
      </c>
      <c r="F189" s="9" t="s">
        <v>69</v>
      </c>
      <c r="G189" s="9" t="s">
        <v>51</v>
      </c>
      <c r="H189" s="9"/>
      <c r="I189" s="9" t="s">
        <v>72</v>
      </c>
      <c r="J189" s="10"/>
      <c r="K189" s="10"/>
      <c r="L189" s="10">
        <v>44817</v>
      </c>
      <c r="M189" s="10">
        <v>44774</v>
      </c>
      <c r="N189" s="9">
        <v>2022</v>
      </c>
      <c r="O189" s="9" t="s">
        <v>992</v>
      </c>
      <c r="P189" s="9" t="s">
        <v>83</v>
      </c>
      <c r="Q189" s="9" t="s">
        <v>83</v>
      </c>
      <c r="R189" s="9" t="s">
        <v>1152</v>
      </c>
      <c r="T189" s="9" t="s">
        <v>279</v>
      </c>
      <c r="U189" s="9" t="s">
        <v>1027</v>
      </c>
      <c r="V189" s="9"/>
      <c r="W189" s="11">
        <f>IFERROR(VLOOKUP(B189, PlumX_snapshot!$A:$B, 2, FALSE), " ")</f>
        <v>6</v>
      </c>
      <c r="X189" s="11">
        <f>IFERROR(VLOOKUP(B189, PlumX_snapshot!$A:$C, 3, FALSE), " ")</f>
        <v>82</v>
      </c>
      <c r="Y189" s="12">
        <f>IFERROR(VLOOKUP(B189, PlumX_snapshot!$A:$D, 4, FALSE), " ")</f>
        <v>19</v>
      </c>
      <c r="Z189" s="12">
        <f>IFERROR(VLOOKUP(B189, PlumX_snapshot!$A:$E, 5, FALSE), " ")</f>
        <v>0</v>
      </c>
      <c r="AA189" s="12">
        <f>IFERROR(VLOOKUP(B189, PlumX_snapshot!$A:$F, 6, FALSE), " ")</f>
        <v>0</v>
      </c>
      <c r="AB189" s="13">
        <v>44978</v>
      </c>
      <c r="AC189" s="9" t="s">
        <v>1153</v>
      </c>
      <c r="AH189" s="18">
        <v>4370</v>
      </c>
      <c r="AI189" s="19" t="s">
        <v>875</v>
      </c>
      <c r="AJ189" s="11" t="s">
        <v>301</v>
      </c>
      <c r="AK189" s="11" t="str">
        <f t="shared" si="0"/>
        <v>2022GBP</v>
      </c>
      <c r="AL189" s="11">
        <f>VLOOKUP(AK189, Exchange_rates!$C:$D, 2, FALSE)</f>
        <v>1</v>
      </c>
      <c r="AM189" s="14">
        <f t="shared" si="1"/>
        <v>5244</v>
      </c>
      <c r="AN189" s="9"/>
      <c r="AO189" s="9"/>
      <c r="AP189" s="9"/>
      <c r="AQ189" s="15" t="s">
        <v>125</v>
      </c>
      <c r="AR189" t="s">
        <v>1154</v>
      </c>
      <c r="AS189" s="16"/>
    </row>
    <row r="190" spans="1:45" ht="14.5">
      <c r="A190" s="9" t="s">
        <v>1155</v>
      </c>
      <c r="B190" s="9" t="s">
        <v>1156</v>
      </c>
      <c r="C190" s="9" t="s">
        <v>1157</v>
      </c>
      <c r="D190" s="9" t="s">
        <v>870</v>
      </c>
      <c r="E190" s="9" t="s">
        <v>49</v>
      </c>
      <c r="F190" s="9" t="s">
        <v>69</v>
      </c>
      <c r="G190" s="9" t="s">
        <v>70</v>
      </c>
      <c r="H190" s="9" t="s">
        <v>871</v>
      </c>
      <c r="I190" s="9" t="s">
        <v>291</v>
      </c>
      <c r="J190" s="10"/>
      <c r="K190" s="10"/>
      <c r="L190" s="10">
        <v>44788</v>
      </c>
      <c r="M190" s="10"/>
      <c r="N190" s="9">
        <v>2022</v>
      </c>
      <c r="O190" s="9" t="s">
        <v>992</v>
      </c>
      <c r="P190" s="9" t="s">
        <v>53</v>
      </c>
      <c r="Q190" s="9" t="s">
        <v>53</v>
      </c>
      <c r="R190" s="9" t="s">
        <v>1158</v>
      </c>
      <c r="T190" s="9"/>
      <c r="V190" s="9"/>
      <c r="W190" s="11">
        <f>IFERROR(VLOOKUP(B190, PlumX_snapshot!$A:$B, 2, FALSE), " ")</f>
        <v>15</v>
      </c>
      <c r="X190" s="11">
        <f>IFERROR(VLOOKUP(B190, PlumX_snapshot!$A:$C, 3, FALSE), " ")</f>
        <v>0</v>
      </c>
      <c r="Y190" s="12">
        <f>IFERROR(VLOOKUP(B190, PlumX_snapshot!$A:$D, 4, FALSE), " ")</f>
        <v>0</v>
      </c>
      <c r="Z190" s="12">
        <f>IFERROR(VLOOKUP(B190, PlumX_snapshot!$A:$E, 5, FALSE), " ")</f>
        <v>0</v>
      </c>
      <c r="AA190" s="12">
        <f>IFERROR(VLOOKUP(B190, PlumX_snapshot!$A:$F, 6, FALSE), " ")</f>
        <v>0</v>
      </c>
      <c r="AB190" s="13">
        <v>44978</v>
      </c>
      <c r="AC190" s="9" t="s">
        <v>1159</v>
      </c>
      <c r="AH190" s="18">
        <v>2320</v>
      </c>
      <c r="AI190" s="19" t="s">
        <v>875</v>
      </c>
      <c r="AJ190" s="11" t="s">
        <v>301</v>
      </c>
      <c r="AK190" s="11" t="str">
        <f t="shared" si="0"/>
        <v>2022GBP</v>
      </c>
      <c r="AL190" s="11">
        <f>VLOOKUP(AK190, Exchange_rates!$C:$D, 2, FALSE)</f>
        <v>1</v>
      </c>
      <c r="AM190" s="14">
        <f t="shared" si="1"/>
        <v>2784</v>
      </c>
      <c r="AN190" s="9"/>
      <c r="AO190" s="9"/>
      <c r="AP190" s="9"/>
      <c r="AQ190" s="15" t="s">
        <v>49</v>
      </c>
      <c r="AS190" s="16" t="s">
        <v>1160</v>
      </c>
    </row>
    <row r="191" spans="1:45" ht="14.5">
      <c r="A191" s="9" t="s">
        <v>1161</v>
      </c>
      <c r="B191" s="9" t="s">
        <v>1162</v>
      </c>
      <c r="C191" s="9" t="s">
        <v>1163</v>
      </c>
      <c r="D191" s="9" t="s">
        <v>870</v>
      </c>
      <c r="E191" s="9" t="s">
        <v>49</v>
      </c>
      <c r="F191" s="9" t="s">
        <v>69</v>
      </c>
      <c r="G191" s="9" t="s">
        <v>70</v>
      </c>
      <c r="H191" s="9" t="s">
        <v>871</v>
      </c>
      <c r="I191" s="9" t="s">
        <v>72</v>
      </c>
      <c r="J191" s="10"/>
      <c r="K191" s="10"/>
      <c r="L191" s="10">
        <v>44796</v>
      </c>
      <c r="M191" s="10"/>
      <c r="N191" s="9">
        <v>2022</v>
      </c>
      <c r="O191" s="9" t="s">
        <v>992</v>
      </c>
      <c r="P191" s="9" t="s">
        <v>83</v>
      </c>
      <c r="Q191" s="9" t="s">
        <v>53</v>
      </c>
      <c r="R191" s="9" t="s">
        <v>1164</v>
      </c>
      <c r="T191" s="9"/>
      <c r="V191" s="9"/>
      <c r="W191" s="11">
        <f>IFERROR(VLOOKUP(B191, PlumX_snapshot!$A:$B, 2, FALSE), " ")</f>
        <v>13</v>
      </c>
      <c r="X191" s="11">
        <f>IFERROR(VLOOKUP(B191, PlumX_snapshot!$A:$C, 3, FALSE), " ")</f>
        <v>1</v>
      </c>
      <c r="Y191" s="12">
        <f>IFERROR(VLOOKUP(B191, PlumX_snapshot!$A:$D, 4, FALSE), " ")</f>
        <v>9</v>
      </c>
      <c r="Z191" s="12">
        <f>IFERROR(VLOOKUP(B191, PlumX_snapshot!$A:$E, 5, FALSE), " ")</f>
        <v>0</v>
      </c>
      <c r="AA191" s="12">
        <f>IFERROR(VLOOKUP(B191, PlumX_snapshot!$A:$F, 6, FALSE), " ")</f>
        <v>0</v>
      </c>
      <c r="AB191" s="13">
        <v>44978</v>
      </c>
      <c r="AC191" s="9" t="s">
        <v>1165</v>
      </c>
      <c r="AH191" s="18">
        <v>2820</v>
      </c>
      <c r="AI191" s="19" t="s">
        <v>875</v>
      </c>
      <c r="AJ191" s="11" t="s">
        <v>301</v>
      </c>
      <c r="AK191" s="11" t="str">
        <f t="shared" si="0"/>
        <v>2022GBP</v>
      </c>
      <c r="AL191" s="11">
        <f>VLOOKUP(AK191, Exchange_rates!$C:$D, 2, FALSE)</f>
        <v>1</v>
      </c>
      <c r="AM191" s="14">
        <f t="shared" si="1"/>
        <v>3384</v>
      </c>
      <c r="AN191" s="9"/>
      <c r="AO191" s="9"/>
      <c r="AP191" s="9"/>
      <c r="AQ191" s="15" t="s">
        <v>49</v>
      </c>
      <c r="AS191" s="16" t="s">
        <v>1166</v>
      </c>
    </row>
    <row r="192" spans="1:45" ht="14.5">
      <c r="A192" s="9" t="s">
        <v>1167</v>
      </c>
      <c r="B192" s="9" t="s">
        <v>1168</v>
      </c>
      <c r="C192" s="9" t="s">
        <v>1019</v>
      </c>
      <c r="D192" s="9" t="s">
        <v>870</v>
      </c>
      <c r="E192" s="9" t="s">
        <v>49</v>
      </c>
      <c r="F192" s="9" t="s">
        <v>69</v>
      </c>
      <c r="G192" s="9" t="s">
        <v>70</v>
      </c>
      <c r="H192" s="9" t="s">
        <v>871</v>
      </c>
      <c r="I192" s="9" t="s">
        <v>72</v>
      </c>
      <c r="J192" s="10"/>
      <c r="K192" s="10"/>
      <c r="L192" s="10">
        <v>44803</v>
      </c>
      <c r="M192" s="10"/>
      <c r="N192" s="9">
        <v>2022</v>
      </c>
      <c r="O192" s="9" t="s">
        <v>992</v>
      </c>
      <c r="P192" s="9" t="s">
        <v>83</v>
      </c>
      <c r="Q192" s="9" t="s">
        <v>53</v>
      </c>
      <c r="R192" s="9" t="s">
        <v>1169</v>
      </c>
      <c r="T192" s="9"/>
      <c r="V192" s="9"/>
      <c r="W192" s="11">
        <f>IFERROR(VLOOKUP(B192, PlumX_snapshot!$A:$B, 2, FALSE), " ")</f>
        <v>62</v>
      </c>
      <c r="X192" s="11">
        <f>IFERROR(VLOOKUP(B192, PlumX_snapshot!$A:$C, 3, FALSE), " ")</f>
        <v>1</v>
      </c>
      <c r="Y192" s="12">
        <f>IFERROR(VLOOKUP(B192, PlumX_snapshot!$A:$D, 4, FALSE), " ")</f>
        <v>14</v>
      </c>
      <c r="Z192" s="12">
        <f>IFERROR(VLOOKUP(B192, PlumX_snapshot!$A:$E, 5, FALSE), " ")</f>
        <v>0</v>
      </c>
      <c r="AA192" s="12">
        <f>IFERROR(VLOOKUP(B192, PlumX_snapshot!$A:$F, 6, FALSE), " ")</f>
        <v>0</v>
      </c>
      <c r="AB192" s="13">
        <v>44978</v>
      </c>
      <c r="AC192" s="9" t="s">
        <v>1170</v>
      </c>
      <c r="AH192" s="18">
        <v>3180</v>
      </c>
      <c r="AI192" s="19" t="s">
        <v>875</v>
      </c>
      <c r="AJ192" s="11" t="s">
        <v>301</v>
      </c>
      <c r="AK192" s="11" t="str">
        <f t="shared" si="0"/>
        <v>2022GBP</v>
      </c>
      <c r="AL192" s="11">
        <f>VLOOKUP(AK192, Exchange_rates!$C:$D, 2, FALSE)</f>
        <v>1</v>
      </c>
      <c r="AM192" s="14">
        <f t="shared" si="1"/>
        <v>3816</v>
      </c>
      <c r="AN192" s="9"/>
      <c r="AO192" s="9"/>
      <c r="AP192" s="9"/>
      <c r="AQ192" s="15" t="s">
        <v>49</v>
      </c>
      <c r="AS192" s="16" t="s">
        <v>1021</v>
      </c>
    </row>
    <row r="193" spans="1:45" ht="14.5">
      <c r="A193" s="9" t="s">
        <v>1171</v>
      </c>
      <c r="B193" s="9" t="s">
        <v>1172</v>
      </c>
      <c r="C193" s="9" t="s">
        <v>1173</v>
      </c>
      <c r="D193" s="9" t="s">
        <v>870</v>
      </c>
      <c r="E193" s="9" t="s">
        <v>49</v>
      </c>
      <c r="F193" s="9" t="s">
        <v>69</v>
      </c>
      <c r="G193" s="9" t="s">
        <v>70</v>
      </c>
      <c r="H193" s="9" t="s">
        <v>871</v>
      </c>
      <c r="I193" s="9" t="s">
        <v>72</v>
      </c>
      <c r="J193" s="10"/>
      <c r="K193" s="10"/>
      <c r="L193" s="10">
        <v>44851</v>
      </c>
      <c r="M193" s="10"/>
      <c r="N193" s="9">
        <v>2022</v>
      </c>
      <c r="O193" s="9" t="s">
        <v>992</v>
      </c>
      <c r="P193" s="9" t="s">
        <v>53</v>
      </c>
      <c r="Q193" s="9" t="s">
        <v>53</v>
      </c>
      <c r="R193" s="9" t="s">
        <v>1174</v>
      </c>
      <c r="T193" s="9"/>
      <c r="V193" s="9"/>
      <c r="W193" s="11">
        <f>IFERROR(VLOOKUP(B193, PlumX_snapshot!$A:$B, 2, FALSE), " ")</f>
        <v>5</v>
      </c>
      <c r="X193" s="11">
        <f>IFERROR(VLOOKUP(B193, PlumX_snapshot!$A:$C, 3, FALSE), " ")</f>
        <v>1</v>
      </c>
      <c r="Y193" s="12">
        <f>IFERROR(VLOOKUP(B193, PlumX_snapshot!$A:$D, 4, FALSE), " ")</f>
        <v>20</v>
      </c>
      <c r="Z193" s="12">
        <f>IFERROR(VLOOKUP(B193, PlumX_snapshot!$A:$E, 5, FALSE), " ")</f>
        <v>0</v>
      </c>
      <c r="AA193" s="12">
        <f>IFERROR(VLOOKUP(B193, PlumX_snapshot!$A:$F, 6, FALSE), " ")</f>
        <v>0</v>
      </c>
      <c r="AB193" s="13">
        <v>44978</v>
      </c>
      <c r="AC193" s="9" t="s">
        <v>1175</v>
      </c>
      <c r="AH193" s="18">
        <v>1990</v>
      </c>
      <c r="AI193" s="19" t="s">
        <v>875</v>
      </c>
      <c r="AJ193" s="11" t="s">
        <v>301</v>
      </c>
      <c r="AK193" s="11" t="str">
        <f t="shared" si="0"/>
        <v>2022GBP</v>
      </c>
      <c r="AL193" s="11">
        <f>VLOOKUP(AK193, Exchange_rates!$C:$D, 2, FALSE)</f>
        <v>1</v>
      </c>
      <c r="AM193" s="14">
        <f t="shared" si="1"/>
        <v>2388</v>
      </c>
      <c r="AN193" s="9"/>
      <c r="AO193" s="9"/>
      <c r="AP193" s="9"/>
      <c r="AQ193" s="15" t="s">
        <v>49</v>
      </c>
      <c r="AS193" s="16" t="s">
        <v>1176</v>
      </c>
    </row>
    <row r="194" spans="1:45" ht="14.5">
      <c r="A194" s="9" t="s">
        <v>1177</v>
      </c>
      <c r="B194" s="9" t="s">
        <v>1178</v>
      </c>
      <c r="C194" s="9" t="s">
        <v>1179</v>
      </c>
      <c r="D194" s="9" t="s">
        <v>870</v>
      </c>
      <c r="E194" s="9" t="s">
        <v>49</v>
      </c>
      <c r="F194" s="9" t="s">
        <v>69</v>
      </c>
      <c r="G194" s="9" t="s">
        <v>70</v>
      </c>
      <c r="H194" s="9" t="s">
        <v>871</v>
      </c>
      <c r="I194" s="9" t="s">
        <v>72</v>
      </c>
      <c r="J194" s="10"/>
      <c r="K194" s="10"/>
      <c r="L194" s="10">
        <v>44743</v>
      </c>
      <c r="M194" s="10">
        <v>44621</v>
      </c>
      <c r="N194" s="9">
        <v>2022</v>
      </c>
      <c r="O194" s="9" t="s">
        <v>992</v>
      </c>
      <c r="P194" s="9" t="s">
        <v>53</v>
      </c>
      <c r="Q194" s="9" t="s">
        <v>83</v>
      </c>
      <c r="R194" s="9" t="s">
        <v>1180</v>
      </c>
      <c r="S194" s="9" t="s">
        <v>1181</v>
      </c>
      <c r="T194" s="9"/>
      <c r="V194" s="9"/>
      <c r="W194" s="11">
        <f>IFERROR(VLOOKUP(B194, PlumX_snapshot!$A:$B, 2, FALSE), " ")</f>
        <v>12</v>
      </c>
      <c r="X194" s="11">
        <f>IFERROR(VLOOKUP(B194, PlumX_snapshot!$A:$C, 3, FALSE), " ")</f>
        <v>60</v>
      </c>
      <c r="Y194" s="12">
        <f>IFERROR(VLOOKUP(B194, PlumX_snapshot!$A:$D, 4, FALSE), " ")</f>
        <v>3</v>
      </c>
      <c r="Z194" s="12">
        <f>IFERROR(VLOOKUP(B194, PlumX_snapshot!$A:$E, 5, FALSE), " ")</f>
        <v>0</v>
      </c>
      <c r="AA194" s="12">
        <f>IFERROR(VLOOKUP(B194, PlumX_snapshot!$A:$F, 6, FALSE), " ")</f>
        <v>0</v>
      </c>
      <c r="AB194" s="13">
        <v>44978</v>
      </c>
      <c r="AC194" s="9" t="s">
        <v>1182</v>
      </c>
      <c r="AH194" s="18">
        <v>2940</v>
      </c>
      <c r="AI194" s="19" t="s">
        <v>875</v>
      </c>
      <c r="AJ194" s="11" t="s">
        <v>301</v>
      </c>
      <c r="AK194" s="11" t="str">
        <f t="shared" si="0"/>
        <v>2022GBP</v>
      </c>
      <c r="AL194" s="11">
        <f>VLOOKUP(AK194, Exchange_rates!$C:$D, 2, FALSE)</f>
        <v>1</v>
      </c>
      <c r="AM194" s="14">
        <f t="shared" si="1"/>
        <v>3528</v>
      </c>
      <c r="AN194" s="9"/>
      <c r="AO194" s="9"/>
      <c r="AP194" s="9"/>
      <c r="AQ194" s="15" t="s">
        <v>49</v>
      </c>
      <c r="AR194" t="s">
        <v>1183</v>
      </c>
      <c r="AS194" s="16" t="s">
        <v>1183</v>
      </c>
    </row>
    <row r="195" spans="1:45" ht="14.5">
      <c r="A195" s="9" t="s">
        <v>1184</v>
      </c>
      <c r="B195" s="9" t="s">
        <v>1185</v>
      </c>
      <c r="C195" s="9" t="s">
        <v>1186</v>
      </c>
      <c r="D195" s="9" t="s">
        <v>870</v>
      </c>
      <c r="E195" s="9" t="s">
        <v>49</v>
      </c>
      <c r="F195" s="9" t="s">
        <v>69</v>
      </c>
      <c r="G195" s="9" t="s">
        <v>70</v>
      </c>
      <c r="H195" s="9" t="s">
        <v>871</v>
      </c>
      <c r="I195" s="9" t="s">
        <v>72</v>
      </c>
      <c r="J195" s="10"/>
      <c r="K195" s="10"/>
      <c r="L195" s="10">
        <v>44838</v>
      </c>
      <c r="M195" s="10"/>
      <c r="N195" s="9">
        <v>2022</v>
      </c>
      <c r="O195" s="9" t="s">
        <v>992</v>
      </c>
      <c r="P195" s="9" t="s">
        <v>83</v>
      </c>
      <c r="Q195" s="9" t="s">
        <v>53</v>
      </c>
      <c r="R195" s="9" t="s">
        <v>1187</v>
      </c>
      <c r="T195" s="9"/>
      <c r="V195" s="9"/>
      <c r="W195" s="11">
        <f>IFERROR(VLOOKUP(B195, PlumX_snapshot!$A:$B, 2, FALSE), " ")</f>
        <v>2</v>
      </c>
      <c r="X195" s="11">
        <f>IFERROR(VLOOKUP(B195, PlumX_snapshot!$A:$C, 3, FALSE), " ")</f>
        <v>0</v>
      </c>
      <c r="Y195" s="12">
        <f>IFERROR(VLOOKUP(B195, PlumX_snapshot!$A:$D, 4, FALSE), " ")</f>
        <v>0</v>
      </c>
      <c r="Z195" s="12">
        <f>IFERROR(VLOOKUP(B195, PlumX_snapshot!$A:$E, 5, FALSE), " ")</f>
        <v>0</v>
      </c>
      <c r="AA195" s="12">
        <f>IFERROR(VLOOKUP(B195, PlumX_snapshot!$A:$F, 6, FALSE), " ")</f>
        <v>0</v>
      </c>
      <c r="AB195" s="13">
        <v>44978</v>
      </c>
      <c r="AC195" s="9" t="s">
        <v>1188</v>
      </c>
      <c r="AH195" s="18">
        <v>2460</v>
      </c>
      <c r="AI195" s="19" t="s">
        <v>875</v>
      </c>
      <c r="AJ195" s="11" t="s">
        <v>301</v>
      </c>
      <c r="AK195" s="11" t="str">
        <f t="shared" si="0"/>
        <v>2022GBP</v>
      </c>
      <c r="AL195" s="11">
        <f>VLOOKUP(AK195, Exchange_rates!$C:$D, 2, FALSE)</f>
        <v>1</v>
      </c>
      <c r="AM195" s="14">
        <f t="shared" si="1"/>
        <v>2952</v>
      </c>
      <c r="AN195" s="9"/>
      <c r="AO195" s="9"/>
      <c r="AP195" s="9"/>
      <c r="AQ195" s="15" t="s">
        <v>49</v>
      </c>
      <c r="AS195" s="16" t="s">
        <v>1189</v>
      </c>
    </row>
    <row r="196" spans="1:45" ht="14.5">
      <c r="A196" s="9" t="s">
        <v>1190</v>
      </c>
      <c r="B196" s="9" t="s">
        <v>1191</v>
      </c>
      <c r="C196" s="9" t="s">
        <v>975</v>
      </c>
      <c r="D196" s="9" t="s">
        <v>870</v>
      </c>
      <c r="E196" s="9" t="s">
        <v>49</v>
      </c>
      <c r="F196" s="9" t="s">
        <v>69</v>
      </c>
      <c r="G196" s="9" t="s">
        <v>70</v>
      </c>
      <c r="H196" s="9" t="s">
        <v>871</v>
      </c>
      <c r="I196" s="9" t="s">
        <v>72</v>
      </c>
      <c r="J196" s="10"/>
      <c r="K196" s="10"/>
      <c r="L196" s="10">
        <v>44844</v>
      </c>
      <c r="M196" s="10"/>
      <c r="N196" s="9">
        <v>2022</v>
      </c>
      <c r="O196" s="9" t="s">
        <v>992</v>
      </c>
      <c r="P196" s="9" t="s">
        <v>53</v>
      </c>
      <c r="Q196" s="9" t="s">
        <v>53</v>
      </c>
      <c r="R196" s="9" t="s">
        <v>1192</v>
      </c>
      <c r="T196" s="9"/>
      <c r="V196" s="9"/>
      <c r="W196" s="11">
        <f>IFERROR(VLOOKUP(B196, PlumX_snapshot!$A:$B, 2, FALSE), " ")</f>
        <v>0</v>
      </c>
      <c r="X196" s="11">
        <f>IFERROR(VLOOKUP(B196, PlumX_snapshot!$A:$C, 3, FALSE), " ")</f>
        <v>0</v>
      </c>
      <c r="Y196" s="12">
        <f>IFERROR(VLOOKUP(B196, PlumX_snapshot!$A:$D, 4, FALSE), " ")</f>
        <v>0</v>
      </c>
      <c r="Z196" s="12">
        <f>IFERROR(VLOOKUP(B196, PlumX_snapshot!$A:$E, 5, FALSE), " ")</f>
        <v>0</v>
      </c>
      <c r="AA196" s="12">
        <f>IFERROR(VLOOKUP(B196, PlumX_snapshot!$A:$F, 6, FALSE), " ")</f>
        <v>0</v>
      </c>
      <c r="AB196" s="13">
        <v>44978</v>
      </c>
      <c r="AC196" s="9" t="s">
        <v>1193</v>
      </c>
      <c r="AH196" s="18">
        <v>2400</v>
      </c>
      <c r="AI196" s="19" t="s">
        <v>875</v>
      </c>
      <c r="AJ196" s="11" t="s">
        <v>301</v>
      </c>
      <c r="AK196" s="11" t="str">
        <f t="shared" si="0"/>
        <v>2022GBP</v>
      </c>
      <c r="AL196" s="11">
        <f>VLOOKUP(AK196, Exchange_rates!$C:$D, 2, FALSE)</f>
        <v>1</v>
      </c>
      <c r="AM196" s="14">
        <f t="shared" si="1"/>
        <v>2880</v>
      </c>
      <c r="AN196" s="9"/>
      <c r="AO196" s="9"/>
      <c r="AP196" s="9"/>
      <c r="AQ196" s="15" t="s">
        <v>49</v>
      </c>
      <c r="AS196" s="16" t="s">
        <v>978</v>
      </c>
    </row>
    <row r="197" spans="1:45" ht="14.5">
      <c r="A197" s="9" t="s">
        <v>1194</v>
      </c>
      <c r="B197" s="9" t="s">
        <v>1195</v>
      </c>
      <c r="C197" s="9" t="s">
        <v>1196</v>
      </c>
      <c r="D197" s="9" t="s">
        <v>870</v>
      </c>
      <c r="E197" s="9" t="s">
        <v>49</v>
      </c>
      <c r="F197" s="9" t="s">
        <v>69</v>
      </c>
      <c r="G197" s="9" t="s">
        <v>70</v>
      </c>
      <c r="H197" s="9" t="s">
        <v>871</v>
      </c>
      <c r="I197" s="9" t="s">
        <v>72</v>
      </c>
      <c r="J197" s="10"/>
      <c r="K197" s="10"/>
      <c r="L197" s="10">
        <v>44736</v>
      </c>
      <c r="M197" s="10"/>
      <c r="N197" s="9">
        <v>2022</v>
      </c>
      <c r="O197" s="9" t="s">
        <v>992</v>
      </c>
      <c r="P197" s="9" t="s">
        <v>53</v>
      </c>
      <c r="Q197" s="9" t="s">
        <v>53</v>
      </c>
      <c r="R197" s="9" t="s">
        <v>1197</v>
      </c>
      <c r="T197" s="9"/>
      <c r="V197" s="9"/>
      <c r="W197" s="11">
        <f>IFERROR(VLOOKUP(B197, PlumX_snapshot!$A:$B, 2, FALSE), " ")</f>
        <v>1</v>
      </c>
      <c r="X197" s="11">
        <f>IFERROR(VLOOKUP(B197, PlumX_snapshot!$A:$C, 3, FALSE), " ")</f>
        <v>1</v>
      </c>
      <c r="Y197" s="12">
        <f>IFERROR(VLOOKUP(B197, PlumX_snapshot!$A:$D, 4, FALSE), " ")</f>
        <v>0</v>
      </c>
      <c r="Z197" s="12">
        <f>IFERROR(VLOOKUP(B197, PlumX_snapshot!$A:$E, 5, FALSE), " ")</f>
        <v>0</v>
      </c>
      <c r="AA197" s="12">
        <f>IFERROR(VLOOKUP(B197, PlumX_snapshot!$A:$F, 6, FALSE), " ")</f>
        <v>0</v>
      </c>
      <c r="AB197" s="13">
        <v>44978</v>
      </c>
      <c r="AC197" s="9" t="s">
        <v>1198</v>
      </c>
      <c r="AH197" s="18">
        <v>2850</v>
      </c>
      <c r="AI197" s="19" t="s">
        <v>875</v>
      </c>
      <c r="AJ197" s="11" t="s">
        <v>301</v>
      </c>
      <c r="AK197" s="11" t="str">
        <f t="shared" si="0"/>
        <v>2022GBP</v>
      </c>
      <c r="AL197" s="11">
        <f>VLOOKUP(AK197, Exchange_rates!$C:$D, 2, FALSE)</f>
        <v>1</v>
      </c>
      <c r="AM197" s="14">
        <f t="shared" si="1"/>
        <v>3420</v>
      </c>
      <c r="AN197" s="9"/>
      <c r="AO197" s="9"/>
      <c r="AP197" s="9"/>
      <c r="AQ197" s="15" t="s">
        <v>49</v>
      </c>
      <c r="AS197" s="16" t="s">
        <v>1199</v>
      </c>
    </row>
    <row r="198" spans="1:45" ht="14.5">
      <c r="A198" s="9" t="s">
        <v>1200</v>
      </c>
      <c r="B198" s="9" t="s">
        <v>1201</v>
      </c>
      <c r="C198" s="9" t="s">
        <v>1202</v>
      </c>
      <c r="D198" s="9" t="s">
        <v>870</v>
      </c>
      <c r="E198" s="9" t="s">
        <v>49</v>
      </c>
      <c r="F198" s="9" t="s">
        <v>69</v>
      </c>
      <c r="G198" s="9" t="s">
        <v>70</v>
      </c>
      <c r="H198" s="9" t="s">
        <v>871</v>
      </c>
      <c r="I198" s="9" t="s">
        <v>72</v>
      </c>
      <c r="J198" s="10"/>
      <c r="K198" s="10"/>
      <c r="L198" s="10">
        <v>44742</v>
      </c>
      <c r="M198" s="10"/>
      <c r="N198" s="9">
        <v>2022</v>
      </c>
      <c r="O198" s="9" t="s">
        <v>992</v>
      </c>
      <c r="P198" s="9" t="s">
        <v>83</v>
      </c>
      <c r="Q198" s="9" t="s">
        <v>53</v>
      </c>
      <c r="R198" s="9" t="s">
        <v>1203</v>
      </c>
      <c r="T198" s="9"/>
      <c r="V198" s="9"/>
      <c r="W198" s="11">
        <f>IFERROR(VLOOKUP(B198, PlumX_snapshot!$A:$B, 2, FALSE), " ")</f>
        <v>9</v>
      </c>
      <c r="X198" s="11">
        <f>IFERROR(VLOOKUP(B198, PlumX_snapshot!$A:$C, 3, FALSE), " ")</f>
        <v>3</v>
      </c>
      <c r="Y198" s="12">
        <f>IFERROR(VLOOKUP(B198, PlumX_snapshot!$A:$D, 4, FALSE), " ")</f>
        <v>41</v>
      </c>
      <c r="Z198" s="12">
        <f>IFERROR(VLOOKUP(B198, PlumX_snapshot!$A:$E, 5, FALSE), " ")</f>
        <v>0</v>
      </c>
      <c r="AA198" s="12">
        <f>IFERROR(VLOOKUP(B198, PlumX_snapshot!$A:$F, 6, FALSE), " ")</f>
        <v>0</v>
      </c>
      <c r="AB198" s="13">
        <v>44978</v>
      </c>
      <c r="AC198" s="9" t="s">
        <v>1204</v>
      </c>
      <c r="AH198" s="18">
        <v>3180</v>
      </c>
      <c r="AI198" s="19" t="s">
        <v>875</v>
      </c>
      <c r="AJ198" s="11" t="s">
        <v>301</v>
      </c>
      <c r="AK198" s="11" t="str">
        <f t="shared" si="0"/>
        <v>2022GBP</v>
      </c>
      <c r="AL198" s="11">
        <f>VLOOKUP(AK198, Exchange_rates!$C:$D, 2, FALSE)</f>
        <v>1</v>
      </c>
      <c r="AM198" s="14">
        <f t="shared" si="1"/>
        <v>3816</v>
      </c>
      <c r="AN198" s="9"/>
      <c r="AO198" s="9"/>
      <c r="AP198" s="9"/>
      <c r="AQ198" s="15" t="s">
        <v>49</v>
      </c>
      <c r="AS198" s="16" t="s">
        <v>1205</v>
      </c>
    </row>
    <row r="199" spans="1:45" ht="14.5">
      <c r="A199" s="9" t="s">
        <v>1206</v>
      </c>
      <c r="B199" s="9" t="s">
        <v>1207</v>
      </c>
      <c r="C199" s="9" t="s">
        <v>1208</v>
      </c>
      <c r="D199" s="9" t="s">
        <v>870</v>
      </c>
      <c r="E199" s="9" t="s">
        <v>49</v>
      </c>
      <c r="F199" s="9" t="s">
        <v>69</v>
      </c>
      <c r="G199" s="9" t="s">
        <v>70</v>
      </c>
      <c r="H199" s="9" t="s">
        <v>871</v>
      </c>
      <c r="I199" s="9" t="s">
        <v>72</v>
      </c>
      <c r="J199" s="10"/>
      <c r="K199" s="10"/>
      <c r="L199" s="10">
        <v>44798</v>
      </c>
      <c r="M199" s="10">
        <v>44896</v>
      </c>
      <c r="N199" s="9">
        <v>2022</v>
      </c>
      <c r="O199" s="9" t="s">
        <v>992</v>
      </c>
      <c r="P199" s="9" t="s">
        <v>83</v>
      </c>
      <c r="Q199" s="9" t="s">
        <v>83</v>
      </c>
      <c r="R199" s="9" t="s">
        <v>1209</v>
      </c>
      <c r="T199" s="9"/>
      <c r="V199" s="9"/>
      <c r="W199" s="11">
        <f>IFERROR(VLOOKUP(B199, PlumX_snapshot!$A:$B, 2, FALSE), " ")</f>
        <v>3</v>
      </c>
      <c r="X199" s="11">
        <f>IFERROR(VLOOKUP(B199, PlumX_snapshot!$A:$C, 3, FALSE), " ")</f>
        <v>0</v>
      </c>
      <c r="Y199" s="12">
        <f>IFERROR(VLOOKUP(B199, PlumX_snapshot!$A:$D, 4, FALSE), " ")</f>
        <v>9</v>
      </c>
      <c r="Z199" s="12">
        <f>IFERROR(VLOOKUP(B199, PlumX_snapshot!$A:$E, 5, FALSE), " ")</f>
        <v>0</v>
      </c>
      <c r="AA199" s="12">
        <f>IFERROR(VLOOKUP(B199, PlumX_snapshot!$A:$F, 6, FALSE), " ")</f>
        <v>0</v>
      </c>
      <c r="AB199" s="13">
        <v>44978</v>
      </c>
      <c r="AC199" s="9" t="s">
        <v>1035</v>
      </c>
      <c r="AH199" s="18">
        <v>3180</v>
      </c>
      <c r="AI199" s="19" t="s">
        <v>875</v>
      </c>
      <c r="AJ199" s="11" t="s">
        <v>301</v>
      </c>
      <c r="AK199" s="11" t="str">
        <f t="shared" si="0"/>
        <v>2022GBP</v>
      </c>
      <c r="AL199" s="11">
        <f>VLOOKUP(AK199, Exchange_rates!$C:$D, 2, FALSE)</f>
        <v>1</v>
      </c>
      <c r="AM199" s="14">
        <f t="shared" si="1"/>
        <v>3816</v>
      </c>
      <c r="AN199" s="9"/>
      <c r="AO199" s="9"/>
      <c r="AP199" s="9"/>
      <c r="AQ199" s="15" t="s">
        <v>49</v>
      </c>
      <c r="AS199" s="16" t="s">
        <v>1210</v>
      </c>
    </row>
    <row r="200" spans="1:45" ht="14.5">
      <c r="A200" s="9" t="s">
        <v>1211</v>
      </c>
      <c r="B200" s="9" t="s">
        <v>1212</v>
      </c>
      <c r="C200" s="9" t="s">
        <v>1213</v>
      </c>
      <c r="D200" s="9" t="s">
        <v>870</v>
      </c>
      <c r="E200" s="9" t="s">
        <v>49</v>
      </c>
      <c r="F200" s="9" t="s">
        <v>69</v>
      </c>
      <c r="G200" s="9" t="s">
        <v>70</v>
      </c>
      <c r="H200" s="9" t="s">
        <v>871</v>
      </c>
      <c r="I200" s="9" t="s">
        <v>72</v>
      </c>
      <c r="J200" s="10"/>
      <c r="K200" s="10"/>
      <c r="L200" s="10">
        <v>44860</v>
      </c>
      <c r="M200" s="10"/>
      <c r="N200" s="9">
        <v>2022</v>
      </c>
      <c r="O200" s="9" t="s">
        <v>992</v>
      </c>
      <c r="P200" s="9" t="s">
        <v>53</v>
      </c>
      <c r="Q200" s="9" t="s">
        <v>53</v>
      </c>
      <c r="T200" s="9"/>
      <c r="V200" s="9"/>
      <c r="W200" s="11">
        <f>IFERROR(VLOOKUP(B200, PlumX_snapshot!$A:$B, 2, FALSE), " ")</f>
        <v>2</v>
      </c>
      <c r="X200" s="11">
        <f>IFERROR(VLOOKUP(B200, PlumX_snapshot!$A:$C, 3, FALSE), " ")</f>
        <v>0</v>
      </c>
      <c r="Y200" s="12">
        <f>IFERROR(VLOOKUP(B200, PlumX_snapshot!$A:$D, 4, FALSE), " ")</f>
        <v>1</v>
      </c>
      <c r="Z200" s="12">
        <f>IFERROR(VLOOKUP(B200, PlumX_snapshot!$A:$E, 5, FALSE), " ")</f>
        <v>0</v>
      </c>
      <c r="AA200" s="12">
        <f>IFERROR(VLOOKUP(B200, PlumX_snapshot!$A:$F, 6, FALSE), " ")</f>
        <v>0</v>
      </c>
      <c r="AB200" s="13">
        <v>44978</v>
      </c>
      <c r="AC200" s="9" t="s">
        <v>1214</v>
      </c>
      <c r="AH200" s="18">
        <v>2400</v>
      </c>
      <c r="AI200" s="19" t="s">
        <v>875</v>
      </c>
      <c r="AJ200" s="11" t="s">
        <v>301</v>
      </c>
      <c r="AK200" s="11" t="str">
        <f t="shared" si="0"/>
        <v>2022GBP</v>
      </c>
      <c r="AL200" s="11">
        <f>VLOOKUP(AK200, Exchange_rates!$C:$D, 2, FALSE)</f>
        <v>1</v>
      </c>
      <c r="AM200" s="14">
        <f t="shared" si="1"/>
        <v>2880</v>
      </c>
      <c r="AN200" s="9"/>
      <c r="AO200" s="9"/>
      <c r="AP200" s="9"/>
      <c r="AQ200" s="15" t="s">
        <v>49</v>
      </c>
      <c r="AS200" s="16" t="s">
        <v>1215</v>
      </c>
    </row>
    <row r="201" spans="1:45" ht="14.5">
      <c r="A201" s="9" t="s">
        <v>1216</v>
      </c>
      <c r="B201" s="9" t="s">
        <v>1217</v>
      </c>
      <c r="C201" s="9" t="s">
        <v>1119</v>
      </c>
      <c r="D201" s="9" t="s">
        <v>870</v>
      </c>
      <c r="E201" s="9" t="s">
        <v>49</v>
      </c>
      <c r="F201" s="9" t="s">
        <v>69</v>
      </c>
      <c r="G201" s="9" t="s">
        <v>70</v>
      </c>
      <c r="H201" s="9" t="s">
        <v>871</v>
      </c>
      <c r="I201" s="9" t="s">
        <v>72</v>
      </c>
      <c r="J201" s="10"/>
      <c r="K201" s="10"/>
      <c r="L201" s="10">
        <v>44743</v>
      </c>
      <c r="M201" s="10"/>
      <c r="N201" s="9">
        <v>2022</v>
      </c>
      <c r="O201" s="9" t="s">
        <v>992</v>
      </c>
      <c r="P201" s="9" t="s">
        <v>83</v>
      </c>
      <c r="Q201" s="9" t="s">
        <v>53</v>
      </c>
      <c r="R201" s="9" t="s">
        <v>1218</v>
      </c>
      <c r="S201" s="9" t="s">
        <v>1219</v>
      </c>
      <c r="T201" s="9"/>
      <c r="V201" s="9"/>
      <c r="W201" s="11">
        <f>IFERROR(VLOOKUP(B201, PlumX_snapshot!$A:$B, 2, FALSE), " ")</f>
        <v>7</v>
      </c>
      <c r="X201" s="11">
        <f>IFERROR(VLOOKUP(B201, PlumX_snapshot!$A:$C, 3, FALSE), " ")</f>
        <v>61</v>
      </c>
      <c r="Y201" s="12">
        <f>IFERROR(VLOOKUP(B201, PlumX_snapshot!$A:$D, 4, FALSE), " ")</f>
        <v>3</v>
      </c>
      <c r="Z201" s="12">
        <f>IFERROR(VLOOKUP(B201, PlumX_snapshot!$A:$E, 5, FALSE), " ")</f>
        <v>0</v>
      </c>
      <c r="AA201" s="12">
        <f>IFERROR(VLOOKUP(B201, PlumX_snapshot!$A:$F, 6, FALSE), " ")</f>
        <v>0</v>
      </c>
      <c r="AB201" s="13">
        <v>44978</v>
      </c>
      <c r="AC201" s="9" t="s">
        <v>1120</v>
      </c>
      <c r="AH201" s="18">
        <v>2350</v>
      </c>
      <c r="AI201" s="19" t="s">
        <v>875</v>
      </c>
      <c r="AJ201" s="11" t="s">
        <v>301</v>
      </c>
      <c r="AK201" s="11" t="str">
        <f t="shared" si="0"/>
        <v>2022GBP</v>
      </c>
      <c r="AL201" s="11">
        <f>VLOOKUP(AK201, Exchange_rates!$C:$D, 2, FALSE)</f>
        <v>1</v>
      </c>
      <c r="AM201" s="14">
        <f t="shared" si="1"/>
        <v>2820</v>
      </c>
      <c r="AN201" s="9"/>
      <c r="AO201" s="9"/>
      <c r="AP201" s="9"/>
      <c r="AQ201" s="15" t="s">
        <v>49</v>
      </c>
      <c r="AS201" s="16" t="s">
        <v>1121</v>
      </c>
    </row>
    <row r="202" spans="1:45" ht="14.5">
      <c r="A202" s="9" t="s">
        <v>1220</v>
      </c>
      <c r="B202" s="9" t="s">
        <v>1221</v>
      </c>
      <c r="C202" s="9" t="s">
        <v>1222</v>
      </c>
      <c r="D202" s="9" t="s">
        <v>870</v>
      </c>
      <c r="E202" s="9" t="s">
        <v>49</v>
      </c>
      <c r="F202" s="9" t="s">
        <v>69</v>
      </c>
      <c r="G202" s="9" t="s">
        <v>70</v>
      </c>
      <c r="H202" s="9" t="s">
        <v>871</v>
      </c>
      <c r="I202" s="9" t="s">
        <v>72</v>
      </c>
      <c r="J202" s="10"/>
      <c r="K202" s="10"/>
      <c r="L202" s="10">
        <v>44736</v>
      </c>
      <c r="M202" s="10"/>
      <c r="N202" s="9">
        <v>2022</v>
      </c>
      <c r="O202" s="9" t="s">
        <v>992</v>
      </c>
      <c r="P202" s="9" t="s">
        <v>53</v>
      </c>
      <c r="Q202" s="9" t="s">
        <v>53</v>
      </c>
      <c r="T202" s="9"/>
      <c r="V202" s="9"/>
      <c r="W202" s="11">
        <f>IFERROR(VLOOKUP(B202, PlumX_snapshot!$A:$B, 2, FALSE), " ")</f>
        <v>22</v>
      </c>
      <c r="X202" s="11">
        <f>IFERROR(VLOOKUP(B202, PlumX_snapshot!$A:$C, 3, FALSE), " ")</f>
        <v>1</v>
      </c>
      <c r="Y202" s="12">
        <f>IFERROR(VLOOKUP(B202, PlumX_snapshot!$A:$D, 4, FALSE), " ")</f>
        <v>159</v>
      </c>
      <c r="Z202" s="12">
        <f>IFERROR(VLOOKUP(B202, PlumX_snapshot!$A:$E, 5, FALSE), " ")</f>
        <v>0</v>
      </c>
      <c r="AA202" s="12">
        <f>IFERROR(VLOOKUP(B202, PlumX_snapshot!$A:$F, 6, FALSE), " ")</f>
        <v>1</v>
      </c>
      <c r="AB202" s="13">
        <v>44978</v>
      </c>
      <c r="AC202" s="9" t="s">
        <v>1223</v>
      </c>
      <c r="AH202" s="18">
        <v>2200</v>
      </c>
      <c r="AI202" s="19" t="s">
        <v>875</v>
      </c>
      <c r="AJ202" s="11" t="s">
        <v>301</v>
      </c>
      <c r="AK202" s="11" t="str">
        <f t="shared" si="0"/>
        <v>2022GBP</v>
      </c>
      <c r="AL202" s="11">
        <f>VLOOKUP(AK202, Exchange_rates!$C:$D, 2, FALSE)</f>
        <v>1</v>
      </c>
      <c r="AM202" s="14">
        <f t="shared" si="1"/>
        <v>2640</v>
      </c>
      <c r="AN202" s="9"/>
      <c r="AO202" s="9"/>
      <c r="AP202" s="9"/>
      <c r="AQ202" s="15" t="s">
        <v>49</v>
      </c>
      <c r="AS202" s="16" t="s">
        <v>1224</v>
      </c>
    </row>
    <row r="203" spans="1:45" ht="14.5">
      <c r="A203" s="9" t="s">
        <v>1225</v>
      </c>
      <c r="B203" s="9" t="s">
        <v>1226</v>
      </c>
      <c r="C203" s="9" t="s">
        <v>1227</v>
      </c>
      <c r="D203" s="9" t="s">
        <v>870</v>
      </c>
      <c r="E203" s="9" t="s">
        <v>49</v>
      </c>
      <c r="F203" s="9" t="s">
        <v>69</v>
      </c>
      <c r="G203" s="9" t="s">
        <v>70</v>
      </c>
      <c r="H203" s="9" t="s">
        <v>871</v>
      </c>
      <c r="I203" s="9" t="s">
        <v>72</v>
      </c>
      <c r="J203" s="10"/>
      <c r="K203" s="10"/>
      <c r="L203" s="10">
        <v>44743</v>
      </c>
      <c r="M203" s="10"/>
      <c r="N203" s="9">
        <v>2022</v>
      </c>
      <c r="O203" s="9" t="s">
        <v>992</v>
      </c>
      <c r="P203" s="9" t="s">
        <v>83</v>
      </c>
      <c r="Q203" s="9" t="s">
        <v>53</v>
      </c>
      <c r="R203" s="9" t="s">
        <v>1228</v>
      </c>
      <c r="T203" s="9"/>
      <c r="V203" s="9"/>
      <c r="W203" s="11">
        <f>IFERROR(VLOOKUP(B203, PlumX_snapshot!$A:$B, 2, FALSE), " ")</f>
        <v>46</v>
      </c>
      <c r="X203" s="11">
        <f>IFERROR(VLOOKUP(B203, PlumX_snapshot!$A:$C, 3, FALSE), " ")</f>
        <v>1</v>
      </c>
      <c r="Y203" s="12">
        <f>IFERROR(VLOOKUP(B203, PlumX_snapshot!$A:$D, 4, FALSE), " ")</f>
        <v>72</v>
      </c>
      <c r="Z203" s="12">
        <f>IFERROR(VLOOKUP(B203, PlumX_snapshot!$A:$E, 5, FALSE), " ")</f>
        <v>0</v>
      </c>
      <c r="AA203" s="12">
        <f>IFERROR(VLOOKUP(B203, PlumX_snapshot!$A:$F, 6, FALSE), " ")</f>
        <v>0</v>
      </c>
      <c r="AB203" s="13">
        <v>44978</v>
      </c>
      <c r="AC203" s="9" t="s">
        <v>1229</v>
      </c>
      <c r="AH203" s="18">
        <v>2190</v>
      </c>
      <c r="AI203" s="19" t="s">
        <v>875</v>
      </c>
      <c r="AJ203" s="11" t="s">
        <v>301</v>
      </c>
      <c r="AK203" s="11" t="str">
        <f t="shared" si="0"/>
        <v>2022GBP</v>
      </c>
      <c r="AL203" s="11">
        <f>VLOOKUP(AK203, Exchange_rates!$C:$D, 2, FALSE)</f>
        <v>1</v>
      </c>
      <c r="AM203" s="14">
        <f t="shared" si="1"/>
        <v>2628</v>
      </c>
      <c r="AN203" s="9"/>
      <c r="AO203" s="9"/>
      <c r="AP203" s="9"/>
      <c r="AQ203" s="15" t="s">
        <v>49</v>
      </c>
      <c r="AS203" s="16" t="s">
        <v>1230</v>
      </c>
    </row>
    <row r="204" spans="1:45" ht="14.5">
      <c r="A204" s="9" t="s">
        <v>1231</v>
      </c>
      <c r="B204" s="9" t="s">
        <v>1232</v>
      </c>
      <c r="C204" s="9" t="s">
        <v>1233</v>
      </c>
      <c r="D204" s="9" t="s">
        <v>870</v>
      </c>
      <c r="E204" s="9" t="s">
        <v>49</v>
      </c>
      <c r="F204" s="9" t="s">
        <v>69</v>
      </c>
      <c r="G204" s="9" t="s">
        <v>70</v>
      </c>
      <c r="H204" s="9" t="s">
        <v>871</v>
      </c>
      <c r="I204" s="9" t="s">
        <v>72</v>
      </c>
      <c r="J204" s="10"/>
      <c r="K204" s="10"/>
      <c r="L204" s="10">
        <v>44753</v>
      </c>
      <c r="M204" s="10"/>
      <c r="N204" s="9">
        <v>2022</v>
      </c>
      <c r="O204" s="9" t="s">
        <v>992</v>
      </c>
      <c r="P204" s="9" t="s">
        <v>53</v>
      </c>
      <c r="Q204" s="9" t="s">
        <v>53</v>
      </c>
      <c r="R204" s="9" t="s">
        <v>1234</v>
      </c>
      <c r="T204" s="9"/>
      <c r="V204" s="9"/>
      <c r="W204" s="11">
        <f>IFERROR(VLOOKUP(B204, PlumX_snapshot!$A:$B, 2, FALSE), " ")</f>
        <v>8</v>
      </c>
      <c r="X204" s="11">
        <f>IFERROR(VLOOKUP(B204, PlumX_snapshot!$A:$C, 3, FALSE), " ")</f>
        <v>2</v>
      </c>
      <c r="Y204" s="12">
        <f>IFERROR(VLOOKUP(B204, PlumX_snapshot!$A:$D, 4, FALSE), " ")</f>
        <v>18</v>
      </c>
      <c r="Z204" s="12">
        <f>IFERROR(VLOOKUP(B204, PlumX_snapshot!$A:$E, 5, FALSE), " ")</f>
        <v>0</v>
      </c>
      <c r="AA204" s="12">
        <f>IFERROR(VLOOKUP(B204, PlumX_snapshot!$A:$F, 6, FALSE), " ")</f>
        <v>0</v>
      </c>
      <c r="AB204" s="13">
        <v>44978</v>
      </c>
      <c r="AC204" s="9" t="s">
        <v>1235</v>
      </c>
      <c r="AH204" s="18">
        <v>2700</v>
      </c>
      <c r="AI204" s="19" t="s">
        <v>875</v>
      </c>
      <c r="AJ204" s="11" t="s">
        <v>301</v>
      </c>
      <c r="AK204" s="11" t="str">
        <f t="shared" si="0"/>
        <v>2022GBP</v>
      </c>
      <c r="AL204" s="11">
        <f>VLOOKUP(AK204, Exchange_rates!$C:$D, 2, FALSE)</f>
        <v>1</v>
      </c>
      <c r="AM204" s="14">
        <f t="shared" si="1"/>
        <v>3240</v>
      </c>
      <c r="AN204" s="9"/>
      <c r="AO204" s="9"/>
      <c r="AP204" s="9"/>
      <c r="AQ204" s="15" t="s">
        <v>49</v>
      </c>
      <c r="AS204" s="16" t="s">
        <v>1236</v>
      </c>
    </row>
    <row r="205" spans="1:45" ht="14.5">
      <c r="A205" s="9" t="s">
        <v>1237</v>
      </c>
      <c r="B205" s="9" t="s">
        <v>1238</v>
      </c>
      <c r="C205" s="9" t="s">
        <v>1239</v>
      </c>
      <c r="D205" s="9" t="s">
        <v>1240</v>
      </c>
      <c r="E205" s="17" t="s">
        <v>49</v>
      </c>
      <c r="F205" s="9" t="s">
        <v>69</v>
      </c>
      <c r="G205" s="9" t="s">
        <v>70</v>
      </c>
      <c r="H205" s="9" t="s">
        <v>1241</v>
      </c>
      <c r="I205" s="9" t="s">
        <v>72</v>
      </c>
      <c r="J205" s="10"/>
      <c r="K205" s="10"/>
      <c r="L205" s="10"/>
      <c r="M205" s="10">
        <v>44041</v>
      </c>
      <c r="N205" s="9">
        <v>2020</v>
      </c>
      <c r="O205" s="9" t="s">
        <v>247</v>
      </c>
      <c r="P205" s="9" t="s">
        <v>83</v>
      </c>
      <c r="Q205" s="9" t="s">
        <v>53</v>
      </c>
      <c r="T205" s="9"/>
      <c r="V205" s="9"/>
      <c r="W205" s="11">
        <f>IFERROR(VLOOKUP(B205, PlumX_snapshot!$A:$B, 2, FALSE), " ")</f>
        <v>0</v>
      </c>
      <c r="X205" s="11">
        <f>IFERROR(VLOOKUP(B205, PlumX_snapshot!$A:$C, 3, FALSE), " ")</f>
        <v>0</v>
      </c>
      <c r="Y205" s="12">
        <f>IFERROR(VLOOKUP(B205, PlumX_snapshot!$A:$D, 4, FALSE), " ")</f>
        <v>2</v>
      </c>
      <c r="Z205" s="12">
        <f>IFERROR(VLOOKUP(B205, PlumX_snapshot!$A:$E, 5, FALSE), " ")</f>
        <v>0</v>
      </c>
      <c r="AA205" s="12">
        <f>IFERROR(VLOOKUP(B205, PlumX_snapshot!$A:$F, 6, FALSE), " ")</f>
        <v>0</v>
      </c>
      <c r="AB205" s="13">
        <v>44978</v>
      </c>
      <c r="AC205" s="9" t="s">
        <v>1242</v>
      </c>
      <c r="AI205" s="9"/>
      <c r="AJ205" s="9"/>
      <c r="AK205" s="11" t="str">
        <f t="shared" si="0"/>
        <v>2020</v>
      </c>
      <c r="AL205" s="11" t="e">
        <f>VLOOKUP(AK205, Exchange_rates!$C:$D, 2, FALSE)</f>
        <v>#N/A</v>
      </c>
      <c r="AM205" s="14" t="str">
        <f t="shared" si="1"/>
        <v/>
      </c>
      <c r="AN205" s="9"/>
      <c r="AO205" s="9"/>
      <c r="AP205" s="17"/>
      <c r="AQ205" s="15" t="s">
        <v>49</v>
      </c>
      <c r="AR205" t="s">
        <v>1243</v>
      </c>
      <c r="AS205" s="16" t="s">
        <v>1244</v>
      </c>
    </row>
    <row r="206" spans="1:45" ht="14.5">
      <c r="A206" s="9" t="s">
        <v>1245</v>
      </c>
      <c r="B206" s="9" t="s">
        <v>1246</v>
      </c>
      <c r="C206" s="9" t="s">
        <v>1247</v>
      </c>
      <c r="D206" s="9" t="s">
        <v>1240</v>
      </c>
      <c r="E206" s="17" t="s">
        <v>49</v>
      </c>
      <c r="F206" s="9" t="s">
        <v>69</v>
      </c>
      <c r="G206" s="9" t="s">
        <v>70</v>
      </c>
      <c r="H206" s="9" t="s">
        <v>1241</v>
      </c>
      <c r="I206" s="9" t="s">
        <v>72</v>
      </c>
      <c r="J206" s="10"/>
      <c r="K206" s="10"/>
      <c r="L206" s="10"/>
      <c r="M206" s="10">
        <v>44068</v>
      </c>
      <c r="N206" s="9">
        <v>2020</v>
      </c>
      <c r="O206" s="9" t="s">
        <v>247</v>
      </c>
      <c r="P206" s="9" t="s">
        <v>83</v>
      </c>
      <c r="Q206" s="9" t="s">
        <v>53</v>
      </c>
      <c r="T206" s="9"/>
      <c r="V206" s="9"/>
      <c r="W206" s="11">
        <f>IFERROR(VLOOKUP(B206, PlumX_snapshot!$A:$B, 2, FALSE), " ")</f>
        <v>10</v>
      </c>
      <c r="X206" s="11">
        <f>IFERROR(VLOOKUP(B206, PlumX_snapshot!$A:$C, 3, FALSE), " ")</f>
        <v>2</v>
      </c>
      <c r="Y206" s="12">
        <f>IFERROR(VLOOKUP(B206, PlumX_snapshot!$A:$D, 4, FALSE), " ")</f>
        <v>0</v>
      </c>
      <c r="Z206" s="12">
        <f>IFERROR(VLOOKUP(B206, PlumX_snapshot!$A:$E, 5, FALSE), " ")</f>
        <v>0</v>
      </c>
      <c r="AA206" s="12">
        <f>IFERROR(VLOOKUP(B206, PlumX_snapshot!$A:$F, 6, FALSE), " ")</f>
        <v>0</v>
      </c>
      <c r="AB206" s="13">
        <v>44978</v>
      </c>
      <c r="AC206" s="9" t="s">
        <v>1248</v>
      </c>
      <c r="AI206" s="9"/>
      <c r="AJ206" s="9"/>
      <c r="AK206" s="11" t="str">
        <f t="shared" si="0"/>
        <v>2020</v>
      </c>
      <c r="AL206" s="11" t="e">
        <f>VLOOKUP(AK206, Exchange_rates!$C:$D, 2, FALSE)</f>
        <v>#N/A</v>
      </c>
      <c r="AM206" s="14" t="str">
        <f t="shared" si="1"/>
        <v/>
      </c>
      <c r="AN206" s="9"/>
      <c r="AO206" s="9"/>
      <c r="AP206" s="17"/>
      <c r="AQ206" s="15" t="s">
        <v>49</v>
      </c>
      <c r="AR206" t="s">
        <v>1249</v>
      </c>
      <c r="AS206" s="16" t="s">
        <v>1250</v>
      </c>
    </row>
    <row r="207" spans="1:45" ht="14.5">
      <c r="A207" s="9" t="s">
        <v>1251</v>
      </c>
      <c r="B207" s="9" t="s">
        <v>1252</v>
      </c>
      <c r="C207" s="9" t="s">
        <v>1247</v>
      </c>
      <c r="D207" s="9" t="s">
        <v>1240</v>
      </c>
      <c r="E207" s="17" t="s">
        <v>49</v>
      </c>
      <c r="F207" s="9" t="s">
        <v>69</v>
      </c>
      <c r="G207" s="9" t="s">
        <v>70</v>
      </c>
      <c r="H207" s="9" t="s">
        <v>1253</v>
      </c>
      <c r="I207" s="9" t="s">
        <v>72</v>
      </c>
      <c r="J207" s="10"/>
      <c r="K207" s="10"/>
      <c r="L207" s="10"/>
      <c r="M207" s="10">
        <v>44259</v>
      </c>
      <c r="N207" s="9">
        <v>2021</v>
      </c>
      <c r="O207" s="9" t="s">
        <v>247</v>
      </c>
      <c r="P207" s="9" t="s">
        <v>83</v>
      </c>
      <c r="Q207" s="9" t="s">
        <v>53</v>
      </c>
      <c r="T207" s="9"/>
      <c r="V207" s="9"/>
      <c r="W207" s="11">
        <f>IFERROR(VLOOKUP(B207, PlumX_snapshot!$A:$B, 2, FALSE), " ")</f>
        <v>4</v>
      </c>
      <c r="X207" s="11">
        <f>IFERROR(VLOOKUP(B207, PlumX_snapshot!$A:$C, 3, FALSE), " ")</f>
        <v>0</v>
      </c>
      <c r="Y207" s="12">
        <f>IFERROR(VLOOKUP(B207, PlumX_snapshot!$A:$D, 4, FALSE), " ")</f>
        <v>6</v>
      </c>
      <c r="Z207" s="12">
        <f>IFERROR(VLOOKUP(B207, PlumX_snapshot!$A:$E, 5, FALSE), " ")</f>
        <v>0</v>
      </c>
      <c r="AA207" s="12">
        <f>IFERROR(VLOOKUP(B207, PlumX_snapshot!$A:$F, 6, FALSE), " ")</f>
        <v>0</v>
      </c>
      <c r="AB207" s="13">
        <v>44978</v>
      </c>
      <c r="AC207" s="9" t="s">
        <v>1254</v>
      </c>
      <c r="AH207" s="9">
        <v>2070</v>
      </c>
      <c r="AI207" s="9" t="s">
        <v>875</v>
      </c>
      <c r="AJ207" s="9" t="s">
        <v>301</v>
      </c>
      <c r="AK207" s="11" t="str">
        <f t="shared" si="0"/>
        <v>2021GBP</v>
      </c>
      <c r="AL207" s="11">
        <f>VLOOKUP(AK207, Exchange_rates!$C:$D, 2, FALSE)</f>
        <v>1</v>
      </c>
      <c r="AM207" s="14">
        <f t="shared" si="1"/>
        <v>2484</v>
      </c>
      <c r="AN207" s="9"/>
      <c r="AO207" s="9"/>
      <c r="AP207" s="17"/>
      <c r="AQ207" s="15" t="s">
        <v>49</v>
      </c>
      <c r="AR207" t="s">
        <v>1249</v>
      </c>
      <c r="AS207" s="16" t="s">
        <v>1250</v>
      </c>
    </row>
    <row r="208" spans="1:45" ht="14.5">
      <c r="A208" s="9" t="s">
        <v>1255</v>
      </c>
      <c r="B208" s="9" t="s">
        <v>1256</v>
      </c>
      <c r="C208" s="9" t="s">
        <v>1257</v>
      </c>
      <c r="D208" s="9" t="s">
        <v>1240</v>
      </c>
      <c r="E208" s="17" t="s">
        <v>49</v>
      </c>
      <c r="F208" s="9" t="s">
        <v>69</v>
      </c>
      <c r="G208" s="9" t="s">
        <v>70</v>
      </c>
      <c r="H208" s="9" t="s">
        <v>1241</v>
      </c>
      <c r="I208" s="9" t="s">
        <v>72</v>
      </c>
      <c r="J208" s="10"/>
      <c r="K208" s="10"/>
      <c r="L208" s="10"/>
      <c r="M208" s="10">
        <v>44025</v>
      </c>
      <c r="N208" s="9">
        <v>2020</v>
      </c>
      <c r="O208" s="9" t="s">
        <v>247</v>
      </c>
      <c r="P208" s="9" t="s">
        <v>83</v>
      </c>
      <c r="Q208" s="9" t="s">
        <v>53</v>
      </c>
      <c r="T208" s="9"/>
      <c r="V208" s="9"/>
      <c r="W208" s="11">
        <f>IFERROR(VLOOKUP(B208, PlumX_snapshot!$A:$B, 2, FALSE), " ")</f>
        <v>15</v>
      </c>
      <c r="X208" s="11">
        <f>IFERROR(VLOOKUP(B208, PlumX_snapshot!$A:$C, 3, FALSE), " ")</f>
        <v>9</v>
      </c>
      <c r="Y208" s="12">
        <f>IFERROR(VLOOKUP(B208, PlumX_snapshot!$A:$D, 4, FALSE), " ")</f>
        <v>5</v>
      </c>
      <c r="Z208" s="12">
        <f>IFERROR(VLOOKUP(B208, PlumX_snapshot!$A:$E, 5, FALSE), " ")</f>
        <v>0</v>
      </c>
      <c r="AA208" s="12">
        <f>IFERROR(VLOOKUP(B208, PlumX_snapshot!$A:$F, 6, FALSE), " ")</f>
        <v>0</v>
      </c>
      <c r="AB208" s="13">
        <v>44978</v>
      </c>
      <c r="AC208" s="9" t="s">
        <v>1258</v>
      </c>
      <c r="AI208" s="9"/>
      <c r="AJ208" s="9"/>
      <c r="AK208" s="11" t="str">
        <f t="shared" si="0"/>
        <v>2020</v>
      </c>
      <c r="AL208" s="11" t="e">
        <f>VLOOKUP(AK208, Exchange_rates!$C:$D, 2, FALSE)</f>
        <v>#N/A</v>
      </c>
      <c r="AM208" s="14" t="str">
        <f t="shared" si="1"/>
        <v/>
      </c>
      <c r="AN208" s="9"/>
      <c r="AO208" s="9"/>
      <c r="AP208" s="17"/>
      <c r="AQ208" s="15" t="s">
        <v>49</v>
      </c>
      <c r="AR208" t="s">
        <v>1259</v>
      </c>
      <c r="AS208" s="16" t="s">
        <v>1260</v>
      </c>
    </row>
    <row r="209" spans="1:60" ht="14.5">
      <c r="A209" s="9" t="s">
        <v>1261</v>
      </c>
      <c r="B209" s="9" t="s">
        <v>1262</v>
      </c>
      <c r="C209" s="9" t="s">
        <v>1257</v>
      </c>
      <c r="D209" s="9" t="s">
        <v>1240</v>
      </c>
      <c r="E209" s="17" t="s">
        <v>49</v>
      </c>
      <c r="F209" s="9" t="s">
        <v>69</v>
      </c>
      <c r="G209" s="9" t="s">
        <v>70</v>
      </c>
      <c r="H209" s="9" t="s">
        <v>1241</v>
      </c>
      <c r="I209" s="9" t="s">
        <v>72</v>
      </c>
      <c r="J209" s="10"/>
      <c r="K209" s="10"/>
      <c r="L209" s="10"/>
      <c r="M209" s="10">
        <v>44025</v>
      </c>
      <c r="N209" s="9">
        <v>2020</v>
      </c>
      <c r="O209" s="9" t="s">
        <v>247</v>
      </c>
      <c r="P209" s="9" t="s">
        <v>83</v>
      </c>
      <c r="Q209" s="9" t="s">
        <v>53</v>
      </c>
      <c r="T209" s="9"/>
      <c r="V209" s="9"/>
      <c r="W209" s="11">
        <f>IFERROR(VLOOKUP(B209, PlumX_snapshot!$A:$B, 2, FALSE), " ")</f>
        <v>17</v>
      </c>
      <c r="X209" s="11">
        <f>IFERROR(VLOOKUP(B209, PlumX_snapshot!$A:$C, 3, FALSE), " ")</f>
        <v>6</v>
      </c>
      <c r="Y209" s="12">
        <f>IFERROR(VLOOKUP(B209, PlumX_snapshot!$A:$D, 4, FALSE), " ")</f>
        <v>5</v>
      </c>
      <c r="Z209" s="12">
        <f>IFERROR(VLOOKUP(B209, PlumX_snapshot!$A:$E, 5, FALSE), " ")</f>
        <v>0</v>
      </c>
      <c r="AA209" s="12">
        <f>IFERROR(VLOOKUP(B209, PlumX_snapshot!$A:$F, 6, FALSE), " ")</f>
        <v>0</v>
      </c>
      <c r="AB209" s="13">
        <v>44978</v>
      </c>
      <c r="AC209" s="9" t="s">
        <v>1258</v>
      </c>
      <c r="AI209" s="9"/>
      <c r="AJ209" s="9"/>
      <c r="AK209" s="11" t="str">
        <f t="shared" si="0"/>
        <v>2020</v>
      </c>
      <c r="AL209" s="11" t="e">
        <f>VLOOKUP(AK209, Exchange_rates!$C:$D, 2, FALSE)</f>
        <v>#N/A</v>
      </c>
      <c r="AM209" s="14" t="str">
        <f t="shared" si="1"/>
        <v/>
      </c>
      <c r="AN209" s="9"/>
      <c r="AO209" s="9"/>
      <c r="AP209" s="17"/>
      <c r="AQ209" s="15" t="s">
        <v>49</v>
      </c>
      <c r="AR209" t="s">
        <v>1259</v>
      </c>
      <c r="AS209" s="16" t="s">
        <v>1260</v>
      </c>
    </row>
    <row r="210" spans="1:60" ht="14.5">
      <c r="A210" s="9" t="s">
        <v>1263</v>
      </c>
      <c r="B210" s="9" t="s">
        <v>1264</v>
      </c>
      <c r="C210" s="9" t="s">
        <v>1257</v>
      </c>
      <c r="D210" s="9" t="s">
        <v>1240</v>
      </c>
      <c r="E210" s="17" t="s">
        <v>49</v>
      </c>
      <c r="F210" s="9" t="s">
        <v>69</v>
      </c>
      <c r="G210" s="9" t="s">
        <v>70</v>
      </c>
      <c r="H210" s="9" t="s">
        <v>1241</v>
      </c>
      <c r="I210" s="9" t="s">
        <v>72</v>
      </c>
      <c r="J210" s="10"/>
      <c r="K210" s="10"/>
      <c r="L210" s="10"/>
      <c r="M210" s="10">
        <v>44061</v>
      </c>
      <c r="N210" s="9">
        <v>2020</v>
      </c>
      <c r="O210" s="9" t="s">
        <v>247</v>
      </c>
      <c r="P210" s="9" t="s">
        <v>83</v>
      </c>
      <c r="Q210" s="9" t="s">
        <v>53</v>
      </c>
      <c r="T210" s="9"/>
      <c r="V210" s="9"/>
      <c r="W210" s="11">
        <f>IFERROR(VLOOKUP(B210, PlumX_snapshot!$A:$B, 2, FALSE), " ")</f>
        <v>7</v>
      </c>
      <c r="X210" s="11">
        <f>IFERROR(VLOOKUP(B210, PlumX_snapshot!$A:$C, 3, FALSE), " ")</f>
        <v>5</v>
      </c>
      <c r="Y210" s="12">
        <f>IFERROR(VLOOKUP(B210, PlumX_snapshot!$A:$D, 4, FALSE), " ")</f>
        <v>6</v>
      </c>
      <c r="Z210" s="12">
        <f>IFERROR(VLOOKUP(B210, PlumX_snapshot!$A:$E, 5, FALSE), " ")</f>
        <v>0</v>
      </c>
      <c r="AA210" s="12">
        <f>IFERROR(VLOOKUP(B210, PlumX_snapshot!$A:$F, 6, FALSE), " ")</f>
        <v>0</v>
      </c>
      <c r="AB210" s="13">
        <v>44978</v>
      </c>
      <c r="AC210" s="9" t="s">
        <v>1265</v>
      </c>
      <c r="AI210" s="9"/>
      <c r="AJ210" s="9"/>
      <c r="AK210" s="11" t="str">
        <f t="shared" si="0"/>
        <v>2020</v>
      </c>
      <c r="AL210" s="11" t="e">
        <f>VLOOKUP(AK210, Exchange_rates!$C:$D, 2, FALSE)</f>
        <v>#N/A</v>
      </c>
      <c r="AM210" s="14" t="str">
        <f t="shared" si="1"/>
        <v/>
      </c>
      <c r="AN210" s="9"/>
      <c r="AO210" s="9"/>
      <c r="AP210" s="17"/>
      <c r="AQ210" s="15" t="s">
        <v>49</v>
      </c>
      <c r="AR210" t="s">
        <v>1259</v>
      </c>
      <c r="AS210" s="16" t="s">
        <v>1260</v>
      </c>
    </row>
    <row r="211" spans="1:60" ht="14.5">
      <c r="A211" s="9" t="s">
        <v>1266</v>
      </c>
      <c r="B211" s="9" t="s">
        <v>1267</v>
      </c>
      <c r="C211" s="9" t="s">
        <v>1257</v>
      </c>
      <c r="D211" s="9" t="s">
        <v>1240</v>
      </c>
      <c r="E211" s="17" t="s">
        <v>49</v>
      </c>
      <c r="F211" s="9" t="s">
        <v>69</v>
      </c>
      <c r="G211" s="9" t="s">
        <v>70</v>
      </c>
      <c r="H211" s="9" t="s">
        <v>1241</v>
      </c>
      <c r="I211" s="9" t="s">
        <v>72</v>
      </c>
      <c r="J211" s="10"/>
      <c r="K211" s="10"/>
      <c r="L211" s="10"/>
      <c r="M211" s="10">
        <v>44123</v>
      </c>
      <c r="N211" s="9">
        <v>2020</v>
      </c>
      <c r="O211" s="9" t="s">
        <v>247</v>
      </c>
      <c r="P211" s="9" t="s">
        <v>53</v>
      </c>
      <c r="Q211" s="9" t="s">
        <v>53</v>
      </c>
      <c r="T211" s="9"/>
      <c r="V211" s="9"/>
      <c r="W211" s="11">
        <f>IFERROR(VLOOKUP(B211, PlumX_snapshot!$A:$B, 2, FALSE), " ")</f>
        <v>38</v>
      </c>
      <c r="X211" s="11">
        <f>IFERROR(VLOOKUP(B211, PlumX_snapshot!$A:$C, 3, FALSE), " ")</f>
        <v>67</v>
      </c>
      <c r="Y211" s="12">
        <f>IFERROR(VLOOKUP(B211, PlumX_snapshot!$A:$D, 4, FALSE), " ")</f>
        <v>37</v>
      </c>
      <c r="Z211" s="12">
        <f>IFERROR(VLOOKUP(B211, PlumX_snapshot!$A:$E, 5, FALSE), " ")</f>
        <v>0</v>
      </c>
      <c r="AA211" s="12">
        <f>IFERROR(VLOOKUP(B211, PlumX_snapshot!$A:$F, 6, FALSE), " ")</f>
        <v>1</v>
      </c>
      <c r="AB211" s="13">
        <v>44978</v>
      </c>
      <c r="AC211" s="9" t="s">
        <v>1265</v>
      </c>
      <c r="AI211" s="9"/>
      <c r="AJ211" s="9"/>
      <c r="AK211" s="11" t="str">
        <f t="shared" si="0"/>
        <v>2020</v>
      </c>
      <c r="AL211" s="11" t="e">
        <f>VLOOKUP(AK211, Exchange_rates!$C:$D, 2, FALSE)</f>
        <v>#N/A</v>
      </c>
      <c r="AM211" s="14" t="str">
        <f t="shared" si="1"/>
        <v/>
      </c>
      <c r="AN211" s="9"/>
      <c r="AO211" s="9"/>
      <c r="AP211" s="17"/>
      <c r="AQ211" s="15" t="s">
        <v>49</v>
      </c>
      <c r="AR211" t="s">
        <v>1259</v>
      </c>
      <c r="AS211" s="16" t="s">
        <v>1260</v>
      </c>
    </row>
    <row r="212" spans="1:60" ht="14.5">
      <c r="A212" s="9" t="s">
        <v>1268</v>
      </c>
      <c r="B212" s="9" t="s">
        <v>1269</v>
      </c>
      <c r="C212" s="9" t="s">
        <v>1270</v>
      </c>
      <c r="D212" s="9" t="s">
        <v>1240</v>
      </c>
      <c r="E212" s="17" t="s">
        <v>49</v>
      </c>
      <c r="F212" s="9" t="s">
        <v>69</v>
      </c>
      <c r="G212" s="9" t="s">
        <v>70</v>
      </c>
      <c r="H212" s="9" t="s">
        <v>1241</v>
      </c>
      <c r="I212" s="9" t="s">
        <v>72</v>
      </c>
      <c r="J212" s="10"/>
      <c r="K212" s="10"/>
      <c r="L212" s="10"/>
      <c r="M212" s="10">
        <v>43913</v>
      </c>
      <c r="N212" s="9">
        <v>2020</v>
      </c>
      <c r="O212" s="9" t="s">
        <v>247</v>
      </c>
      <c r="P212" s="9" t="s">
        <v>83</v>
      </c>
      <c r="Q212" s="9" t="s">
        <v>53</v>
      </c>
      <c r="T212" s="9"/>
      <c r="V212" s="9"/>
      <c r="W212" s="11">
        <f>IFERROR(VLOOKUP(B212, PlumX_snapshot!$A:$B, 2, FALSE), " ")</f>
        <v>35</v>
      </c>
      <c r="X212" s="11">
        <f>IFERROR(VLOOKUP(B212, PlumX_snapshot!$A:$C, 3, FALSE), " ")</f>
        <v>15</v>
      </c>
      <c r="Y212" s="12">
        <f>IFERROR(VLOOKUP(B212, PlumX_snapshot!$A:$D, 4, FALSE), " ")</f>
        <v>8</v>
      </c>
      <c r="Z212" s="12">
        <f>IFERROR(VLOOKUP(B212, PlumX_snapshot!$A:$E, 5, FALSE), " ")</f>
        <v>2</v>
      </c>
      <c r="AA212" s="12">
        <f>IFERROR(VLOOKUP(B212, PlumX_snapshot!$A:$F, 6, FALSE), " ")</f>
        <v>0</v>
      </c>
      <c r="AB212" s="13">
        <v>44978</v>
      </c>
      <c r="AC212" s="9" t="s">
        <v>1271</v>
      </c>
      <c r="AI212" s="9"/>
      <c r="AJ212" s="9"/>
      <c r="AK212" s="11" t="str">
        <f t="shared" si="0"/>
        <v>2020</v>
      </c>
      <c r="AL212" s="11" t="e">
        <f>VLOOKUP(AK212, Exchange_rates!$C:$D, 2, FALSE)</f>
        <v>#N/A</v>
      </c>
      <c r="AM212" s="14" t="str">
        <f t="shared" si="1"/>
        <v/>
      </c>
      <c r="AN212" s="9"/>
      <c r="AO212" s="9"/>
      <c r="AP212" s="17"/>
      <c r="AQ212" s="15" t="s">
        <v>49</v>
      </c>
      <c r="AR212" t="s">
        <v>1272</v>
      </c>
      <c r="AS212" s="16" t="s">
        <v>1273</v>
      </c>
    </row>
    <row r="213" spans="1:60" ht="14.5">
      <c r="A213" s="9" t="s">
        <v>1274</v>
      </c>
      <c r="B213" s="9" t="s">
        <v>1275</v>
      </c>
      <c r="C213" s="9" t="s">
        <v>1276</v>
      </c>
      <c r="D213" s="9" t="s">
        <v>1240</v>
      </c>
      <c r="E213" s="17" t="s">
        <v>49</v>
      </c>
      <c r="F213" s="9" t="s">
        <v>69</v>
      </c>
      <c r="G213" s="9" t="s">
        <v>70</v>
      </c>
      <c r="H213" s="9" t="s">
        <v>1241</v>
      </c>
      <c r="I213" s="9" t="s">
        <v>72</v>
      </c>
      <c r="J213" s="10"/>
      <c r="K213" s="10"/>
      <c r="L213" s="10"/>
      <c r="M213" s="10">
        <v>44068</v>
      </c>
      <c r="N213" s="9">
        <v>2020</v>
      </c>
      <c r="O213" s="9" t="s">
        <v>247</v>
      </c>
      <c r="P213" s="9" t="s">
        <v>53</v>
      </c>
      <c r="Q213" s="9" t="s">
        <v>53</v>
      </c>
      <c r="T213" s="9"/>
      <c r="V213" s="9"/>
      <c r="W213" s="11">
        <f>IFERROR(VLOOKUP(B213, PlumX_snapshot!$A:$B, 2, FALSE), " ")</f>
        <v>7</v>
      </c>
      <c r="X213" s="11">
        <f>IFERROR(VLOOKUP(B213, PlumX_snapshot!$A:$C, 3, FALSE), " ")</f>
        <v>3</v>
      </c>
      <c r="Y213" s="12">
        <f>IFERROR(VLOOKUP(B213, PlumX_snapshot!$A:$D, 4, FALSE), " ")</f>
        <v>2</v>
      </c>
      <c r="Z213" s="12">
        <f>IFERROR(VLOOKUP(B213, PlumX_snapshot!$A:$E, 5, FALSE), " ")</f>
        <v>0</v>
      </c>
      <c r="AA213" s="12">
        <f>IFERROR(VLOOKUP(B213, PlumX_snapshot!$A:$F, 6, FALSE), " ")</f>
        <v>0</v>
      </c>
      <c r="AB213" s="13">
        <v>44978</v>
      </c>
      <c r="AC213" s="9" t="s">
        <v>1277</v>
      </c>
      <c r="AI213" s="9"/>
      <c r="AJ213" s="9"/>
      <c r="AK213" s="11" t="str">
        <f t="shared" si="0"/>
        <v>2020</v>
      </c>
      <c r="AL213" s="11" t="e">
        <f>VLOOKUP(AK213, Exchange_rates!$C:$D, 2, FALSE)</f>
        <v>#N/A</v>
      </c>
      <c r="AM213" s="14" t="str">
        <f t="shared" si="1"/>
        <v/>
      </c>
      <c r="AN213" s="9"/>
      <c r="AO213" s="9"/>
      <c r="AP213" s="17"/>
      <c r="AQ213" s="15" t="s">
        <v>49</v>
      </c>
      <c r="AR213" t="s">
        <v>1278</v>
      </c>
      <c r="AS213" s="16" t="s">
        <v>1279</v>
      </c>
    </row>
    <row r="214" spans="1:60" ht="14.5">
      <c r="A214" s="9" t="s">
        <v>1280</v>
      </c>
      <c r="B214" s="9" t="s">
        <v>1281</v>
      </c>
      <c r="C214" s="9" t="s">
        <v>1282</v>
      </c>
      <c r="D214" s="9" t="s">
        <v>1240</v>
      </c>
      <c r="E214" s="17" t="s">
        <v>49</v>
      </c>
      <c r="F214" s="9" t="s">
        <v>69</v>
      </c>
      <c r="G214" s="9" t="s">
        <v>70</v>
      </c>
      <c r="H214" s="9" t="s">
        <v>1241</v>
      </c>
      <c r="I214" s="9" t="s">
        <v>72</v>
      </c>
      <c r="J214" s="10"/>
      <c r="K214" s="10"/>
      <c r="L214" s="10"/>
      <c r="M214" s="10">
        <v>43887</v>
      </c>
      <c r="N214" s="9">
        <v>2020</v>
      </c>
      <c r="O214" s="9" t="s">
        <v>247</v>
      </c>
      <c r="P214" s="9" t="s">
        <v>83</v>
      </c>
      <c r="Q214" s="9" t="s">
        <v>53</v>
      </c>
      <c r="T214" s="9"/>
      <c r="V214" s="9"/>
      <c r="W214" s="11">
        <f>IFERROR(VLOOKUP(B214, PlumX_snapshot!$A:$B, 2, FALSE), " ")</f>
        <v>22</v>
      </c>
      <c r="X214" s="11">
        <f>IFERROR(VLOOKUP(B214, PlumX_snapshot!$A:$C, 3, FALSE), " ")</f>
        <v>16</v>
      </c>
      <c r="Y214" s="12">
        <f>IFERROR(VLOOKUP(B214, PlumX_snapshot!$A:$D, 4, FALSE), " ")</f>
        <v>1</v>
      </c>
      <c r="Z214" s="12">
        <f>IFERROR(VLOOKUP(B214, PlumX_snapshot!$A:$E, 5, FALSE), " ")</f>
        <v>0</v>
      </c>
      <c r="AA214" s="12">
        <f>IFERROR(VLOOKUP(B214, PlumX_snapshot!$A:$F, 6, FALSE), " ")</f>
        <v>0</v>
      </c>
      <c r="AB214" s="13">
        <v>44978</v>
      </c>
      <c r="AC214" s="9" t="s">
        <v>839</v>
      </c>
      <c r="AI214" s="9"/>
      <c r="AJ214" s="9"/>
      <c r="AK214" s="11" t="str">
        <f t="shared" si="0"/>
        <v>2020</v>
      </c>
      <c r="AL214" s="11" t="e">
        <f>VLOOKUP(AK214, Exchange_rates!$C:$D, 2, FALSE)</f>
        <v>#N/A</v>
      </c>
      <c r="AM214" s="14" t="str">
        <f t="shared" si="1"/>
        <v/>
      </c>
      <c r="AN214" s="9"/>
      <c r="AO214" s="9"/>
      <c r="AP214" s="17"/>
      <c r="AQ214" s="15" t="s">
        <v>49</v>
      </c>
      <c r="AR214" t="s">
        <v>1283</v>
      </c>
      <c r="AS214" s="16" t="s">
        <v>1284</v>
      </c>
    </row>
    <row r="215" spans="1:60" ht="14.5">
      <c r="A215" s="9" t="s">
        <v>1285</v>
      </c>
      <c r="B215" s="9" t="s">
        <v>1286</v>
      </c>
      <c r="C215" s="9" t="s">
        <v>1282</v>
      </c>
      <c r="D215" s="9" t="s">
        <v>1240</v>
      </c>
      <c r="E215" s="17" t="s">
        <v>49</v>
      </c>
      <c r="F215" s="9" t="s">
        <v>69</v>
      </c>
      <c r="G215" s="9" t="s">
        <v>70</v>
      </c>
      <c r="H215" s="9" t="s">
        <v>1241</v>
      </c>
      <c r="I215" s="9" t="s">
        <v>72</v>
      </c>
      <c r="J215" s="10"/>
      <c r="K215" s="10"/>
      <c r="L215" s="10"/>
      <c r="M215" s="10">
        <v>43970</v>
      </c>
      <c r="N215" s="9">
        <v>2020</v>
      </c>
      <c r="O215" s="9" t="s">
        <v>247</v>
      </c>
      <c r="P215" s="9" t="s">
        <v>83</v>
      </c>
      <c r="Q215" s="9" t="s">
        <v>53</v>
      </c>
      <c r="T215" s="9"/>
      <c r="V215" s="9"/>
      <c r="W215" s="11">
        <f>IFERROR(VLOOKUP(B215, PlumX_snapshot!$A:$B, 2, FALSE), " ")</f>
        <v>10</v>
      </c>
      <c r="X215" s="11">
        <f>IFERROR(VLOOKUP(B215, PlumX_snapshot!$A:$C, 3, FALSE), " ")</f>
        <v>2</v>
      </c>
      <c r="Y215" s="12">
        <f>IFERROR(VLOOKUP(B215, PlumX_snapshot!$A:$D, 4, FALSE), " ")</f>
        <v>3</v>
      </c>
      <c r="Z215" s="12">
        <f>IFERROR(VLOOKUP(B215, PlumX_snapshot!$A:$E, 5, FALSE), " ")</f>
        <v>0</v>
      </c>
      <c r="AA215" s="12">
        <f>IFERROR(VLOOKUP(B215, PlumX_snapshot!$A:$F, 6, FALSE), " ")</f>
        <v>0</v>
      </c>
      <c r="AB215" s="13">
        <v>44978</v>
      </c>
      <c r="AC215" s="9" t="s">
        <v>1287</v>
      </c>
      <c r="AI215" s="9"/>
      <c r="AJ215" s="9"/>
      <c r="AK215" s="11" t="str">
        <f t="shared" si="0"/>
        <v>2020</v>
      </c>
      <c r="AL215" s="11" t="e">
        <f>VLOOKUP(AK215, Exchange_rates!$C:$D, 2, FALSE)</f>
        <v>#N/A</v>
      </c>
      <c r="AM215" s="14" t="str">
        <f t="shared" si="1"/>
        <v/>
      </c>
      <c r="AN215" s="9"/>
      <c r="AO215" s="9"/>
      <c r="AP215" s="17"/>
      <c r="AQ215" s="15" t="s">
        <v>49</v>
      </c>
      <c r="AR215" t="s">
        <v>1283</v>
      </c>
      <c r="AS215" s="16" t="s">
        <v>1284</v>
      </c>
    </row>
    <row r="216" spans="1:60" ht="14.5">
      <c r="A216" s="9" t="s">
        <v>1288</v>
      </c>
      <c r="B216" s="9" t="s">
        <v>1289</v>
      </c>
      <c r="C216" s="9" t="s">
        <v>1282</v>
      </c>
      <c r="D216" s="9" t="s">
        <v>1240</v>
      </c>
      <c r="E216" s="17" t="s">
        <v>49</v>
      </c>
      <c r="F216" s="9" t="s">
        <v>69</v>
      </c>
      <c r="G216" s="9" t="s">
        <v>70</v>
      </c>
      <c r="H216" s="9" t="s">
        <v>1241</v>
      </c>
      <c r="I216" s="9" t="s">
        <v>72</v>
      </c>
      <c r="J216" s="10"/>
      <c r="K216" s="10"/>
      <c r="L216" s="10"/>
      <c r="M216" s="10">
        <v>44018</v>
      </c>
      <c r="N216" s="9">
        <v>2020</v>
      </c>
      <c r="O216" s="9" t="s">
        <v>247</v>
      </c>
      <c r="P216" s="9" t="s">
        <v>83</v>
      </c>
      <c r="Q216" s="9" t="s">
        <v>53</v>
      </c>
      <c r="T216" s="9"/>
      <c r="V216" s="9"/>
      <c r="W216" s="11">
        <f>IFERROR(VLOOKUP(B216, PlumX_snapshot!$A:$B, 2, FALSE), " ")</f>
        <v>11</v>
      </c>
      <c r="X216" s="11">
        <f>IFERROR(VLOOKUP(B216, PlumX_snapshot!$A:$C, 3, FALSE), " ")</f>
        <v>1</v>
      </c>
      <c r="Y216" s="12">
        <f>IFERROR(VLOOKUP(B216, PlumX_snapshot!$A:$D, 4, FALSE), " ")</f>
        <v>1</v>
      </c>
      <c r="Z216" s="12">
        <f>IFERROR(VLOOKUP(B216, PlumX_snapshot!$A:$E, 5, FALSE), " ")</f>
        <v>0</v>
      </c>
      <c r="AA216" s="12">
        <f>IFERROR(VLOOKUP(B216, PlumX_snapshot!$A:$F, 6, FALSE), " ")</f>
        <v>0</v>
      </c>
      <c r="AB216" s="13">
        <v>44978</v>
      </c>
      <c r="AC216" s="9" t="s">
        <v>1290</v>
      </c>
      <c r="AI216" s="9"/>
      <c r="AJ216" s="9"/>
      <c r="AK216" s="11" t="str">
        <f t="shared" si="0"/>
        <v>2020</v>
      </c>
      <c r="AL216" s="11" t="e">
        <f>VLOOKUP(AK216, Exchange_rates!$C:$D, 2, FALSE)</f>
        <v>#N/A</v>
      </c>
      <c r="AM216" s="14" t="str">
        <f t="shared" si="1"/>
        <v/>
      </c>
      <c r="AN216" s="9"/>
      <c r="AO216" s="9"/>
      <c r="AP216" s="17"/>
      <c r="AQ216" s="15" t="s">
        <v>49</v>
      </c>
      <c r="AR216" t="s">
        <v>1283</v>
      </c>
      <c r="AS216" s="16" t="s">
        <v>1284</v>
      </c>
    </row>
    <row r="217" spans="1:60" ht="14.5">
      <c r="A217" s="9" t="s">
        <v>1291</v>
      </c>
      <c r="B217" s="9" t="s">
        <v>1292</v>
      </c>
      <c r="C217" s="9" t="s">
        <v>1282</v>
      </c>
      <c r="D217" s="9" t="s">
        <v>1240</v>
      </c>
      <c r="E217" s="17" t="s">
        <v>49</v>
      </c>
      <c r="F217" s="9" t="s">
        <v>69</v>
      </c>
      <c r="G217" s="9" t="s">
        <v>70</v>
      </c>
      <c r="H217" s="9" t="s">
        <v>1241</v>
      </c>
      <c r="I217" s="9" t="s">
        <v>72</v>
      </c>
      <c r="J217" s="10"/>
      <c r="K217" s="10"/>
      <c r="L217" s="10"/>
      <c r="M217" s="10">
        <v>44133</v>
      </c>
      <c r="N217" s="9">
        <v>2020</v>
      </c>
      <c r="O217" s="9" t="s">
        <v>247</v>
      </c>
      <c r="P217" s="9" t="s">
        <v>83</v>
      </c>
      <c r="Q217" s="9" t="s">
        <v>53</v>
      </c>
      <c r="T217" s="9"/>
      <c r="V217" s="9"/>
      <c r="W217" s="11">
        <f>IFERROR(VLOOKUP(B217, PlumX_snapshot!$A:$B, 2, FALSE), " ")</f>
        <v>17</v>
      </c>
      <c r="X217" s="11">
        <f>IFERROR(VLOOKUP(B217, PlumX_snapshot!$A:$C, 3, FALSE), " ")</f>
        <v>5</v>
      </c>
      <c r="Y217" s="12">
        <f>IFERROR(VLOOKUP(B217, PlumX_snapshot!$A:$D, 4, FALSE), " ")</f>
        <v>6</v>
      </c>
      <c r="Z217" s="12">
        <f>IFERROR(VLOOKUP(B217, PlumX_snapshot!$A:$E, 5, FALSE), " ")</f>
        <v>0</v>
      </c>
      <c r="AA217" s="12">
        <f>IFERROR(VLOOKUP(B217, PlumX_snapshot!$A:$F, 6, FALSE), " ")</f>
        <v>0</v>
      </c>
      <c r="AB217" s="13">
        <v>44978</v>
      </c>
      <c r="AC217" s="9" t="s">
        <v>1293</v>
      </c>
      <c r="AI217" s="9"/>
      <c r="AJ217" s="9"/>
      <c r="AK217" s="11" t="str">
        <f t="shared" si="0"/>
        <v>2020</v>
      </c>
      <c r="AL217" s="11" t="e">
        <f>VLOOKUP(AK217, Exchange_rates!$C:$D, 2, FALSE)</f>
        <v>#N/A</v>
      </c>
      <c r="AM217" s="14" t="str">
        <f t="shared" si="1"/>
        <v/>
      </c>
      <c r="AN217" s="9"/>
      <c r="AO217" s="9"/>
      <c r="AP217" s="17"/>
      <c r="AQ217" s="15" t="s">
        <v>49</v>
      </c>
      <c r="AR217" t="s">
        <v>1283</v>
      </c>
      <c r="AS217" s="16" t="s">
        <v>1284</v>
      </c>
    </row>
    <row r="218" spans="1:60" ht="14.5">
      <c r="A218" s="9" t="s">
        <v>1294</v>
      </c>
      <c r="B218" s="9" t="s">
        <v>1295</v>
      </c>
      <c r="C218" s="9" t="s">
        <v>1282</v>
      </c>
      <c r="D218" s="9" t="s">
        <v>1240</v>
      </c>
      <c r="E218" s="17" t="s">
        <v>49</v>
      </c>
      <c r="F218" s="9" t="s">
        <v>69</v>
      </c>
      <c r="G218" s="9" t="s">
        <v>70</v>
      </c>
      <c r="H218" s="9" t="s">
        <v>1253</v>
      </c>
      <c r="I218" s="9" t="s">
        <v>72</v>
      </c>
      <c r="J218" s="10"/>
      <c r="K218" s="10"/>
      <c r="L218" s="10"/>
      <c r="M218" s="10">
        <v>44286</v>
      </c>
      <c r="N218" s="9">
        <v>2021</v>
      </c>
      <c r="O218" s="9" t="s">
        <v>247</v>
      </c>
      <c r="P218" s="9" t="s">
        <v>83</v>
      </c>
      <c r="Q218" s="9" t="s">
        <v>53</v>
      </c>
      <c r="T218" s="9"/>
      <c r="V218" s="9"/>
      <c r="W218" s="11">
        <f>IFERROR(VLOOKUP(B218, PlumX_snapshot!$A:$B, 2, FALSE), " ")</f>
        <v>5</v>
      </c>
      <c r="X218" s="11">
        <f>IFERROR(VLOOKUP(B218, PlumX_snapshot!$A:$C, 3, FALSE), " ")</f>
        <v>4</v>
      </c>
      <c r="Y218" s="12">
        <f>IFERROR(VLOOKUP(B218, PlumX_snapshot!$A:$D, 4, FALSE), " ")</f>
        <v>1</v>
      </c>
      <c r="Z218" s="12">
        <f>IFERROR(VLOOKUP(B218, PlumX_snapshot!$A:$E, 5, FALSE), " ")</f>
        <v>0</v>
      </c>
      <c r="AA218" s="12">
        <f>IFERROR(VLOOKUP(B218, PlumX_snapshot!$A:$F, 6, FALSE), " ")</f>
        <v>0</v>
      </c>
      <c r="AB218" s="13">
        <v>44978</v>
      </c>
      <c r="AC218" s="9" t="s">
        <v>1296</v>
      </c>
      <c r="AH218" s="9">
        <v>2070</v>
      </c>
      <c r="AI218" s="9" t="s">
        <v>875</v>
      </c>
      <c r="AJ218" s="9" t="s">
        <v>301</v>
      </c>
      <c r="AK218" s="11" t="str">
        <f t="shared" si="0"/>
        <v>2021GBP</v>
      </c>
      <c r="AL218" s="11">
        <f>VLOOKUP(AK218, Exchange_rates!$C:$D, 2, FALSE)</f>
        <v>1</v>
      </c>
      <c r="AM218" s="14">
        <f t="shared" si="1"/>
        <v>2484</v>
      </c>
      <c r="AN218" s="9"/>
      <c r="AO218" s="9"/>
      <c r="AP218" s="17"/>
      <c r="AQ218" s="15" t="s">
        <v>49</v>
      </c>
      <c r="AR218" t="s">
        <v>1283</v>
      </c>
      <c r="AS218" s="16" t="s">
        <v>1284</v>
      </c>
    </row>
    <row r="219" spans="1:60" ht="14.5">
      <c r="A219" s="9" t="s">
        <v>1297</v>
      </c>
      <c r="B219" s="9" t="s">
        <v>1298</v>
      </c>
      <c r="C219" s="9" t="s">
        <v>1299</v>
      </c>
      <c r="D219" s="9" t="s">
        <v>1240</v>
      </c>
      <c r="E219" s="17" t="s">
        <v>49</v>
      </c>
      <c r="F219" s="9" t="s">
        <v>69</v>
      </c>
      <c r="G219" s="9" t="s">
        <v>70</v>
      </c>
      <c r="H219" s="9" t="s">
        <v>1241</v>
      </c>
      <c r="I219" s="9" t="s">
        <v>72</v>
      </c>
      <c r="J219" s="10"/>
      <c r="K219" s="10"/>
      <c r="L219" s="10"/>
      <c r="M219" s="10">
        <v>44123</v>
      </c>
      <c r="N219" s="9">
        <v>2020</v>
      </c>
      <c r="O219" s="9" t="s">
        <v>247</v>
      </c>
      <c r="P219" s="9" t="s">
        <v>83</v>
      </c>
      <c r="Q219" s="9" t="s">
        <v>53</v>
      </c>
      <c r="T219" s="9"/>
      <c r="V219" s="9"/>
      <c r="W219" s="11">
        <f>IFERROR(VLOOKUP(B219, PlumX_snapshot!$A:$B, 2, FALSE), " ")</f>
        <v>23</v>
      </c>
      <c r="X219" s="11">
        <f>IFERROR(VLOOKUP(B219, PlumX_snapshot!$A:$C, 3, FALSE), " ")</f>
        <v>14</v>
      </c>
      <c r="Y219" s="12">
        <f>IFERROR(VLOOKUP(B219, PlumX_snapshot!$A:$D, 4, FALSE), " ")</f>
        <v>0</v>
      </c>
      <c r="Z219" s="12">
        <f>IFERROR(VLOOKUP(B219, PlumX_snapshot!$A:$E, 5, FALSE), " ")</f>
        <v>0</v>
      </c>
      <c r="AA219" s="12">
        <f>IFERROR(VLOOKUP(B219, PlumX_snapshot!$A:$F, 6, FALSE), " ")</f>
        <v>0</v>
      </c>
      <c r="AB219" s="13">
        <v>44978</v>
      </c>
      <c r="AC219" s="9" t="s">
        <v>1300</v>
      </c>
      <c r="AI219" s="9"/>
      <c r="AJ219" s="9"/>
      <c r="AK219" s="11" t="str">
        <f t="shared" si="0"/>
        <v>2020</v>
      </c>
      <c r="AL219" s="11" t="e">
        <f>VLOOKUP(AK219, Exchange_rates!$C:$D, 2, FALSE)</f>
        <v>#N/A</v>
      </c>
      <c r="AM219" s="14" t="str">
        <f t="shared" si="1"/>
        <v/>
      </c>
      <c r="AN219" s="9"/>
      <c r="AO219" s="9"/>
      <c r="AP219" s="17"/>
      <c r="AQ219" s="15" t="s">
        <v>49</v>
      </c>
      <c r="AR219" t="s">
        <v>1301</v>
      </c>
      <c r="AS219" s="16" t="s">
        <v>1302</v>
      </c>
    </row>
    <row r="220" spans="1:60" ht="14.5">
      <c r="A220" s="9" t="s">
        <v>1303</v>
      </c>
      <c r="B220" s="9" t="s">
        <v>1304</v>
      </c>
      <c r="C220" s="9" t="s">
        <v>1299</v>
      </c>
      <c r="D220" s="9" t="s">
        <v>1240</v>
      </c>
      <c r="E220" s="17" t="s">
        <v>49</v>
      </c>
      <c r="F220" s="9" t="s">
        <v>69</v>
      </c>
      <c r="G220" s="9" t="s">
        <v>70</v>
      </c>
      <c r="H220" s="9" t="s">
        <v>1241</v>
      </c>
      <c r="I220" s="9" t="s">
        <v>72</v>
      </c>
      <c r="J220" s="10"/>
      <c r="K220" s="10"/>
      <c r="L220" s="10"/>
      <c r="M220" s="10">
        <v>44090</v>
      </c>
      <c r="N220" s="9">
        <v>2020</v>
      </c>
      <c r="O220" s="9" t="s">
        <v>247</v>
      </c>
      <c r="P220" s="9" t="s">
        <v>53</v>
      </c>
      <c r="Q220" s="9" t="s">
        <v>83</v>
      </c>
      <c r="T220" s="9"/>
      <c r="V220" s="9"/>
      <c r="W220" s="11">
        <f>IFERROR(VLOOKUP(B220, PlumX_snapshot!$A:$B, 2, FALSE), " ")</f>
        <v>15</v>
      </c>
      <c r="X220" s="11">
        <f>IFERROR(VLOOKUP(B220, PlumX_snapshot!$A:$C, 3, FALSE), " ")</f>
        <v>122</v>
      </c>
      <c r="Y220" s="12">
        <f>IFERROR(VLOOKUP(B220, PlumX_snapshot!$A:$D, 4, FALSE), " ")</f>
        <v>1</v>
      </c>
      <c r="Z220" s="12">
        <f>IFERROR(VLOOKUP(B220, PlumX_snapshot!$A:$E, 5, FALSE), " ")</f>
        <v>0</v>
      </c>
      <c r="AA220" s="12">
        <f>IFERROR(VLOOKUP(B220, PlumX_snapshot!$A:$F, 6, FALSE), " ")</f>
        <v>0</v>
      </c>
      <c r="AB220" s="13">
        <v>44978</v>
      </c>
      <c r="AC220" s="9" t="s">
        <v>1305</v>
      </c>
      <c r="AI220" s="9"/>
      <c r="AJ220" s="9"/>
      <c r="AK220" s="11" t="str">
        <f t="shared" si="0"/>
        <v>2020</v>
      </c>
      <c r="AL220" s="11" t="e">
        <f>VLOOKUP(AK220, Exchange_rates!$C:$D, 2, FALSE)</f>
        <v>#N/A</v>
      </c>
      <c r="AM220" s="14" t="str">
        <f t="shared" si="1"/>
        <v/>
      </c>
      <c r="AN220" s="9"/>
      <c r="AO220" s="9"/>
      <c r="AP220" s="17"/>
      <c r="AQ220" s="15" t="s">
        <v>49</v>
      </c>
      <c r="AR220" t="s">
        <v>1301</v>
      </c>
      <c r="AS220" s="16" t="s">
        <v>1302</v>
      </c>
    </row>
    <row r="221" spans="1:60" ht="14.5">
      <c r="A221" s="9" t="s">
        <v>1306</v>
      </c>
      <c r="B221" s="9" t="s">
        <v>1307</v>
      </c>
      <c r="C221" s="9" t="s">
        <v>1308</v>
      </c>
      <c r="D221" s="9" t="s">
        <v>1240</v>
      </c>
      <c r="E221" s="17" t="s">
        <v>49</v>
      </c>
      <c r="F221" s="9" t="s">
        <v>69</v>
      </c>
      <c r="G221" s="9" t="s">
        <v>70</v>
      </c>
      <c r="H221" s="9" t="s">
        <v>1241</v>
      </c>
      <c r="I221" s="9" t="s">
        <v>72</v>
      </c>
      <c r="J221" s="10"/>
      <c r="K221" s="10"/>
      <c r="L221" s="10"/>
      <c r="M221" s="10">
        <v>44014</v>
      </c>
      <c r="N221" s="9">
        <v>2020</v>
      </c>
      <c r="O221" s="9" t="s">
        <v>247</v>
      </c>
      <c r="P221" s="9" t="s">
        <v>53</v>
      </c>
      <c r="Q221" s="9" t="s">
        <v>53</v>
      </c>
      <c r="T221" s="9"/>
      <c r="V221" s="9"/>
      <c r="W221" s="11">
        <f>IFERROR(VLOOKUP(B221, PlumX_snapshot!$A:$B, 2, FALSE), " ")</f>
        <v>5</v>
      </c>
      <c r="X221" s="11">
        <f>IFERROR(VLOOKUP(B221, PlumX_snapshot!$A:$C, 3, FALSE), " ")</f>
        <v>8</v>
      </c>
      <c r="Y221" s="12">
        <f>IFERROR(VLOOKUP(B221, PlumX_snapshot!$A:$D, 4, FALSE), " ")</f>
        <v>0</v>
      </c>
      <c r="Z221" s="12">
        <f>IFERROR(VLOOKUP(B221, PlumX_snapshot!$A:$E, 5, FALSE), " ")</f>
        <v>0</v>
      </c>
      <c r="AA221" s="12">
        <f>IFERROR(VLOOKUP(B221, PlumX_snapshot!$A:$F, 6, FALSE), " ")</f>
        <v>0</v>
      </c>
      <c r="AB221" s="13">
        <v>44978</v>
      </c>
      <c r="AC221" s="9" t="s">
        <v>1309</v>
      </c>
      <c r="AI221" s="9"/>
      <c r="AJ221" s="9"/>
      <c r="AK221" s="11" t="str">
        <f t="shared" si="0"/>
        <v>2020</v>
      </c>
      <c r="AL221" s="11" t="e">
        <f>VLOOKUP(AK221, Exchange_rates!$C:$D, 2, FALSE)</f>
        <v>#N/A</v>
      </c>
      <c r="AM221" s="14" t="str">
        <f t="shared" si="1"/>
        <v/>
      </c>
      <c r="AN221" s="9"/>
      <c r="AO221" s="9"/>
      <c r="AP221" s="17"/>
      <c r="AQ221" s="15" t="s">
        <v>49</v>
      </c>
      <c r="AR221" t="s">
        <v>1310</v>
      </c>
      <c r="AS221" s="16" t="s">
        <v>1311</v>
      </c>
    </row>
    <row r="222" spans="1:60" ht="14.5">
      <c r="A222" s="20" t="s">
        <v>1312</v>
      </c>
      <c r="B222" s="20" t="s">
        <v>1313</v>
      </c>
      <c r="C222" s="20" t="s">
        <v>1314</v>
      </c>
      <c r="D222" s="20" t="s">
        <v>1240</v>
      </c>
      <c r="E222" s="21" t="s">
        <v>49</v>
      </c>
      <c r="F222" s="20" t="s">
        <v>69</v>
      </c>
      <c r="G222" s="20" t="s">
        <v>70</v>
      </c>
      <c r="H222" s="20" t="s">
        <v>1253</v>
      </c>
      <c r="I222" s="20" t="s">
        <v>72</v>
      </c>
      <c r="J222" s="22"/>
      <c r="K222" s="22">
        <v>44223</v>
      </c>
      <c r="L222" s="22"/>
      <c r="M222" s="22">
        <v>44284</v>
      </c>
      <c r="N222" s="20">
        <v>2021</v>
      </c>
      <c r="O222" s="20" t="s">
        <v>247</v>
      </c>
      <c r="P222" s="20" t="s">
        <v>53</v>
      </c>
      <c r="Q222" s="20" t="s">
        <v>53</v>
      </c>
      <c r="R222" s="20"/>
      <c r="S222" s="20"/>
      <c r="T222" s="20"/>
      <c r="U222" s="20"/>
      <c r="V222" s="20"/>
      <c r="W222" s="23">
        <f>IFERROR(VLOOKUP(B222, PlumX_snapshot!$A:$B, 2, FALSE), " ")</f>
        <v>0</v>
      </c>
      <c r="X222" s="23">
        <f>IFERROR(VLOOKUP(B222, PlumX_snapshot!$A:$C, 3, FALSE), " ")</f>
        <v>2</v>
      </c>
      <c r="Y222" s="24">
        <f>IFERROR(VLOOKUP(B222, PlumX_snapshot!$A:$D, 4, FALSE), " ")</f>
        <v>2</v>
      </c>
      <c r="Z222" s="24">
        <f>IFERROR(VLOOKUP(B222, PlumX_snapshot!$A:$E, 5, FALSE), " ")</f>
        <v>0</v>
      </c>
      <c r="AA222" s="24">
        <f>IFERROR(VLOOKUP(B222, PlumX_snapshot!$A:$F, 6, FALSE), " ")</f>
        <v>0</v>
      </c>
      <c r="AB222" s="25">
        <v>44978</v>
      </c>
      <c r="AC222" s="20" t="s">
        <v>1315</v>
      </c>
      <c r="AD222" s="20"/>
      <c r="AE222" s="20"/>
      <c r="AF222" s="20"/>
      <c r="AG222" s="20"/>
      <c r="AH222" s="20">
        <v>1780</v>
      </c>
      <c r="AI222" s="20" t="s">
        <v>875</v>
      </c>
      <c r="AJ222" s="20" t="s">
        <v>301</v>
      </c>
      <c r="AK222" s="23" t="str">
        <f t="shared" si="0"/>
        <v>2021GBP</v>
      </c>
      <c r="AL222" s="23">
        <f>VLOOKUP(AK222, Exchange_rates!$C:$D, 2, FALSE)</f>
        <v>1</v>
      </c>
      <c r="AM222" s="26">
        <f t="shared" si="1"/>
        <v>2136</v>
      </c>
      <c r="AN222" s="20"/>
      <c r="AO222" s="20"/>
      <c r="AP222" s="21"/>
      <c r="AQ222" s="27" t="s">
        <v>49</v>
      </c>
      <c r="AR222" t="s">
        <v>1316</v>
      </c>
      <c r="AS222" s="16"/>
      <c r="AT222" s="20"/>
      <c r="AU222" s="20"/>
      <c r="AV222" s="20"/>
      <c r="AW222" s="20"/>
      <c r="AX222" s="20"/>
      <c r="AY222" s="20"/>
      <c r="AZ222" s="20"/>
      <c r="BA222" s="20"/>
      <c r="BB222" s="20"/>
      <c r="BC222" s="20"/>
      <c r="BD222" s="20"/>
      <c r="BE222" s="20"/>
      <c r="BF222" s="20"/>
      <c r="BG222" s="20"/>
      <c r="BH222" s="20"/>
    </row>
    <row r="223" spans="1:60" ht="14.5">
      <c r="A223" s="9" t="s">
        <v>1317</v>
      </c>
      <c r="B223" s="9" t="s">
        <v>1318</v>
      </c>
      <c r="C223" s="9" t="s">
        <v>1319</v>
      </c>
      <c r="D223" s="9" t="s">
        <v>1240</v>
      </c>
      <c r="E223" s="17" t="s">
        <v>49</v>
      </c>
      <c r="F223" s="9" t="s">
        <v>69</v>
      </c>
      <c r="G223" s="9" t="s">
        <v>70</v>
      </c>
      <c r="H223" s="9" t="s">
        <v>1241</v>
      </c>
      <c r="I223" s="9" t="s">
        <v>72</v>
      </c>
      <c r="J223" s="10"/>
      <c r="K223" s="10"/>
      <c r="L223" s="10"/>
      <c r="M223" s="10">
        <v>43916</v>
      </c>
      <c r="N223" s="9">
        <v>2020</v>
      </c>
      <c r="O223" s="9" t="s">
        <v>247</v>
      </c>
      <c r="P223" s="9" t="s">
        <v>53</v>
      </c>
      <c r="Q223" s="9" t="s">
        <v>53</v>
      </c>
      <c r="T223" s="9"/>
      <c r="V223" s="9"/>
      <c r="W223" s="11">
        <f>IFERROR(VLOOKUP(B223, PlumX_snapshot!$A:$B, 2, FALSE), " ")</f>
        <v>17</v>
      </c>
      <c r="X223" s="11">
        <f>IFERROR(VLOOKUP(B223, PlumX_snapshot!$A:$C, 3, FALSE), " ")</f>
        <v>3</v>
      </c>
      <c r="Y223" s="12">
        <f>IFERROR(VLOOKUP(B223, PlumX_snapshot!$A:$D, 4, FALSE), " ")</f>
        <v>0</v>
      </c>
      <c r="Z223" s="12">
        <f>IFERROR(VLOOKUP(B223, PlumX_snapshot!$A:$E, 5, FALSE), " ")</f>
        <v>0</v>
      </c>
      <c r="AA223" s="12">
        <f>IFERROR(VLOOKUP(B223, PlumX_snapshot!$A:$F, 6, FALSE), " ")</f>
        <v>0</v>
      </c>
      <c r="AB223" s="13">
        <v>44978</v>
      </c>
      <c r="AC223" s="9" t="s">
        <v>1320</v>
      </c>
      <c r="AI223" s="9"/>
      <c r="AJ223" s="9"/>
      <c r="AK223" s="11" t="str">
        <f t="shared" si="0"/>
        <v>2020</v>
      </c>
      <c r="AL223" s="11" t="e">
        <f>VLOOKUP(AK223, Exchange_rates!$C:$D, 2, FALSE)</f>
        <v>#N/A</v>
      </c>
      <c r="AM223" s="14" t="str">
        <f t="shared" si="1"/>
        <v/>
      </c>
      <c r="AN223" s="9"/>
      <c r="AO223" s="9"/>
      <c r="AP223" s="17"/>
      <c r="AQ223" s="15" t="s">
        <v>49</v>
      </c>
      <c r="AR223" t="s">
        <v>1321</v>
      </c>
      <c r="AS223" s="16" t="s">
        <v>1322</v>
      </c>
    </row>
    <row r="224" spans="1:60" ht="14.5">
      <c r="A224" s="9" t="s">
        <v>1323</v>
      </c>
      <c r="B224" s="9" t="s">
        <v>1324</v>
      </c>
      <c r="C224" s="9" t="s">
        <v>1325</v>
      </c>
      <c r="D224" s="9" t="s">
        <v>1240</v>
      </c>
      <c r="E224" s="17" t="s">
        <v>49</v>
      </c>
      <c r="F224" s="9" t="s">
        <v>69</v>
      </c>
      <c r="G224" s="9" t="s">
        <v>70</v>
      </c>
      <c r="H224" s="9" t="s">
        <v>1241</v>
      </c>
      <c r="I224" s="9" t="s">
        <v>72</v>
      </c>
      <c r="J224" s="10"/>
      <c r="K224" s="10"/>
      <c r="L224" s="10"/>
      <c r="M224" s="10">
        <v>44146</v>
      </c>
      <c r="N224" s="9">
        <v>2020</v>
      </c>
      <c r="O224" s="9" t="s">
        <v>247</v>
      </c>
      <c r="P224" s="9" t="s">
        <v>53</v>
      </c>
      <c r="Q224" s="9" t="s">
        <v>53</v>
      </c>
      <c r="T224" s="9"/>
      <c r="V224" s="9"/>
      <c r="W224" s="11">
        <f>IFERROR(VLOOKUP(B224, PlumX_snapshot!$A:$B, 2, FALSE), " ")</f>
        <v>2</v>
      </c>
      <c r="X224" s="11">
        <f>IFERROR(VLOOKUP(B224, PlumX_snapshot!$A:$C, 3, FALSE), " ")</f>
        <v>1</v>
      </c>
      <c r="Y224" s="12">
        <f>IFERROR(VLOOKUP(B224, PlumX_snapshot!$A:$D, 4, FALSE), " ")</f>
        <v>1</v>
      </c>
      <c r="Z224" s="12">
        <f>IFERROR(VLOOKUP(B224, PlumX_snapshot!$A:$E, 5, FALSE), " ")</f>
        <v>0</v>
      </c>
      <c r="AA224" s="12">
        <f>IFERROR(VLOOKUP(B224, PlumX_snapshot!$A:$F, 6, FALSE), " ")</f>
        <v>0</v>
      </c>
      <c r="AB224" s="13">
        <v>44978</v>
      </c>
      <c r="AC224" s="9" t="s">
        <v>1326</v>
      </c>
      <c r="AI224" s="9"/>
      <c r="AJ224" s="9"/>
      <c r="AK224" s="11" t="str">
        <f t="shared" si="0"/>
        <v>2020</v>
      </c>
      <c r="AL224" s="11" t="e">
        <f>VLOOKUP(AK224, Exchange_rates!$C:$D, 2, FALSE)</f>
        <v>#N/A</v>
      </c>
      <c r="AM224" s="14" t="str">
        <f t="shared" si="1"/>
        <v/>
      </c>
      <c r="AN224" s="9"/>
      <c r="AO224" s="9"/>
      <c r="AP224" s="17"/>
      <c r="AQ224" s="15" t="s">
        <v>49</v>
      </c>
      <c r="AR224" t="s">
        <v>1327</v>
      </c>
      <c r="AS224" s="16" t="s">
        <v>1328</v>
      </c>
    </row>
    <row r="225" spans="1:45" ht="14.5">
      <c r="A225" s="9" t="s">
        <v>1329</v>
      </c>
      <c r="B225" s="9" t="s">
        <v>1330</v>
      </c>
      <c r="C225" s="9" t="s">
        <v>1331</v>
      </c>
      <c r="D225" s="9" t="s">
        <v>1240</v>
      </c>
      <c r="E225" s="17" t="s">
        <v>49</v>
      </c>
      <c r="F225" s="9" t="s">
        <v>50</v>
      </c>
      <c r="G225" s="9" t="s">
        <v>51</v>
      </c>
      <c r="H225" s="9"/>
      <c r="I225" s="9"/>
      <c r="M225" s="10">
        <v>44064</v>
      </c>
      <c r="N225" s="9">
        <v>2020</v>
      </c>
      <c r="O225" s="9" t="s">
        <v>1332</v>
      </c>
      <c r="P225" s="9" t="s">
        <v>83</v>
      </c>
      <c r="Q225" s="9" t="s">
        <v>53</v>
      </c>
      <c r="R225" s="9" t="s">
        <v>1333</v>
      </c>
      <c r="S225" s="9" t="s">
        <v>1334</v>
      </c>
      <c r="T225" s="9" t="s">
        <v>279</v>
      </c>
      <c r="U225" s="9" t="s">
        <v>1335</v>
      </c>
      <c r="V225" s="9"/>
      <c r="W225" s="11">
        <f>IFERROR(VLOOKUP(B225, PlumX_snapshot!$A:$B, 2, FALSE), " ")</f>
        <v>2</v>
      </c>
      <c r="X225" s="11">
        <f>IFERROR(VLOOKUP(B225, PlumX_snapshot!$A:$C, 3, FALSE), " ")</f>
        <v>0</v>
      </c>
      <c r="Y225" s="12">
        <f>IFERROR(VLOOKUP(B225, PlumX_snapshot!$A:$D, 4, FALSE), " ")</f>
        <v>1</v>
      </c>
      <c r="Z225" s="12">
        <f>IFERROR(VLOOKUP(B225, PlumX_snapshot!$A:$E, 5, FALSE), " ")</f>
        <v>0</v>
      </c>
      <c r="AA225" s="12">
        <f>IFERROR(VLOOKUP(B225, PlumX_snapshot!$A:$F, 6, FALSE), " ")</f>
        <v>0</v>
      </c>
      <c r="AB225" s="13">
        <v>44978</v>
      </c>
      <c r="AI225" s="9"/>
      <c r="AJ225" s="9"/>
      <c r="AK225" s="11" t="str">
        <f t="shared" si="0"/>
        <v>2020</v>
      </c>
      <c r="AL225" s="11" t="e">
        <f>VLOOKUP(AK225, Exchange_rates!$C:$D, 2, FALSE)</f>
        <v>#N/A</v>
      </c>
      <c r="AM225" s="14" t="str">
        <f t="shared" si="1"/>
        <v/>
      </c>
      <c r="AN225" s="9"/>
      <c r="AO225" s="9"/>
      <c r="AP225" s="17"/>
      <c r="AQ225" s="15" t="s">
        <v>49</v>
      </c>
      <c r="AR225" t="s">
        <v>1336</v>
      </c>
      <c r="AS225" s="16" t="s">
        <v>1337</v>
      </c>
    </row>
    <row r="226" spans="1:45" ht="14.5">
      <c r="A226" s="9" t="s">
        <v>1338</v>
      </c>
      <c r="B226" s="9" t="s">
        <v>1339</v>
      </c>
      <c r="C226" s="9" t="s">
        <v>1331</v>
      </c>
      <c r="D226" s="9" t="s">
        <v>1240</v>
      </c>
      <c r="E226" s="17" t="s">
        <v>49</v>
      </c>
      <c r="F226" s="9" t="s">
        <v>50</v>
      </c>
      <c r="G226" s="9" t="s">
        <v>51</v>
      </c>
      <c r="H226" s="9"/>
      <c r="M226" s="10">
        <v>44459</v>
      </c>
      <c r="N226" s="9">
        <v>2021</v>
      </c>
      <c r="O226" s="9" t="s">
        <v>1332</v>
      </c>
      <c r="P226" s="9" t="s">
        <v>53</v>
      </c>
      <c r="Q226" s="9" t="s">
        <v>53</v>
      </c>
      <c r="R226" s="9" t="s">
        <v>1340</v>
      </c>
      <c r="T226" s="9" t="s">
        <v>279</v>
      </c>
      <c r="U226" s="9" t="s">
        <v>1335</v>
      </c>
      <c r="V226" s="9"/>
      <c r="W226" s="11">
        <f>IFERROR(VLOOKUP(B226, PlumX_snapshot!$A:$B, 2, FALSE), " ")</f>
        <v>1</v>
      </c>
      <c r="X226" s="11">
        <f>IFERROR(VLOOKUP(B226, PlumX_snapshot!$A:$C, 3, FALSE), " ")</f>
        <v>6</v>
      </c>
      <c r="Y226" s="12">
        <f>IFERROR(VLOOKUP(B226, PlumX_snapshot!$A:$D, 4, FALSE), " ")</f>
        <v>1</v>
      </c>
      <c r="Z226" s="12">
        <f>IFERROR(VLOOKUP(B226, PlumX_snapshot!$A:$E, 5, FALSE), " ")</f>
        <v>0</v>
      </c>
      <c r="AA226" s="12">
        <f>IFERROR(VLOOKUP(B226, PlumX_snapshot!$A:$F, 6, FALSE), " ")</f>
        <v>0</v>
      </c>
      <c r="AB226" s="13">
        <v>44978</v>
      </c>
      <c r="AI226" s="9"/>
      <c r="AJ226" s="9"/>
      <c r="AK226" s="11" t="str">
        <f t="shared" si="0"/>
        <v>2021</v>
      </c>
      <c r="AL226" s="11" t="e">
        <f>VLOOKUP(AK226, Exchange_rates!$C:$D, 2, FALSE)</f>
        <v>#N/A</v>
      </c>
      <c r="AM226" s="14" t="str">
        <f t="shared" si="1"/>
        <v/>
      </c>
      <c r="AN226" s="9"/>
      <c r="AO226" s="9"/>
      <c r="AP226" s="17"/>
      <c r="AQ226" s="15" t="s">
        <v>49</v>
      </c>
      <c r="AR226" t="s">
        <v>1336</v>
      </c>
      <c r="AS226" s="16" t="s">
        <v>1337</v>
      </c>
    </row>
    <row r="227" spans="1:45" ht="14.5">
      <c r="A227" s="9" t="s">
        <v>1341</v>
      </c>
      <c r="B227" s="9" t="s">
        <v>1342</v>
      </c>
      <c r="C227" s="9" t="s">
        <v>1331</v>
      </c>
      <c r="D227" s="9" t="s">
        <v>1240</v>
      </c>
      <c r="E227" s="17" t="s">
        <v>49</v>
      </c>
      <c r="F227" s="9" t="s">
        <v>50</v>
      </c>
      <c r="G227" s="9" t="s">
        <v>51</v>
      </c>
      <c r="H227" s="9"/>
      <c r="M227" s="10">
        <v>44551</v>
      </c>
      <c r="N227" s="9">
        <v>2021</v>
      </c>
      <c r="O227" s="9" t="s">
        <v>1332</v>
      </c>
      <c r="P227" s="9" t="s">
        <v>53</v>
      </c>
      <c r="Q227" s="9" t="s">
        <v>53</v>
      </c>
      <c r="R227" s="9" t="s">
        <v>1343</v>
      </c>
      <c r="T227" s="9" t="s">
        <v>279</v>
      </c>
      <c r="U227" s="9" t="s">
        <v>1335</v>
      </c>
      <c r="V227" s="9"/>
      <c r="W227" s="11">
        <f>IFERROR(VLOOKUP(B227, PlumX_snapshot!$A:$B, 2, FALSE), " ")</f>
        <v>35</v>
      </c>
      <c r="X227" s="11">
        <f>IFERROR(VLOOKUP(B227, PlumX_snapshot!$A:$C, 3, FALSE), " ")</f>
        <v>36</v>
      </c>
      <c r="Y227" s="12">
        <f>IFERROR(VLOOKUP(B227, PlumX_snapshot!$A:$D, 4, FALSE), " ")</f>
        <v>1</v>
      </c>
      <c r="Z227" s="12">
        <f>IFERROR(VLOOKUP(B227, PlumX_snapshot!$A:$E, 5, FALSE), " ")</f>
        <v>0</v>
      </c>
      <c r="AA227" s="12">
        <f>IFERROR(VLOOKUP(B227, PlumX_snapshot!$A:$F, 6, FALSE), " ")</f>
        <v>0</v>
      </c>
      <c r="AB227" s="13">
        <v>44978</v>
      </c>
      <c r="AI227" s="9"/>
      <c r="AJ227" s="9"/>
      <c r="AK227" s="11" t="str">
        <f t="shared" si="0"/>
        <v>2021</v>
      </c>
      <c r="AL227" s="11" t="e">
        <f>VLOOKUP(AK227, Exchange_rates!$C:$D, 2, FALSE)</f>
        <v>#N/A</v>
      </c>
      <c r="AM227" s="14" t="str">
        <f t="shared" si="1"/>
        <v/>
      </c>
      <c r="AN227" s="9"/>
      <c r="AO227" s="9"/>
      <c r="AP227" s="17"/>
      <c r="AQ227" s="15" t="s">
        <v>49</v>
      </c>
      <c r="AR227" t="s">
        <v>1336</v>
      </c>
      <c r="AS227" s="16" t="s">
        <v>1337</v>
      </c>
    </row>
    <row r="228" spans="1:45" ht="14.5">
      <c r="A228" s="9" t="s">
        <v>1344</v>
      </c>
      <c r="B228" s="9" t="s">
        <v>1345</v>
      </c>
      <c r="C228" s="9" t="s">
        <v>1331</v>
      </c>
      <c r="D228" s="9" t="s">
        <v>1240</v>
      </c>
      <c r="E228" s="17" t="s">
        <v>49</v>
      </c>
      <c r="F228" s="9" t="s">
        <v>69</v>
      </c>
      <c r="G228" s="9" t="s">
        <v>51</v>
      </c>
      <c r="H228" s="9"/>
      <c r="I228" s="9" t="s">
        <v>72</v>
      </c>
      <c r="M228" s="10">
        <v>44785</v>
      </c>
      <c r="N228" s="9">
        <v>2022</v>
      </c>
      <c r="O228" s="9" t="s">
        <v>1332</v>
      </c>
      <c r="P228" s="9" t="s">
        <v>83</v>
      </c>
      <c r="Q228" s="9" t="s">
        <v>53</v>
      </c>
      <c r="R228" s="9" t="s">
        <v>1346</v>
      </c>
      <c r="T228" s="9" t="s">
        <v>279</v>
      </c>
      <c r="U228" s="9" t="s">
        <v>1335</v>
      </c>
      <c r="V228" s="9"/>
      <c r="W228" s="11">
        <f>IFERROR(VLOOKUP(B228, PlumX_snapshot!$A:$B, 2, FALSE), " ")</f>
        <v>12</v>
      </c>
      <c r="X228" s="11">
        <f>IFERROR(VLOOKUP(B228, PlumX_snapshot!$A:$C, 3, FALSE), " ")</f>
        <v>1</v>
      </c>
      <c r="Y228" s="12">
        <f>IFERROR(VLOOKUP(B228, PlumX_snapshot!$A:$D, 4, FALSE), " ")</f>
        <v>1</v>
      </c>
      <c r="Z228" s="12">
        <f>IFERROR(VLOOKUP(B228, PlumX_snapshot!$A:$E, 5, FALSE), " ")</f>
        <v>0</v>
      </c>
      <c r="AA228" s="12">
        <f>IFERROR(VLOOKUP(B228, PlumX_snapshot!$A:$F, 6, FALSE), " ")</f>
        <v>0</v>
      </c>
      <c r="AB228" s="13">
        <v>44978</v>
      </c>
      <c r="AI228" s="9"/>
      <c r="AJ228" s="9"/>
      <c r="AK228" s="11" t="str">
        <f t="shared" si="0"/>
        <v>2022</v>
      </c>
      <c r="AL228" s="11" t="e">
        <f>VLOOKUP(AK228, Exchange_rates!$C:$D, 2, FALSE)</f>
        <v>#N/A</v>
      </c>
      <c r="AM228" s="14" t="str">
        <f t="shared" si="1"/>
        <v/>
      </c>
      <c r="AN228" s="9"/>
      <c r="AO228" s="9"/>
      <c r="AP228" s="17"/>
      <c r="AQ228" s="15" t="s">
        <v>49</v>
      </c>
      <c r="AR228" t="s">
        <v>1336</v>
      </c>
      <c r="AS228" s="16" t="s">
        <v>1337</v>
      </c>
    </row>
    <row r="229" spans="1:45" ht="14.5">
      <c r="A229" s="9" t="s">
        <v>1347</v>
      </c>
      <c r="B229" s="9" t="s">
        <v>1348</v>
      </c>
      <c r="C229" s="9" t="s">
        <v>1331</v>
      </c>
      <c r="D229" s="9" t="s">
        <v>1240</v>
      </c>
      <c r="E229" s="17" t="s">
        <v>49</v>
      </c>
      <c r="F229" s="9" t="s">
        <v>50</v>
      </c>
      <c r="G229" s="9" t="s">
        <v>51</v>
      </c>
      <c r="H229" s="9"/>
      <c r="I229" s="9"/>
      <c r="M229" s="10">
        <v>44264</v>
      </c>
      <c r="N229" s="9">
        <v>2021</v>
      </c>
      <c r="O229" s="9" t="s">
        <v>1332</v>
      </c>
      <c r="P229" s="9" t="s">
        <v>83</v>
      </c>
      <c r="Q229" s="9" t="s">
        <v>53</v>
      </c>
      <c r="R229" s="9" t="s">
        <v>1349</v>
      </c>
      <c r="T229" s="9" t="s">
        <v>279</v>
      </c>
      <c r="U229" s="9" t="s">
        <v>1335</v>
      </c>
      <c r="V229" s="9"/>
      <c r="W229" s="11">
        <f>IFERROR(VLOOKUP(B229, PlumX_snapshot!$A:$B, 2, FALSE), " ")</f>
        <v>4</v>
      </c>
      <c r="X229" s="11">
        <f>IFERROR(VLOOKUP(B229, PlumX_snapshot!$A:$C, 3, FALSE), " ")</f>
        <v>4</v>
      </c>
      <c r="Y229" s="12">
        <f>IFERROR(VLOOKUP(B229, PlumX_snapshot!$A:$D, 4, FALSE), " ")</f>
        <v>1</v>
      </c>
      <c r="Z229" s="12">
        <f>IFERROR(VLOOKUP(B229, PlumX_snapshot!$A:$E, 5, FALSE), " ")</f>
        <v>0</v>
      </c>
      <c r="AA229" s="12">
        <f>IFERROR(VLOOKUP(B229, PlumX_snapshot!$A:$F, 6, FALSE), " ")</f>
        <v>0</v>
      </c>
      <c r="AB229" s="13">
        <v>44978</v>
      </c>
      <c r="AI229" s="9"/>
      <c r="AJ229" s="9"/>
      <c r="AK229" s="11" t="str">
        <f t="shared" si="0"/>
        <v>2021</v>
      </c>
      <c r="AL229" s="11" t="e">
        <f>VLOOKUP(AK229, Exchange_rates!$C:$D, 2, FALSE)</f>
        <v>#N/A</v>
      </c>
      <c r="AM229" s="14" t="str">
        <f t="shared" si="1"/>
        <v/>
      </c>
      <c r="AN229" s="9"/>
      <c r="AO229" s="9"/>
      <c r="AP229" s="17"/>
      <c r="AQ229" s="15" t="s">
        <v>49</v>
      </c>
      <c r="AR229" t="s">
        <v>1336</v>
      </c>
      <c r="AS229" s="16" t="s">
        <v>1337</v>
      </c>
    </row>
    <row r="230" spans="1:45" ht="14.5">
      <c r="A230" s="9" t="s">
        <v>1350</v>
      </c>
      <c r="B230" s="9" t="s">
        <v>1351</v>
      </c>
      <c r="C230" s="9" t="s">
        <v>1331</v>
      </c>
      <c r="D230" s="9" t="s">
        <v>1240</v>
      </c>
      <c r="E230" s="17" t="s">
        <v>49</v>
      </c>
      <c r="F230" s="9" t="s">
        <v>50</v>
      </c>
      <c r="G230" s="9" t="s">
        <v>51</v>
      </c>
      <c r="H230" s="9"/>
      <c r="I230" s="9"/>
      <c r="M230" s="10">
        <v>44410</v>
      </c>
      <c r="N230" s="9">
        <v>2021</v>
      </c>
      <c r="O230" s="9" t="s">
        <v>1332</v>
      </c>
      <c r="P230" s="9" t="s">
        <v>83</v>
      </c>
      <c r="Q230" s="9" t="s">
        <v>53</v>
      </c>
      <c r="R230" s="9" t="s">
        <v>1352</v>
      </c>
      <c r="T230" s="9" t="s">
        <v>279</v>
      </c>
      <c r="U230" s="9" t="s">
        <v>1335</v>
      </c>
      <c r="V230" s="9"/>
      <c r="W230" s="11">
        <f>IFERROR(VLOOKUP(B230, PlumX_snapshot!$A:$B, 2, FALSE), " ")</f>
        <v>11</v>
      </c>
      <c r="X230" s="11">
        <f>IFERROR(VLOOKUP(B230, PlumX_snapshot!$A:$C, 3, FALSE), " ")</f>
        <v>5</v>
      </c>
      <c r="Y230" s="12">
        <f>IFERROR(VLOOKUP(B230, PlumX_snapshot!$A:$D, 4, FALSE), " ")</f>
        <v>1</v>
      </c>
      <c r="Z230" s="12">
        <f>IFERROR(VLOOKUP(B230, PlumX_snapshot!$A:$E, 5, FALSE), " ")</f>
        <v>0</v>
      </c>
      <c r="AA230" s="12">
        <f>IFERROR(VLOOKUP(B230, PlumX_snapshot!$A:$F, 6, FALSE), " ")</f>
        <v>0</v>
      </c>
      <c r="AB230" s="13">
        <v>44978</v>
      </c>
      <c r="AI230" s="9"/>
      <c r="AJ230" s="9"/>
      <c r="AK230" s="11" t="str">
        <f t="shared" si="0"/>
        <v>2021</v>
      </c>
      <c r="AL230" s="11" t="e">
        <f>VLOOKUP(AK230, Exchange_rates!$C:$D, 2, FALSE)</f>
        <v>#N/A</v>
      </c>
      <c r="AM230" s="14" t="str">
        <f t="shared" si="1"/>
        <v/>
      </c>
      <c r="AN230" s="9"/>
      <c r="AO230" s="9"/>
      <c r="AP230" s="17"/>
      <c r="AQ230" s="15" t="s">
        <v>49</v>
      </c>
      <c r="AR230" t="s">
        <v>1336</v>
      </c>
      <c r="AS230" s="16" t="s">
        <v>1337</v>
      </c>
    </row>
    <row r="231" spans="1:45" ht="14.5">
      <c r="A231" s="9" t="s">
        <v>1353</v>
      </c>
      <c r="B231" s="9" t="s">
        <v>1354</v>
      </c>
      <c r="C231" s="9" t="s">
        <v>1331</v>
      </c>
      <c r="D231" s="9" t="s">
        <v>1240</v>
      </c>
      <c r="E231" s="17" t="s">
        <v>49</v>
      </c>
      <c r="F231" s="9" t="s">
        <v>50</v>
      </c>
      <c r="G231" s="9" t="s">
        <v>51</v>
      </c>
      <c r="H231" s="9"/>
      <c r="I231" s="9"/>
      <c r="M231" s="10">
        <v>44748</v>
      </c>
      <c r="N231" s="9">
        <v>2022</v>
      </c>
      <c r="O231" s="9" t="s">
        <v>1332</v>
      </c>
      <c r="P231" s="9" t="s">
        <v>83</v>
      </c>
      <c r="Q231" s="9" t="s">
        <v>53</v>
      </c>
      <c r="R231" s="9" t="s">
        <v>1355</v>
      </c>
      <c r="T231" s="9" t="s">
        <v>279</v>
      </c>
      <c r="U231" s="9" t="s">
        <v>1335</v>
      </c>
      <c r="V231" s="9"/>
      <c r="W231" s="11">
        <f>IFERROR(VLOOKUP(B231, PlumX_snapshot!$A:$B, 2, FALSE), " ")</f>
        <v>5</v>
      </c>
      <c r="X231" s="11">
        <f>IFERROR(VLOOKUP(B231, PlumX_snapshot!$A:$C, 3, FALSE), " ")</f>
        <v>1</v>
      </c>
      <c r="Y231" s="12">
        <f>IFERROR(VLOOKUP(B231, PlumX_snapshot!$A:$D, 4, FALSE), " ")</f>
        <v>6</v>
      </c>
      <c r="Z231" s="12">
        <f>IFERROR(VLOOKUP(B231, PlumX_snapshot!$A:$E, 5, FALSE), " ")</f>
        <v>0</v>
      </c>
      <c r="AA231" s="12">
        <f>IFERROR(VLOOKUP(B231, PlumX_snapshot!$A:$F, 6, FALSE), " ")</f>
        <v>0</v>
      </c>
      <c r="AB231" s="13">
        <v>44978</v>
      </c>
      <c r="AI231" s="9"/>
      <c r="AJ231" s="9"/>
      <c r="AK231" s="11" t="str">
        <f t="shared" si="0"/>
        <v>2022</v>
      </c>
      <c r="AL231" s="11" t="e">
        <f>VLOOKUP(AK231, Exchange_rates!$C:$D, 2, FALSE)</f>
        <v>#N/A</v>
      </c>
      <c r="AM231" s="14" t="str">
        <f t="shared" si="1"/>
        <v/>
      </c>
      <c r="AN231" s="9"/>
      <c r="AO231" s="9"/>
      <c r="AP231" s="17"/>
      <c r="AQ231" s="15" t="s">
        <v>49</v>
      </c>
      <c r="AR231" t="s">
        <v>1336</v>
      </c>
      <c r="AS231" s="16" t="s">
        <v>1337</v>
      </c>
    </row>
    <row r="232" spans="1:45" ht="14.5">
      <c r="A232" s="9" t="s">
        <v>1356</v>
      </c>
      <c r="B232" s="9" t="s">
        <v>1357</v>
      </c>
      <c r="C232" s="9" t="s">
        <v>1331</v>
      </c>
      <c r="D232" s="9" t="s">
        <v>1240</v>
      </c>
      <c r="E232" s="17" t="s">
        <v>49</v>
      </c>
      <c r="F232" s="9" t="s">
        <v>50</v>
      </c>
      <c r="G232" s="9" t="s">
        <v>51</v>
      </c>
      <c r="H232" s="9"/>
      <c r="M232" s="10">
        <v>44137</v>
      </c>
      <c r="N232" s="9">
        <v>2020</v>
      </c>
      <c r="O232" s="9" t="s">
        <v>1332</v>
      </c>
      <c r="P232" s="9" t="s">
        <v>53</v>
      </c>
      <c r="Q232" s="9" t="s">
        <v>53</v>
      </c>
      <c r="R232" s="9" t="s">
        <v>1358</v>
      </c>
      <c r="T232" s="9" t="s">
        <v>279</v>
      </c>
      <c r="U232" s="9" t="s">
        <v>1335</v>
      </c>
      <c r="V232" s="9"/>
      <c r="W232" s="11">
        <f>IFERROR(VLOOKUP(B232, PlumX_snapshot!$A:$B, 2, FALSE), " ")</f>
        <v>10</v>
      </c>
      <c r="X232" s="11">
        <f>IFERROR(VLOOKUP(B232, PlumX_snapshot!$A:$C, 3, FALSE), " ")</f>
        <v>1</v>
      </c>
      <c r="Y232" s="12">
        <f>IFERROR(VLOOKUP(B232, PlumX_snapshot!$A:$D, 4, FALSE), " ")</f>
        <v>1</v>
      </c>
      <c r="Z232" s="12">
        <f>IFERROR(VLOOKUP(B232, PlumX_snapshot!$A:$E, 5, FALSE), " ")</f>
        <v>0</v>
      </c>
      <c r="AA232" s="12">
        <f>IFERROR(VLOOKUP(B232, PlumX_snapshot!$A:$F, 6, FALSE), " ")</f>
        <v>0</v>
      </c>
      <c r="AB232" s="13">
        <v>44978</v>
      </c>
      <c r="AI232" s="9"/>
      <c r="AJ232" s="9"/>
      <c r="AK232" s="11" t="str">
        <f t="shared" si="0"/>
        <v>2020</v>
      </c>
      <c r="AL232" s="11" t="e">
        <f>VLOOKUP(AK232, Exchange_rates!$C:$D, 2, FALSE)</f>
        <v>#N/A</v>
      </c>
      <c r="AM232" s="14" t="str">
        <f t="shared" si="1"/>
        <v/>
      </c>
      <c r="AN232" s="9"/>
      <c r="AO232" s="9"/>
      <c r="AP232" s="17"/>
      <c r="AQ232" s="15" t="s">
        <v>49</v>
      </c>
      <c r="AR232" t="s">
        <v>1336</v>
      </c>
      <c r="AS232" s="16" t="s">
        <v>1337</v>
      </c>
    </row>
    <row r="233" spans="1:45" ht="14.5">
      <c r="A233" s="9" t="s">
        <v>1359</v>
      </c>
      <c r="B233" s="9" t="s">
        <v>1360</v>
      </c>
      <c r="C233" s="9" t="s">
        <v>1331</v>
      </c>
      <c r="D233" s="9" t="s">
        <v>1240</v>
      </c>
      <c r="E233" s="17" t="s">
        <v>49</v>
      </c>
      <c r="F233" s="9" t="s">
        <v>50</v>
      </c>
      <c r="G233" s="9" t="s">
        <v>51</v>
      </c>
      <c r="H233" s="9"/>
      <c r="I233" s="9"/>
      <c r="M233" s="10">
        <v>43959</v>
      </c>
      <c r="N233" s="9">
        <v>2020</v>
      </c>
      <c r="O233" s="9" t="s">
        <v>1332</v>
      </c>
      <c r="P233" s="9" t="s">
        <v>83</v>
      </c>
      <c r="Q233" s="9" t="s">
        <v>53</v>
      </c>
      <c r="R233" s="9" t="s">
        <v>1361</v>
      </c>
      <c r="S233" s="9" t="s">
        <v>1334</v>
      </c>
      <c r="T233" s="9" t="s">
        <v>279</v>
      </c>
      <c r="U233" s="9" t="s">
        <v>1335</v>
      </c>
      <c r="V233" s="9"/>
      <c r="W233" s="11">
        <f>IFERROR(VLOOKUP(B233, PlumX_snapshot!$A:$B, 2, FALSE), " ")</f>
        <v>12</v>
      </c>
      <c r="X233" s="11">
        <f>IFERROR(VLOOKUP(B233, PlumX_snapshot!$A:$C, 3, FALSE), " ")</f>
        <v>5</v>
      </c>
      <c r="Y233" s="12">
        <f>IFERROR(VLOOKUP(B233, PlumX_snapshot!$A:$D, 4, FALSE), " ")</f>
        <v>1</v>
      </c>
      <c r="Z233" s="12">
        <f>IFERROR(VLOOKUP(B233, PlumX_snapshot!$A:$E, 5, FALSE), " ")</f>
        <v>0</v>
      </c>
      <c r="AA233" s="12">
        <f>IFERROR(VLOOKUP(B233, PlumX_snapshot!$A:$F, 6, FALSE), " ")</f>
        <v>0</v>
      </c>
      <c r="AB233" s="13">
        <v>44978</v>
      </c>
      <c r="AI233" s="9"/>
      <c r="AJ233" s="9"/>
      <c r="AK233" s="11" t="str">
        <f t="shared" si="0"/>
        <v>2020</v>
      </c>
      <c r="AL233" s="11" t="e">
        <f>VLOOKUP(AK233, Exchange_rates!$C:$D, 2, FALSE)</f>
        <v>#N/A</v>
      </c>
      <c r="AM233" s="14" t="str">
        <f t="shared" si="1"/>
        <v/>
      </c>
      <c r="AN233" s="9"/>
      <c r="AO233" s="9"/>
      <c r="AP233" s="17"/>
      <c r="AQ233" s="15" t="s">
        <v>49</v>
      </c>
      <c r="AR233" t="s">
        <v>1336</v>
      </c>
      <c r="AS233" s="16" t="s">
        <v>1337</v>
      </c>
    </row>
    <row r="234" spans="1:45" ht="14.5">
      <c r="A234" s="9" t="s">
        <v>1362</v>
      </c>
      <c r="B234" s="9" t="s">
        <v>1363</v>
      </c>
      <c r="C234" s="9" t="s">
        <v>1331</v>
      </c>
      <c r="D234" s="9" t="s">
        <v>1240</v>
      </c>
      <c r="E234" s="17" t="s">
        <v>49</v>
      </c>
      <c r="F234" s="9" t="s">
        <v>69</v>
      </c>
      <c r="G234" s="9" t="s">
        <v>51</v>
      </c>
      <c r="H234" s="9"/>
      <c r="I234" s="9" t="s">
        <v>72</v>
      </c>
      <c r="M234" s="10">
        <v>44447</v>
      </c>
      <c r="N234" s="9">
        <v>2021</v>
      </c>
      <c r="O234" s="9" t="s">
        <v>1332</v>
      </c>
      <c r="P234" s="9" t="s">
        <v>53</v>
      </c>
      <c r="Q234" s="9" t="s">
        <v>53</v>
      </c>
      <c r="R234" s="9" t="s">
        <v>1364</v>
      </c>
      <c r="T234" s="9" t="s">
        <v>279</v>
      </c>
      <c r="U234" s="9" t="s">
        <v>1335</v>
      </c>
      <c r="V234" s="9"/>
      <c r="W234" s="11">
        <f>IFERROR(VLOOKUP(B234, PlumX_snapshot!$A:$B, 2, FALSE), " ")</f>
        <v>24</v>
      </c>
      <c r="X234" s="11">
        <f>IFERROR(VLOOKUP(B234, PlumX_snapshot!$A:$C, 3, FALSE), " ")</f>
        <v>14</v>
      </c>
      <c r="Y234" s="12">
        <f>IFERROR(VLOOKUP(B234, PlumX_snapshot!$A:$D, 4, FALSE), " ")</f>
        <v>2</v>
      </c>
      <c r="Z234" s="12">
        <f>IFERROR(VLOOKUP(B234, PlumX_snapshot!$A:$E, 5, FALSE), " ")</f>
        <v>0</v>
      </c>
      <c r="AA234" s="12">
        <f>IFERROR(VLOOKUP(B234, PlumX_snapshot!$A:$F, 6, FALSE), " ")</f>
        <v>0</v>
      </c>
      <c r="AB234" s="13">
        <v>44978</v>
      </c>
      <c r="AI234" s="9"/>
      <c r="AJ234" s="9"/>
      <c r="AK234" s="11" t="str">
        <f t="shared" si="0"/>
        <v>2021</v>
      </c>
      <c r="AL234" s="11" t="e">
        <f>VLOOKUP(AK234, Exchange_rates!$C:$D, 2, FALSE)</f>
        <v>#N/A</v>
      </c>
      <c r="AM234" s="14" t="str">
        <f t="shared" si="1"/>
        <v/>
      </c>
      <c r="AN234" s="9"/>
      <c r="AO234" s="9"/>
      <c r="AP234" s="17"/>
      <c r="AQ234" s="15" t="s">
        <v>49</v>
      </c>
      <c r="AR234" t="s">
        <v>1336</v>
      </c>
      <c r="AS234" s="16" t="s">
        <v>1337</v>
      </c>
    </row>
    <row r="235" spans="1:45" ht="14.5">
      <c r="A235" s="9" t="s">
        <v>1365</v>
      </c>
      <c r="B235" s="9" t="s">
        <v>1366</v>
      </c>
      <c r="C235" s="9" t="s">
        <v>1331</v>
      </c>
      <c r="D235" s="9" t="s">
        <v>1240</v>
      </c>
      <c r="E235" s="17" t="s">
        <v>49</v>
      </c>
      <c r="F235" s="9" t="s">
        <v>69</v>
      </c>
      <c r="G235" s="9" t="s">
        <v>51</v>
      </c>
      <c r="H235" s="9"/>
      <c r="I235" s="9" t="s">
        <v>72</v>
      </c>
      <c r="M235" s="10">
        <v>43984</v>
      </c>
      <c r="N235" s="9">
        <v>2020</v>
      </c>
      <c r="O235" s="9" t="s">
        <v>1332</v>
      </c>
      <c r="P235" s="9" t="s">
        <v>83</v>
      </c>
      <c r="Q235" s="9" t="s">
        <v>53</v>
      </c>
      <c r="S235" s="9" t="s">
        <v>1334</v>
      </c>
      <c r="T235" s="9" t="s">
        <v>279</v>
      </c>
      <c r="U235" s="9" t="s">
        <v>1335</v>
      </c>
      <c r="V235" s="9"/>
      <c r="W235" s="11">
        <f>IFERROR(VLOOKUP(B235, PlumX_snapshot!$A:$B, 2, FALSE), " ")</f>
        <v>8</v>
      </c>
      <c r="X235" s="11">
        <f>IFERROR(VLOOKUP(B235, PlumX_snapshot!$A:$C, 3, FALSE), " ")</f>
        <v>9</v>
      </c>
      <c r="Y235" s="12">
        <f>IFERROR(VLOOKUP(B235, PlumX_snapshot!$A:$D, 4, FALSE), " ")</f>
        <v>1</v>
      </c>
      <c r="Z235" s="12">
        <f>IFERROR(VLOOKUP(B235, PlumX_snapshot!$A:$E, 5, FALSE), " ")</f>
        <v>0</v>
      </c>
      <c r="AA235" s="12">
        <f>IFERROR(VLOOKUP(B235, PlumX_snapshot!$A:$F, 6, FALSE), " ")</f>
        <v>0</v>
      </c>
      <c r="AB235" s="13">
        <v>44978</v>
      </c>
      <c r="AI235" s="9"/>
      <c r="AJ235" s="9"/>
      <c r="AK235" s="11" t="str">
        <f t="shared" si="0"/>
        <v>2020</v>
      </c>
      <c r="AL235" s="11" t="e">
        <f>VLOOKUP(AK235, Exchange_rates!$C:$D, 2, FALSE)</f>
        <v>#N/A</v>
      </c>
      <c r="AM235" s="14" t="str">
        <f t="shared" si="1"/>
        <v/>
      </c>
      <c r="AN235" s="9"/>
      <c r="AO235" s="9"/>
      <c r="AP235" s="17"/>
      <c r="AQ235" s="15" t="s">
        <v>49</v>
      </c>
      <c r="AR235" t="s">
        <v>1336</v>
      </c>
      <c r="AS235" s="16" t="s">
        <v>1337</v>
      </c>
    </row>
    <row r="236" spans="1:45" ht="14.5">
      <c r="A236" s="9" t="s">
        <v>1367</v>
      </c>
      <c r="B236" s="9" t="s">
        <v>1368</v>
      </c>
      <c r="C236" s="9" t="s">
        <v>1331</v>
      </c>
      <c r="D236" s="9" t="s">
        <v>1240</v>
      </c>
      <c r="E236" s="17" t="s">
        <v>49</v>
      </c>
      <c r="F236" s="9" t="s">
        <v>50</v>
      </c>
      <c r="G236" s="9" t="s">
        <v>51</v>
      </c>
      <c r="H236" s="9"/>
      <c r="M236" s="10">
        <v>43889</v>
      </c>
      <c r="N236" s="9">
        <v>2020</v>
      </c>
      <c r="O236" s="9" t="s">
        <v>1332</v>
      </c>
      <c r="P236" s="9" t="s">
        <v>53</v>
      </c>
      <c r="Q236" s="9" t="s">
        <v>53</v>
      </c>
      <c r="T236" s="9" t="s">
        <v>279</v>
      </c>
      <c r="U236" s="9" t="s">
        <v>1335</v>
      </c>
      <c r="V236" s="9"/>
      <c r="W236" s="11">
        <f>IFERROR(VLOOKUP(B236, PlumX_snapshot!$A:$B, 2, FALSE), " ")</f>
        <v>10</v>
      </c>
      <c r="X236" s="11">
        <f>IFERROR(VLOOKUP(B236, PlumX_snapshot!$A:$C, 3, FALSE), " ")</f>
        <v>12</v>
      </c>
      <c r="Y236" s="12">
        <f>IFERROR(VLOOKUP(B236, PlumX_snapshot!$A:$D, 4, FALSE), " ")</f>
        <v>1</v>
      </c>
      <c r="Z236" s="12">
        <f>IFERROR(VLOOKUP(B236, PlumX_snapshot!$A:$E, 5, FALSE), " ")</f>
        <v>0</v>
      </c>
      <c r="AA236" s="12">
        <f>IFERROR(VLOOKUP(B236, PlumX_snapshot!$A:$F, 6, FALSE), " ")</f>
        <v>0</v>
      </c>
      <c r="AB236" s="13">
        <v>44978</v>
      </c>
      <c r="AI236" s="9"/>
      <c r="AJ236" s="9"/>
      <c r="AK236" s="11" t="str">
        <f t="shared" si="0"/>
        <v>2020</v>
      </c>
      <c r="AL236" s="11" t="e">
        <f>VLOOKUP(AK236, Exchange_rates!$C:$D, 2, FALSE)</f>
        <v>#N/A</v>
      </c>
      <c r="AM236" s="14" t="str">
        <f t="shared" si="1"/>
        <v/>
      </c>
      <c r="AN236" s="9"/>
      <c r="AO236" s="9"/>
      <c r="AP236" s="17"/>
      <c r="AQ236" s="15" t="s">
        <v>49</v>
      </c>
      <c r="AR236" t="s">
        <v>1336</v>
      </c>
      <c r="AS236" s="16" t="s">
        <v>1337</v>
      </c>
    </row>
    <row r="237" spans="1:45" ht="14.5">
      <c r="A237" s="9" t="s">
        <v>1369</v>
      </c>
      <c r="B237" s="9" t="s">
        <v>1370</v>
      </c>
      <c r="C237" s="9" t="s">
        <v>1371</v>
      </c>
      <c r="D237" s="9" t="s">
        <v>1240</v>
      </c>
      <c r="E237" s="9" t="s">
        <v>49</v>
      </c>
      <c r="F237" s="9" t="s">
        <v>69</v>
      </c>
      <c r="G237" s="9" t="s">
        <v>70</v>
      </c>
      <c r="H237" s="9" t="s">
        <v>1253</v>
      </c>
      <c r="I237" s="9" t="s">
        <v>72</v>
      </c>
      <c r="J237" s="10"/>
      <c r="K237" s="10">
        <v>44242</v>
      </c>
      <c r="L237" s="10"/>
      <c r="M237" s="10">
        <v>44308</v>
      </c>
      <c r="N237" s="9">
        <v>2021</v>
      </c>
      <c r="O237" s="9" t="s">
        <v>1372</v>
      </c>
      <c r="P237" s="9" t="s">
        <v>83</v>
      </c>
      <c r="Q237" s="9" t="s">
        <v>53</v>
      </c>
      <c r="R237" s="9" t="s">
        <v>1373</v>
      </c>
      <c r="T237" s="9"/>
      <c r="V237" s="9"/>
      <c r="W237" s="11">
        <f>IFERROR(VLOOKUP(B237, PlumX_snapshot!$A:$B, 2, FALSE), " ")</f>
        <v>4</v>
      </c>
      <c r="X237" s="11">
        <f>IFERROR(VLOOKUP(B237, PlumX_snapshot!$A:$C, 3, FALSE), " ")</f>
        <v>4</v>
      </c>
      <c r="Y237" s="12">
        <f>IFERROR(VLOOKUP(B237, PlumX_snapshot!$A:$D, 4, FALSE), " ")</f>
        <v>2</v>
      </c>
      <c r="Z237" s="12">
        <f>IFERROR(VLOOKUP(B237, PlumX_snapshot!$A:$E, 5, FALSE), " ")</f>
        <v>0</v>
      </c>
      <c r="AA237" s="12">
        <f>IFERROR(VLOOKUP(B237, PlumX_snapshot!$A:$F, 6, FALSE), " ")</f>
        <v>0</v>
      </c>
      <c r="AB237" s="13">
        <v>44978</v>
      </c>
      <c r="AC237" s="9" t="s">
        <v>1374</v>
      </c>
      <c r="AH237" s="9">
        <v>2070</v>
      </c>
      <c r="AI237" s="9" t="s">
        <v>875</v>
      </c>
      <c r="AJ237" s="9" t="s">
        <v>301</v>
      </c>
      <c r="AK237" s="11" t="str">
        <f t="shared" si="0"/>
        <v>2021GBP</v>
      </c>
      <c r="AL237" s="11">
        <f>VLOOKUP(AK237, Exchange_rates!$C:$D, 2, FALSE)</f>
        <v>1</v>
      </c>
      <c r="AM237" s="14">
        <f t="shared" si="1"/>
        <v>2484</v>
      </c>
      <c r="AN237" s="9"/>
      <c r="AO237" s="9"/>
      <c r="AP237" s="9"/>
      <c r="AQ237" s="15" t="s">
        <v>49</v>
      </c>
      <c r="AR237" t="s">
        <v>1327</v>
      </c>
      <c r="AS237" s="16" t="s">
        <v>1328</v>
      </c>
    </row>
    <row r="238" spans="1:45" ht="14.5">
      <c r="A238" s="9" t="s">
        <v>1375</v>
      </c>
      <c r="B238" s="9" t="s">
        <v>1376</v>
      </c>
      <c r="C238" s="9" t="s">
        <v>1276</v>
      </c>
      <c r="D238" s="9" t="s">
        <v>1240</v>
      </c>
      <c r="E238" s="9" t="s">
        <v>49</v>
      </c>
      <c r="F238" s="9" t="s">
        <v>69</v>
      </c>
      <c r="G238" s="9" t="s">
        <v>70</v>
      </c>
      <c r="H238" s="9" t="s">
        <v>1253</v>
      </c>
      <c r="I238" s="9" t="s">
        <v>72</v>
      </c>
      <c r="J238" s="10"/>
      <c r="K238" s="10">
        <v>44271</v>
      </c>
      <c r="L238" s="10"/>
      <c r="M238" s="10">
        <v>44200</v>
      </c>
      <c r="N238" s="9">
        <v>2021</v>
      </c>
      <c r="O238" s="9" t="s">
        <v>1372</v>
      </c>
      <c r="P238" s="9" t="s">
        <v>53</v>
      </c>
      <c r="Q238" s="9" t="s">
        <v>53</v>
      </c>
      <c r="R238" s="9" t="s">
        <v>1377</v>
      </c>
      <c r="T238" s="9"/>
      <c r="V238" s="9"/>
      <c r="W238" s="11">
        <f>IFERROR(VLOOKUP(B238, PlumX_snapshot!$A:$B, 2, FALSE), " ")</f>
        <v>6</v>
      </c>
      <c r="X238" s="11">
        <f>IFERROR(VLOOKUP(B238, PlumX_snapshot!$A:$C, 3, FALSE), " ")</f>
        <v>0</v>
      </c>
      <c r="Y238" s="12">
        <f>IFERROR(VLOOKUP(B238, PlumX_snapshot!$A:$D, 4, FALSE), " ")</f>
        <v>0</v>
      </c>
      <c r="Z238" s="12">
        <f>IFERROR(VLOOKUP(B238, PlumX_snapshot!$A:$E, 5, FALSE), " ")</f>
        <v>0</v>
      </c>
      <c r="AA238" s="12">
        <f>IFERROR(VLOOKUP(B238, PlumX_snapshot!$A:$F, 6, FALSE), " ")</f>
        <v>0</v>
      </c>
      <c r="AB238" s="13">
        <v>44978</v>
      </c>
      <c r="AC238" s="9" t="s">
        <v>1277</v>
      </c>
      <c r="AH238" s="9">
        <v>2070</v>
      </c>
      <c r="AI238" s="9" t="s">
        <v>875</v>
      </c>
      <c r="AJ238" s="9" t="s">
        <v>301</v>
      </c>
      <c r="AK238" s="11" t="str">
        <f t="shared" si="0"/>
        <v>2021GBP</v>
      </c>
      <c r="AL238" s="11">
        <f>VLOOKUP(AK238, Exchange_rates!$C:$D, 2, FALSE)</f>
        <v>1</v>
      </c>
      <c r="AM238" s="14">
        <f t="shared" si="1"/>
        <v>2484</v>
      </c>
      <c r="AN238" s="9"/>
      <c r="AO238" s="9"/>
      <c r="AP238" s="9"/>
      <c r="AQ238" s="15" t="s">
        <v>49</v>
      </c>
      <c r="AR238" t="s">
        <v>1278</v>
      </c>
      <c r="AS238" s="16" t="s">
        <v>1279</v>
      </c>
    </row>
    <row r="239" spans="1:45" ht="14.5">
      <c r="A239" s="9" t="s">
        <v>1378</v>
      </c>
      <c r="B239" s="9" t="s">
        <v>1379</v>
      </c>
      <c r="C239" s="9" t="s">
        <v>1380</v>
      </c>
      <c r="D239" s="9" t="s">
        <v>1240</v>
      </c>
      <c r="E239" s="9" t="s">
        <v>49</v>
      </c>
      <c r="F239" s="9" t="s">
        <v>69</v>
      </c>
      <c r="G239" s="9" t="s">
        <v>70</v>
      </c>
      <c r="H239" s="9" t="s">
        <v>1253</v>
      </c>
      <c r="I239" s="9" t="s">
        <v>72</v>
      </c>
      <c r="J239" s="10"/>
      <c r="K239" s="10">
        <v>44273</v>
      </c>
      <c r="L239" s="10"/>
      <c r="M239" s="10">
        <v>44291</v>
      </c>
      <c r="N239" s="9">
        <v>2021</v>
      </c>
      <c r="O239" s="9" t="s">
        <v>1372</v>
      </c>
      <c r="P239" s="9" t="s">
        <v>83</v>
      </c>
      <c r="Q239" s="9" t="s">
        <v>53</v>
      </c>
      <c r="R239" s="9" t="s">
        <v>117</v>
      </c>
      <c r="T239" s="9"/>
      <c r="V239" s="9"/>
      <c r="W239" s="11">
        <f>IFERROR(VLOOKUP(B239, PlumX_snapshot!$A:$B, 2, FALSE), " ")</f>
        <v>18</v>
      </c>
      <c r="X239" s="11">
        <f>IFERROR(VLOOKUP(B239, PlumX_snapshot!$A:$C, 3, FALSE), " ")</f>
        <v>13</v>
      </c>
      <c r="Y239" s="12">
        <f>IFERROR(VLOOKUP(B239, PlumX_snapshot!$A:$D, 4, FALSE), " ")</f>
        <v>0</v>
      </c>
      <c r="Z239" s="12">
        <f>IFERROR(VLOOKUP(B239, PlumX_snapshot!$A:$E, 5, FALSE), " ")</f>
        <v>0</v>
      </c>
      <c r="AA239" s="12">
        <f>IFERROR(VLOOKUP(B239, PlumX_snapshot!$A:$F, 6, FALSE), " ")</f>
        <v>0</v>
      </c>
      <c r="AB239" s="13">
        <v>44978</v>
      </c>
      <c r="AC239" s="9" t="s">
        <v>1381</v>
      </c>
      <c r="AH239" s="9">
        <v>2070</v>
      </c>
      <c r="AI239" s="9" t="s">
        <v>875</v>
      </c>
      <c r="AJ239" s="9" t="s">
        <v>301</v>
      </c>
      <c r="AK239" s="11" t="str">
        <f t="shared" si="0"/>
        <v>2021GBP</v>
      </c>
      <c r="AL239" s="11">
        <f>VLOOKUP(AK239, Exchange_rates!$C:$D, 2, FALSE)</f>
        <v>1</v>
      </c>
      <c r="AM239" s="14">
        <f t="shared" si="1"/>
        <v>2484</v>
      </c>
      <c r="AN239" s="9"/>
      <c r="AO239" s="9"/>
      <c r="AP239" s="9"/>
      <c r="AQ239" s="15" t="s">
        <v>49</v>
      </c>
      <c r="AR239" t="s">
        <v>1249</v>
      </c>
      <c r="AS239" s="16" t="s">
        <v>1250</v>
      </c>
    </row>
    <row r="240" spans="1:45" ht="14.5">
      <c r="A240" s="9" t="s">
        <v>1382</v>
      </c>
      <c r="B240" s="9" t="s">
        <v>1383</v>
      </c>
      <c r="C240" s="9" t="s">
        <v>1384</v>
      </c>
      <c r="D240" s="9" t="s">
        <v>1240</v>
      </c>
      <c r="E240" s="9" t="s">
        <v>49</v>
      </c>
      <c r="F240" s="9" t="s">
        <v>69</v>
      </c>
      <c r="G240" s="9" t="s">
        <v>70</v>
      </c>
      <c r="H240" s="9" t="s">
        <v>1253</v>
      </c>
      <c r="I240" s="9" t="s">
        <v>72</v>
      </c>
      <c r="J240" s="10"/>
      <c r="K240" s="10">
        <v>44274</v>
      </c>
      <c r="L240" s="10"/>
      <c r="M240" s="10">
        <v>44369</v>
      </c>
      <c r="N240" s="9">
        <v>2021</v>
      </c>
      <c r="O240" s="9" t="s">
        <v>1372</v>
      </c>
      <c r="P240" s="9" t="s">
        <v>83</v>
      </c>
      <c r="Q240" s="9" t="s">
        <v>53</v>
      </c>
      <c r="R240" s="9" t="s">
        <v>1385</v>
      </c>
      <c r="T240" s="9"/>
      <c r="V240" s="9"/>
      <c r="W240" s="11">
        <f>IFERROR(VLOOKUP(B240, PlumX_snapshot!$A:$B, 2, FALSE), " ")</f>
        <v>8</v>
      </c>
      <c r="X240" s="11">
        <f>IFERROR(VLOOKUP(B240, PlumX_snapshot!$A:$C, 3, FALSE), " ")</f>
        <v>7</v>
      </c>
      <c r="Y240" s="12">
        <f>IFERROR(VLOOKUP(B240, PlumX_snapshot!$A:$D, 4, FALSE), " ")</f>
        <v>3</v>
      </c>
      <c r="Z240" s="12">
        <f>IFERROR(VLOOKUP(B240, PlumX_snapshot!$A:$E, 5, FALSE), " ")</f>
        <v>0</v>
      </c>
      <c r="AA240" s="12">
        <f>IFERROR(VLOOKUP(B240, PlumX_snapshot!$A:$F, 6, FALSE), " ")</f>
        <v>0</v>
      </c>
      <c r="AB240" s="13">
        <v>44978</v>
      </c>
      <c r="AC240" s="9" t="s">
        <v>1258</v>
      </c>
      <c r="AH240" s="9">
        <v>2070</v>
      </c>
      <c r="AI240" s="9" t="s">
        <v>875</v>
      </c>
      <c r="AJ240" s="9" t="s">
        <v>301</v>
      </c>
      <c r="AK240" s="11" t="str">
        <f t="shared" si="0"/>
        <v>2021GBP</v>
      </c>
      <c r="AL240" s="11">
        <f>VLOOKUP(AK240, Exchange_rates!$C:$D, 2, FALSE)</f>
        <v>1</v>
      </c>
      <c r="AM240" s="14">
        <f t="shared" si="1"/>
        <v>2484</v>
      </c>
      <c r="AN240" s="9"/>
      <c r="AO240" s="9"/>
      <c r="AP240" s="9"/>
      <c r="AQ240" s="15" t="s">
        <v>49</v>
      </c>
      <c r="AR240" t="s">
        <v>1259</v>
      </c>
      <c r="AS240" s="16" t="s">
        <v>1260</v>
      </c>
    </row>
    <row r="241" spans="1:45" ht="14.5">
      <c r="A241" s="9" t="s">
        <v>1386</v>
      </c>
      <c r="B241" s="9" t="s">
        <v>1387</v>
      </c>
      <c r="C241" s="9" t="s">
        <v>1388</v>
      </c>
      <c r="D241" s="9" t="s">
        <v>1240</v>
      </c>
      <c r="E241" s="9" t="s">
        <v>49</v>
      </c>
      <c r="F241" s="9" t="s">
        <v>69</v>
      </c>
      <c r="G241" s="9" t="s">
        <v>70</v>
      </c>
      <c r="H241" s="9" t="s">
        <v>1253</v>
      </c>
      <c r="I241" s="9" t="s">
        <v>72</v>
      </c>
      <c r="J241" s="10"/>
      <c r="K241" s="10">
        <v>44301</v>
      </c>
      <c r="L241" s="10"/>
      <c r="M241" s="10">
        <v>44334</v>
      </c>
      <c r="N241" s="9">
        <v>2021</v>
      </c>
      <c r="O241" s="9" t="s">
        <v>1372</v>
      </c>
      <c r="P241" s="9" t="s">
        <v>83</v>
      </c>
      <c r="Q241" s="9" t="s">
        <v>53</v>
      </c>
      <c r="R241" s="9" t="s">
        <v>1389</v>
      </c>
      <c r="T241" s="9"/>
      <c r="V241" s="9"/>
      <c r="W241" s="11">
        <f>IFERROR(VLOOKUP(B241, PlumX_snapshot!$A:$B, 2, FALSE), " ")</f>
        <v>7</v>
      </c>
      <c r="X241" s="11">
        <f>IFERROR(VLOOKUP(B241, PlumX_snapshot!$A:$C, 3, FALSE), " ")</f>
        <v>1</v>
      </c>
      <c r="Y241" s="12">
        <f>IFERROR(VLOOKUP(B241, PlumX_snapshot!$A:$D, 4, FALSE), " ")</f>
        <v>4</v>
      </c>
      <c r="Z241" s="12">
        <f>IFERROR(VLOOKUP(B241, PlumX_snapshot!$A:$E, 5, FALSE), " ")</f>
        <v>0</v>
      </c>
      <c r="AA241" s="12">
        <f>IFERROR(VLOOKUP(B241, PlumX_snapshot!$A:$F, 6, FALSE), " ")</f>
        <v>0</v>
      </c>
      <c r="AB241" s="13">
        <v>44978</v>
      </c>
      <c r="AC241" s="9" t="s">
        <v>1390</v>
      </c>
      <c r="AH241" s="9">
        <v>2070</v>
      </c>
      <c r="AI241" s="9" t="s">
        <v>875</v>
      </c>
      <c r="AJ241" s="9" t="s">
        <v>301</v>
      </c>
      <c r="AK241" s="11" t="str">
        <f t="shared" si="0"/>
        <v>2021GBP</v>
      </c>
      <c r="AL241" s="11">
        <f>VLOOKUP(AK241, Exchange_rates!$C:$D, 2, FALSE)</f>
        <v>1</v>
      </c>
      <c r="AM241" s="14">
        <f t="shared" si="1"/>
        <v>2484</v>
      </c>
      <c r="AN241" s="9"/>
      <c r="AO241" s="9"/>
      <c r="AP241" s="9"/>
      <c r="AQ241" s="15" t="s">
        <v>49</v>
      </c>
      <c r="AR241" t="s">
        <v>1283</v>
      </c>
      <c r="AS241" s="16" t="s">
        <v>1284</v>
      </c>
    </row>
    <row r="242" spans="1:45" ht="14.5">
      <c r="A242" s="9" t="s">
        <v>1391</v>
      </c>
      <c r="B242" s="9" t="s">
        <v>1392</v>
      </c>
      <c r="C242" s="9" t="s">
        <v>1393</v>
      </c>
      <c r="D242" s="9" t="s">
        <v>1240</v>
      </c>
      <c r="E242" s="9" t="s">
        <v>49</v>
      </c>
      <c r="F242" s="9" t="s">
        <v>69</v>
      </c>
      <c r="G242" s="9" t="s">
        <v>70</v>
      </c>
      <c r="H242" s="9" t="s">
        <v>1253</v>
      </c>
      <c r="I242" s="9" t="s">
        <v>72</v>
      </c>
      <c r="J242" s="10"/>
      <c r="K242" s="10">
        <v>44306</v>
      </c>
      <c r="L242" s="10"/>
      <c r="M242" s="10">
        <v>44371</v>
      </c>
      <c r="N242" s="9">
        <v>2021</v>
      </c>
      <c r="O242" s="9" t="s">
        <v>1372</v>
      </c>
      <c r="P242" s="9" t="s">
        <v>83</v>
      </c>
      <c r="Q242" s="9" t="s">
        <v>53</v>
      </c>
      <c r="R242" s="9" t="s">
        <v>1394</v>
      </c>
      <c r="T242" s="9"/>
      <c r="V242" s="9"/>
      <c r="W242" s="11">
        <f>IFERROR(VLOOKUP(B242, PlumX_snapshot!$A:$B, 2, FALSE), " ")</f>
        <v>19</v>
      </c>
      <c r="X242" s="11">
        <f>IFERROR(VLOOKUP(B242, PlumX_snapshot!$A:$C, 3, FALSE), " ")</f>
        <v>4</v>
      </c>
      <c r="Y242" s="12">
        <f>IFERROR(VLOOKUP(B242, PlumX_snapshot!$A:$D, 4, FALSE), " ")</f>
        <v>0</v>
      </c>
      <c r="Z242" s="12">
        <f>IFERROR(VLOOKUP(B242, PlumX_snapshot!$A:$E, 5, FALSE), " ")</f>
        <v>0</v>
      </c>
      <c r="AA242" s="12">
        <f>IFERROR(VLOOKUP(B242, PlumX_snapshot!$A:$F, 6, FALSE), " ")</f>
        <v>0</v>
      </c>
      <c r="AB242" s="13">
        <v>44978</v>
      </c>
      <c r="AC242" s="9" t="s">
        <v>1395</v>
      </c>
      <c r="AH242" s="9">
        <v>2640</v>
      </c>
      <c r="AI242" s="9" t="s">
        <v>875</v>
      </c>
      <c r="AJ242" s="9" t="s">
        <v>301</v>
      </c>
      <c r="AK242" s="11" t="str">
        <f t="shared" si="0"/>
        <v>2021GBP</v>
      </c>
      <c r="AL242" s="11">
        <f>VLOOKUP(AK242, Exchange_rates!$C:$D, 2, FALSE)</f>
        <v>1</v>
      </c>
      <c r="AM242" s="14">
        <f t="shared" si="1"/>
        <v>3168</v>
      </c>
      <c r="AN242" s="9"/>
      <c r="AO242" s="9"/>
      <c r="AP242" s="9"/>
      <c r="AQ242" s="15" t="s">
        <v>49</v>
      </c>
      <c r="AR242" t="s">
        <v>1396</v>
      </c>
      <c r="AS242" s="16"/>
    </row>
    <row r="243" spans="1:45" ht="14.5">
      <c r="A243" s="9" t="s">
        <v>1397</v>
      </c>
      <c r="B243" s="9" t="s">
        <v>1398</v>
      </c>
      <c r="C243" s="9" t="s">
        <v>1399</v>
      </c>
      <c r="D243" s="9" t="s">
        <v>1240</v>
      </c>
      <c r="E243" s="9" t="s">
        <v>49</v>
      </c>
      <c r="F243" s="9" t="s">
        <v>69</v>
      </c>
      <c r="G243" s="9" t="s">
        <v>70</v>
      </c>
      <c r="H243" s="9" t="s">
        <v>1253</v>
      </c>
      <c r="I243" s="9" t="s">
        <v>72</v>
      </c>
      <c r="J243" s="10"/>
      <c r="K243" s="10">
        <v>44308</v>
      </c>
      <c r="L243" s="10"/>
      <c r="M243" s="10">
        <v>44261</v>
      </c>
      <c r="N243" s="9">
        <v>2021</v>
      </c>
      <c r="O243" s="9" t="s">
        <v>1372</v>
      </c>
      <c r="P243" s="9" t="s">
        <v>53</v>
      </c>
      <c r="Q243" s="9" t="s">
        <v>53</v>
      </c>
      <c r="R243" s="9" t="s">
        <v>1400</v>
      </c>
      <c r="T243" s="9"/>
      <c r="V243" s="9"/>
      <c r="W243" s="11">
        <f>IFERROR(VLOOKUP(B243, PlumX_snapshot!$A:$B, 2, FALSE), " ")</f>
        <v>4</v>
      </c>
      <c r="X243" s="11">
        <f>IFERROR(VLOOKUP(B243, PlumX_snapshot!$A:$C, 3, FALSE), " ")</f>
        <v>2</v>
      </c>
      <c r="Y243" s="12">
        <f>IFERROR(VLOOKUP(B243, PlumX_snapshot!$A:$D, 4, FALSE), " ")</f>
        <v>5</v>
      </c>
      <c r="Z243" s="12">
        <f>IFERROR(VLOOKUP(B243, PlumX_snapshot!$A:$E, 5, FALSE), " ")</f>
        <v>0</v>
      </c>
      <c r="AA243" s="12">
        <f>IFERROR(VLOOKUP(B243, PlumX_snapshot!$A:$F, 6, FALSE), " ")</f>
        <v>0</v>
      </c>
      <c r="AB243" s="13">
        <v>44978</v>
      </c>
      <c r="AC243" s="9" t="s">
        <v>1401</v>
      </c>
      <c r="AH243" s="9">
        <v>2070</v>
      </c>
      <c r="AI243" s="9" t="s">
        <v>875</v>
      </c>
      <c r="AJ243" s="9" t="s">
        <v>301</v>
      </c>
      <c r="AK243" s="11" t="str">
        <f t="shared" si="0"/>
        <v>2021GBP</v>
      </c>
      <c r="AL243" s="11">
        <f>VLOOKUP(AK243, Exchange_rates!$C:$D, 2, FALSE)</f>
        <v>1</v>
      </c>
      <c r="AM243" s="14">
        <f t="shared" si="1"/>
        <v>2484</v>
      </c>
      <c r="AN243" s="9"/>
      <c r="AO243" s="9"/>
      <c r="AP243" s="9"/>
      <c r="AQ243" s="15" t="s">
        <v>49</v>
      </c>
      <c r="AR243" t="s">
        <v>1243</v>
      </c>
      <c r="AS243" s="16" t="s">
        <v>1244</v>
      </c>
    </row>
    <row r="244" spans="1:45" ht="14.5">
      <c r="A244" s="9" t="s">
        <v>1402</v>
      </c>
      <c r="B244" s="9" t="s">
        <v>1403</v>
      </c>
      <c r="C244" s="9" t="s">
        <v>1384</v>
      </c>
      <c r="D244" s="9" t="s">
        <v>1240</v>
      </c>
      <c r="E244" s="9" t="s">
        <v>49</v>
      </c>
      <c r="F244" s="9" t="s">
        <v>69</v>
      </c>
      <c r="G244" s="9" t="s">
        <v>70</v>
      </c>
      <c r="H244" s="9" t="s">
        <v>1253</v>
      </c>
      <c r="I244" s="9" t="s">
        <v>72</v>
      </c>
      <c r="J244" s="10"/>
      <c r="K244" s="10">
        <v>44358</v>
      </c>
      <c r="L244" s="10"/>
      <c r="M244" s="10">
        <v>44466</v>
      </c>
      <c r="N244" s="9">
        <v>2021</v>
      </c>
      <c r="O244" s="9" t="s">
        <v>1372</v>
      </c>
      <c r="P244" s="9" t="s">
        <v>83</v>
      </c>
      <c r="Q244" s="9" t="s">
        <v>53</v>
      </c>
      <c r="R244" s="9" t="s">
        <v>1404</v>
      </c>
      <c r="T244" s="9"/>
      <c r="V244" s="9"/>
      <c r="W244" s="11">
        <f>IFERROR(VLOOKUP(B244, PlumX_snapshot!$A:$B, 2, FALSE), " ")</f>
        <v>5</v>
      </c>
      <c r="X244" s="11">
        <f>IFERROR(VLOOKUP(B244, PlumX_snapshot!$A:$C, 3, FALSE), " ")</f>
        <v>6</v>
      </c>
      <c r="Y244" s="12">
        <f>IFERROR(VLOOKUP(B244, PlumX_snapshot!$A:$D, 4, FALSE), " ")</f>
        <v>0</v>
      </c>
      <c r="Z244" s="12">
        <f>IFERROR(VLOOKUP(B244, PlumX_snapshot!$A:$E, 5, FALSE), " ")</f>
        <v>0</v>
      </c>
      <c r="AA244" s="12">
        <f>IFERROR(VLOOKUP(B244, PlumX_snapshot!$A:$F, 6, FALSE), " ")</f>
        <v>0</v>
      </c>
      <c r="AB244" s="13">
        <v>44978</v>
      </c>
      <c r="AC244" s="9" t="s">
        <v>1265</v>
      </c>
      <c r="AH244" s="9">
        <v>2070</v>
      </c>
      <c r="AI244" s="9" t="s">
        <v>875</v>
      </c>
      <c r="AJ244" s="9" t="s">
        <v>301</v>
      </c>
      <c r="AK244" s="11" t="str">
        <f t="shared" si="0"/>
        <v>2021GBP</v>
      </c>
      <c r="AL244" s="11">
        <f>VLOOKUP(AK244, Exchange_rates!$C:$D, 2, FALSE)</f>
        <v>1</v>
      </c>
      <c r="AM244" s="14">
        <f t="shared" si="1"/>
        <v>2484</v>
      </c>
      <c r="AN244" s="9"/>
      <c r="AO244" s="9"/>
      <c r="AP244" s="9"/>
      <c r="AQ244" s="15" t="s">
        <v>49</v>
      </c>
      <c r="AR244" t="s">
        <v>1259</v>
      </c>
      <c r="AS244" s="16" t="s">
        <v>1260</v>
      </c>
    </row>
    <row r="245" spans="1:45" ht="14.5">
      <c r="A245" s="9" t="s">
        <v>1405</v>
      </c>
      <c r="B245" s="9" t="s">
        <v>1406</v>
      </c>
      <c r="C245" s="9" t="s">
        <v>1388</v>
      </c>
      <c r="D245" s="9" t="s">
        <v>1240</v>
      </c>
      <c r="E245" s="9" t="s">
        <v>49</v>
      </c>
      <c r="F245" s="9" t="s">
        <v>69</v>
      </c>
      <c r="G245" s="9" t="s">
        <v>70</v>
      </c>
      <c r="H245" s="9" t="s">
        <v>1253</v>
      </c>
      <c r="I245" s="9" t="s">
        <v>72</v>
      </c>
      <c r="J245" s="10"/>
      <c r="K245" s="10">
        <v>44363</v>
      </c>
      <c r="L245" s="10"/>
      <c r="M245" s="10">
        <v>44234</v>
      </c>
      <c r="N245" s="9">
        <v>2021</v>
      </c>
      <c r="O245" s="9" t="s">
        <v>1372</v>
      </c>
      <c r="P245" s="9" t="s">
        <v>83</v>
      </c>
      <c r="Q245" s="9" t="s">
        <v>53</v>
      </c>
      <c r="R245" s="9" t="s">
        <v>1407</v>
      </c>
      <c r="T245" s="9"/>
      <c r="V245" s="9"/>
      <c r="W245" s="11">
        <f>IFERROR(VLOOKUP(B245, PlumX_snapshot!$A:$B, 2, FALSE), " ")</f>
        <v>16</v>
      </c>
      <c r="X245" s="11">
        <f>IFERROR(VLOOKUP(B245, PlumX_snapshot!$A:$C, 3, FALSE), " ")</f>
        <v>3</v>
      </c>
      <c r="Y245" s="12">
        <f>IFERROR(VLOOKUP(B245, PlumX_snapshot!$A:$D, 4, FALSE), " ")</f>
        <v>1</v>
      </c>
      <c r="Z245" s="12">
        <f>IFERROR(VLOOKUP(B245, PlumX_snapshot!$A:$E, 5, FALSE), " ")</f>
        <v>0</v>
      </c>
      <c r="AA245" s="12">
        <f>IFERROR(VLOOKUP(B245, PlumX_snapshot!$A:$F, 6, FALSE), " ")</f>
        <v>0</v>
      </c>
      <c r="AB245" s="13">
        <v>44978</v>
      </c>
      <c r="AC245" s="9" t="s">
        <v>1408</v>
      </c>
      <c r="AH245" s="9">
        <v>2070</v>
      </c>
      <c r="AI245" s="9" t="s">
        <v>875</v>
      </c>
      <c r="AJ245" s="9" t="s">
        <v>301</v>
      </c>
      <c r="AK245" s="11" t="str">
        <f t="shared" si="0"/>
        <v>2021GBP</v>
      </c>
      <c r="AL245" s="11">
        <f>VLOOKUP(AK245, Exchange_rates!$C:$D, 2, FALSE)</f>
        <v>1</v>
      </c>
      <c r="AM245" s="14">
        <f t="shared" si="1"/>
        <v>2484</v>
      </c>
      <c r="AN245" s="9"/>
      <c r="AO245" s="9"/>
      <c r="AP245" s="9"/>
      <c r="AQ245" s="15" t="s">
        <v>49</v>
      </c>
      <c r="AR245" t="s">
        <v>1283</v>
      </c>
      <c r="AS245" s="16" t="s">
        <v>1284</v>
      </c>
    </row>
    <row r="246" spans="1:45" ht="14.5">
      <c r="A246" s="9" t="s">
        <v>1409</v>
      </c>
      <c r="B246" s="9" t="s">
        <v>1410</v>
      </c>
      <c r="C246" s="9" t="s">
        <v>1331</v>
      </c>
      <c r="D246" s="9" t="s">
        <v>1240</v>
      </c>
      <c r="E246" s="9" t="s">
        <v>49</v>
      </c>
      <c r="F246" s="9" t="s">
        <v>69</v>
      </c>
      <c r="G246" s="9" t="s">
        <v>70</v>
      </c>
      <c r="H246" s="9" t="s">
        <v>1253</v>
      </c>
      <c r="I246" s="9" t="s">
        <v>72</v>
      </c>
      <c r="J246" s="10"/>
      <c r="K246" s="10">
        <v>44378</v>
      </c>
      <c r="L246" s="10"/>
      <c r="M246" s="10">
        <v>44396</v>
      </c>
      <c r="N246" s="9">
        <v>2021</v>
      </c>
      <c r="O246" s="9" t="s">
        <v>1372</v>
      </c>
      <c r="P246" s="9" t="s">
        <v>53</v>
      </c>
      <c r="Q246" s="9" t="s">
        <v>53</v>
      </c>
      <c r="R246" s="9" t="s">
        <v>1377</v>
      </c>
      <c r="S246" s="9" t="s">
        <v>1334</v>
      </c>
      <c r="T246" s="9"/>
      <c r="U246" s="9"/>
      <c r="V246" s="9"/>
      <c r="W246" s="11">
        <f>IFERROR(VLOOKUP(B246, PlumX_snapshot!$A:$B, 2, FALSE), " ")</f>
        <v>5</v>
      </c>
      <c r="X246" s="11">
        <f>IFERROR(VLOOKUP(B246, PlumX_snapshot!$A:$C, 3, FALSE), " ")</f>
        <v>3</v>
      </c>
      <c r="Y246" s="12">
        <f>IFERROR(VLOOKUP(B246, PlumX_snapshot!$A:$D, 4, FALSE), " ")</f>
        <v>5</v>
      </c>
      <c r="Z246" s="12">
        <f>IFERROR(VLOOKUP(B246, PlumX_snapshot!$A:$E, 5, FALSE), " ")</f>
        <v>0</v>
      </c>
      <c r="AA246" s="12">
        <f>IFERROR(VLOOKUP(B246, PlumX_snapshot!$A:$F, 6, FALSE), " ")</f>
        <v>0</v>
      </c>
      <c r="AB246" s="13">
        <v>44978</v>
      </c>
      <c r="AC246" s="9" t="s">
        <v>1411</v>
      </c>
      <c r="AH246" s="9">
        <v>2000</v>
      </c>
      <c r="AI246" s="9" t="s">
        <v>875</v>
      </c>
      <c r="AJ246" s="9" t="s">
        <v>301</v>
      </c>
      <c r="AK246" s="11" t="str">
        <f t="shared" si="0"/>
        <v>2021GBP</v>
      </c>
      <c r="AL246" s="11">
        <f>VLOOKUP(AK246, Exchange_rates!$C:$D, 2, FALSE)</f>
        <v>1</v>
      </c>
      <c r="AM246" s="14">
        <f t="shared" si="1"/>
        <v>2400</v>
      </c>
      <c r="AN246" s="9"/>
      <c r="AO246" s="9"/>
      <c r="AP246" s="9"/>
      <c r="AQ246" s="15" t="s">
        <v>49</v>
      </c>
      <c r="AR246" t="s">
        <v>1336</v>
      </c>
      <c r="AS246" s="16" t="s">
        <v>1337</v>
      </c>
    </row>
    <row r="247" spans="1:45" ht="14.5">
      <c r="A247" s="9" t="s">
        <v>1412</v>
      </c>
      <c r="B247" s="9" t="s">
        <v>1413</v>
      </c>
      <c r="C247" s="9" t="s">
        <v>1380</v>
      </c>
      <c r="D247" s="9" t="s">
        <v>1240</v>
      </c>
      <c r="E247" s="9" t="s">
        <v>49</v>
      </c>
      <c r="F247" s="9" t="s">
        <v>69</v>
      </c>
      <c r="G247" s="9" t="s">
        <v>70</v>
      </c>
      <c r="H247" s="9" t="s">
        <v>1253</v>
      </c>
      <c r="I247" s="9" t="s">
        <v>72</v>
      </c>
      <c r="J247" s="10"/>
      <c r="K247" s="10">
        <v>44406</v>
      </c>
      <c r="L247" s="10"/>
      <c r="M247" s="10">
        <v>44447</v>
      </c>
      <c r="N247" s="9">
        <v>2021</v>
      </c>
      <c r="O247" s="9" t="s">
        <v>1372</v>
      </c>
      <c r="P247" s="9" t="s">
        <v>83</v>
      </c>
      <c r="Q247" s="9" t="s">
        <v>53</v>
      </c>
      <c r="R247" s="9" t="s">
        <v>117</v>
      </c>
      <c r="T247" s="9"/>
      <c r="V247" s="9"/>
      <c r="W247" s="11">
        <f>IFERROR(VLOOKUP(B247, PlumX_snapshot!$A:$B, 2, FALSE), " ")</f>
        <v>2</v>
      </c>
      <c r="X247" s="11">
        <f>IFERROR(VLOOKUP(B247, PlumX_snapshot!$A:$C, 3, FALSE), " ")</f>
        <v>0</v>
      </c>
      <c r="Y247" s="12">
        <f>IFERROR(VLOOKUP(B247, PlumX_snapshot!$A:$D, 4, FALSE), " ")</f>
        <v>1</v>
      </c>
      <c r="Z247" s="12">
        <f>IFERROR(VLOOKUP(B247, PlumX_snapshot!$A:$E, 5, FALSE), " ")</f>
        <v>0</v>
      </c>
      <c r="AA247" s="12">
        <f>IFERROR(VLOOKUP(B247, PlumX_snapshot!$A:$F, 6, FALSE), " ")</f>
        <v>0</v>
      </c>
      <c r="AB247" s="13">
        <v>44978</v>
      </c>
      <c r="AC247" s="9" t="s">
        <v>1248</v>
      </c>
      <c r="AH247" s="9">
        <v>2070</v>
      </c>
      <c r="AI247" s="9" t="s">
        <v>875</v>
      </c>
      <c r="AJ247" s="9" t="s">
        <v>301</v>
      </c>
      <c r="AK247" s="11" t="str">
        <f t="shared" si="0"/>
        <v>2021GBP</v>
      </c>
      <c r="AL247" s="11">
        <f>VLOOKUP(AK247, Exchange_rates!$C:$D, 2, FALSE)</f>
        <v>1</v>
      </c>
      <c r="AM247" s="14">
        <f t="shared" si="1"/>
        <v>2484</v>
      </c>
      <c r="AN247" s="9"/>
      <c r="AO247" s="9"/>
      <c r="AP247" s="9"/>
      <c r="AQ247" s="15" t="s">
        <v>49</v>
      </c>
      <c r="AR247" t="s">
        <v>1249</v>
      </c>
      <c r="AS247" s="16" t="s">
        <v>1250</v>
      </c>
    </row>
    <row r="248" spans="1:45" ht="14.5">
      <c r="A248" s="9" t="s">
        <v>1414</v>
      </c>
      <c r="B248" s="9" t="s">
        <v>1415</v>
      </c>
      <c r="C248" s="9" t="s">
        <v>1399</v>
      </c>
      <c r="D248" s="9" t="s">
        <v>1240</v>
      </c>
      <c r="E248" s="9" t="s">
        <v>49</v>
      </c>
      <c r="F248" s="9" t="s">
        <v>69</v>
      </c>
      <c r="G248" s="9" t="s">
        <v>70</v>
      </c>
      <c r="H248" s="9" t="s">
        <v>1253</v>
      </c>
      <c r="I248" s="9" t="s">
        <v>72</v>
      </c>
      <c r="J248" s="10"/>
      <c r="K248" s="10">
        <v>44413</v>
      </c>
      <c r="L248" s="10"/>
      <c r="M248" s="10">
        <v>44455</v>
      </c>
      <c r="N248" s="9">
        <v>2021</v>
      </c>
      <c r="O248" s="9" t="s">
        <v>1372</v>
      </c>
      <c r="P248" s="9" t="s">
        <v>53</v>
      </c>
      <c r="Q248" s="9" t="s">
        <v>53</v>
      </c>
      <c r="R248" s="9" t="s">
        <v>1416</v>
      </c>
      <c r="T248" s="9"/>
      <c r="V248" s="9"/>
      <c r="W248" s="11">
        <f>IFERROR(VLOOKUP(B248, PlumX_snapshot!$A:$B, 2, FALSE), " ")</f>
        <v>3</v>
      </c>
      <c r="X248" s="11">
        <f>IFERROR(VLOOKUP(B248, PlumX_snapshot!$A:$C, 3, FALSE), " ")</f>
        <v>4</v>
      </c>
      <c r="Y248" s="12">
        <f>IFERROR(VLOOKUP(B248, PlumX_snapshot!$A:$D, 4, FALSE), " ")</f>
        <v>2</v>
      </c>
      <c r="Z248" s="12">
        <f>IFERROR(VLOOKUP(B248, PlumX_snapshot!$A:$E, 5, FALSE), " ")</f>
        <v>0</v>
      </c>
      <c r="AA248" s="12">
        <f>IFERROR(VLOOKUP(B248, PlumX_snapshot!$A:$F, 6, FALSE), " ")</f>
        <v>0</v>
      </c>
      <c r="AB248" s="13">
        <v>44978</v>
      </c>
      <c r="AC248" s="9" t="s">
        <v>1417</v>
      </c>
      <c r="AH248" s="9">
        <v>2070</v>
      </c>
      <c r="AI248" s="9" t="s">
        <v>875</v>
      </c>
      <c r="AJ248" s="9" t="s">
        <v>301</v>
      </c>
      <c r="AK248" s="11" t="str">
        <f t="shared" si="0"/>
        <v>2021GBP</v>
      </c>
      <c r="AL248" s="11">
        <f>VLOOKUP(AK248, Exchange_rates!$C:$D, 2, FALSE)</f>
        <v>1</v>
      </c>
      <c r="AM248" s="14">
        <f t="shared" si="1"/>
        <v>2484</v>
      </c>
      <c r="AN248" s="9"/>
      <c r="AO248" s="9"/>
      <c r="AP248" s="9"/>
      <c r="AQ248" s="15" t="s">
        <v>49</v>
      </c>
      <c r="AR248" t="s">
        <v>1243</v>
      </c>
      <c r="AS248" s="16" t="s">
        <v>1244</v>
      </c>
    </row>
    <row r="249" spans="1:45" ht="14.5">
      <c r="A249" s="9" t="s">
        <v>1418</v>
      </c>
      <c r="B249" s="9" t="s">
        <v>1419</v>
      </c>
      <c r="C249" s="9" t="s">
        <v>1384</v>
      </c>
      <c r="D249" s="9" t="s">
        <v>1240</v>
      </c>
      <c r="E249" s="9" t="s">
        <v>49</v>
      </c>
      <c r="F249" s="9" t="s">
        <v>69</v>
      </c>
      <c r="G249" s="9" t="s">
        <v>70</v>
      </c>
      <c r="H249" s="9" t="s">
        <v>1253</v>
      </c>
      <c r="I249" s="9" t="s">
        <v>72</v>
      </c>
      <c r="J249" s="10"/>
      <c r="K249" s="10">
        <v>44459</v>
      </c>
      <c r="L249" s="10"/>
      <c r="M249" s="10">
        <v>44207</v>
      </c>
      <c r="N249" s="9">
        <v>2021</v>
      </c>
      <c r="O249" s="9" t="s">
        <v>1372</v>
      </c>
      <c r="P249" s="9" t="s">
        <v>53</v>
      </c>
      <c r="Q249" s="9" t="s">
        <v>53</v>
      </c>
      <c r="R249" s="9" t="s">
        <v>1420</v>
      </c>
      <c r="T249" s="9"/>
      <c r="V249" s="9"/>
      <c r="W249" s="11">
        <f>IFERROR(VLOOKUP(B249, PlumX_snapshot!$A:$B, 2, FALSE), " ")</f>
        <v>25</v>
      </c>
      <c r="X249" s="11">
        <f>IFERROR(VLOOKUP(B249, PlumX_snapshot!$A:$C, 3, FALSE), " ")</f>
        <v>21</v>
      </c>
      <c r="Y249" s="12">
        <f>IFERROR(VLOOKUP(B249, PlumX_snapshot!$A:$D, 4, FALSE), " ")</f>
        <v>15</v>
      </c>
      <c r="Z249" s="12">
        <f>IFERROR(VLOOKUP(B249, PlumX_snapshot!$A:$E, 5, FALSE), " ")</f>
        <v>0</v>
      </c>
      <c r="AA249" s="12">
        <f>IFERROR(VLOOKUP(B249, PlumX_snapshot!$A:$F, 6, FALSE), " ")</f>
        <v>0</v>
      </c>
      <c r="AB249" s="13">
        <v>44978</v>
      </c>
      <c r="AC249" s="9" t="s">
        <v>1265</v>
      </c>
      <c r="AH249" s="9">
        <v>2070</v>
      </c>
      <c r="AI249" s="9" t="s">
        <v>875</v>
      </c>
      <c r="AJ249" s="9" t="s">
        <v>301</v>
      </c>
      <c r="AK249" s="11" t="str">
        <f t="shared" si="0"/>
        <v>2021GBP</v>
      </c>
      <c r="AL249" s="11">
        <f>VLOOKUP(AK249, Exchange_rates!$C:$D, 2, FALSE)</f>
        <v>1</v>
      </c>
      <c r="AM249" s="14">
        <f t="shared" si="1"/>
        <v>2484</v>
      </c>
      <c r="AN249" s="9"/>
      <c r="AO249" s="9"/>
      <c r="AP249" s="9"/>
      <c r="AQ249" s="15" t="s">
        <v>49</v>
      </c>
      <c r="AR249" t="s">
        <v>1259</v>
      </c>
      <c r="AS249" s="16" t="s">
        <v>1260</v>
      </c>
    </row>
    <row r="250" spans="1:45" ht="14.5">
      <c r="A250" s="9" t="s">
        <v>1421</v>
      </c>
      <c r="B250" s="9" t="s">
        <v>1422</v>
      </c>
      <c r="C250" s="9" t="s">
        <v>1423</v>
      </c>
      <c r="D250" s="9" t="s">
        <v>1240</v>
      </c>
      <c r="E250" s="9" t="s">
        <v>49</v>
      </c>
      <c r="F250" s="9" t="s">
        <v>69</v>
      </c>
      <c r="G250" s="9" t="s">
        <v>70</v>
      </c>
      <c r="H250" s="9" t="s">
        <v>1253</v>
      </c>
      <c r="I250" s="9" t="s">
        <v>72</v>
      </c>
      <c r="J250" s="10"/>
      <c r="K250" s="10">
        <v>44467</v>
      </c>
      <c r="L250" s="10"/>
      <c r="M250" s="10">
        <v>44484</v>
      </c>
      <c r="N250" s="9">
        <v>2021</v>
      </c>
      <c r="O250" s="9" t="s">
        <v>1372</v>
      </c>
      <c r="P250" s="9" t="s">
        <v>83</v>
      </c>
      <c r="Q250" s="9" t="s">
        <v>53</v>
      </c>
      <c r="R250" s="9" t="s">
        <v>1424</v>
      </c>
      <c r="T250" s="9"/>
      <c r="V250" s="9"/>
      <c r="W250" s="11">
        <f>IFERROR(VLOOKUP(B250, PlumX_snapshot!$A:$B, 2, FALSE), " ")</f>
        <v>5</v>
      </c>
      <c r="X250" s="11">
        <f>IFERROR(VLOOKUP(B250, PlumX_snapshot!$A:$C, 3, FALSE), " ")</f>
        <v>0</v>
      </c>
      <c r="Y250" s="12">
        <f>IFERROR(VLOOKUP(B250, PlumX_snapshot!$A:$D, 4, FALSE), " ")</f>
        <v>3</v>
      </c>
      <c r="Z250" s="12">
        <f>IFERROR(VLOOKUP(B250, PlumX_snapshot!$A:$E, 5, FALSE), " ")</f>
        <v>0</v>
      </c>
      <c r="AA250" s="12">
        <f>IFERROR(VLOOKUP(B250, PlumX_snapshot!$A:$F, 6, FALSE), " ")</f>
        <v>1</v>
      </c>
      <c r="AB250" s="13">
        <v>44978</v>
      </c>
      <c r="AC250" s="9" t="s">
        <v>1425</v>
      </c>
      <c r="AH250" s="9">
        <v>2070</v>
      </c>
      <c r="AI250" s="9" t="s">
        <v>875</v>
      </c>
      <c r="AJ250" s="9" t="s">
        <v>301</v>
      </c>
      <c r="AK250" s="11" t="str">
        <f t="shared" si="0"/>
        <v>2021GBP</v>
      </c>
      <c r="AL250" s="11">
        <f>VLOOKUP(AK250, Exchange_rates!$C:$D, 2, FALSE)</f>
        <v>1</v>
      </c>
      <c r="AM250" s="14">
        <f t="shared" si="1"/>
        <v>2484</v>
      </c>
      <c r="AN250" s="9"/>
      <c r="AO250" s="9"/>
      <c r="AP250" s="9"/>
      <c r="AQ250" s="15" t="s">
        <v>49</v>
      </c>
      <c r="AR250" t="s">
        <v>1426</v>
      </c>
      <c r="AS250" s="16"/>
    </row>
    <row r="251" spans="1:45" ht="14.5">
      <c r="A251" s="9" t="s">
        <v>1427</v>
      </c>
      <c r="B251" s="9" t="s">
        <v>1428</v>
      </c>
      <c r="C251" s="9" t="s">
        <v>1388</v>
      </c>
      <c r="D251" s="9" t="s">
        <v>1240</v>
      </c>
      <c r="E251" s="9" t="s">
        <v>49</v>
      </c>
      <c r="F251" s="9" t="s">
        <v>69</v>
      </c>
      <c r="G251" s="9" t="s">
        <v>70</v>
      </c>
      <c r="H251" s="9" t="s">
        <v>1253</v>
      </c>
      <c r="I251" s="9" t="s">
        <v>72</v>
      </c>
      <c r="J251" s="10"/>
      <c r="K251" s="10">
        <v>44467</v>
      </c>
      <c r="L251" s="10"/>
      <c r="M251" s="10">
        <v>44495</v>
      </c>
      <c r="N251" s="9">
        <v>2021</v>
      </c>
      <c r="O251" s="9" t="s">
        <v>1372</v>
      </c>
      <c r="P251" s="9" t="s">
        <v>53</v>
      </c>
      <c r="Q251" s="9" t="s">
        <v>53</v>
      </c>
      <c r="R251" s="9" t="s">
        <v>1429</v>
      </c>
      <c r="T251" s="9"/>
      <c r="V251" s="9"/>
      <c r="W251" s="11">
        <f>IFERROR(VLOOKUP(B251, PlumX_snapshot!$A:$B, 2, FALSE), " ")</f>
        <v>15</v>
      </c>
      <c r="X251" s="11">
        <f>IFERROR(VLOOKUP(B251, PlumX_snapshot!$A:$C, 3, FALSE), " ")</f>
        <v>1</v>
      </c>
      <c r="Y251" s="12">
        <f>IFERROR(VLOOKUP(B251, PlumX_snapshot!$A:$D, 4, FALSE), " ")</f>
        <v>2</v>
      </c>
      <c r="Z251" s="12">
        <f>IFERROR(VLOOKUP(B251, PlumX_snapshot!$A:$E, 5, FALSE), " ")</f>
        <v>0</v>
      </c>
      <c r="AA251" s="12">
        <f>IFERROR(VLOOKUP(B251, PlumX_snapshot!$A:$F, 6, FALSE), " ")</f>
        <v>0</v>
      </c>
      <c r="AB251" s="13">
        <v>44978</v>
      </c>
      <c r="AC251" s="9" t="s">
        <v>1430</v>
      </c>
      <c r="AH251" s="9">
        <v>2070</v>
      </c>
      <c r="AI251" s="9" t="s">
        <v>875</v>
      </c>
      <c r="AJ251" s="9" t="s">
        <v>301</v>
      </c>
      <c r="AK251" s="11" t="str">
        <f t="shared" si="0"/>
        <v>2021GBP</v>
      </c>
      <c r="AL251" s="11">
        <f>VLOOKUP(AK251, Exchange_rates!$C:$D, 2, FALSE)</f>
        <v>1</v>
      </c>
      <c r="AM251" s="14">
        <f t="shared" si="1"/>
        <v>2484</v>
      </c>
      <c r="AN251" s="9"/>
      <c r="AO251" s="9"/>
      <c r="AP251" s="9"/>
      <c r="AQ251" s="15" t="s">
        <v>49</v>
      </c>
      <c r="AR251" t="s">
        <v>1283</v>
      </c>
      <c r="AS251" s="16" t="s">
        <v>1284</v>
      </c>
    </row>
    <row r="252" spans="1:45" ht="14.5">
      <c r="A252" s="9" t="s">
        <v>1431</v>
      </c>
      <c r="B252" s="9" t="s">
        <v>1432</v>
      </c>
      <c r="C252" s="9" t="s">
        <v>1433</v>
      </c>
      <c r="D252" s="9" t="s">
        <v>1240</v>
      </c>
      <c r="E252" s="9" t="s">
        <v>49</v>
      </c>
      <c r="F252" s="9" t="s">
        <v>69</v>
      </c>
      <c r="G252" s="9" t="s">
        <v>70</v>
      </c>
      <c r="H252" s="9" t="s">
        <v>1253</v>
      </c>
      <c r="I252" s="9" t="s">
        <v>72</v>
      </c>
      <c r="J252" s="10"/>
      <c r="K252" s="10">
        <v>44473</v>
      </c>
      <c r="L252" s="10"/>
      <c r="M252" s="10">
        <v>44495</v>
      </c>
      <c r="N252" s="9">
        <v>2021</v>
      </c>
      <c r="O252" s="9" t="s">
        <v>1372</v>
      </c>
      <c r="P252" s="9" t="s">
        <v>83</v>
      </c>
      <c r="Q252" s="9" t="s">
        <v>53</v>
      </c>
      <c r="R252" s="9" t="s">
        <v>1434</v>
      </c>
      <c r="T252" s="9"/>
      <c r="V252" s="9"/>
      <c r="W252" s="11">
        <f>IFERROR(VLOOKUP(B252, PlumX_snapshot!$A:$B, 2, FALSE), " ")</f>
        <v>2</v>
      </c>
      <c r="X252" s="11">
        <f>IFERROR(VLOOKUP(B252, PlumX_snapshot!$A:$C, 3, FALSE), " ")</f>
        <v>2</v>
      </c>
      <c r="Y252" s="12">
        <f>IFERROR(VLOOKUP(B252, PlumX_snapshot!$A:$D, 4, FALSE), " ")</f>
        <v>1</v>
      </c>
      <c r="Z252" s="12">
        <f>IFERROR(VLOOKUP(B252, PlumX_snapshot!$A:$E, 5, FALSE), " ")</f>
        <v>0</v>
      </c>
      <c r="AA252" s="12">
        <f>IFERROR(VLOOKUP(B252, PlumX_snapshot!$A:$F, 6, FALSE), " ")</f>
        <v>0</v>
      </c>
      <c r="AB252" s="13">
        <v>44978</v>
      </c>
      <c r="AC252" s="9" t="s">
        <v>75</v>
      </c>
      <c r="AH252" s="9">
        <v>2070</v>
      </c>
      <c r="AI252" s="9" t="s">
        <v>875</v>
      </c>
      <c r="AJ252" s="9" t="s">
        <v>301</v>
      </c>
      <c r="AK252" s="11" t="str">
        <f t="shared" si="0"/>
        <v>2021GBP</v>
      </c>
      <c r="AL252" s="11">
        <f>VLOOKUP(AK252, Exchange_rates!$C:$D, 2, FALSE)</f>
        <v>1</v>
      </c>
      <c r="AM252" s="14">
        <f t="shared" si="1"/>
        <v>2484</v>
      </c>
      <c r="AN252" s="9"/>
      <c r="AO252" s="9"/>
      <c r="AP252" s="9"/>
      <c r="AQ252" s="15" t="s">
        <v>49</v>
      </c>
      <c r="AR252" t="s">
        <v>1435</v>
      </c>
      <c r="AS252" s="16"/>
    </row>
    <row r="253" spans="1:45" ht="14.5">
      <c r="A253" s="9" t="s">
        <v>1436</v>
      </c>
      <c r="B253" s="9" t="s">
        <v>1437</v>
      </c>
      <c r="C253" s="9" t="s">
        <v>1438</v>
      </c>
      <c r="D253" s="9" t="s">
        <v>1240</v>
      </c>
      <c r="E253" s="9" t="s">
        <v>49</v>
      </c>
      <c r="F253" s="9" t="s">
        <v>69</v>
      </c>
      <c r="G253" s="9" t="s">
        <v>70</v>
      </c>
      <c r="H253" s="9" t="s">
        <v>1253</v>
      </c>
      <c r="I253" s="9" t="s">
        <v>72</v>
      </c>
      <c r="J253" s="10"/>
      <c r="K253" s="10">
        <v>44476</v>
      </c>
      <c r="L253" s="10"/>
      <c r="M253" s="10">
        <v>44495</v>
      </c>
      <c r="N253" s="9">
        <v>2021</v>
      </c>
      <c r="O253" s="9" t="s">
        <v>1372</v>
      </c>
      <c r="P253" s="9" t="s">
        <v>83</v>
      </c>
      <c r="Q253" s="9" t="s">
        <v>53</v>
      </c>
      <c r="R253" s="9" t="s">
        <v>1439</v>
      </c>
      <c r="T253" s="9"/>
      <c r="V253" s="9"/>
      <c r="W253" s="11">
        <f>IFERROR(VLOOKUP(B253, PlumX_snapshot!$A:$B, 2, FALSE), " ")</f>
        <v>3</v>
      </c>
      <c r="X253" s="11">
        <f>IFERROR(VLOOKUP(B253, PlumX_snapshot!$A:$C, 3, FALSE), " ")</f>
        <v>7</v>
      </c>
      <c r="Y253" s="12">
        <f>IFERROR(VLOOKUP(B253, PlumX_snapshot!$A:$D, 4, FALSE), " ")</f>
        <v>8</v>
      </c>
      <c r="Z253" s="12">
        <f>IFERROR(VLOOKUP(B253, PlumX_snapshot!$A:$E, 5, FALSE), " ")</f>
        <v>0</v>
      </c>
      <c r="AA253" s="12">
        <f>IFERROR(VLOOKUP(B253, PlumX_snapshot!$A:$F, 6, FALSE), " ")</f>
        <v>0</v>
      </c>
      <c r="AB253" s="13">
        <v>44978</v>
      </c>
      <c r="AC253" s="9" t="s">
        <v>1440</v>
      </c>
      <c r="AH253" s="9">
        <v>2070</v>
      </c>
      <c r="AI253" s="9" t="s">
        <v>875</v>
      </c>
      <c r="AJ253" s="9" t="s">
        <v>301</v>
      </c>
      <c r="AK253" s="11" t="str">
        <f t="shared" si="0"/>
        <v>2021GBP</v>
      </c>
      <c r="AL253" s="11">
        <f>VLOOKUP(AK253, Exchange_rates!$C:$D, 2, FALSE)</f>
        <v>1</v>
      </c>
      <c r="AM253" s="14">
        <f t="shared" si="1"/>
        <v>2484</v>
      </c>
      <c r="AN253" s="9"/>
      <c r="AO253" s="9"/>
      <c r="AP253" s="9"/>
      <c r="AQ253" s="15" t="s">
        <v>49</v>
      </c>
      <c r="AR253" t="s">
        <v>1441</v>
      </c>
      <c r="AS253" s="16"/>
    </row>
    <row r="254" spans="1:45" ht="14.5">
      <c r="A254" s="9" t="s">
        <v>1442</v>
      </c>
      <c r="B254" s="9" t="s">
        <v>1443</v>
      </c>
      <c r="C254" s="9" t="s">
        <v>1331</v>
      </c>
      <c r="D254" s="9" t="s">
        <v>1240</v>
      </c>
      <c r="E254" s="9" t="s">
        <v>49</v>
      </c>
      <c r="F254" s="9" t="s">
        <v>69</v>
      </c>
      <c r="G254" s="9" t="s">
        <v>70</v>
      </c>
      <c r="H254" s="9" t="s">
        <v>1253</v>
      </c>
      <c r="I254" s="9" t="s">
        <v>72</v>
      </c>
      <c r="J254" s="10"/>
      <c r="K254" s="10">
        <v>44502</v>
      </c>
      <c r="L254" s="10"/>
      <c r="M254" s="10">
        <v>44359</v>
      </c>
      <c r="N254" s="9">
        <v>2021</v>
      </c>
      <c r="O254" s="9" t="s">
        <v>1372</v>
      </c>
      <c r="P254" s="9" t="s">
        <v>83</v>
      </c>
      <c r="Q254" s="9" t="s">
        <v>53</v>
      </c>
      <c r="R254" s="9" t="s">
        <v>1444</v>
      </c>
      <c r="S254" s="9" t="s">
        <v>1334</v>
      </c>
      <c r="T254" s="9"/>
      <c r="U254" s="9"/>
      <c r="V254" s="9"/>
      <c r="W254" s="11">
        <f>IFERROR(VLOOKUP(B254, PlumX_snapshot!$A:$B, 2, FALSE), " ")</f>
        <v>5</v>
      </c>
      <c r="X254" s="11">
        <f>IFERROR(VLOOKUP(B254, PlumX_snapshot!$A:$C, 3, FALSE), " ")</f>
        <v>4</v>
      </c>
      <c r="Y254" s="12">
        <f>IFERROR(VLOOKUP(B254, PlumX_snapshot!$A:$D, 4, FALSE), " ")</f>
        <v>2</v>
      </c>
      <c r="Z254" s="12">
        <f>IFERROR(VLOOKUP(B254, PlumX_snapshot!$A:$E, 5, FALSE), " ")</f>
        <v>0</v>
      </c>
      <c r="AA254" s="12">
        <f>IFERROR(VLOOKUP(B254, PlumX_snapshot!$A:$F, 6, FALSE), " ")</f>
        <v>0</v>
      </c>
      <c r="AB254" s="13">
        <v>44978</v>
      </c>
      <c r="AC254" s="9" t="s">
        <v>1445</v>
      </c>
      <c r="AH254" s="9">
        <v>2000</v>
      </c>
      <c r="AI254" s="9" t="s">
        <v>875</v>
      </c>
      <c r="AJ254" s="9" t="s">
        <v>301</v>
      </c>
      <c r="AK254" s="11" t="str">
        <f t="shared" si="0"/>
        <v>2021GBP</v>
      </c>
      <c r="AL254" s="11">
        <f>VLOOKUP(AK254, Exchange_rates!$C:$D, 2, FALSE)</f>
        <v>1</v>
      </c>
      <c r="AM254" s="14">
        <f t="shared" si="1"/>
        <v>2400</v>
      </c>
      <c r="AN254" s="9"/>
      <c r="AO254" s="9"/>
      <c r="AP254" s="9"/>
      <c r="AQ254" s="15" t="s">
        <v>49</v>
      </c>
      <c r="AR254" t="s">
        <v>1336</v>
      </c>
      <c r="AS254" s="16" t="s">
        <v>1337</v>
      </c>
    </row>
    <row r="255" spans="1:45" ht="14.5">
      <c r="A255" s="9" t="s">
        <v>1446</v>
      </c>
      <c r="B255" s="9" t="s">
        <v>1447</v>
      </c>
      <c r="C255" s="9" t="s">
        <v>1276</v>
      </c>
      <c r="D255" s="9" t="s">
        <v>1240</v>
      </c>
      <c r="E255" s="9" t="s">
        <v>49</v>
      </c>
      <c r="F255" s="9" t="s">
        <v>69</v>
      </c>
      <c r="G255" s="9" t="s">
        <v>70</v>
      </c>
      <c r="H255" s="9" t="s">
        <v>1448</v>
      </c>
      <c r="I255" s="9" t="s">
        <v>72</v>
      </c>
      <c r="J255" s="10"/>
      <c r="K255" s="10">
        <v>44552</v>
      </c>
      <c r="L255" s="10"/>
      <c r="M255" s="10">
        <v>44582</v>
      </c>
      <c r="N255" s="9">
        <v>2022</v>
      </c>
      <c r="O255" s="9" t="s">
        <v>1372</v>
      </c>
      <c r="P255" s="9" t="s">
        <v>53</v>
      </c>
      <c r="Q255" s="9" t="s">
        <v>53</v>
      </c>
      <c r="R255" s="9" t="s">
        <v>1377</v>
      </c>
      <c r="T255" s="9"/>
      <c r="V255" s="9"/>
      <c r="W255" s="11">
        <f>IFERROR(VLOOKUP(B255, PlumX_snapshot!$A:$B, 2, FALSE), " ")</f>
        <v>6</v>
      </c>
      <c r="X255" s="11">
        <f>IFERROR(VLOOKUP(B255, PlumX_snapshot!$A:$C, 3, FALSE), " ")</f>
        <v>0</v>
      </c>
      <c r="Y255" s="12">
        <f>IFERROR(VLOOKUP(B255, PlumX_snapshot!$A:$D, 4, FALSE), " ")</f>
        <v>2</v>
      </c>
      <c r="Z255" s="12">
        <f>IFERROR(VLOOKUP(B255, PlumX_snapshot!$A:$E, 5, FALSE), " ")</f>
        <v>0</v>
      </c>
      <c r="AA255" s="12">
        <f>IFERROR(VLOOKUP(B255, PlumX_snapshot!$A:$F, 6, FALSE), " ")</f>
        <v>0</v>
      </c>
      <c r="AB255" s="13">
        <v>44978</v>
      </c>
      <c r="AC255" s="9" t="s">
        <v>1277</v>
      </c>
      <c r="AH255" s="9">
        <v>2125</v>
      </c>
      <c r="AI255" s="9" t="s">
        <v>875</v>
      </c>
      <c r="AJ255" s="9" t="s">
        <v>301</v>
      </c>
      <c r="AK255" s="11" t="str">
        <f t="shared" si="0"/>
        <v>2022GBP</v>
      </c>
      <c r="AL255" s="11">
        <f>VLOOKUP(AK255, Exchange_rates!$C:$D, 2, FALSE)</f>
        <v>1</v>
      </c>
      <c r="AM255" s="14">
        <f t="shared" si="1"/>
        <v>2550</v>
      </c>
      <c r="AN255" s="9"/>
      <c r="AO255" s="9"/>
      <c r="AP255" s="9"/>
      <c r="AQ255" s="15" t="s">
        <v>49</v>
      </c>
      <c r="AR255" t="s">
        <v>1278</v>
      </c>
      <c r="AS255" s="16" t="s">
        <v>1279</v>
      </c>
    </row>
    <row r="256" spans="1:45" ht="14.5">
      <c r="A256" s="9" t="s">
        <v>1449</v>
      </c>
      <c r="B256" s="9" t="s">
        <v>1450</v>
      </c>
      <c r="C256" s="9" t="s">
        <v>1451</v>
      </c>
      <c r="D256" s="9" t="s">
        <v>1240</v>
      </c>
      <c r="E256" s="9" t="s">
        <v>49</v>
      </c>
      <c r="F256" s="9" t="s">
        <v>69</v>
      </c>
      <c r="G256" s="9" t="s">
        <v>70</v>
      </c>
      <c r="H256" s="9" t="s">
        <v>1448</v>
      </c>
      <c r="I256" s="9" t="s">
        <v>72</v>
      </c>
      <c r="J256" s="10"/>
      <c r="K256" s="10">
        <v>44558</v>
      </c>
      <c r="L256" s="10"/>
      <c r="M256" s="10">
        <v>44580</v>
      </c>
      <c r="N256" s="9">
        <v>2022</v>
      </c>
      <c r="O256" s="9" t="s">
        <v>1372</v>
      </c>
      <c r="P256" s="9" t="s">
        <v>53</v>
      </c>
      <c r="Q256" s="9" t="s">
        <v>53</v>
      </c>
      <c r="T256" s="9"/>
      <c r="V256" s="9"/>
      <c r="W256" s="11">
        <f>IFERROR(VLOOKUP(B256, PlumX_snapshot!$A:$B, 2, FALSE), " ")</f>
        <v>8</v>
      </c>
      <c r="X256" s="11">
        <f>IFERROR(VLOOKUP(B256, PlumX_snapshot!$A:$C, 3, FALSE), " ")</f>
        <v>4</v>
      </c>
      <c r="Y256" s="12">
        <f>IFERROR(VLOOKUP(B256, PlumX_snapshot!$A:$D, 4, FALSE), " ")</f>
        <v>3</v>
      </c>
      <c r="Z256" s="12">
        <f>IFERROR(VLOOKUP(B256, PlumX_snapshot!$A:$E, 5, FALSE), " ")</f>
        <v>0</v>
      </c>
      <c r="AA256" s="12">
        <f>IFERROR(VLOOKUP(B256, PlumX_snapshot!$A:$F, 6, FALSE), " ")</f>
        <v>0</v>
      </c>
      <c r="AB256" s="13">
        <v>44978</v>
      </c>
      <c r="AC256" s="9" t="s">
        <v>1452</v>
      </c>
      <c r="AH256" s="9">
        <v>1830</v>
      </c>
      <c r="AI256" s="9" t="s">
        <v>875</v>
      </c>
      <c r="AJ256" s="9" t="s">
        <v>301</v>
      </c>
      <c r="AK256" s="11" t="str">
        <f t="shared" si="0"/>
        <v>2022GBP</v>
      </c>
      <c r="AL256" s="11">
        <f>VLOOKUP(AK256, Exchange_rates!$C:$D, 2, FALSE)</f>
        <v>1</v>
      </c>
      <c r="AM256" s="14">
        <f t="shared" si="1"/>
        <v>2196</v>
      </c>
      <c r="AN256" s="9"/>
      <c r="AO256" s="9"/>
      <c r="AP256" s="9"/>
      <c r="AQ256" s="15" t="s">
        <v>49</v>
      </c>
      <c r="AR256" t="s">
        <v>1316</v>
      </c>
      <c r="AS256" s="16"/>
    </row>
    <row r="257" spans="1:45" ht="14.5">
      <c r="A257" s="9" t="s">
        <v>1453</v>
      </c>
      <c r="B257" s="9" t="s">
        <v>1454</v>
      </c>
      <c r="C257" s="9" t="s">
        <v>1455</v>
      </c>
      <c r="D257" s="9" t="s">
        <v>1240</v>
      </c>
      <c r="E257" s="9" t="s">
        <v>49</v>
      </c>
      <c r="F257" s="9" t="s">
        <v>69</v>
      </c>
      <c r="G257" s="9" t="s">
        <v>70</v>
      </c>
      <c r="H257" s="9" t="s">
        <v>1448</v>
      </c>
      <c r="I257" s="9" t="s">
        <v>72</v>
      </c>
      <c r="J257" s="10"/>
      <c r="K257" s="10">
        <v>44596</v>
      </c>
      <c r="L257" s="10"/>
      <c r="M257" s="10">
        <v>44615</v>
      </c>
      <c r="N257" s="9">
        <v>2022</v>
      </c>
      <c r="O257" s="9" t="s">
        <v>1372</v>
      </c>
      <c r="P257" s="9" t="s">
        <v>83</v>
      </c>
      <c r="Q257" s="9" t="s">
        <v>53</v>
      </c>
      <c r="R257" s="9" t="s">
        <v>1456</v>
      </c>
      <c r="T257" s="9"/>
      <c r="V257" s="9"/>
      <c r="W257" s="11">
        <f>IFERROR(VLOOKUP(B257, PlumX_snapshot!$A:$B, 2, FALSE), " ")</f>
        <v>36</v>
      </c>
      <c r="X257" s="11">
        <f>IFERROR(VLOOKUP(B257, PlumX_snapshot!$A:$C, 3, FALSE), " ")</f>
        <v>15</v>
      </c>
      <c r="Y257" s="12">
        <f>IFERROR(VLOOKUP(B257, PlumX_snapshot!$A:$D, 4, FALSE), " ")</f>
        <v>24</v>
      </c>
      <c r="Z257" s="12">
        <f>IFERROR(VLOOKUP(B257, PlumX_snapshot!$A:$E, 5, FALSE), " ")</f>
        <v>0</v>
      </c>
      <c r="AA257" s="12">
        <f>IFERROR(VLOOKUP(B257, PlumX_snapshot!$A:$F, 6, FALSE), " ")</f>
        <v>0</v>
      </c>
      <c r="AB257" s="13">
        <v>44978</v>
      </c>
      <c r="AC257" s="9" t="s">
        <v>1457</v>
      </c>
      <c r="AH257" s="9">
        <v>2125</v>
      </c>
      <c r="AI257" s="9" t="s">
        <v>875</v>
      </c>
      <c r="AJ257" s="9" t="s">
        <v>301</v>
      </c>
      <c r="AK257" s="11" t="str">
        <f t="shared" ref="AK257:AK511" si="2">CONCATENATE(N257,AJ257)</f>
        <v>2022GBP</v>
      </c>
      <c r="AL257" s="11">
        <f>VLOOKUP(AK257, Exchange_rates!$C:$D, 2, FALSE)</f>
        <v>1</v>
      </c>
      <c r="AM257" s="14">
        <f t="shared" ref="AM257:AM511" si="3">IFERROR(((AH257*AL257)*1.2), "")</f>
        <v>2550</v>
      </c>
      <c r="AN257" s="9"/>
      <c r="AO257" s="9"/>
      <c r="AP257" s="9"/>
      <c r="AQ257" s="15" t="s">
        <v>49</v>
      </c>
      <c r="AR257" t="s">
        <v>1458</v>
      </c>
      <c r="AS257" s="16" t="s">
        <v>1459</v>
      </c>
    </row>
    <row r="258" spans="1:45" ht="14.5">
      <c r="A258" s="9" t="s">
        <v>1460</v>
      </c>
      <c r="B258" s="9" t="s">
        <v>1461</v>
      </c>
      <c r="C258" s="9" t="s">
        <v>1462</v>
      </c>
      <c r="D258" s="9" t="s">
        <v>1240</v>
      </c>
      <c r="E258" s="9" t="s">
        <v>49</v>
      </c>
      <c r="F258" s="9" t="s">
        <v>69</v>
      </c>
      <c r="G258" s="9" t="s">
        <v>70</v>
      </c>
      <c r="H258" s="9" t="s">
        <v>1448</v>
      </c>
      <c r="I258" s="9" t="s">
        <v>72</v>
      </c>
      <c r="J258" s="10"/>
      <c r="K258" s="10">
        <v>44622</v>
      </c>
      <c r="L258" s="10"/>
      <c r="M258" s="10">
        <v>44642</v>
      </c>
      <c r="N258" s="9">
        <v>2022</v>
      </c>
      <c r="O258" s="9" t="s">
        <v>1372</v>
      </c>
      <c r="P258" s="9" t="s">
        <v>53</v>
      </c>
      <c r="Q258" s="9" t="s">
        <v>53</v>
      </c>
      <c r="R258" s="9" t="s">
        <v>1377</v>
      </c>
      <c r="T258" s="9"/>
      <c r="V258" s="9"/>
      <c r="W258" s="11">
        <f>IFERROR(VLOOKUP(B258, PlumX_snapshot!$A:$B, 2, FALSE), " ")</f>
        <v>1</v>
      </c>
      <c r="X258" s="11">
        <f>IFERROR(VLOOKUP(B258, PlumX_snapshot!$A:$C, 3, FALSE), " ")</f>
        <v>0</v>
      </c>
      <c r="Y258" s="12">
        <f>IFERROR(VLOOKUP(B258, PlumX_snapshot!$A:$D, 4, FALSE), " ")</f>
        <v>5</v>
      </c>
      <c r="Z258" s="12">
        <f>IFERROR(VLOOKUP(B258, PlumX_snapshot!$A:$E, 5, FALSE), " ")</f>
        <v>0</v>
      </c>
      <c r="AA258" s="12">
        <f>IFERROR(VLOOKUP(B258, PlumX_snapshot!$A:$F, 6, FALSE), " ")</f>
        <v>0</v>
      </c>
      <c r="AB258" s="13">
        <v>44978</v>
      </c>
      <c r="AC258" s="9" t="s">
        <v>1463</v>
      </c>
      <c r="AH258" s="9">
        <v>2125</v>
      </c>
      <c r="AI258" s="9" t="s">
        <v>875</v>
      </c>
      <c r="AJ258" s="9" t="s">
        <v>301</v>
      </c>
      <c r="AK258" s="11" t="str">
        <f t="shared" si="2"/>
        <v>2022GBP</v>
      </c>
      <c r="AL258" s="11">
        <f>VLOOKUP(AK258, Exchange_rates!$C:$D, 2, FALSE)</f>
        <v>1</v>
      </c>
      <c r="AM258" s="14">
        <f t="shared" si="3"/>
        <v>2550</v>
      </c>
      <c r="AN258" s="9"/>
      <c r="AO258" s="9"/>
      <c r="AP258" s="9"/>
      <c r="AQ258" s="15" t="s">
        <v>49</v>
      </c>
      <c r="AR258" t="s">
        <v>1464</v>
      </c>
      <c r="AS258" s="16" t="s">
        <v>1465</v>
      </c>
    </row>
    <row r="259" spans="1:45" ht="14.5">
      <c r="A259" s="9" t="s">
        <v>1466</v>
      </c>
      <c r="B259" s="9" t="s">
        <v>1467</v>
      </c>
      <c r="C259" s="9" t="s">
        <v>1468</v>
      </c>
      <c r="D259" s="9" t="s">
        <v>1240</v>
      </c>
      <c r="E259" s="9" t="s">
        <v>49</v>
      </c>
      <c r="F259" s="9" t="s">
        <v>69</v>
      </c>
      <c r="G259" s="9" t="s">
        <v>70</v>
      </c>
      <c r="H259" s="9" t="s">
        <v>1448</v>
      </c>
      <c r="I259" s="9" t="s">
        <v>72</v>
      </c>
      <c r="J259" s="10"/>
      <c r="K259" s="10">
        <v>44645</v>
      </c>
      <c r="L259" s="10"/>
      <c r="M259" s="10">
        <v>44665</v>
      </c>
      <c r="N259" s="9">
        <v>2022</v>
      </c>
      <c r="O259" s="9" t="s">
        <v>1372</v>
      </c>
      <c r="P259" s="9" t="s">
        <v>83</v>
      </c>
      <c r="Q259" s="9" t="s">
        <v>53</v>
      </c>
      <c r="R259" s="9" t="s">
        <v>117</v>
      </c>
      <c r="T259" s="9"/>
      <c r="V259" s="9"/>
      <c r="W259" s="11">
        <f>IFERROR(VLOOKUP(B259, PlumX_snapshot!$A:$B, 2, FALSE), " ")</f>
        <v>3</v>
      </c>
      <c r="X259" s="11">
        <f>IFERROR(VLOOKUP(B259, PlumX_snapshot!$A:$C, 3, FALSE), " ")</f>
        <v>0</v>
      </c>
      <c r="Y259" s="12">
        <f>IFERROR(VLOOKUP(B259, PlumX_snapshot!$A:$D, 4, FALSE), " ")</f>
        <v>0</v>
      </c>
      <c r="Z259" s="12">
        <f>IFERROR(VLOOKUP(B259, PlumX_snapshot!$A:$E, 5, FALSE), " ")</f>
        <v>0</v>
      </c>
      <c r="AA259" s="12">
        <f>IFERROR(VLOOKUP(B259, PlumX_snapshot!$A:$F, 6, FALSE), " ")</f>
        <v>0</v>
      </c>
      <c r="AB259" s="13">
        <v>44978</v>
      </c>
      <c r="AC259" s="9" t="s">
        <v>1381</v>
      </c>
      <c r="AH259" s="9">
        <v>2125</v>
      </c>
      <c r="AI259" s="9" t="s">
        <v>875</v>
      </c>
      <c r="AJ259" s="9" t="s">
        <v>301</v>
      </c>
      <c r="AK259" s="11" t="str">
        <f t="shared" si="2"/>
        <v>2022GBP</v>
      </c>
      <c r="AL259" s="11">
        <f>VLOOKUP(AK259, Exchange_rates!$C:$D, 2, FALSE)</f>
        <v>1</v>
      </c>
      <c r="AM259" s="14">
        <f t="shared" si="3"/>
        <v>2550</v>
      </c>
      <c r="AN259" s="9"/>
      <c r="AO259" s="9"/>
      <c r="AP259" s="9"/>
      <c r="AQ259" s="15" t="s">
        <v>49</v>
      </c>
      <c r="AR259" t="s">
        <v>1301</v>
      </c>
      <c r="AS259" s="16" t="s">
        <v>1302</v>
      </c>
    </row>
    <row r="260" spans="1:45" ht="14.5">
      <c r="A260" s="9" t="s">
        <v>1469</v>
      </c>
      <c r="B260" s="9" t="s">
        <v>1470</v>
      </c>
      <c r="C260" s="9" t="s">
        <v>1388</v>
      </c>
      <c r="D260" s="9" t="s">
        <v>1240</v>
      </c>
      <c r="E260" s="9" t="s">
        <v>49</v>
      </c>
      <c r="F260" s="9" t="s">
        <v>69</v>
      </c>
      <c r="G260" s="9" t="s">
        <v>70</v>
      </c>
      <c r="H260" s="9" t="s">
        <v>1448</v>
      </c>
      <c r="I260" s="9" t="s">
        <v>72</v>
      </c>
      <c r="J260" s="10"/>
      <c r="K260" s="10">
        <v>44670</v>
      </c>
      <c r="L260" s="10"/>
      <c r="M260" s="10">
        <v>44809</v>
      </c>
      <c r="N260" s="9">
        <v>2022</v>
      </c>
      <c r="O260" s="9" t="s">
        <v>1372</v>
      </c>
      <c r="P260" s="9" t="s">
        <v>83</v>
      </c>
      <c r="Q260" s="9" t="s">
        <v>53</v>
      </c>
      <c r="R260" s="9" t="s">
        <v>1471</v>
      </c>
      <c r="T260" s="9"/>
      <c r="V260" s="9"/>
      <c r="W260" s="11">
        <f>IFERROR(VLOOKUP(B260, PlumX_snapshot!$A:$B, 2, FALSE), " ")</f>
        <v>10</v>
      </c>
      <c r="X260" s="11">
        <f>IFERROR(VLOOKUP(B260, PlumX_snapshot!$A:$C, 3, FALSE), " ")</f>
        <v>1</v>
      </c>
      <c r="Y260" s="12">
        <f>IFERROR(VLOOKUP(B260, PlumX_snapshot!$A:$D, 4, FALSE), " ")</f>
        <v>0</v>
      </c>
      <c r="Z260" s="12">
        <f>IFERROR(VLOOKUP(B260, PlumX_snapshot!$A:$E, 5, FALSE), " ")</f>
        <v>0</v>
      </c>
      <c r="AA260" s="12">
        <f>IFERROR(VLOOKUP(B260, PlumX_snapshot!$A:$F, 6, FALSE), " ")</f>
        <v>0</v>
      </c>
      <c r="AB260" s="13">
        <v>44978</v>
      </c>
      <c r="AC260" s="9" t="s">
        <v>1472</v>
      </c>
      <c r="AH260" s="9">
        <v>2125</v>
      </c>
      <c r="AI260" s="9" t="s">
        <v>875</v>
      </c>
      <c r="AJ260" s="9" t="s">
        <v>301</v>
      </c>
      <c r="AK260" s="11" t="str">
        <f t="shared" si="2"/>
        <v>2022GBP</v>
      </c>
      <c r="AL260" s="11">
        <f>VLOOKUP(AK260, Exchange_rates!$C:$D, 2, FALSE)</f>
        <v>1</v>
      </c>
      <c r="AM260" s="14">
        <f t="shared" si="3"/>
        <v>2550</v>
      </c>
      <c r="AN260" s="9"/>
      <c r="AO260" s="9"/>
      <c r="AP260" s="9"/>
      <c r="AQ260" s="15" t="s">
        <v>49</v>
      </c>
      <c r="AR260" t="s">
        <v>1283</v>
      </c>
      <c r="AS260" s="16" t="s">
        <v>1284</v>
      </c>
    </row>
    <row r="261" spans="1:45" ht="14.5">
      <c r="A261" s="9" t="s">
        <v>1473</v>
      </c>
      <c r="B261" s="9" t="s">
        <v>1474</v>
      </c>
      <c r="C261" s="9" t="s">
        <v>1393</v>
      </c>
      <c r="D261" s="9" t="s">
        <v>1240</v>
      </c>
      <c r="E261" s="9" t="s">
        <v>49</v>
      </c>
      <c r="F261" s="9" t="s">
        <v>69</v>
      </c>
      <c r="G261" s="9" t="s">
        <v>70</v>
      </c>
      <c r="H261" s="9" t="s">
        <v>1448</v>
      </c>
      <c r="I261" s="9" t="s">
        <v>72</v>
      </c>
      <c r="J261" s="10"/>
      <c r="K261" s="10">
        <v>44725</v>
      </c>
      <c r="L261" s="10"/>
      <c r="M261" s="10">
        <v>44739</v>
      </c>
      <c r="N261" s="9">
        <v>2022</v>
      </c>
      <c r="O261" s="9" t="s">
        <v>1372</v>
      </c>
      <c r="P261" s="9" t="s">
        <v>83</v>
      </c>
      <c r="Q261" s="9" t="s">
        <v>53</v>
      </c>
      <c r="R261" s="9" t="s">
        <v>1475</v>
      </c>
      <c r="T261" s="9"/>
      <c r="V261" s="9"/>
      <c r="W261" s="11">
        <f>IFERROR(VLOOKUP(B261, PlumX_snapshot!$A:$B, 2, FALSE), " ")</f>
        <v>4</v>
      </c>
      <c r="X261" s="11">
        <f>IFERROR(VLOOKUP(B261, PlumX_snapshot!$A:$C, 3, FALSE), " ")</f>
        <v>0</v>
      </c>
      <c r="Y261" s="12">
        <f>IFERROR(VLOOKUP(B261, PlumX_snapshot!$A:$D, 4, FALSE), " ")</f>
        <v>0</v>
      </c>
      <c r="Z261" s="12">
        <f>IFERROR(VLOOKUP(B261, PlumX_snapshot!$A:$E, 5, FALSE), " ")</f>
        <v>0</v>
      </c>
      <c r="AA261" s="12">
        <f>IFERROR(VLOOKUP(B261, PlumX_snapshot!$A:$F, 6, FALSE), " ")</f>
        <v>0</v>
      </c>
      <c r="AB261" s="13">
        <v>44978</v>
      </c>
      <c r="AC261" s="9" t="s">
        <v>1476</v>
      </c>
      <c r="AH261" s="9">
        <v>2640</v>
      </c>
      <c r="AI261" s="9" t="s">
        <v>875</v>
      </c>
      <c r="AJ261" s="9" t="s">
        <v>301</v>
      </c>
      <c r="AK261" s="11" t="str">
        <f t="shared" si="2"/>
        <v>2022GBP</v>
      </c>
      <c r="AL261" s="11">
        <f>VLOOKUP(AK261, Exchange_rates!$C:$D, 2, FALSE)</f>
        <v>1</v>
      </c>
      <c r="AM261" s="14">
        <f t="shared" si="3"/>
        <v>3168</v>
      </c>
      <c r="AN261" s="9"/>
      <c r="AO261" s="9"/>
      <c r="AP261" s="9"/>
      <c r="AQ261" s="15" t="s">
        <v>49</v>
      </c>
      <c r="AR261" t="s">
        <v>1396</v>
      </c>
      <c r="AS261" s="16"/>
    </row>
    <row r="262" spans="1:45" ht="14.5">
      <c r="A262" s="9" t="s">
        <v>1477</v>
      </c>
      <c r="B262" s="9" t="s">
        <v>1478</v>
      </c>
      <c r="C262" s="9" t="s">
        <v>1276</v>
      </c>
      <c r="D262" s="9" t="s">
        <v>1240</v>
      </c>
      <c r="E262" s="9" t="s">
        <v>49</v>
      </c>
      <c r="F262" s="9" t="s">
        <v>69</v>
      </c>
      <c r="G262" s="9" t="s">
        <v>70</v>
      </c>
      <c r="H262" s="9" t="s">
        <v>1448</v>
      </c>
      <c r="I262" s="9" t="s">
        <v>72</v>
      </c>
      <c r="J262" s="10"/>
      <c r="K262" s="10">
        <v>44729</v>
      </c>
      <c r="L262" s="10"/>
      <c r="M262" s="10">
        <v>44688</v>
      </c>
      <c r="N262" s="9">
        <v>2022</v>
      </c>
      <c r="O262" s="9" t="s">
        <v>1372</v>
      </c>
      <c r="P262" s="9" t="s">
        <v>53</v>
      </c>
      <c r="Q262" s="9" t="s">
        <v>53</v>
      </c>
      <c r="R262" s="9" t="s">
        <v>1377</v>
      </c>
      <c r="T262" s="9"/>
      <c r="V262" s="9"/>
      <c r="W262" s="11">
        <f>IFERROR(VLOOKUP(B262, PlumX_snapshot!$A:$B, 2, FALSE), " ")</f>
        <v>3</v>
      </c>
      <c r="X262" s="11">
        <f>IFERROR(VLOOKUP(B262, PlumX_snapshot!$A:$C, 3, FALSE), " ")</f>
        <v>0</v>
      </c>
      <c r="Y262" s="12">
        <f>IFERROR(VLOOKUP(B262, PlumX_snapshot!$A:$D, 4, FALSE), " ")</f>
        <v>0</v>
      </c>
      <c r="Z262" s="12">
        <f>IFERROR(VLOOKUP(B262, PlumX_snapshot!$A:$E, 5, FALSE), " ")</f>
        <v>0</v>
      </c>
      <c r="AA262" s="12">
        <f>IFERROR(VLOOKUP(B262, PlumX_snapshot!$A:$F, 6, FALSE), " ")</f>
        <v>0</v>
      </c>
      <c r="AB262" s="13">
        <v>44978</v>
      </c>
      <c r="AC262" s="9" t="s">
        <v>1277</v>
      </c>
      <c r="AH262" s="9">
        <v>2125</v>
      </c>
      <c r="AI262" s="9" t="s">
        <v>875</v>
      </c>
      <c r="AJ262" s="9" t="s">
        <v>301</v>
      </c>
      <c r="AK262" s="11" t="str">
        <f t="shared" si="2"/>
        <v>2022GBP</v>
      </c>
      <c r="AL262" s="11">
        <f>VLOOKUP(AK262, Exchange_rates!$C:$D, 2, FALSE)</f>
        <v>1</v>
      </c>
      <c r="AM262" s="14">
        <f t="shared" si="3"/>
        <v>2550</v>
      </c>
      <c r="AN262" s="9"/>
      <c r="AO262" s="9"/>
      <c r="AP262" s="9"/>
      <c r="AQ262" s="15" t="s">
        <v>49</v>
      </c>
      <c r="AR262" t="s">
        <v>1278</v>
      </c>
      <c r="AS262" s="16" t="s">
        <v>1279</v>
      </c>
    </row>
    <row r="263" spans="1:45" ht="14.5">
      <c r="A263" s="9" t="s">
        <v>1479</v>
      </c>
      <c r="B263" s="9" t="s">
        <v>1480</v>
      </c>
      <c r="C263" s="9" t="s">
        <v>1331</v>
      </c>
      <c r="D263" s="9" t="s">
        <v>1240</v>
      </c>
      <c r="E263" s="9" t="s">
        <v>49</v>
      </c>
      <c r="F263" s="9" t="s">
        <v>69</v>
      </c>
      <c r="G263" s="9" t="s">
        <v>70</v>
      </c>
      <c r="H263" s="9" t="s">
        <v>1448</v>
      </c>
      <c r="I263" s="9" t="s">
        <v>72</v>
      </c>
      <c r="J263" s="10"/>
      <c r="K263" s="10">
        <v>44732</v>
      </c>
      <c r="L263" s="10"/>
      <c r="M263" s="10">
        <v>44688</v>
      </c>
      <c r="N263" s="9">
        <v>2022</v>
      </c>
      <c r="O263" s="9" t="s">
        <v>1372</v>
      </c>
      <c r="P263" s="9" t="s">
        <v>83</v>
      </c>
      <c r="Q263" s="9" t="s">
        <v>53</v>
      </c>
      <c r="R263" s="9" t="s">
        <v>1481</v>
      </c>
      <c r="T263" s="9"/>
      <c r="V263" s="9"/>
      <c r="W263" s="11">
        <f>IFERROR(VLOOKUP(B263, PlumX_snapshot!$A:$B, 2, FALSE), " ")</f>
        <v>14</v>
      </c>
      <c r="X263" s="11">
        <f>IFERROR(VLOOKUP(B263, PlumX_snapshot!$A:$C, 3, FALSE), " ")</f>
        <v>3</v>
      </c>
      <c r="Y263" s="12">
        <f>IFERROR(VLOOKUP(B263, PlumX_snapshot!$A:$D, 4, FALSE), " ")</f>
        <v>0</v>
      </c>
      <c r="Z263" s="12">
        <f>IFERROR(VLOOKUP(B263, PlumX_snapshot!$A:$E, 5, FALSE), " ")</f>
        <v>0</v>
      </c>
      <c r="AA263" s="12">
        <f>IFERROR(VLOOKUP(B263, PlumX_snapshot!$A:$F, 6, FALSE), " ")</f>
        <v>0</v>
      </c>
      <c r="AB263" s="13">
        <v>44978</v>
      </c>
      <c r="AC263" s="9" t="s">
        <v>1482</v>
      </c>
      <c r="AH263" s="9">
        <v>2000</v>
      </c>
      <c r="AI263" s="9" t="s">
        <v>875</v>
      </c>
      <c r="AJ263" s="9" t="s">
        <v>301</v>
      </c>
      <c r="AK263" s="11" t="str">
        <f t="shared" si="2"/>
        <v>2022GBP</v>
      </c>
      <c r="AL263" s="11">
        <f>VLOOKUP(AK263, Exchange_rates!$C:$D, 2, FALSE)</f>
        <v>1</v>
      </c>
      <c r="AM263" s="14">
        <f t="shared" si="3"/>
        <v>2400</v>
      </c>
      <c r="AN263" s="9"/>
      <c r="AO263" s="9"/>
      <c r="AP263" s="9"/>
      <c r="AQ263" s="15" t="s">
        <v>49</v>
      </c>
      <c r="AR263" t="s">
        <v>1336</v>
      </c>
      <c r="AS263" s="16" t="s">
        <v>1337</v>
      </c>
    </row>
    <row r="264" spans="1:45" ht="14.5">
      <c r="A264" s="9" t="s">
        <v>1483</v>
      </c>
      <c r="B264" s="9" t="s">
        <v>1484</v>
      </c>
      <c r="C264" s="9" t="s">
        <v>1331</v>
      </c>
      <c r="D264" s="9" t="s">
        <v>1240</v>
      </c>
      <c r="E264" s="9" t="s">
        <v>49</v>
      </c>
      <c r="F264" s="9" t="s">
        <v>69</v>
      </c>
      <c r="G264" s="9" t="s">
        <v>70</v>
      </c>
      <c r="H264" s="9" t="s">
        <v>1448</v>
      </c>
      <c r="I264" s="9" t="s">
        <v>72</v>
      </c>
      <c r="J264" s="10"/>
      <c r="K264" s="10">
        <v>44732</v>
      </c>
      <c r="L264" s="10"/>
      <c r="M264" s="10">
        <v>44872</v>
      </c>
      <c r="N264" s="9">
        <v>2022</v>
      </c>
      <c r="O264" s="9" t="s">
        <v>1372</v>
      </c>
      <c r="P264" s="9" t="s">
        <v>83</v>
      </c>
      <c r="Q264" s="9" t="s">
        <v>53</v>
      </c>
      <c r="R264" s="9" t="s">
        <v>1485</v>
      </c>
      <c r="T264" s="9"/>
      <c r="V264" s="9"/>
      <c r="W264" s="11">
        <f>IFERROR(VLOOKUP(B264, PlumX_snapshot!$A:$B, 2, FALSE), " ")</f>
        <v>1</v>
      </c>
      <c r="X264" s="11">
        <f>IFERROR(VLOOKUP(B264, PlumX_snapshot!$A:$C, 3, FALSE), " ")</f>
        <v>0</v>
      </c>
      <c r="Y264" s="12">
        <f>IFERROR(VLOOKUP(B264, PlumX_snapshot!$A:$D, 4, FALSE), " ")</f>
        <v>0</v>
      </c>
      <c r="Z264" s="12">
        <f>IFERROR(VLOOKUP(B264, PlumX_snapshot!$A:$E, 5, FALSE), " ")</f>
        <v>0</v>
      </c>
      <c r="AA264" s="12">
        <f>IFERROR(VLOOKUP(B264, PlumX_snapshot!$A:$F, 6, FALSE), " ")</f>
        <v>0</v>
      </c>
      <c r="AB264" s="13">
        <v>44978</v>
      </c>
      <c r="AC264" s="9" t="s">
        <v>1486</v>
      </c>
      <c r="AH264" s="9">
        <v>2000</v>
      </c>
      <c r="AI264" s="9" t="s">
        <v>875</v>
      </c>
      <c r="AJ264" s="9" t="s">
        <v>301</v>
      </c>
      <c r="AK264" s="11" t="str">
        <f t="shared" si="2"/>
        <v>2022GBP</v>
      </c>
      <c r="AL264" s="11">
        <f>VLOOKUP(AK264, Exchange_rates!$C:$D, 2, FALSE)</f>
        <v>1</v>
      </c>
      <c r="AM264" s="14">
        <f t="shared" si="3"/>
        <v>2400</v>
      </c>
      <c r="AN264" s="9"/>
      <c r="AO264" s="9"/>
      <c r="AP264" s="9"/>
      <c r="AQ264" s="15" t="s">
        <v>49</v>
      </c>
      <c r="AR264" t="s">
        <v>1336</v>
      </c>
      <c r="AS264" s="16" t="s">
        <v>1337</v>
      </c>
    </row>
    <row r="265" spans="1:45" ht="14.5">
      <c r="A265" s="9" t="s">
        <v>1487</v>
      </c>
      <c r="B265" s="9" t="s">
        <v>1488</v>
      </c>
      <c r="C265" s="9" t="s">
        <v>1388</v>
      </c>
      <c r="D265" s="9" t="s">
        <v>1240</v>
      </c>
      <c r="E265" s="9" t="s">
        <v>49</v>
      </c>
      <c r="F265" s="9" t="s">
        <v>69</v>
      </c>
      <c r="G265" s="9" t="s">
        <v>70</v>
      </c>
      <c r="H265" s="9" t="s">
        <v>1448</v>
      </c>
      <c r="I265" s="9" t="s">
        <v>72</v>
      </c>
      <c r="J265" s="10"/>
      <c r="K265" s="10">
        <v>44734</v>
      </c>
      <c r="L265" s="10"/>
      <c r="M265" s="10">
        <v>44756</v>
      </c>
      <c r="N265" s="9">
        <v>2022</v>
      </c>
      <c r="O265" s="9" t="s">
        <v>1372</v>
      </c>
      <c r="P265" s="9" t="s">
        <v>83</v>
      </c>
      <c r="Q265" s="9" t="s">
        <v>53</v>
      </c>
      <c r="R265" s="9" t="s">
        <v>1489</v>
      </c>
      <c r="T265" s="9"/>
      <c r="V265" s="9"/>
      <c r="W265" s="11">
        <f>IFERROR(VLOOKUP(B265, PlumX_snapshot!$A:$B, 2, FALSE), " ")</f>
        <v>5</v>
      </c>
      <c r="X265" s="11">
        <f>IFERROR(VLOOKUP(B265, PlumX_snapshot!$A:$C, 3, FALSE), " ")</f>
        <v>0</v>
      </c>
      <c r="Y265" s="12">
        <f>IFERROR(VLOOKUP(B265, PlumX_snapshot!$A:$D, 4, FALSE), " ")</f>
        <v>2</v>
      </c>
      <c r="Z265" s="12">
        <f>IFERROR(VLOOKUP(B265, PlumX_snapshot!$A:$E, 5, FALSE), " ")</f>
        <v>0</v>
      </c>
      <c r="AA265" s="12">
        <f>IFERROR(VLOOKUP(B265, PlumX_snapshot!$A:$F, 6, FALSE), " ")</f>
        <v>0</v>
      </c>
      <c r="AB265" s="13">
        <v>44978</v>
      </c>
      <c r="AC265" s="9" t="s">
        <v>1490</v>
      </c>
      <c r="AH265" s="9">
        <v>2125</v>
      </c>
      <c r="AI265" s="9" t="s">
        <v>875</v>
      </c>
      <c r="AJ265" s="9" t="s">
        <v>301</v>
      </c>
      <c r="AK265" s="11" t="str">
        <f t="shared" si="2"/>
        <v>2022GBP</v>
      </c>
      <c r="AL265" s="11">
        <f>VLOOKUP(AK265, Exchange_rates!$C:$D, 2, FALSE)</f>
        <v>1</v>
      </c>
      <c r="AM265" s="14">
        <f t="shared" si="3"/>
        <v>2550</v>
      </c>
      <c r="AN265" s="9"/>
      <c r="AO265" s="9"/>
      <c r="AP265" s="9"/>
      <c r="AQ265" s="15" t="s">
        <v>49</v>
      </c>
      <c r="AR265" t="s">
        <v>1283</v>
      </c>
      <c r="AS265" s="16" t="s">
        <v>1284</v>
      </c>
    </row>
    <row r="266" spans="1:45" ht="14.5">
      <c r="A266" s="9" t="s">
        <v>1491</v>
      </c>
      <c r="B266" s="9" t="s">
        <v>1492</v>
      </c>
      <c r="C266" s="9" t="s">
        <v>1393</v>
      </c>
      <c r="D266" s="9" t="s">
        <v>1240</v>
      </c>
      <c r="E266" s="9" t="s">
        <v>49</v>
      </c>
      <c r="F266" s="9" t="s">
        <v>69</v>
      </c>
      <c r="G266" s="9" t="s">
        <v>70</v>
      </c>
      <c r="H266" s="9" t="s">
        <v>1448</v>
      </c>
      <c r="I266" s="9" t="s">
        <v>72</v>
      </c>
      <c r="J266" s="10"/>
      <c r="K266" s="10">
        <v>44735</v>
      </c>
      <c r="L266" s="10"/>
      <c r="M266" s="10">
        <v>44902</v>
      </c>
      <c r="N266" s="9">
        <v>2022</v>
      </c>
      <c r="O266" s="9" t="s">
        <v>1372</v>
      </c>
      <c r="P266" s="9" t="s">
        <v>83</v>
      </c>
      <c r="Q266" s="9" t="s">
        <v>53</v>
      </c>
      <c r="R266" s="9" t="s">
        <v>1373</v>
      </c>
      <c r="T266" s="9"/>
      <c r="V266" s="9"/>
      <c r="W266" s="11">
        <f>IFERROR(VLOOKUP(B266, PlumX_snapshot!$A:$B, 2, FALSE), " ")</f>
        <v>2</v>
      </c>
      <c r="X266" s="11">
        <f>IFERROR(VLOOKUP(B266, PlumX_snapshot!$A:$C, 3, FALSE), " ")</f>
        <v>0</v>
      </c>
      <c r="Y266" s="12">
        <f>IFERROR(VLOOKUP(B266, PlumX_snapshot!$A:$D, 4, FALSE), " ")</f>
        <v>0</v>
      </c>
      <c r="Z266" s="12">
        <f>IFERROR(VLOOKUP(B266, PlumX_snapshot!$A:$E, 5, FALSE), " ")</f>
        <v>0</v>
      </c>
      <c r="AA266" s="12">
        <f>IFERROR(VLOOKUP(B266, PlumX_snapshot!$A:$F, 6, FALSE), " ")</f>
        <v>0</v>
      </c>
      <c r="AB266" s="13">
        <v>44978</v>
      </c>
      <c r="AC266" s="9" t="s">
        <v>1493</v>
      </c>
      <c r="AH266" s="9">
        <v>2640</v>
      </c>
      <c r="AI266" s="9" t="s">
        <v>875</v>
      </c>
      <c r="AJ266" s="9" t="s">
        <v>301</v>
      </c>
      <c r="AK266" s="11" t="str">
        <f t="shared" si="2"/>
        <v>2022GBP</v>
      </c>
      <c r="AL266" s="11">
        <f>VLOOKUP(AK266, Exchange_rates!$C:$D, 2, FALSE)</f>
        <v>1</v>
      </c>
      <c r="AM266" s="14">
        <f t="shared" si="3"/>
        <v>3168</v>
      </c>
      <c r="AN266" s="9"/>
      <c r="AO266" s="9"/>
      <c r="AP266" s="9"/>
      <c r="AQ266" s="15" t="s">
        <v>49</v>
      </c>
      <c r="AR266" t="s">
        <v>1396</v>
      </c>
      <c r="AS266" s="16"/>
    </row>
    <row r="267" spans="1:45" ht="14.5">
      <c r="A267" s="9" t="s">
        <v>1494</v>
      </c>
      <c r="B267" s="9" t="s">
        <v>1495</v>
      </c>
      <c r="C267" s="9" t="s">
        <v>1388</v>
      </c>
      <c r="D267" s="9" t="s">
        <v>1240</v>
      </c>
      <c r="E267" s="9" t="s">
        <v>49</v>
      </c>
      <c r="F267" s="9" t="s">
        <v>69</v>
      </c>
      <c r="G267" s="9" t="s">
        <v>70</v>
      </c>
      <c r="H267" s="9" t="s">
        <v>1448</v>
      </c>
      <c r="I267" s="9" t="s">
        <v>72</v>
      </c>
      <c r="J267" s="10"/>
      <c r="K267" s="10">
        <v>44774</v>
      </c>
      <c r="L267" s="10"/>
      <c r="M267" s="10">
        <v>44792</v>
      </c>
      <c r="N267" s="9">
        <v>2022</v>
      </c>
      <c r="O267" s="9" t="s">
        <v>1372</v>
      </c>
      <c r="P267" s="9" t="s">
        <v>83</v>
      </c>
      <c r="Q267" s="9" t="s">
        <v>53</v>
      </c>
      <c r="R267" s="9" t="s">
        <v>117</v>
      </c>
      <c r="T267" s="9"/>
      <c r="V267" s="9"/>
      <c r="W267" s="11">
        <f>IFERROR(VLOOKUP(B267, PlumX_snapshot!$A:$B, 2, FALSE), " ")</f>
        <v>4</v>
      </c>
      <c r="X267" s="11">
        <f>IFERROR(VLOOKUP(B267, PlumX_snapshot!$A:$C, 3, FALSE), " ")</f>
        <v>0</v>
      </c>
      <c r="Y267" s="12">
        <f>IFERROR(VLOOKUP(B267, PlumX_snapshot!$A:$D, 4, FALSE), " ")</f>
        <v>0</v>
      </c>
      <c r="Z267" s="12">
        <f>IFERROR(VLOOKUP(B267, PlumX_snapshot!$A:$E, 5, FALSE), " ")</f>
        <v>0</v>
      </c>
      <c r="AA267" s="12">
        <f>IFERROR(VLOOKUP(B267, PlumX_snapshot!$A:$F, 6, FALSE), " ")</f>
        <v>0</v>
      </c>
      <c r="AB267" s="13">
        <v>44978</v>
      </c>
      <c r="AC267" s="9" t="s">
        <v>1496</v>
      </c>
      <c r="AH267" s="9">
        <v>2125</v>
      </c>
      <c r="AI267" s="9" t="s">
        <v>875</v>
      </c>
      <c r="AJ267" s="9" t="s">
        <v>301</v>
      </c>
      <c r="AK267" s="11" t="str">
        <f t="shared" si="2"/>
        <v>2022GBP</v>
      </c>
      <c r="AL267" s="11">
        <f>VLOOKUP(AK267, Exchange_rates!$C:$D, 2, FALSE)</f>
        <v>1</v>
      </c>
      <c r="AM267" s="14">
        <f t="shared" si="3"/>
        <v>2550</v>
      </c>
      <c r="AN267" s="9"/>
      <c r="AO267" s="9"/>
      <c r="AP267" s="9"/>
      <c r="AQ267" s="15" t="s">
        <v>49</v>
      </c>
      <c r="AR267" t="s">
        <v>1283</v>
      </c>
      <c r="AS267" s="16" t="s">
        <v>1284</v>
      </c>
    </row>
    <row r="268" spans="1:45" ht="14.5">
      <c r="A268" s="9" t="s">
        <v>1497</v>
      </c>
      <c r="B268" s="9" t="s">
        <v>1498</v>
      </c>
      <c r="C268" s="9" t="s">
        <v>1384</v>
      </c>
      <c r="D268" s="9" t="s">
        <v>1240</v>
      </c>
      <c r="E268" s="9" t="s">
        <v>49</v>
      </c>
      <c r="F268" s="9" t="s">
        <v>69</v>
      </c>
      <c r="G268" s="9" t="s">
        <v>70</v>
      </c>
      <c r="H268" s="9" t="s">
        <v>1448</v>
      </c>
      <c r="I268" s="9" t="s">
        <v>72</v>
      </c>
      <c r="J268" s="10"/>
      <c r="K268" s="10">
        <v>44811</v>
      </c>
      <c r="L268" s="10"/>
      <c r="M268" s="10">
        <v>44830</v>
      </c>
      <c r="N268" s="9">
        <v>2022</v>
      </c>
      <c r="O268" s="9" t="s">
        <v>1372</v>
      </c>
      <c r="P268" s="9" t="s">
        <v>83</v>
      </c>
      <c r="Q268" s="9" t="s">
        <v>53</v>
      </c>
      <c r="R268" s="9" t="s">
        <v>1499</v>
      </c>
      <c r="T268" s="9"/>
      <c r="V268" s="9"/>
      <c r="W268" s="11">
        <f>IFERROR(VLOOKUP(B268, PlumX_snapshot!$A:$B, 2, FALSE), " ")</f>
        <v>3</v>
      </c>
      <c r="X268" s="11">
        <f>IFERROR(VLOOKUP(B268, PlumX_snapshot!$A:$C, 3, FALSE), " ")</f>
        <v>1</v>
      </c>
      <c r="Y268" s="12">
        <f>IFERROR(VLOOKUP(B268, PlumX_snapshot!$A:$D, 4, FALSE), " ")</f>
        <v>10</v>
      </c>
      <c r="Z268" s="12">
        <f>IFERROR(VLOOKUP(B268, PlumX_snapshot!$A:$E, 5, FALSE), " ")</f>
        <v>0</v>
      </c>
      <c r="AA268" s="12">
        <f>IFERROR(VLOOKUP(B268, PlumX_snapshot!$A:$F, 6, FALSE), " ")</f>
        <v>0</v>
      </c>
      <c r="AB268" s="13">
        <v>44978</v>
      </c>
      <c r="AC268" s="9" t="s">
        <v>1265</v>
      </c>
      <c r="AH268" s="9">
        <v>2125</v>
      </c>
      <c r="AI268" s="9" t="s">
        <v>875</v>
      </c>
      <c r="AJ268" s="9" t="s">
        <v>301</v>
      </c>
      <c r="AK268" s="11" t="str">
        <f t="shared" si="2"/>
        <v>2022GBP</v>
      </c>
      <c r="AL268" s="11">
        <f>VLOOKUP(AK268, Exchange_rates!$C:$D, 2, FALSE)</f>
        <v>1</v>
      </c>
      <c r="AM268" s="14">
        <f t="shared" si="3"/>
        <v>2550</v>
      </c>
      <c r="AN268" s="9"/>
      <c r="AO268" s="9"/>
      <c r="AP268" s="9"/>
      <c r="AQ268" s="15" t="s">
        <v>49</v>
      </c>
      <c r="AR268" t="s">
        <v>1259</v>
      </c>
      <c r="AS268" s="16" t="s">
        <v>1260</v>
      </c>
    </row>
    <row r="269" spans="1:45" ht="14.5">
      <c r="A269" s="9" t="s">
        <v>1500</v>
      </c>
      <c r="B269" s="9" t="s">
        <v>1501</v>
      </c>
      <c r="C269" s="9" t="s">
        <v>1331</v>
      </c>
      <c r="D269" s="9" t="s">
        <v>1240</v>
      </c>
      <c r="E269" s="9" t="s">
        <v>49</v>
      </c>
      <c r="F269" s="9" t="s">
        <v>69</v>
      </c>
      <c r="G269" s="9" t="s">
        <v>70</v>
      </c>
      <c r="H269" s="9" t="s">
        <v>1448</v>
      </c>
      <c r="I269" s="9" t="s">
        <v>72</v>
      </c>
      <c r="J269" s="10"/>
      <c r="K269" s="10">
        <v>44812</v>
      </c>
      <c r="L269" s="10"/>
      <c r="M269" s="10">
        <v>44691</v>
      </c>
      <c r="N269" s="9">
        <v>2022</v>
      </c>
      <c r="O269" s="9" t="s">
        <v>1372</v>
      </c>
      <c r="P269" s="9" t="s">
        <v>53</v>
      </c>
      <c r="Q269" s="9" t="s">
        <v>53</v>
      </c>
      <c r="R269" s="9" t="s">
        <v>1377</v>
      </c>
      <c r="T269" s="9"/>
      <c r="V269" s="9"/>
      <c r="W269" s="11">
        <f>IFERROR(VLOOKUP(B269, PlumX_snapshot!$A:$B, 2, FALSE), " ")</f>
        <v>1</v>
      </c>
      <c r="X269" s="11">
        <f>IFERROR(VLOOKUP(B269, PlumX_snapshot!$A:$C, 3, FALSE), " ")</f>
        <v>1</v>
      </c>
      <c r="Y269" s="12">
        <f>IFERROR(VLOOKUP(B269, PlumX_snapshot!$A:$D, 4, FALSE), " ")</f>
        <v>0</v>
      </c>
      <c r="Z269" s="12">
        <f>IFERROR(VLOOKUP(B269, PlumX_snapshot!$A:$E, 5, FALSE), " ")</f>
        <v>0</v>
      </c>
      <c r="AA269" s="12">
        <f>IFERROR(VLOOKUP(B269, PlumX_snapshot!$A:$F, 6, FALSE), " ")</f>
        <v>0</v>
      </c>
      <c r="AB269" s="13">
        <v>44978</v>
      </c>
      <c r="AC269" s="9" t="s">
        <v>1411</v>
      </c>
      <c r="AH269" s="9">
        <v>2000</v>
      </c>
      <c r="AI269" s="9" t="s">
        <v>875</v>
      </c>
      <c r="AJ269" s="9" t="s">
        <v>301</v>
      </c>
      <c r="AK269" s="11" t="str">
        <f t="shared" si="2"/>
        <v>2022GBP</v>
      </c>
      <c r="AL269" s="11">
        <f>VLOOKUP(AK269, Exchange_rates!$C:$D, 2, FALSE)</f>
        <v>1</v>
      </c>
      <c r="AM269" s="14">
        <f t="shared" si="3"/>
        <v>2400</v>
      </c>
      <c r="AN269" s="9"/>
      <c r="AO269" s="9"/>
      <c r="AP269" s="9"/>
      <c r="AQ269" s="15" t="s">
        <v>49</v>
      </c>
      <c r="AR269" t="s">
        <v>1336</v>
      </c>
      <c r="AS269" s="16" t="s">
        <v>1337</v>
      </c>
    </row>
    <row r="270" spans="1:45" ht="14.5">
      <c r="A270" s="9" t="s">
        <v>1502</v>
      </c>
      <c r="B270" s="9" t="s">
        <v>1503</v>
      </c>
      <c r="C270" s="9" t="s">
        <v>1504</v>
      </c>
      <c r="D270" s="9" t="s">
        <v>1240</v>
      </c>
      <c r="E270" s="9" t="s">
        <v>125</v>
      </c>
      <c r="F270" s="9" t="s">
        <v>69</v>
      </c>
      <c r="G270" s="9" t="s">
        <v>70</v>
      </c>
      <c r="H270" s="9" t="s">
        <v>1448</v>
      </c>
      <c r="I270" s="9" t="s">
        <v>72</v>
      </c>
      <c r="J270" s="10"/>
      <c r="K270" s="10">
        <v>44818</v>
      </c>
      <c r="L270" s="10"/>
      <c r="M270" s="10">
        <v>44827</v>
      </c>
      <c r="N270" s="9">
        <v>2022</v>
      </c>
      <c r="O270" s="9" t="s">
        <v>1372</v>
      </c>
      <c r="P270" s="9" t="s">
        <v>53</v>
      </c>
      <c r="Q270" s="9" t="s">
        <v>53</v>
      </c>
      <c r="R270" s="9" t="s">
        <v>185</v>
      </c>
      <c r="T270" s="9"/>
      <c r="V270" s="9"/>
      <c r="W270" s="11">
        <f>IFERROR(VLOOKUP(B270, PlumX_snapshot!$A:$B, 2, FALSE), " ")</f>
        <v>4</v>
      </c>
      <c r="X270" s="11">
        <f>IFERROR(VLOOKUP(B270, PlumX_snapshot!$A:$C, 3, FALSE), " ")</f>
        <v>1</v>
      </c>
      <c r="Y270" s="12">
        <f>IFERROR(VLOOKUP(B270, PlumX_snapshot!$A:$D, 4, FALSE), " ")</f>
        <v>1</v>
      </c>
      <c r="Z270" s="12">
        <f>IFERROR(VLOOKUP(B270, PlumX_snapshot!$A:$E, 5, FALSE), " ")</f>
        <v>0</v>
      </c>
      <c r="AA270" s="12">
        <f>IFERROR(VLOOKUP(B270, PlumX_snapshot!$A:$F, 6, FALSE), " ")</f>
        <v>0</v>
      </c>
      <c r="AB270" s="13">
        <v>44978</v>
      </c>
      <c r="AC270" s="9" t="s">
        <v>1505</v>
      </c>
      <c r="AH270" s="9">
        <v>1685</v>
      </c>
      <c r="AI270" s="9" t="s">
        <v>875</v>
      </c>
      <c r="AJ270" s="9" t="s">
        <v>301</v>
      </c>
      <c r="AK270" s="11" t="str">
        <f t="shared" si="2"/>
        <v>2022GBP</v>
      </c>
      <c r="AL270" s="11">
        <f>VLOOKUP(AK270, Exchange_rates!$C:$D, 2, FALSE)</f>
        <v>1</v>
      </c>
      <c r="AM270" s="14">
        <f t="shared" si="3"/>
        <v>2022</v>
      </c>
      <c r="AN270" s="9"/>
      <c r="AO270" s="9"/>
      <c r="AP270" s="9"/>
      <c r="AQ270" s="15" t="s">
        <v>125</v>
      </c>
      <c r="AR270" t="s">
        <v>1506</v>
      </c>
      <c r="AS270" s="16"/>
    </row>
    <row r="271" spans="1:45" ht="14.5">
      <c r="A271" s="9" t="s">
        <v>1507</v>
      </c>
      <c r="B271" s="9" t="s">
        <v>1508</v>
      </c>
      <c r="C271" s="9" t="s">
        <v>1270</v>
      </c>
      <c r="D271" s="9" t="s">
        <v>1240</v>
      </c>
      <c r="E271" s="9" t="s">
        <v>49</v>
      </c>
      <c r="F271" s="9" t="s">
        <v>69</v>
      </c>
      <c r="G271" s="9" t="s">
        <v>70</v>
      </c>
      <c r="H271" s="9" t="s">
        <v>1448</v>
      </c>
      <c r="I271" s="9" t="s">
        <v>72</v>
      </c>
      <c r="J271" s="10"/>
      <c r="K271" s="10">
        <v>44831</v>
      </c>
      <c r="L271" s="10"/>
      <c r="M271" s="10">
        <v>44905</v>
      </c>
      <c r="N271" s="9">
        <v>2022</v>
      </c>
      <c r="O271" s="9" t="s">
        <v>1372</v>
      </c>
      <c r="P271" s="9" t="s">
        <v>53</v>
      </c>
      <c r="Q271" s="9" t="s">
        <v>53</v>
      </c>
      <c r="R271" s="9" t="s">
        <v>1509</v>
      </c>
      <c r="T271" s="9"/>
      <c r="V271" s="9"/>
      <c r="W271" s="11">
        <f>IFERROR(VLOOKUP(B271, PlumX_snapshot!$A:$B, 2, FALSE), " ")</f>
        <v>1</v>
      </c>
      <c r="X271" s="11">
        <f>IFERROR(VLOOKUP(B271, PlumX_snapshot!$A:$C, 3, FALSE), " ")</f>
        <v>0</v>
      </c>
      <c r="Y271" s="12">
        <f>IFERROR(VLOOKUP(B271, PlumX_snapshot!$A:$D, 4, FALSE), " ")</f>
        <v>0</v>
      </c>
      <c r="Z271" s="12">
        <f>IFERROR(VLOOKUP(B271, PlumX_snapshot!$A:$E, 5, FALSE), " ")</f>
        <v>0</v>
      </c>
      <c r="AA271" s="12">
        <f>IFERROR(VLOOKUP(B271, PlumX_snapshot!$A:$F, 6, FALSE), " ")</f>
        <v>0</v>
      </c>
      <c r="AB271" s="13">
        <v>44978</v>
      </c>
      <c r="AC271" s="9" t="s">
        <v>1510</v>
      </c>
      <c r="AH271" s="9">
        <v>2125</v>
      </c>
      <c r="AI271" s="9" t="s">
        <v>875</v>
      </c>
      <c r="AJ271" s="9" t="s">
        <v>301</v>
      </c>
      <c r="AK271" s="11" t="str">
        <f t="shared" si="2"/>
        <v>2022GBP</v>
      </c>
      <c r="AL271" s="11">
        <f>VLOOKUP(AK271, Exchange_rates!$C:$D, 2, FALSE)</f>
        <v>1</v>
      </c>
      <c r="AM271" s="14">
        <f t="shared" si="3"/>
        <v>2550</v>
      </c>
      <c r="AN271" s="9"/>
      <c r="AO271" s="9"/>
      <c r="AP271" s="9"/>
      <c r="AQ271" s="15" t="s">
        <v>49</v>
      </c>
      <c r="AR271" t="s">
        <v>1272</v>
      </c>
      <c r="AS271" s="16" t="s">
        <v>1273</v>
      </c>
    </row>
    <row r="272" spans="1:45" ht="14.5">
      <c r="A272" s="9" t="s">
        <v>1511</v>
      </c>
      <c r="B272" s="9" t="s">
        <v>1512</v>
      </c>
      <c r="C272" s="9" t="s">
        <v>1513</v>
      </c>
      <c r="D272" s="9" t="s">
        <v>1240</v>
      </c>
      <c r="E272" s="9" t="s">
        <v>49</v>
      </c>
      <c r="F272" s="9" t="s">
        <v>69</v>
      </c>
      <c r="G272" s="9" t="s">
        <v>70</v>
      </c>
      <c r="H272" s="9" t="s">
        <v>1448</v>
      </c>
      <c r="I272" s="9" t="s">
        <v>72</v>
      </c>
      <c r="J272" s="10"/>
      <c r="K272" s="10">
        <v>44841</v>
      </c>
      <c r="L272" s="10"/>
      <c r="M272" s="10">
        <v>44854</v>
      </c>
      <c r="N272" s="9">
        <v>2022</v>
      </c>
      <c r="O272" s="9" t="s">
        <v>1372</v>
      </c>
      <c r="P272" s="9" t="s">
        <v>53</v>
      </c>
      <c r="Q272" s="9" t="s">
        <v>53</v>
      </c>
      <c r="T272" s="9"/>
      <c r="V272" s="9"/>
      <c r="W272" s="11">
        <f>IFERROR(VLOOKUP(B272, PlumX_snapshot!$A:$B, 2, FALSE), " ")</f>
        <v>0</v>
      </c>
      <c r="X272" s="11">
        <f>IFERROR(VLOOKUP(B272, PlumX_snapshot!$A:$C, 3, FALSE), " ")</f>
        <v>0</v>
      </c>
      <c r="Y272" s="12">
        <f>IFERROR(VLOOKUP(B272, PlumX_snapshot!$A:$D, 4, FALSE), " ")</f>
        <v>1</v>
      </c>
      <c r="Z272" s="12">
        <f>IFERROR(VLOOKUP(B272, PlumX_snapshot!$A:$E, 5, FALSE), " ")</f>
        <v>0</v>
      </c>
      <c r="AA272" s="12">
        <f>IFERROR(VLOOKUP(B272, PlumX_snapshot!$A:$F, 6, FALSE), " ")</f>
        <v>0</v>
      </c>
      <c r="AB272" s="13">
        <v>44978</v>
      </c>
      <c r="AC272" s="9" t="s">
        <v>1309</v>
      </c>
      <c r="AH272" s="9">
        <v>2125</v>
      </c>
      <c r="AI272" s="9" t="s">
        <v>875</v>
      </c>
      <c r="AJ272" s="9" t="s">
        <v>301</v>
      </c>
      <c r="AK272" s="11" t="str">
        <f t="shared" si="2"/>
        <v>2022GBP</v>
      </c>
      <c r="AL272" s="11">
        <f>VLOOKUP(AK272, Exchange_rates!$C:$D, 2, FALSE)</f>
        <v>1</v>
      </c>
      <c r="AM272" s="14">
        <f t="shared" si="3"/>
        <v>2550</v>
      </c>
      <c r="AN272" s="9"/>
      <c r="AO272" s="9"/>
      <c r="AP272" s="9"/>
      <c r="AQ272" s="15" t="s">
        <v>49</v>
      </c>
      <c r="AR272" t="s">
        <v>1310</v>
      </c>
      <c r="AS272" s="16" t="s">
        <v>1311</v>
      </c>
    </row>
    <row r="273" spans="1:60" ht="14.5">
      <c r="A273" s="9" t="s">
        <v>1514</v>
      </c>
      <c r="B273" s="9" t="s">
        <v>1515</v>
      </c>
      <c r="C273" s="9" t="s">
        <v>1462</v>
      </c>
      <c r="D273" s="9" t="s">
        <v>1240</v>
      </c>
      <c r="E273" s="9" t="s">
        <v>49</v>
      </c>
      <c r="F273" s="9" t="s">
        <v>69</v>
      </c>
      <c r="G273" s="9" t="s">
        <v>70</v>
      </c>
      <c r="H273" s="9" t="s">
        <v>1448</v>
      </c>
      <c r="I273" s="9" t="s">
        <v>72</v>
      </c>
      <c r="J273" s="10"/>
      <c r="K273" s="10">
        <v>44855</v>
      </c>
      <c r="L273" s="10"/>
      <c r="M273" s="10">
        <v>44879</v>
      </c>
      <c r="N273" s="9">
        <v>2022</v>
      </c>
      <c r="O273" s="9" t="s">
        <v>1372</v>
      </c>
      <c r="P273" s="9" t="s">
        <v>53</v>
      </c>
      <c r="Q273" s="9" t="s">
        <v>53</v>
      </c>
      <c r="T273" s="9"/>
      <c r="V273" s="9"/>
      <c r="W273" s="11">
        <f>IFERROR(VLOOKUP(B273, PlumX_snapshot!$A:$B, 2, FALSE), " ")</f>
        <v>9</v>
      </c>
      <c r="X273" s="11">
        <f>IFERROR(VLOOKUP(B273, PlumX_snapshot!$A:$C, 3, FALSE), " ")</f>
        <v>0</v>
      </c>
      <c r="Y273" s="12">
        <f>IFERROR(VLOOKUP(B273, PlumX_snapshot!$A:$D, 4, FALSE), " ")</f>
        <v>0</v>
      </c>
      <c r="Z273" s="12">
        <f>IFERROR(VLOOKUP(B273, PlumX_snapshot!$A:$E, 5, FALSE), " ")</f>
        <v>0</v>
      </c>
      <c r="AA273" s="12">
        <f>IFERROR(VLOOKUP(B273, PlumX_snapshot!$A:$F, 6, FALSE), " ")</f>
        <v>0</v>
      </c>
      <c r="AB273" s="13">
        <v>44978</v>
      </c>
      <c r="AC273" s="9" t="s">
        <v>1516</v>
      </c>
      <c r="AH273" s="9">
        <v>2125</v>
      </c>
      <c r="AI273" s="9" t="s">
        <v>875</v>
      </c>
      <c r="AJ273" s="9" t="s">
        <v>301</v>
      </c>
      <c r="AK273" s="11" t="str">
        <f t="shared" si="2"/>
        <v>2022GBP</v>
      </c>
      <c r="AL273" s="11">
        <f>VLOOKUP(AK273, Exchange_rates!$C:$D, 2, FALSE)</f>
        <v>1</v>
      </c>
      <c r="AM273" s="14">
        <f t="shared" si="3"/>
        <v>2550</v>
      </c>
      <c r="AN273" s="9"/>
      <c r="AO273" s="9"/>
      <c r="AP273" s="9"/>
      <c r="AQ273" s="15" t="s">
        <v>49</v>
      </c>
      <c r="AR273" t="s">
        <v>1464</v>
      </c>
      <c r="AS273" s="16" t="s">
        <v>1465</v>
      </c>
    </row>
    <row r="274" spans="1:60" ht="14.5">
      <c r="A274" s="9" t="s">
        <v>1517</v>
      </c>
      <c r="B274" s="9" t="s">
        <v>1518</v>
      </c>
      <c r="C274" s="9" t="s">
        <v>1384</v>
      </c>
      <c r="D274" s="9" t="s">
        <v>1240</v>
      </c>
      <c r="E274" s="9" t="s">
        <v>49</v>
      </c>
      <c r="F274" s="9" t="s">
        <v>69</v>
      </c>
      <c r="G274" s="9" t="s">
        <v>70</v>
      </c>
      <c r="H274" s="9" t="s">
        <v>1448</v>
      </c>
      <c r="I274" s="9" t="s">
        <v>72</v>
      </c>
      <c r="J274" s="10"/>
      <c r="K274" s="10">
        <v>44858</v>
      </c>
      <c r="L274" s="10"/>
      <c r="M274" s="10">
        <v>44985</v>
      </c>
      <c r="N274" s="9">
        <v>2022</v>
      </c>
      <c r="O274" s="9" t="s">
        <v>1372</v>
      </c>
      <c r="P274" s="9" t="s">
        <v>53</v>
      </c>
      <c r="Q274" s="9" t="s">
        <v>53</v>
      </c>
      <c r="S274" s="9" t="s">
        <v>1519</v>
      </c>
      <c r="T274" s="9"/>
      <c r="U274" s="9"/>
      <c r="V274" s="9"/>
      <c r="W274" s="11">
        <f>IFERROR(VLOOKUP(B274, PlumX_snapshot!$A:$B, 2, FALSE), " ")</f>
        <v>0</v>
      </c>
      <c r="X274" s="11">
        <f>IFERROR(VLOOKUP(B274, PlumX_snapshot!$A:$C, 3, FALSE), " ")</f>
        <v>0</v>
      </c>
      <c r="Y274" s="12">
        <f>IFERROR(VLOOKUP(B274, PlumX_snapshot!$A:$D, 4, FALSE), " ")</f>
        <v>0</v>
      </c>
      <c r="Z274" s="12">
        <f>IFERROR(VLOOKUP(B274, PlumX_snapshot!$A:$E, 5, FALSE), " ")</f>
        <v>0</v>
      </c>
      <c r="AA274" s="12">
        <f>IFERROR(VLOOKUP(B274, PlumX_snapshot!$A:$F, 6, FALSE), " ")</f>
        <v>0</v>
      </c>
      <c r="AB274" s="13">
        <v>44978</v>
      </c>
      <c r="AC274" s="9" t="s">
        <v>1520</v>
      </c>
      <c r="AH274" s="9">
        <v>2125</v>
      </c>
      <c r="AI274" s="9" t="s">
        <v>875</v>
      </c>
      <c r="AJ274" s="9" t="s">
        <v>301</v>
      </c>
      <c r="AK274" s="11" t="str">
        <f t="shared" si="2"/>
        <v>2022GBP</v>
      </c>
      <c r="AL274" s="11">
        <f>VLOOKUP(AK274, Exchange_rates!$C:$D, 2, FALSE)</f>
        <v>1</v>
      </c>
      <c r="AM274" s="14">
        <f t="shared" si="3"/>
        <v>2550</v>
      </c>
      <c r="AN274" s="9"/>
      <c r="AO274" s="9"/>
      <c r="AP274" s="9"/>
      <c r="AQ274" s="15" t="s">
        <v>49</v>
      </c>
      <c r="AR274" t="s">
        <v>1259</v>
      </c>
      <c r="AS274" s="16" t="s">
        <v>1260</v>
      </c>
    </row>
    <row r="275" spans="1:60" ht="14.5">
      <c r="A275" s="20" t="s">
        <v>1521</v>
      </c>
      <c r="B275" s="20" t="s">
        <v>1522</v>
      </c>
      <c r="C275" s="20" t="s">
        <v>1331</v>
      </c>
      <c r="D275" s="20" t="s">
        <v>1240</v>
      </c>
      <c r="E275" s="20" t="s">
        <v>49</v>
      </c>
      <c r="F275" s="20" t="s">
        <v>69</v>
      </c>
      <c r="G275" s="20" t="s">
        <v>70</v>
      </c>
      <c r="H275" s="20" t="s">
        <v>1448</v>
      </c>
      <c r="I275" s="20" t="s">
        <v>72</v>
      </c>
      <c r="J275" s="22"/>
      <c r="K275" s="22">
        <v>44886</v>
      </c>
      <c r="L275" s="22"/>
      <c r="M275" s="22">
        <v>44909</v>
      </c>
      <c r="N275" s="20">
        <v>2022</v>
      </c>
      <c r="O275" s="20" t="s">
        <v>1372</v>
      </c>
      <c r="P275" s="20" t="s">
        <v>53</v>
      </c>
      <c r="Q275" s="20" t="s">
        <v>53</v>
      </c>
      <c r="R275" s="20"/>
      <c r="S275" s="20" t="s">
        <v>1519</v>
      </c>
      <c r="T275" s="20"/>
      <c r="U275" s="20"/>
      <c r="V275" s="20"/>
      <c r="W275" s="23">
        <f>IFERROR(VLOOKUP(B275, PlumX_snapshot!$A:$B, 2, FALSE), " ")</f>
        <v>0</v>
      </c>
      <c r="X275" s="23">
        <f>IFERROR(VLOOKUP(B275, PlumX_snapshot!$A:$C, 3, FALSE), " ")</f>
        <v>0</v>
      </c>
      <c r="Y275" s="24">
        <f>IFERROR(VLOOKUP(B275, PlumX_snapshot!$A:$D, 4, FALSE), " ")</f>
        <v>0</v>
      </c>
      <c r="Z275" s="24">
        <f>IFERROR(VLOOKUP(B275, PlumX_snapshot!$A:$E, 5, FALSE), " ")</f>
        <v>0</v>
      </c>
      <c r="AA275" s="24">
        <f>IFERROR(VLOOKUP(B275, PlumX_snapshot!$A:$F, 6, FALSE), " ")</f>
        <v>0</v>
      </c>
      <c r="AB275" s="25">
        <v>44978</v>
      </c>
      <c r="AC275" s="20" t="s">
        <v>1523</v>
      </c>
      <c r="AD275" s="20"/>
      <c r="AE275" s="20"/>
      <c r="AF275" s="20"/>
      <c r="AG275" s="20"/>
      <c r="AH275" s="20">
        <v>2000</v>
      </c>
      <c r="AI275" s="20" t="s">
        <v>875</v>
      </c>
      <c r="AJ275" s="20" t="s">
        <v>301</v>
      </c>
      <c r="AK275" s="23" t="str">
        <f t="shared" si="2"/>
        <v>2022GBP</v>
      </c>
      <c r="AL275" s="23">
        <f>VLOOKUP(AK275, Exchange_rates!$C:$D, 2, FALSE)</f>
        <v>1</v>
      </c>
      <c r="AM275" s="26">
        <f t="shared" si="3"/>
        <v>2400</v>
      </c>
      <c r="AN275" s="20"/>
      <c r="AO275" s="20"/>
      <c r="AP275" s="20"/>
      <c r="AQ275" s="27" t="s">
        <v>49</v>
      </c>
      <c r="AR275" t="s">
        <v>1336</v>
      </c>
      <c r="AS275" s="16" t="s">
        <v>1337</v>
      </c>
      <c r="AT275" s="20"/>
      <c r="AU275" s="20"/>
      <c r="AV275" s="20"/>
      <c r="AW275" s="20"/>
      <c r="AX275" s="20"/>
      <c r="AY275" s="20"/>
      <c r="AZ275" s="20"/>
      <c r="BA275" s="20"/>
      <c r="BB275" s="20"/>
      <c r="BC275" s="20"/>
      <c r="BD275" s="20"/>
      <c r="BE275" s="20"/>
      <c r="BF275" s="20"/>
      <c r="BG275" s="20"/>
      <c r="BH275" s="20"/>
    </row>
    <row r="276" spans="1:60" ht="14.5">
      <c r="A276" s="9" t="s">
        <v>1524</v>
      </c>
      <c r="B276" s="9" t="s">
        <v>1525</v>
      </c>
      <c r="C276" s="9" t="s">
        <v>1526</v>
      </c>
      <c r="D276" s="9" t="s">
        <v>1527</v>
      </c>
      <c r="E276" s="17" t="s">
        <v>125</v>
      </c>
      <c r="F276" s="9" t="s">
        <v>69</v>
      </c>
      <c r="G276" s="9" t="s">
        <v>51</v>
      </c>
      <c r="H276" s="9"/>
      <c r="I276" s="9" t="s">
        <v>72</v>
      </c>
      <c r="J276" s="10"/>
      <c r="K276" s="10"/>
      <c r="L276" s="10">
        <v>44064</v>
      </c>
      <c r="M276" s="10">
        <v>44120</v>
      </c>
      <c r="N276" s="9">
        <v>2020</v>
      </c>
      <c r="O276" s="9" t="s">
        <v>1528</v>
      </c>
      <c r="P276" s="9" t="s">
        <v>83</v>
      </c>
      <c r="Q276" s="9" t="s">
        <v>83</v>
      </c>
      <c r="R276" s="9" t="s">
        <v>1529</v>
      </c>
      <c r="S276" s="9" t="s">
        <v>1530</v>
      </c>
      <c r="T276" s="9" t="s">
        <v>279</v>
      </c>
      <c r="U276" s="9" t="s">
        <v>1531</v>
      </c>
      <c r="V276" s="9"/>
      <c r="W276" s="11">
        <f>IFERROR(VLOOKUP(B276, PlumX_snapshot!$A:$B, 2, FALSE), " ")</f>
        <v>38</v>
      </c>
      <c r="X276" s="11">
        <f>IFERROR(VLOOKUP(B276, PlumX_snapshot!$A:$C, 3, FALSE), " ")</f>
        <v>14</v>
      </c>
      <c r="Y276" s="12">
        <f>IFERROR(VLOOKUP(B276, PlumX_snapshot!$A:$D, 4, FALSE), " ")</f>
        <v>45</v>
      </c>
      <c r="Z276" s="12">
        <f>IFERROR(VLOOKUP(B276, PlumX_snapshot!$A:$E, 5, FALSE), " ")</f>
        <v>0</v>
      </c>
      <c r="AA276" s="12">
        <f>IFERROR(VLOOKUP(B276, PlumX_snapshot!$A:$F, 6, FALSE), " ")</f>
        <v>0</v>
      </c>
      <c r="AB276" s="13">
        <v>44978</v>
      </c>
      <c r="AI276" s="9"/>
      <c r="AJ276" s="9"/>
      <c r="AK276" s="11" t="str">
        <f t="shared" si="2"/>
        <v>2020</v>
      </c>
      <c r="AL276" s="11" t="e">
        <f>VLOOKUP(AK276, Exchange_rates!$C:$D, 2, FALSE)</f>
        <v>#N/A</v>
      </c>
      <c r="AM276" s="14" t="str">
        <f t="shared" si="3"/>
        <v/>
      </c>
      <c r="AN276" s="9"/>
      <c r="AO276" s="9"/>
      <c r="AP276" s="17"/>
      <c r="AQ276" s="15" t="s">
        <v>125</v>
      </c>
      <c r="AR276" t="s">
        <v>1532</v>
      </c>
      <c r="AS276" s="16" t="s">
        <v>1533</v>
      </c>
    </row>
    <row r="277" spans="1:60" ht="14.5">
      <c r="A277" s="9" t="s">
        <v>1534</v>
      </c>
      <c r="B277" s="9" t="s">
        <v>1535</v>
      </c>
      <c r="C277" s="9" t="s">
        <v>1536</v>
      </c>
      <c r="D277" s="9" t="s">
        <v>1527</v>
      </c>
      <c r="E277" s="17" t="s">
        <v>49</v>
      </c>
      <c r="F277" s="9" t="s">
        <v>69</v>
      </c>
      <c r="G277" s="9" t="s">
        <v>70</v>
      </c>
      <c r="H277" s="9" t="s">
        <v>1537</v>
      </c>
      <c r="I277" s="9" t="s">
        <v>72</v>
      </c>
      <c r="J277" s="10">
        <v>44162</v>
      </c>
      <c r="K277" s="10">
        <v>44172</v>
      </c>
      <c r="L277" s="10"/>
      <c r="M277" s="10">
        <v>44221</v>
      </c>
      <c r="N277" s="9">
        <v>2020</v>
      </c>
      <c r="O277" s="9" t="s">
        <v>1538</v>
      </c>
      <c r="P277" s="9" t="s">
        <v>83</v>
      </c>
      <c r="Q277" s="9" t="s">
        <v>83</v>
      </c>
      <c r="R277" s="9" t="s">
        <v>1539</v>
      </c>
      <c r="T277" s="9"/>
      <c r="V277" s="9"/>
      <c r="W277" s="11">
        <f>IFERROR(VLOOKUP(B277, PlumX_snapshot!$A:$B, 2, FALSE), " ")</f>
        <v>55</v>
      </c>
      <c r="X277" s="11">
        <f>IFERROR(VLOOKUP(B277, PlumX_snapshot!$A:$C, 3, FALSE), " ")</f>
        <v>9</v>
      </c>
      <c r="Y277" s="12">
        <f>IFERROR(VLOOKUP(B277, PlumX_snapshot!$A:$D, 4, FALSE), " ")</f>
        <v>12</v>
      </c>
      <c r="Z277" s="12">
        <f>IFERROR(VLOOKUP(B277, PlumX_snapshot!$A:$E, 5, FALSE), " ")</f>
        <v>0</v>
      </c>
      <c r="AA277" s="12">
        <f>IFERROR(VLOOKUP(B277, PlumX_snapshot!$A:$F, 6, FALSE), " ")</f>
        <v>1</v>
      </c>
      <c r="AB277" s="13">
        <v>44978</v>
      </c>
      <c r="AI277" s="9"/>
      <c r="AJ277" s="9"/>
      <c r="AK277" s="11" t="str">
        <f t="shared" si="2"/>
        <v>2020</v>
      </c>
      <c r="AL277" s="11" t="e">
        <f>VLOOKUP(AK277, Exchange_rates!$C:$D, 2, FALSE)</f>
        <v>#N/A</v>
      </c>
      <c r="AM277" s="14" t="str">
        <f t="shared" si="3"/>
        <v/>
      </c>
      <c r="AN277" s="9"/>
      <c r="AO277" s="9"/>
      <c r="AP277" s="17"/>
      <c r="AQ277" s="15" t="s">
        <v>49</v>
      </c>
      <c r="AR277" t="s">
        <v>1540</v>
      </c>
      <c r="AS277" s="16" t="s">
        <v>1541</v>
      </c>
    </row>
    <row r="278" spans="1:60" ht="14.5">
      <c r="A278" s="9" t="s">
        <v>1542</v>
      </c>
      <c r="B278" s="9" t="s">
        <v>1543</v>
      </c>
      <c r="C278" s="9" t="s">
        <v>1536</v>
      </c>
      <c r="D278" s="9" t="s">
        <v>1527</v>
      </c>
      <c r="E278" s="17" t="s">
        <v>49</v>
      </c>
      <c r="F278" s="9" t="s">
        <v>69</v>
      </c>
      <c r="G278" s="9" t="s">
        <v>70</v>
      </c>
      <c r="H278" s="9" t="s">
        <v>1544</v>
      </c>
      <c r="I278" s="9" t="s">
        <v>72</v>
      </c>
      <c r="J278" s="10">
        <v>44233</v>
      </c>
      <c r="K278" s="10">
        <v>44518</v>
      </c>
      <c r="L278" s="10"/>
      <c r="M278" s="10">
        <v>44571</v>
      </c>
      <c r="N278" s="9">
        <v>2021</v>
      </c>
      <c r="O278" s="9" t="s">
        <v>1545</v>
      </c>
      <c r="P278" s="9" t="s">
        <v>83</v>
      </c>
      <c r="Q278" s="9" t="s">
        <v>53</v>
      </c>
      <c r="R278" s="9" t="s">
        <v>1546</v>
      </c>
      <c r="T278" s="9"/>
      <c r="V278" s="9"/>
      <c r="W278" s="11">
        <f>IFERROR(VLOOKUP(B278, PlumX_snapshot!$A:$B, 2, FALSE), " ")</f>
        <v>11</v>
      </c>
      <c r="X278" s="11">
        <f>IFERROR(VLOOKUP(B278, PlumX_snapshot!$A:$C, 3, FALSE), " ")</f>
        <v>3</v>
      </c>
      <c r="Y278" s="12">
        <f>IFERROR(VLOOKUP(B278, PlumX_snapshot!$A:$D, 4, FALSE), " ")</f>
        <v>0</v>
      </c>
      <c r="Z278" s="12">
        <f>IFERROR(VLOOKUP(B278, PlumX_snapshot!$A:$E, 5, FALSE), " ")</f>
        <v>0</v>
      </c>
      <c r="AA278" s="12">
        <f>IFERROR(VLOOKUP(B278, PlumX_snapshot!$A:$F, 6, FALSE), " ")</f>
        <v>0</v>
      </c>
      <c r="AB278" s="13">
        <v>44978</v>
      </c>
      <c r="AI278" s="9"/>
      <c r="AJ278" s="9"/>
      <c r="AK278" s="11" t="str">
        <f t="shared" si="2"/>
        <v>2021</v>
      </c>
      <c r="AL278" s="11" t="e">
        <f>VLOOKUP(AK278, Exchange_rates!$C:$D, 2, FALSE)</f>
        <v>#N/A</v>
      </c>
      <c r="AM278" s="14" t="str">
        <f t="shared" si="3"/>
        <v/>
      </c>
      <c r="AN278" s="9"/>
      <c r="AO278" s="9"/>
      <c r="AP278" s="17"/>
      <c r="AQ278" s="15" t="s">
        <v>49</v>
      </c>
      <c r="AR278" t="s">
        <v>1540</v>
      </c>
      <c r="AS278" s="16" t="s">
        <v>1541</v>
      </c>
    </row>
    <row r="279" spans="1:60" ht="14.5">
      <c r="A279" s="9" t="s">
        <v>1547</v>
      </c>
      <c r="B279" s="9" t="s">
        <v>1548</v>
      </c>
      <c r="C279" s="9" t="s">
        <v>1549</v>
      </c>
      <c r="D279" s="9" t="s">
        <v>1527</v>
      </c>
      <c r="E279" s="17" t="s">
        <v>49</v>
      </c>
      <c r="F279" s="9" t="s">
        <v>69</v>
      </c>
      <c r="G279" s="9" t="s">
        <v>70</v>
      </c>
      <c r="H279" s="9" t="s">
        <v>1550</v>
      </c>
      <c r="I279" s="9" t="s">
        <v>72</v>
      </c>
      <c r="J279" s="10">
        <v>44736</v>
      </c>
      <c r="K279" s="10">
        <v>44820</v>
      </c>
      <c r="L279" s="10">
        <v>44832</v>
      </c>
      <c r="M279" s="10">
        <v>44866</v>
      </c>
      <c r="N279" s="9">
        <v>2022</v>
      </c>
      <c r="O279" s="9" t="s">
        <v>1551</v>
      </c>
      <c r="P279" s="9" t="s">
        <v>83</v>
      </c>
      <c r="Q279" s="9" t="s">
        <v>53</v>
      </c>
      <c r="R279" s="9" t="s">
        <v>1552</v>
      </c>
      <c r="T279" s="9"/>
      <c r="V279" s="9"/>
      <c r="W279" s="11">
        <f>IFERROR(VLOOKUP(B279, PlumX_snapshot!$A:$B, 2, FALSE), " ")</f>
        <v>2</v>
      </c>
      <c r="X279" s="11">
        <f>IFERROR(VLOOKUP(B279, PlumX_snapshot!$A:$C, 3, FALSE), " ")</f>
        <v>0</v>
      </c>
      <c r="Y279" s="12">
        <f>IFERROR(VLOOKUP(B279, PlumX_snapshot!$A:$D, 4, FALSE), " ")</f>
        <v>0</v>
      </c>
      <c r="Z279" s="12">
        <f>IFERROR(VLOOKUP(B279, PlumX_snapshot!$A:$E, 5, FALSE), " ")</f>
        <v>0</v>
      </c>
      <c r="AA279" s="12">
        <f>IFERROR(VLOOKUP(B279, PlumX_snapshot!$A:$F, 6, FALSE), " ")</f>
        <v>0</v>
      </c>
      <c r="AB279" s="13">
        <v>44978</v>
      </c>
      <c r="AC279" s="9" t="s">
        <v>1553</v>
      </c>
      <c r="AD279" s="9" t="s">
        <v>1554</v>
      </c>
      <c r="AH279" s="9">
        <v>4800</v>
      </c>
      <c r="AI279" s="9" t="s">
        <v>77</v>
      </c>
      <c r="AJ279" s="9" t="s">
        <v>57</v>
      </c>
      <c r="AK279" s="11" t="str">
        <f t="shared" si="2"/>
        <v>2022USD</v>
      </c>
      <c r="AL279" s="11">
        <f>VLOOKUP(AK279, Exchange_rates!$C:$D, 2, FALSE)</f>
        <v>0.8115</v>
      </c>
      <c r="AM279" s="14">
        <f t="shared" si="3"/>
        <v>4674.24</v>
      </c>
      <c r="AN279" s="9"/>
      <c r="AO279" s="9"/>
      <c r="AP279" s="17"/>
      <c r="AQ279" s="15" t="s">
        <v>49</v>
      </c>
      <c r="AR279" t="s">
        <v>1555</v>
      </c>
      <c r="AS279" s="16" t="s">
        <v>1556</v>
      </c>
    </row>
    <row r="280" spans="1:60" ht="14.5">
      <c r="A280" s="9" t="s">
        <v>1557</v>
      </c>
      <c r="B280" s="9" t="s">
        <v>1558</v>
      </c>
      <c r="C280" s="9" t="s">
        <v>1559</v>
      </c>
      <c r="D280" s="9" t="s">
        <v>1560</v>
      </c>
      <c r="E280" s="9" t="s">
        <v>49</v>
      </c>
      <c r="F280" s="9" t="s">
        <v>69</v>
      </c>
      <c r="G280" s="9" t="s">
        <v>70</v>
      </c>
      <c r="H280" s="9" t="s">
        <v>1561</v>
      </c>
      <c r="I280" s="9" t="s">
        <v>72</v>
      </c>
      <c r="K280" s="10">
        <v>44398</v>
      </c>
      <c r="M280" s="10">
        <v>44419</v>
      </c>
      <c r="N280" s="9">
        <v>2021</v>
      </c>
      <c r="O280" s="9" t="s">
        <v>1562</v>
      </c>
      <c r="P280" s="9" t="s">
        <v>53</v>
      </c>
      <c r="Q280" s="9" t="s">
        <v>53</v>
      </c>
      <c r="R280" s="9" t="s">
        <v>210</v>
      </c>
      <c r="T280" s="9"/>
      <c r="V280" s="9"/>
      <c r="W280" s="11">
        <f>IFERROR(VLOOKUP(B280, PlumX_snapshot!$A:$B, 2, FALSE), " ")</f>
        <v>4</v>
      </c>
      <c r="X280" s="11">
        <f>IFERROR(VLOOKUP(B280, PlumX_snapshot!$A:$C, 3, FALSE), " ")</f>
        <v>4</v>
      </c>
      <c r="Y280" s="12">
        <f>IFERROR(VLOOKUP(B280, PlumX_snapshot!$A:$D, 4, FALSE), " ")</f>
        <v>2</v>
      </c>
      <c r="Z280" s="12">
        <f>IFERROR(VLOOKUP(B280, PlumX_snapshot!$A:$E, 5, FALSE), " ")</f>
        <v>0</v>
      </c>
      <c r="AA280" s="12">
        <f>IFERROR(VLOOKUP(B280, PlumX_snapshot!$A:$F, 6, FALSE), " ")</f>
        <v>1</v>
      </c>
      <c r="AB280" s="13">
        <v>44978</v>
      </c>
      <c r="AC280" s="9" t="s">
        <v>1563</v>
      </c>
      <c r="AD280" s="9" t="s">
        <v>1564</v>
      </c>
      <c r="AH280" s="9">
        <v>2206</v>
      </c>
      <c r="AI280" s="9" t="s">
        <v>77</v>
      </c>
      <c r="AJ280" s="9" t="s">
        <v>301</v>
      </c>
      <c r="AK280" s="11" t="str">
        <f t="shared" si="2"/>
        <v>2021GBP</v>
      </c>
      <c r="AL280" s="11">
        <f>VLOOKUP(AK280, Exchange_rates!$C:$D, 2, FALSE)</f>
        <v>1</v>
      </c>
      <c r="AM280" s="14">
        <f t="shared" si="3"/>
        <v>2647.2</v>
      </c>
      <c r="AN280" s="9"/>
      <c r="AO280" s="9"/>
      <c r="AP280" s="9"/>
      <c r="AQ280" s="15" t="s">
        <v>49</v>
      </c>
      <c r="AR280" t="s">
        <v>1565</v>
      </c>
      <c r="AS280" s="16" t="s">
        <v>1566</v>
      </c>
    </row>
    <row r="281" spans="1:60" ht="14.5">
      <c r="A281" s="9" t="s">
        <v>1567</v>
      </c>
      <c r="B281" s="9" t="s">
        <v>1568</v>
      </c>
      <c r="C281" s="9" t="s">
        <v>1569</v>
      </c>
      <c r="D281" s="9" t="s">
        <v>1560</v>
      </c>
      <c r="E281" s="9" t="s">
        <v>125</v>
      </c>
      <c r="F281" s="9" t="s">
        <v>69</v>
      </c>
      <c r="G281" s="9" t="s">
        <v>70</v>
      </c>
      <c r="H281" s="9" t="s">
        <v>1561</v>
      </c>
      <c r="I281" s="9" t="s">
        <v>72</v>
      </c>
      <c r="K281" s="10">
        <v>44392</v>
      </c>
      <c r="M281" s="10">
        <v>44413</v>
      </c>
      <c r="N281" s="9">
        <v>2021</v>
      </c>
      <c r="O281" s="9" t="s">
        <v>1562</v>
      </c>
      <c r="P281" s="9" t="s">
        <v>83</v>
      </c>
      <c r="Q281" s="9" t="s">
        <v>53</v>
      </c>
      <c r="R281" s="9" t="s">
        <v>1570</v>
      </c>
      <c r="T281" s="9"/>
      <c r="V281" s="9"/>
      <c r="W281" s="11">
        <f>IFERROR(VLOOKUP(B281, PlumX_snapshot!$A:$B, 2, FALSE), " ")</f>
        <v>17</v>
      </c>
      <c r="X281" s="11">
        <f>IFERROR(VLOOKUP(B281, PlumX_snapshot!$A:$C, 3, FALSE), " ")</f>
        <v>6</v>
      </c>
      <c r="Y281" s="12">
        <f>IFERROR(VLOOKUP(B281, PlumX_snapshot!$A:$D, 4, FALSE), " ")</f>
        <v>3</v>
      </c>
      <c r="Z281" s="12">
        <f>IFERROR(VLOOKUP(B281, PlumX_snapshot!$A:$E, 5, FALSE), " ")</f>
        <v>0</v>
      </c>
      <c r="AA281" s="12">
        <f>IFERROR(VLOOKUP(B281, PlumX_snapshot!$A:$F, 6, FALSE), " ")</f>
        <v>0</v>
      </c>
      <c r="AB281" s="13">
        <v>44978</v>
      </c>
      <c r="AC281" s="9" t="s">
        <v>1571</v>
      </c>
      <c r="AD281" s="9" t="s">
        <v>1572</v>
      </c>
      <c r="AH281" s="9">
        <v>2400</v>
      </c>
      <c r="AI281" s="9" t="s">
        <v>77</v>
      </c>
      <c r="AJ281" s="9" t="s">
        <v>301</v>
      </c>
      <c r="AK281" s="11" t="str">
        <f t="shared" si="2"/>
        <v>2021GBP</v>
      </c>
      <c r="AL281" s="11">
        <f>VLOOKUP(AK281, Exchange_rates!$C:$D, 2, FALSE)</f>
        <v>1</v>
      </c>
      <c r="AM281" s="14">
        <f t="shared" si="3"/>
        <v>2880</v>
      </c>
      <c r="AN281" s="9"/>
      <c r="AO281" s="9"/>
      <c r="AP281" s="9"/>
      <c r="AQ281" s="15" t="s">
        <v>125</v>
      </c>
      <c r="AR281" t="s">
        <v>1573</v>
      </c>
      <c r="AS281" s="16" t="s">
        <v>1574</v>
      </c>
    </row>
    <row r="282" spans="1:60" ht="14.5">
      <c r="A282" s="9" t="s">
        <v>1575</v>
      </c>
      <c r="B282" s="9" t="s">
        <v>1576</v>
      </c>
      <c r="C282" s="9" t="s">
        <v>1577</v>
      </c>
      <c r="D282" s="9" t="s">
        <v>1560</v>
      </c>
      <c r="E282" s="9" t="s">
        <v>49</v>
      </c>
      <c r="F282" s="9" t="s">
        <v>69</v>
      </c>
      <c r="G282" s="9" t="s">
        <v>70</v>
      </c>
      <c r="H282" s="9" t="s">
        <v>1561</v>
      </c>
      <c r="I282" s="9" t="s">
        <v>72</v>
      </c>
      <c r="K282" s="28">
        <v>44384</v>
      </c>
      <c r="M282" s="10">
        <v>44363</v>
      </c>
      <c r="N282" s="9">
        <v>2021</v>
      </c>
      <c r="O282" s="9" t="s">
        <v>1562</v>
      </c>
      <c r="P282" s="9" t="s">
        <v>53</v>
      </c>
      <c r="Q282" s="9" t="s">
        <v>53</v>
      </c>
      <c r="R282" s="9" t="s">
        <v>210</v>
      </c>
      <c r="T282" s="9"/>
      <c r="V282" s="9"/>
      <c r="W282" s="11">
        <f>IFERROR(VLOOKUP(B282, PlumX_snapshot!$A:$B, 2, FALSE), " ")</f>
        <v>0</v>
      </c>
      <c r="X282" s="11">
        <f>IFERROR(VLOOKUP(B282, PlumX_snapshot!$A:$C, 3, FALSE), " ")</f>
        <v>2</v>
      </c>
      <c r="Y282" s="12">
        <f>IFERROR(VLOOKUP(B282, PlumX_snapshot!$A:$D, 4, FALSE), " ")</f>
        <v>211</v>
      </c>
      <c r="Z282" s="12">
        <f>IFERROR(VLOOKUP(B282, PlumX_snapshot!$A:$E, 5, FALSE), " ")</f>
        <v>0</v>
      </c>
      <c r="AA282" s="12">
        <f>IFERROR(VLOOKUP(B282, PlumX_snapshot!$A:$F, 6, FALSE), " ")</f>
        <v>0</v>
      </c>
      <c r="AB282" s="13">
        <v>44978</v>
      </c>
      <c r="AC282" s="9" t="s">
        <v>1578</v>
      </c>
      <c r="AD282" s="9" t="s">
        <v>1579</v>
      </c>
      <c r="AH282" s="9">
        <v>2167</v>
      </c>
      <c r="AI282" s="9" t="s">
        <v>77</v>
      </c>
      <c r="AJ282" s="9" t="s">
        <v>301</v>
      </c>
      <c r="AK282" s="11" t="str">
        <f t="shared" si="2"/>
        <v>2021GBP</v>
      </c>
      <c r="AL282" s="11">
        <f>VLOOKUP(AK282, Exchange_rates!$C:$D, 2, FALSE)</f>
        <v>1</v>
      </c>
      <c r="AM282" s="14">
        <f t="shared" si="3"/>
        <v>2600.4</v>
      </c>
      <c r="AN282" s="9"/>
      <c r="AO282" s="9"/>
      <c r="AP282" s="9"/>
      <c r="AQ282" s="15" t="s">
        <v>49</v>
      </c>
      <c r="AS282" s="16" t="s">
        <v>1580</v>
      </c>
    </row>
    <row r="283" spans="1:60" ht="14.5">
      <c r="A283" s="9" t="s">
        <v>1581</v>
      </c>
      <c r="B283" s="9" t="s">
        <v>1582</v>
      </c>
      <c r="C283" s="9" t="s">
        <v>1583</v>
      </c>
      <c r="D283" s="9" t="s">
        <v>1560</v>
      </c>
      <c r="E283" s="9" t="s">
        <v>49</v>
      </c>
      <c r="F283" s="9" t="s">
        <v>69</v>
      </c>
      <c r="G283" s="9" t="s">
        <v>70</v>
      </c>
      <c r="H283" s="9" t="s">
        <v>1561</v>
      </c>
      <c r="I283" s="9" t="s">
        <v>72</v>
      </c>
      <c r="K283" s="10">
        <v>44363</v>
      </c>
      <c r="M283" s="10">
        <v>44399</v>
      </c>
      <c r="N283" s="9">
        <v>2021</v>
      </c>
      <c r="O283" s="9" t="s">
        <v>1562</v>
      </c>
      <c r="P283" s="9" t="s">
        <v>83</v>
      </c>
      <c r="Q283" s="9" t="s">
        <v>53</v>
      </c>
      <c r="R283" s="9" t="s">
        <v>1584</v>
      </c>
      <c r="T283" s="9"/>
      <c r="V283" s="9"/>
      <c r="W283" s="11">
        <f>IFERROR(VLOOKUP(B283, PlumX_snapshot!$A:$B, 2, FALSE), " ")</f>
        <v>20</v>
      </c>
      <c r="X283" s="11">
        <f>IFERROR(VLOOKUP(B283, PlumX_snapshot!$A:$C, 3, FALSE), " ")</f>
        <v>3</v>
      </c>
      <c r="Y283" s="12">
        <f>IFERROR(VLOOKUP(B283, PlumX_snapshot!$A:$D, 4, FALSE), " ")</f>
        <v>1</v>
      </c>
      <c r="Z283" s="12">
        <f>IFERROR(VLOOKUP(B283, PlumX_snapshot!$A:$E, 5, FALSE), " ")</f>
        <v>0</v>
      </c>
      <c r="AA283" s="12">
        <f>IFERROR(VLOOKUP(B283, PlumX_snapshot!$A:$F, 6, FALSE), " ")</f>
        <v>0</v>
      </c>
      <c r="AB283" s="13">
        <v>44978</v>
      </c>
      <c r="AC283" s="9" t="s">
        <v>1585</v>
      </c>
      <c r="AD283" s="9" t="s">
        <v>1586</v>
      </c>
      <c r="AH283" s="9">
        <v>3090</v>
      </c>
      <c r="AI283" s="9" t="s">
        <v>77</v>
      </c>
      <c r="AJ283" s="9" t="s">
        <v>301</v>
      </c>
      <c r="AK283" s="11" t="str">
        <f t="shared" si="2"/>
        <v>2021GBP</v>
      </c>
      <c r="AL283" s="11">
        <f>VLOOKUP(AK283, Exchange_rates!$C:$D, 2, FALSE)</f>
        <v>1</v>
      </c>
      <c r="AM283" s="14">
        <f t="shared" si="3"/>
        <v>3708</v>
      </c>
      <c r="AN283" s="9"/>
      <c r="AO283" s="9"/>
      <c r="AP283" s="9"/>
      <c r="AQ283" s="15" t="s">
        <v>49</v>
      </c>
      <c r="AR283" t="s">
        <v>1587</v>
      </c>
      <c r="AS283" s="16" t="s">
        <v>1588</v>
      </c>
    </row>
    <row r="284" spans="1:60" ht="14.5">
      <c r="A284" s="9" t="s">
        <v>1589</v>
      </c>
      <c r="B284" s="9" t="s">
        <v>1590</v>
      </c>
      <c r="C284" s="9" t="s">
        <v>1591</v>
      </c>
      <c r="D284" s="9" t="s">
        <v>1560</v>
      </c>
      <c r="E284" s="9" t="s">
        <v>49</v>
      </c>
      <c r="F284" s="9" t="s">
        <v>69</v>
      </c>
      <c r="G284" s="9" t="s">
        <v>70</v>
      </c>
      <c r="H284" s="9" t="s">
        <v>1561</v>
      </c>
      <c r="I284" s="9" t="s">
        <v>72</v>
      </c>
      <c r="K284" s="28">
        <v>44349</v>
      </c>
      <c r="M284" s="10">
        <v>44716</v>
      </c>
      <c r="N284" s="9">
        <v>2021</v>
      </c>
      <c r="O284" s="9" t="s">
        <v>1562</v>
      </c>
      <c r="P284" s="9" t="s">
        <v>53</v>
      </c>
      <c r="Q284" s="9" t="s">
        <v>53</v>
      </c>
      <c r="S284" s="9" t="s">
        <v>1592</v>
      </c>
      <c r="T284" s="9"/>
      <c r="U284" s="9" t="s">
        <v>1593</v>
      </c>
      <c r="V284" s="9"/>
      <c r="W284" s="11">
        <f>IFERROR(VLOOKUP(B284, PlumX_snapshot!$A:$B, 2, FALSE), " ")</f>
        <v>0</v>
      </c>
      <c r="X284" s="11">
        <f>IFERROR(VLOOKUP(B284, PlumX_snapshot!$A:$C, 3, FALSE), " ")</f>
        <v>2</v>
      </c>
      <c r="Y284" s="12">
        <f>IFERROR(VLOOKUP(B284, PlumX_snapshot!$A:$D, 4, FALSE), " ")</f>
        <v>0</v>
      </c>
      <c r="Z284" s="12">
        <f>IFERROR(VLOOKUP(B284, PlumX_snapshot!$A:$E, 5, FALSE), " ")</f>
        <v>0</v>
      </c>
      <c r="AA284" s="12">
        <f>IFERROR(VLOOKUP(B284, PlumX_snapshot!$A:$F, 6, FALSE), " ")</f>
        <v>0</v>
      </c>
      <c r="AB284" s="13">
        <v>44978</v>
      </c>
      <c r="AC284" s="9" t="s">
        <v>1563</v>
      </c>
      <c r="AD284" s="9" t="s">
        <v>1564</v>
      </c>
      <c r="AH284" s="9">
        <v>2422</v>
      </c>
      <c r="AI284" s="9" t="s">
        <v>77</v>
      </c>
      <c r="AJ284" s="9" t="s">
        <v>301</v>
      </c>
      <c r="AK284" s="11" t="str">
        <f t="shared" si="2"/>
        <v>2021GBP</v>
      </c>
      <c r="AL284" s="11">
        <f>VLOOKUP(AK284, Exchange_rates!$C:$D, 2, FALSE)</f>
        <v>1</v>
      </c>
      <c r="AM284" s="14">
        <f t="shared" si="3"/>
        <v>2906.4</v>
      </c>
      <c r="AN284" s="9"/>
      <c r="AO284" s="9"/>
      <c r="AP284" s="9"/>
      <c r="AQ284" s="15" t="s">
        <v>49</v>
      </c>
      <c r="AS284" s="16" t="s">
        <v>1594</v>
      </c>
    </row>
    <row r="285" spans="1:60" ht="14.5">
      <c r="A285" s="9" t="s">
        <v>1595</v>
      </c>
      <c r="B285" s="9" t="s">
        <v>1596</v>
      </c>
      <c r="C285" s="9" t="s">
        <v>1597</v>
      </c>
      <c r="D285" s="9" t="s">
        <v>1560</v>
      </c>
      <c r="E285" s="9" t="s">
        <v>49</v>
      </c>
      <c r="F285" s="9" t="s">
        <v>69</v>
      </c>
      <c r="G285" s="9" t="s">
        <v>70</v>
      </c>
      <c r="H285" s="9" t="s">
        <v>1561</v>
      </c>
      <c r="I285" s="9" t="s">
        <v>72</v>
      </c>
      <c r="K285" s="10">
        <v>44336</v>
      </c>
      <c r="M285" s="10">
        <v>44371</v>
      </c>
      <c r="N285" s="9">
        <v>2021</v>
      </c>
      <c r="O285" s="9" t="s">
        <v>1562</v>
      </c>
      <c r="P285" s="9" t="s">
        <v>53</v>
      </c>
      <c r="Q285" s="9" t="s">
        <v>53</v>
      </c>
      <c r="R285" s="9" t="s">
        <v>1598</v>
      </c>
      <c r="T285" s="9"/>
      <c r="V285" s="9"/>
      <c r="W285" s="11">
        <f>IFERROR(VLOOKUP(B285, PlumX_snapshot!$A:$B, 2, FALSE), " ")</f>
        <v>5</v>
      </c>
      <c r="X285" s="11">
        <f>IFERROR(VLOOKUP(B285, PlumX_snapshot!$A:$C, 3, FALSE), " ")</f>
        <v>0</v>
      </c>
      <c r="Y285" s="12">
        <f>IFERROR(VLOOKUP(B285, PlumX_snapshot!$A:$D, 4, FALSE), " ")</f>
        <v>0</v>
      </c>
      <c r="Z285" s="12">
        <f>IFERROR(VLOOKUP(B285, PlumX_snapshot!$A:$E, 5, FALSE), " ")</f>
        <v>0</v>
      </c>
      <c r="AA285" s="12">
        <f>IFERROR(VLOOKUP(B285, PlumX_snapshot!$A:$F, 6, FALSE), " ")</f>
        <v>0</v>
      </c>
      <c r="AB285" s="13">
        <v>44978</v>
      </c>
      <c r="AC285" s="9" t="s">
        <v>1599</v>
      </c>
      <c r="AD285" s="9" t="s">
        <v>1600</v>
      </c>
      <c r="AH285" s="9">
        <v>2825</v>
      </c>
      <c r="AI285" s="9" t="s">
        <v>77</v>
      </c>
      <c r="AJ285" s="9" t="s">
        <v>301</v>
      </c>
      <c r="AK285" s="11" t="str">
        <f t="shared" si="2"/>
        <v>2021GBP</v>
      </c>
      <c r="AL285" s="11">
        <f>VLOOKUP(AK285, Exchange_rates!$C:$D, 2, FALSE)</f>
        <v>1</v>
      </c>
      <c r="AM285" s="14">
        <f t="shared" si="3"/>
        <v>3390</v>
      </c>
      <c r="AN285" s="9"/>
      <c r="AO285" s="9"/>
      <c r="AP285" s="9"/>
      <c r="AQ285" s="15" t="s">
        <v>49</v>
      </c>
      <c r="AR285" t="s">
        <v>1601</v>
      </c>
      <c r="AS285" s="16" t="s">
        <v>1602</v>
      </c>
    </row>
    <row r="286" spans="1:60" ht="14.5">
      <c r="A286" s="9" t="s">
        <v>1603</v>
      </c>
      <c r="B286" s="9" t="s">
        <v>1604</v>
      </c>
      <c r="C286" s="9" t="s">
        <v>1605</v>
      </c>
      <c r="D286" s="9" t="s">
        <v>1560</v>
      </c>
      <c r="E286" s="9" t="s">
        <v>49</v>
      </c>
      <c r="F286" s="9" t="s">
        <v>69</v>
      </c>
      <c r="G286" s="9" t="s">
        <v>70</v>
      </c>
      <c r="H286" s="9" t="s">
        <v>1561</v>
      </c>
      <c r="I286" s="9" t="s">
        <v>72</v>
      </c>
      <c r="K286" s="28">
        <v>44319</v>
      </c>
      <c r="M286" s="10">
        <v>44375</v>
      </c>
      <c r="N286" s="9">
        <v>2021</v>
      </c>
      <c r="O286" s="9" t="s">
        <v>1562</v>
      </c>
      <c r="P286" s="9" t="s">
        <v>83</v>
      </c>
      <c r="Q286" s="9" t="s">
        <v>53</v>
      </c>
      <c r="R286" s="9" t="s">
        <v>1606</v>
      </c>
      <c r="T286" s="9"/>
      <c r="V286" s="9"/>
      <c r="W286" s="11">
        <f>IFERROR(VLOOKUP(B286, PlumX_snapshot!$A:$B, 2, FALSE), " ")</f>
        <v>15</v>
      </c>
      <c r="X286" s="11">
        <f>IFERROR(VLOOKUP(B286, PlumX_snapshot!$A:$C, 3, FALSE), " ")</f>
        <v>2</v>
      </c>
      <c r="Y286" s="12">
        <f>IFERROR(VLOOKUP(B286, PlumX_snapshot!$A:$D, 4, FALSE), " ")</f>
        <v>0</v>
      </c>
      <c r="Z286" s="12">
        <f>IFERROR(VLOOKUP(B286, PlumX_snapshot!$A:$E, 5, FALSE), " ")</f>
        <v>0</v>
      </c>
      <c r="AA286" s="12">
        <f>IFERROR(VLOOKUP(B286, PlumX_snapshot!$A:$F, 6, FALSE), " ")</f>
        <v>2</v>
      </c>
      <c r="AB286" s="13">
        <v>44978</v>
      </c>
      <c r="AC286" s="9" t="s">
        <v>1607</v>
      </c>
      <c r="AD286" s="9" t="s">
        <v>1608</v>
      </c>
      <c r="AH286" s="9">
        <v>2499</v>
      </c>
      <c r="AI286" s="9" t="s">
        <v>77</v>
      </c>
      <c r="AJ286" s="9" t="s">
        <v>301</v>
      </c>
      <c r="AK286" s="11" t="str">
        <f t="shared" si="2"/>
        <v>2021GBP</v>
      </c>
      <c r="AL286" s="11">
        <f>VLOOKUP(AK286, Exchange_rates!$C:$D, 2, FALSE)</f>
        <v>1</v>
      </c>
      <c r="AM286" s="14">
        <f t="shared" si="3"/>
        <v>2998.7999999999997</v>
      </c>
      <c r="AN286" s="9"/>
      <c r="AO286" s="9"/>
      <c r="AP286" s="9"/>
      <c r="AQ286" s="15" t="s">
        <v>49</v>
      </c>
      <c r="AS286" s="16" t="s">
        <v>1609</v>
      </c>
    </row>
    <row r="287" spans="1:60" ht="14.5">
      <c r="A287" s="9" t="s">
        <v>1610</v>
      </c>
      <c r="B287" s="9" t="s">
        <v>1611</v>
      </c>
      <c r="C287" s="9" t="s">
        <v>1591</v>
      </c>
      <c r="D287" s="9" t="s">
        <v>1560</v>
      </c>
      <c r="E287" s="9" t="s">
        <v>49</v>
      </c>
      <c r="F287" s="9" t="s">
        <v>69</v>
      </c>
      <c r="G287" s="9" t="s">
        <v>70</v>
      </c>
      <c r="H287" s="9" t="s">
        <v>1561</v>
      </c>
      <c r="I287" s="9" t="s">
        <v>291</v>
      </c>
      <c r="K287" s="10">
        <v>44312</v>
      </c>
      <c r="N287" s="9">
        <v>2021</v>
      </c>
      <c r="O287" s="9" t="s">
        <v>1562</v>
      </c>
      <c r="P287" s="9" t="s">
        <v>53</v>
      </c>
      <c r="Q287" s="9" t="s">
        <v>53</v>
      </c>
      <c r="S287" s="9" t="s">
        <v>1612</v>
      </c>
      <c r="T287" s="9"/>
      <c r="U287" s="9"/>
      <c r="V287" s="9"/>
      <c r="W287" s="11">
        <f>IFERROR(VLOOKUP(B287, PlumX_snapshot!$A:$B, 2, FALSE), " ")</f>
        <v>0</v>
      </c>
      <c r="X287" s="11">
        <f>IFERROR(VLOOKUP(B287, PlumX_snapshot!$A:$C, 3, FALSE), " ")</f>
        <v>0</v>
      </c>
      <c r="Y287" s="12">
        <f>IFERROR(VLOOKUP(B287, PlumX_snapshot!$A:$D, 4, FALSE), " ")</f>
        <v>0</v>
      </c>
      <c r="Z287" s="12">
        <f>IFERROR(VLOOKUP(B287, PlumX_snapshot!$A:$E, 5, FALSE), " ")</f>
        <v>0</v>
      </c>
      <c r="AA287" s="12">
        <f>IFERROR(VLOOKUP(B287, PlumX_snapshot!$A:$F, 6, FALSE), " ")</f>
        <v>0</v>
      </c>
      <c r="AB287" s="13">
        <v>44978</v>
      </c>
      <c r="AC287" s="9" t="s">
        <v>1563</v>
      </c>
      <c r="AD287" s="9" t="s">
        <v>1564</v>
      </c>
      <c r="AH287" s="9">
        <v>2422</v>
      </c>
      <c r="AI287" s="9" t="s">
        <v>77</v>
      </c>
      <c r="AJ287" s="9" t="s">
        <v>301</v>
      </c>
      <c r="AK287" s="11" t="str">
        <f t="shared" si="2"/>
        <v>2021GBP</v>
      </c>
      <c r="AL287" s="11">
        <f>VLOOKUP(AK287, Exchange_rates!$C:$D, 2, FALSE)</f>
        <v>1</v>
      </c>
      <c r="AM287" s="14">
        <f t="shared" si="3"/>
        <v>2906.4</v>
      </c>
      <c r="AN287" s="9"/>
      <c r="AO287" s="9"/>
      <c r="AP287" s="9"/>
      <c r="AQ287" s="15" t="s">
        <v>49</v>
      </c>
      <c r="AS287" s="16" t="s">
        <v>1594</v>
      </c>
    </row>
    <row r="288" spans="1:60" ht="14.5">
      <c r="A288" s="9" t="s">
        <v>1613</v>
      </c>
      <c r="B288" s="9" t="s">
        <v>1614</v>
      </c>
      <c r="C288" s="9" t="s">
        <v>1615</v>
      </c>
      <c r="D288" s="9" t="s">
        <v>1560</v>
      </c>
      <c r="E288" s="9" t="s">
        <v>49</v>
      </c>
      <c r="F288" s="9" t="s">
        <v>69</v>
      </c>
      <c r="G288" s="9" t="s">
        <v>70</v>
      </c>
      <c r="H288" s="9" t="s">
        <v>1561</v>
      </c>
      <c r="I288" s="9" t="s">
        <v>238</v>
      </c>
      <c r="K288" s="10">
        <v>44302</v>
      </c>
      <c r="M288" s="10">
        <v>44370</v>
      </c>
      <c r="N288" s="9">
        <v>2021</v>
      </c>
      <c r="O288" s="9" t="s">
        <v>1562</v>
      </c>
      <c r="P288" s="9" t="s">
        <v>53</v>
      </c>
      <c r="Q288" s="9" t="s">
        <v>53</v>
      </c>
      <c r="R288" s="9" t="s">
        <v>1616</v>
      </c>
      <c r="T288" s="9"/>
      <c r="V288" s="9"/>
      <c r="W288" s="11">
        <f>IFERROR(VLOOKUP(B288, PlumX_snapshot!$A:$B, 2, FALSE), " ")</f>
        <v>23</v>
      </c>
      <c r="X288" s="11">
        <f>IFERROR(VLOOKUP(B288, PlumX_snapshot!$A:$C, 3, FALSE), " ")</f>
        <v>19</v>
      </c>
      <c r="Y288" s="12">
        <f>IFERROR(VLOOKUP(B288, PlumX_snapshot!$A:$D, 4, FALSE), " ")</f>
        <v>10</v>
      </c>
      <c r="Z288" s="12">
        <f>IFERROR(VLOOKUP(B288, PlumX_snapshot!$A:$E, 5, FALSE), " ")</f>
        <v>0</v>
      </c>
      <c r="AA288" s="12">
        <f>IFERROR(VLOOKUP(B288, PlumX_snapshot!$A:$F, 6, FALSE), " ")</f>
        <v>0</v>
      </c>
      <c r="AB288" s="13">
        <v>44978</v>
      </c>
      <c r="AC288" s="9" t="s">
        <v>1617</v>
      </c>
      <c r="AD288" s="9" t="s">
        <v>1618</v>
      </c>
      <c r="AH288" s="9">
        <v>1969</v>
      </c>
      <c r="AI288" s="9" t="s">
        <v>77</v>
      </c>
      <c r="AJ288" s="9" t="s">
        <v>301</v>
      </c>
      <c r="AK288" s="11" t="str">
        <f t="shared" si="2"/>
        <v>2021GBP</v>
      </c>
      <c r="AL288" s="11">
        <f>VLOOKUP(AK288, Exchange_rates!$C:$D, 2, FALSE)</f>
        <v>1</v>
      </c>
      <c r="AM288" s="14">
        <f t="shared" si="3"/>
        <v>2362.7999999999997</v>
      </c>
      <c r="AN288" s="9"/>
      <c r="AO288" s="9"/>
      <c r="AP288" s="9"/>
      <c r="AQ288" s="15" t="s">
        <v>49</v>
      </c>
      <c r="AR288" t="s">
        <v>1619</v>
      </c>
      <c r="AS288" s="16" t="s">
        <v>1620</v>
      </c>
    </row>
    <row r="289" spans="1:60" ht="14.5">
      <c r="A289" s="9" t="s">
        <v>1621</v>
      </c>
      <c r="B289" s="9" t="s">
        <v>1622</v>
      </c>
      <c r="C289" s="9" t="s">
        <v>1623</v>
      </c>
      <c r="D289" s="9" t="s">
        <v>1560</v>
      </c>
      <c r="E289" s="9" t="s">
        <v>49</v>
      </c>
      <c r="F289" s="9" t="s">
        <v>69</v>
      </c>
      <c r="G289" s="9" t="s">
        <v>70</v>
      </c>
      <c r="H289" s="9" t="s">
        <v>1561</v>
      </c>
      <c r="I289" s="9" t="s">
        <v>72</v>
      </c>
      <c r="K289" s="28">
        <v>44265</v>
      </c>
      <c r="M289" s="10">
        <v>44321</v>
      </c>
      <c r="N289" s="9">
        <v>2021</v>
      </c>
      <c r="O289" s="9" t="s">
        <v>1562</v>
      </c>
      <c r="P289" s="9" t="s">
        <v>83</v>
      </c>
      <c r="Q289" s="9" t="s">
        <v>53</v>
      </c>
      <c r="R289" s="9" t="s">
        <v>1624</v>
      </c>
      <c r="T289" s="9"/>
      <c r="V289" s="9"/>
      <c r="W289" s="11">
        <f>IFERROR(VLOOKUP(B289, PlumX_snapshot!$A:$B, 2, FALSE), " ")</f>
        <v>5</v>
      </c>
      <c r="X289" s="11">
        <f>IFERROR(VLOOKUP(B289, PlumX_snapshot!$A:$C, 3, FALSE), " ")</f>
        <v>1</v>
      </c>
      <c r="Y289" s="12">
        <f>IFERROR(VLOOKUP(B289, PlumX_snapshot!$A:$D, 4, FALSE), " ")</f>
        <v>15</v>
      </c>
      <c r="Z289" s="12">
        <f>IFERROR(VLOOKUP(B289, PlumX_snapshot!$A:$E, 5, FALSE), " ")</f>
        <v>0</v>
      </c>
      <c r="AA289" s="12">
        <f>IFERROR(VLOOKUP(B289, PlumX_snapshot!$A:$F, 6, FALSE), " ")</f>
        <v>0</v>
      </c>
      <c r="AB289" s="13">
        <v>44978</v>
      </c>
      <c r="AC289" s="9" t="s">
        <v>1607</v>
      </c>
      <c r="AD289" s="9" t="s">
        <v>1608</v>
      </c>
      <c r="AH289" s="9">
        <v>2850</v>
      </c>
      <c r="AI289" s="9" t="s">
        <v>77</v>
      </c>
      <c r="AJ289" s="9" t="s">
        <v>301</v>
      </c>
      <c r="AK289" s="11" t="str">
        <f t="shared" si="2"/>
        <v>2021GBP</v>
      </c>
      <c r="AL289" s="11">
        <f>VLOOKUP(AK289, Exchange_rates!$C:$D, 2, FALSE)</f>
        <v>1</v>
      </c>
      <c r="AM289" s="14">
        <f t="shared" si="3"/>
        <v>3420</v>
      </c>
      <c r="AN289" s="9"/>
      <c r="AO289" s="9"/>
      <c r="AP289" s="9"/>
      <c r="AQ289" s="15" t="s">
        <v>49</v>
      </c>
      <c r="AR289" t="s">
        <v>1625</v>
      </c>
      <c r="AS289" s="16" t="s">
        <v>1626</v>
      </c>
    </row>
    <row r="290" spans="1:60" ht="14.5">
      <c r="A290" s="9" t="s">
        <v>1627</v>
      </c>
      <c r="B290" s="9" t="s">
        <v>1628</v>
      </c>
      <c r="C290" s="9" t="s">
        <v>1597</v>
      </c>
      <c r="D290" s="9" t="s">
        <v>1560</v>
      </c>
      <c r="E290" s="9" t="s">
        <v>49</v>
      </c>
      <c r="F290" s="9" t="s">
        <v>69</v>
      </c>
      <c r="G290" s="9" t="s">
        <v>70</v>
      </c>
      <c r="H290" s="9" t="s">
        <v>1561</v>
      </c>
      <c r="I290" s="9" t="s">
        <v>72</v>
      </c>
      <c r="K290" s="10">
        <v>44250</v>
      </c>
      <c r="M290" s="10">
        <v>44267</v>
      </c>
      <c r="N290" s="9">
        <v>2021</v>
      </c>
      <c r="O290" s="9" t="s">
        <v>1562</v>
      </c>
      <c r="P290" s="9" t="s">
        <v>83</v>
      </c>
      <c r="Q290" s="9" t="s">
        <v>53</v>
      </c>
      <c r="R290" s="9" t="s">
        <v>1629</v>
      </c>
      <c r="S290" s="9" t="s">
        <v>1630</v>
      </c>
      <c r="T290" s="9"/>
      <c r="V290" s="9"/>
      <c r="W290" s="11">
        <f>IFERROR(VLOOKUP(B290, PlumX_snapshot!$A:$B, 2, FALSE), " ")</f>
        <v>7</v>
      </c>
      <c r="X290" s="11">
        <f>IFERROR(VLOOKUP(B290, PlumX_snapshot!$A:$C, 3, FALSE), " ")</f>
        <v>0</v>
      </c>
      <c r="Y290" s="12">
        <f>IFERROR(VLOOKUP(B290, PlumX_snapshot!$A:$D, 4, FALSE), " ")</f>
        <v>0</v>
      </c>
      <c r="Z290" s="12">
        <f>IFERROR(VLOOKUP(B290, PlumX_snapshot!$A:$E, 5, FALSE), " ")</f>
        <v>0</v>
      </c>
      <c r="AA290" s="12">
        <f>IFERROR(VLOOKUP(B290, PlumX_snapshot!$A:$F, 6, FALSE), " ")</f>
        <v>0</v>
      </c>
      <c r="AB290" s="13">
        <v>44978</v>
      </c>
      <c r="AC290" s="9" t="s">
        <v>1631</v>
      </c>
      <c r="AD290" s="9" t="s">
        <v>1632</v>
      </c>
      <c r="AH290" s="9">
        <v>2825</v>
      </c>
      <c r="AI290" s="9" t="s">
        <v>77</v>
      </c>
      <c r="AJ290" s="9" t="s">
        <v>301</v>
      </c>
      <c r="AK290" s="11" t="str">
        <f t="shared" si="2"/>
        <v>2021GBP</v>
      </c>
      <c r="AL290" s="11">
        <f>VLOOKUP(AK290, Exchange_rates!$C:$D, 2, FALSE)</f>
        <v>1</v>
      </c>
      <c r="AM290" s="14">
        <f t="shared" si="3"/>
        <v>3390</v>
      </c>
      <c r="AN290" s="9"/>
      <c r="AO290" s="9"/>
      <c r="AP290" s="9"/>
      <c r="AQ290" s="15" t="s">
        <v>49</v>
      </c>
      <c r="AR290" t="s">
        <v>1601</v>
      </c>
      <c r="AS290" s="16" t="s">
        <v>1602</v>
      </c>
    </row>
    <row r="291" spans="1:60" ht="14.5">
      <c r="A291" s="9" t="s">
        <v>1633</v>
      </c>
      <c r="B291" s="9" t="s">
        <v>1634</v>
      </c>
      <c r="C291" s="9" t="s">
        <v>1597</v>
      </c>
      <c r="D291" s="9" t="s">
        <v>1560</v>
      </c>
      <c r="E291" s="9" t="s">
        <v>49</v>
      </c>
      <c r="F291" s="9" t="s">
        <v>50</v>
      </c>
      <c r="G291" s="9" t="s">
        <v>51</v>
      </c>
      <c r="H291" s="9" t="s">
        <v>1561</v>
      </c>
      <c r="I291" s="9" t="s">
        <v>72</v>
      </c>
      <c r="K291" s="10">
        <v>44243</v>
      </c>
      <c r="M291" s="10">
        <v>44274</v>
      </c>
      <c r="N291" s="9">
        <v>2021</v>
      </c>
      <c r="O291" s="9" t="s">
        <v>1562</v>
      </c>
      <c r="P291" s="9" t="s">
        <v>83</v>
      </c>
      <c r="Q291" s="9" t="s">
        <v>53</v>
      </c>
      <c r="R291" s="9" t="s">
        <v>1635</v>
      </c>
      <c r="S291" s="9" t="s">
        <v>1630</v>
      </c>
      <c r="T291" s="9"/>
      <c r="V291" s="9"/>
      <c r="W291" s="11">
        <f>IFERROR(VLOOKUP(B291, PlumX_snapshot!$A:$B, 2, FALSE), " ")</f>
        <v>34</v>
      </c>
      <c r="X291" s="11">
        <f>IFERROR(VLOOKUP(B291, PlumX_snapshot!$A:$C, 3, FALSE), " ")</f>
        <v>1</v>
      </c>
      <c r="Y291" s="12">
        <f>IFERROR(VLOOKUP(B291, PlumX_snapshot!$A:$D, 4, FALSE), " ")</f>
        <v>0</v>
      </c>
      <c r="Z291" s="12">
        <f>IFERROR(VLOOKUP(B291, PlumX_snapshot!$A:$E, 5, FALSE), " ")</f>
        <v>0</v>
      </c>
      <c r="AA291" s="12">
        <f>IFERROR(VLOOKUP(B291, PlumX_snapshot!$A:$F, 6, FALSE), " ")</f>
        <v>0</v>
      </c>
      <c r="AB291" s="13">
        <v>44978</v>
      </c>
      <c r="AC291" s="9" t="s">
        <v>1636</v>
      </c>
      <c r="AD291" s="9" t="s">
        <v>1637</v>
      </c>
      <c r="AH291" s="9">
        <v>2825</v>
      </c>
      <c r="AI291" s="9" t="s">
        <v>77</v>
      </c>
      <c r="AJ291" s="9" t="s">
        <v>301</v>
      </c>
      <c r="AK291" s="11" t="str">
        <f t="shared" si="2"/>
        <v>2021GBP</v>
      </c>
      <c r="AL291" s="11">
        <f>VLOOKUP(AK291, Exchange_rates!$C:$D, 2, FALSE)</f>
        <v>1</v>
      </c>
      <c r="AM291" s="14">
        <f t="shared" si="3"/>
        <v>3390</v>
      </c>
      <c r="AN291" s="9"/>
      <c r="AO291" s="9"/>
      <c r="AP291" s="9"/>
      <c r="AQ291" s="15" t="s">
        <v>49</v>
      </c>
      <c r="AR291" t="s">
        <v>1601</v>
      </c>
      <c r="AS291" s="16" t="s">
        <v>1602</v>
      </c>
    </row>
    <row r="292" spans="1:60" ht="14.5">
      <c r="A292" s="9" t="s">
        <v>1638</v>
      </c>
      <c r="B292" s="9" t="s">
        <v>1639</v>
      </c>
      <c r="C292" s="9" t="s">
        <v>1640</v>
      </c>
      <c r="D292" s="9" t="s">
        <v>1560</v>
      </c>
      <c r="E292" s="9" t="s">
        <v>49</v>
      </c>
      <c r="F292" s="9" t="s">
        <v>69</v>
      </c>
      <c r="G292" s="9" t="s">
        <v>70</v>
      </c>
      <c r="H292" s="9" t="s">
        <v>1561</v>
      </c>
      <c r="I292" s="9" t="s">
        <v>291</v>
      </c>
      <c r="K292" s="28">
        <v>44236</v>
      </c>
      <c r="M292" s="10">
        <v>44348</v>
      </c>
      <c r="N292" s="9">
        <v>2021</v>
      </c>
      <c r="O292" s="9" t="s">
        <v>1562</v>
      </c>
      <c r="P292" s="9" t="s">
        <v>53</v>
      </c>
      <c r="Q292" s="9" t="s">
        <v>53</v>
      </c>
      <c r="R292" s="9" t="s">
        <v>210</v>
      </c>
      <c r="S292" s="9" t="s">
        <v>1630</v>
      </c>
      <c r="T292" s="9"/>
      <c r="V292" s="9"/>
      <c r="W292" s="11">
        <f>IFERROR(VLOOKUP(B292, PlumX_snapshot!$A:$B, 2, FALSE), " ")</f>
        <v>2</v>
      </c>
      <c r="X292" s="11">
        <f>IFERROR(VLOOKUP(B292, PlumX_snapshot!$A:$C, 3, FALSE), " ")</f>
        <v>1</v>
      </c>
      <c r="Y292" s="12">
        <f>IFERROR(VLOOKUP(B292, PlumX_snapshot!$A:$D, 4, FALSE), " ")</f>
        <v>6</v>
      </c>
      <c r="Z292" s="12">
        <f>IFERROR(VLOOKUP(B292, PlumX_snapshot!$A:$E, 5, FALSE), " ")</f>
        <v>0</v>
      </c>
      <c r="AA292" s="12">
        <f>IFERROR(VLOOKUP(B292, PlumX_snapshot!$A:$F, 6, FALSE), " ")</f>
        <v>0</v>
      </c>
      <c r="AB292" s="13">
        <v>44978</v>
      </c>
      <c r="AC292" s="9" t="s">
        <v>1641</v>
      </c>
      <c r="AD292" s="9" t="s">
        <v>703</v>
      </c>
      <c r="AH292" s="9">
        <v>2006</v>
      </c>
      <c r="AI292" s="9" t="s">
        <v>77</v>
      </c>
      <c r="AJ292" s="9" t="s">
        <v>301</v>
      </c>
      <c r="AK292" s="11" t="str">
        <f t="shared" si="2"/>
        <v>2021GBP</v>
      </c>
      <c r="AL292" s="11">
        <f>VLOOKUP(AK292, Exchange_rates!$C:$D, 2, FALSE)</f>
        <v>1</v>
      </c>
      <c r="AM292" s="14">
        <f t="shared" si="3"/>
        <v>2407.1999999999998</v>
      </c>
      <c r="AN292" s="9"/>
      <c r="AO292" s="9"/>
      <c r="AP292" s="9"/>
      <c r="AQ292" s="15" t="s">
        <v>49</v>
      </c>
      <c r="AR292" t="s">
        <v>1642</v>
      </c>
      <c r="AS292" s="16" t="s">
        <v>1643</v>
      </c>
    </row>
    <row r="293" spans="1:60" ht="14.5">
      <c r="A293" s="9" t="s">
        <v>1644</v>
      </c>
      <c r="B293" s="9" t="s">
        <v>1645</v>
      </c>
      <c r="C293" s="9" t="s">
        <v>1646</v>
      </c>
      <c r="D293" s="9" t="s">
        <v>1560</v>
      </c>
      <c r="E293" s="9" t="s">
        <v>49</v>
      </c>
      <c r="F293" s="9" t="s">
        <v>50</v>
      </c>
      <c r="G293" s="9" t="s">
        <v>51</v>
      </c>
      <c r="H293" s="9"/>
      <c r="I293" s="9" t="s">
        <v>1647</v>
      </c>
      <c r="K293" s="28">
        <v>44230</v>
      </c>
      <c r="M293" s="10">
        <v>44253</v>
      </c>
      <c r="N293" s="9">
        <v>2021</v>
      </c>
      <c r="O293" s="9" t="s">
        <v>1562</v>
      </c>
      <c r="P293" s="9" t="s">
        <v>53</v>
      </c>
      <c r="Q293" s="9" t="s">
        <v>53</v>
      </c>
      <c r="R293" s="9" t="s">
        <v>1648</v>
      </c>
      <c r="T293" s="9" t="s">
        <v>723</v>
      </c>
      <c r="V293" s="9"/>
      <c r="W293" s="11">
        <f>IFERROR(VLOOKUP(B293, PlumX_snapshot!$A:$B, 2, FALSE), " ")</f>
        <v>14</v>
      </c>
      <c r="X293" s="11">
        <f>IFERROR(VLOOKUP(B293, PlumX_snapshot!$A:$C, 3, FALSE), " ")</f>
        <v>2</v>
      </c>
      <c r="Y293" s="12">
        <f>IFERROR(VLOOKUP(B293, PlumX_snapshot!$A:$D, 4, FALSE), " ")</f>
        <v>6</v>
      </c>
      <c r="Z293" s="12">
        <f>IFERROR(VLOOKUP(B293, PlumX_snapshot!$A:$E, 5, FALSE), " ")</f>
        <v>0</v>
      </c>
      <c r="AA293" s="12">
        <f>IFERROR(VLOOKUP(B293, PlumX_snapshot!$A:$F, 6, FALSE), " ")</f>
        <v>0</v>
      </c>
      <c r="AB293" s="13">
        <v>44978</v>
      </c>
      <c r="AC293" s="9" t="s">
        <v>1649</v>
      </c>
      <c r="AD293" s="9" t="s">
        <v>1650</v>
      </c>
      <c r="AH293" s="9">
        <v>2658</v>
      </c>
      <c r="AI293" s="9" t="s">
        <v>77</v>
      </c>
      <c r="AJ293" s="9" t="s">
        <v>301</v>
      </c>
      <c r="AK293" s="11" t="str">
        <f t="shared" si="2"/>
        <v>2021GBP</v>
      </c>
      <c r="AL293" s="11">
        <f>VLOOKUP(AK293, Exchange_rates!$C:$D, 2, FALSE)</f>
        <v>1</v>
      </c>
      <c r="AM293" s="14">
        <f t="shared" si="3"/>
        <v>3189.6</v>
      </c>
      <c r="AN293" s="9"/>
      <c r="AO293" s="9"/>
      <c r="AP293" s="9"/>
      <c r="AQ293" s="15" t="s">
        <v>49</v>
      </c>
      <c r="AS293" s="16" t="s">
        <v>1651</v>
      </c>
    </row>
    <row r="294" spans="1:60" ht="14.5">
      <c r="A294" s="9" t="s">
        <v>1652</v>
      </c>
      <c r="B294" s="9" t="s">
        <v>1653</v>
      </c>
      <c r="C294" s="9" t="s">
        <v>1654</v>
      </c>
      <c r="D294" s="9" t="s">
        <v>1560</v>
      </c>
      <c r="E294" s="9" t="s">
        <v>125</v>
      </c>
      <c r="F294" s="9" t="s">
        <v>69</v>
      </c>
      <c r="G294" s="9" t="s">
        <v>51</v>
      </c>
      <c r="H294" s="9"/>
      <c r="I294" s="9" t="s">
        <v>72</v>
      </c>
      <c r="K294" s="10">
        <v>44224</v>
      </c>
      <c r="M294" s="10">
        <v>44243</v>
      </c>
      <c r="N294" s="9">
        <v>2021</v>
      </c>
      <c r="O294" s="9" t="s">
        <v>1562</v>
      </c>
      <c r="P294" s="9" t="s">
        <v>83</v>
      </c>
      <c r="Q294" s="9" t="s">
        <v>53</v>
      </c>
      <c r="R294" s="9" t="s">
        <v>1655</v>
      </c>
      <c r="S294" s="9" t="s">
        <v>278</v>
      </c>
      <c r="T294" s="9" t="s">
        <v>1656</v>
      </c>
      <c r="U294" s="9" t="s">
        <v>1657</v>
      </c>
      <c r="V294" s="9"/>
      <c r="W294" s="11">
        <f>IFERROR(VLOOKUP(B294, PlumX_snapshot!$A:$B, 2, FALSE), " ")</f>
        <v>98</v>
      </c>
      <c r="X294" s="11">
        <f>IFERROR(VLOOKUP(B294, PlumX_snapshot!$A:$C, 3, FALSE), " ")</f>
        <v>76</v>
      </c>
      <c r="Y294" s="12">
        <f>IFERROR(VLOOKUP(B294, PlumX_snapshot!$A:$D, 4, FALSE), " ")</f>
        <v>18</v>
      </c>
      <c r="Z294" s="12">
        <f>IFERROR(VLOOKUP(B294, PlumX_snapshot!$A:$E, 5, FALSE), " ")</f>
        <v>0</v>
      </c>
      <c r="AA294" s="12">
        <f>IFERROR(VLOOKUP(B294, PlumX_snapshot!$A:$F, 6, FALSE), " ")</f>
        <v>5</v>
      </c>
      <c r="AB294" s="13">
        <v>44978</v>
      </c>
      <c r="AC294" s="9" t="s">
        <v>1658</v>
      </c>
      <c r="AD294" s="9" t="s">
        <v>1659</v>
      </c>
      <c r="AH294" s="9">
        <v>2225</v>
      </c>
      <c r="AI294" s="9" t="s">
        <v>77</v>
      </c>
      <c r="AJ294" s="9" t="s">
        <v>301</v>
      </c>
      <c r="AK294" s="11" t="str">
        <f t="shared" si="2"/>
        <v>2021GBP</v>
      </c>
      <c r="AL294" s="11">
        <f>VLOOKUP(AK294, Exchange_rates!$C:$D, 2, FALSE)</f>
        <v>1</v>
      </c>
      <c r="AM294" s="14">
        <f t="shared" si="3"/>
        <v>2670</v>
      </c>
      <c r="AN294" s="9"/>
      <c r="AO294" s="9"/>
      <c r="AP294" s="9"/>
      <c r="AQ294" s="15" t="s">
        <v>125</v>
      </c>
      <c r="AS294" s="16" t="s">
        <v>1660</v>
      </c>
    </row>
    <row r="295" spans="1:60" ht="14.5">
      <c r="A295" s="20" t="s">
        <v>1661</v>
      </c>
      <c r="B295" s="20" t="s">
        <v>1662</v>
      </c>
      <c r="C295" s="20" t="s">
        <v>1663</v>
      </c>
      <c r="D295" s="20" t="s">
        <v>1560</v>
      </c>
      <c r="E295" s="20" t="s">
        <v>49</v>
      </c>
      <c r="F295" s="20" t="s">
        <v>69</v>
      </c>
      <c r="G295" s="20" t="s">
        <v>70</v>
      </c>
      <c r="H295" s="20" t="s">
        <v>1561</v>
      </c>
      <c r="I295" s="20" t="s">
        <v>72</v>
      </c>
      <c r="J295" s="20"/>
      <c r="K295" s="22">
        <v>44217</v>
      </c>
      <c r="L295" s="20"/>
      <c r="M295" s="22">
        <v>44229</v>
      </c>
      <c r="N295" s="20">
        <v>2021</v>
      </c>
      <c r="O295" s="20" t="s">
        <v>1562</v>
      </c>
      <c r="P295" s="20" t="s">
        <v>83</v>
      </c>
      <c r="Q295" s="20" t="s">
        <v>53</v>
      </c>
      <c r="R295" s="20" t="s">
        <v>1664</v>
      </c>
      <c r="S295" s="20" t="s">
        <v>1630</v>
      </c>
      <c r="T295" s="20"/>
      <c r="U295" s="20"/>
      <c r="V295" s="20"/>
      <c r="W295" s="23">
        <f>IFERROR(VLOOKUP(B295, PlumX_snapshot!$A:$B, 2, FALSE), " ")</f>
        <v>34</v>
      </c>
      <c r="X295" s="23">
        <f>IFERROR(VLOOKUP(B295, PlumX_snapshot!$A:$C, 3, FALSE), " ")</f>
        <v>7</v>
      </c>
      <c r="Y295" s="24">
        <f>IFERROR(VLOOKUP(B295, PlumX_snapshot!$A:$D, 4, FALSE), " ")</f>
        <v>0</v>
      </c>
      <c r="Z295" s="24">
        <f>IFERROR(VLOOKUP(B295, PlumX_snapshot!$A:$E, 5, FALSE), " ")</f>
        <v>0</v>
      </c>
      <c r="AA295" s="24">
        <f>IFERROR(VLOOKUP(B295, PlumX_snapshot!$A:$F, 6, FALSE), " ")</f>
        <v>0</v>
      </c>
      <c r="AB295" s="25">
        <v>44978</v>
      </c>
      <c r="AC295" s="20" t="s">
        <v>1665</v>
      </c>
      <c r="AD295" s="20" t="s">
        <v>1666</v>
      </c>
      <c r="AE295" s="20"/>
      <c r="AF295" s="20"/>
      <c r="AG295" s="20"/>
      <c r="AH295" s="20">
        <v>3014</v>
      </c>
      <c r="AI295" s="20" t="s">
        <v>77</v>
      </c>
      <c r="AJ295" s="20" t="s">
        <v>301</v>
      </c>
      <c r="AK295" s="23" t="str">
        <f t="shared" si="2"/>
        <v>2021GBP</v>
      </c>
      <c r="AL295" s="23">
        <f>VLOOKUP(AK295, Exchange_rates!$C:$D, 2, FALSE)</f>
        <v>1</v>
      </c>
      <c r="AM295" s="26">
        <f t="shared" si="3"/>
        <v>3616.7999999999997</v>
      </c>
      <c r="AN295" s="20"/>
      <c r="AO295" s="20"/>
      <c r="AP295" s="20"/>
      <c r="AQ295" s="27" t="s">
        <v>49</v>
      </c>
      <c r="AR295" t="s">
        <v>1667</v>
      </c>
      <c r="AS295" s="16" t="s">
        <v>1668</v>
      </c>
      <c r="AT295" s="20"/>
      <c r="AU295" s="20"/>
      <c r="AV295" s="20"/>
      <c r="AW295" s="20"/>
      <c r="AX295" s="20"/>
      <c r="AY295" s="20"/>
      <c r="AZ295" s="20"/>
      <c r="BA295" s="20"/>
      <c r="BB295" s="20"/>
      <c r="BC295" s="20"/>
      <c r="BD295" s="20"/>
      <c r="BE295" s="20"/>
      <c r="BF295" s="20"/>
      <c r="BG295" s="20"/>
      <c r="BH295" s="20"/>
    </row>
    <row r="296" spans="1:60" ht="14.5">
      <c r="A296" s="9" t="s">
        <v>1669</v>
      </c>
      <c r="B296" s="9" t="s">
        <v>1670</v>
      </c>
      <c r="C296" s="9" t="s">
        <v>1671</v>
      </c>
      <c r="D296" s="9" t="s">
        <v>1560</v>
      </c>
      <c r="E296" s="9" t="s">
        <v>49</v>
      </c>
      <c r="F296" s="9" t="s">
        <v>69</v>
      </c>
      <c r="G296" s="9" t="s">
        <v>51</v>
      </c>
      <c r="H296" s="9" t="s">
        <v>1561</v>
      </c>
      <c r="I296" s="9" t="s">
        <v>72</v>
      </c>
      <c r="K296" s="10">
        <v>44212</v>
      </c>
      <c r="M296" s="10">
        <v>44197</v>
      </c>
      <c r="N296" s="9">
        <v>2021</v>
      </c>
      <c r="O296" s="9" t="s">
        <v>1562</v>
      </c>
      <c r="P296" s="9" t="s">
        <v>53</v>
      </c>
      <c r="Q296" s="9" t="s">
        <v>53</v>
      </c>
      <c r="R296" s="9" t="s">
        <v>210</v>
      </c>
      <c r="S296" s="9" t="s">
        <v>1672</v>
      </c>
      <c r="T296" s="9"/>
      <c r="V296" s="9"/>
      <c r="W296" s="11">
        <f>IFERROR(VLOOKUP(B296, PlumX_snapshot!$A:$B, 2, FALSE), " ")</f>
        <v>5</v>
      </c>
      <c r="X296" s="11">
        <f>IFERROR(VLOOKUP(B296, PlumX_snapshot!$A:$C, 3, FALSE), " ")</f>
        <v>3</v>
      </c>
      <c r="Y296" s="12">
        <f>IFERROR(VLOOKUP(B296, PlumX_snapshot!$A:$D, 4, FALSE), " ")</f>
        <v>1</v>
      </c>
      <c r="Z296" s="12">
        <f>IFERROR(VLOOKUP(B296, PlumX_snapshot!$A:$E, 5, FALSE), " ")</f>
        <v>0</v>
      </c>
      <c r="AA296" s="12">
        <f>IFERROR(VLOOKUP(B296, PlumX_snapshot!$A:$F, 6, FALSE), " ")</f>
        <v>0</v>
      </c>
      <c r="AB296" s="13">
        <v>44978</v>
      </c>
      <c r="AC296" s="9" t="s">
        <v>1673</v>
      </c>
      <c r="AD296" s="9" t="s">
        <v>1674</v>
      </c>
      <c r="AH296" s="9">
        <v>2597</v>
      </c>
      <c r="AI296" s="9" t="s">
        <v>77</v>
      </c>
      <c r="AJ296" s="9" t="s">
        <v>301</v>
      </c>
      <c r="AK296" s="11" t="str">
        <f t="shared" si="2"/>
        <v>2021GBP</v>
      </c>
      <c r="AL296" s="11">
        <f>VLOOKUP(AK296, Exchange_rates!$C:$D, 2, FALSE)</f>
        <v>1</v>
      </c>
      <c r="AM296" s="14">
        <f t="shared" si="3"/>
        <v>3116.4</v>
      </c>
      <c r="AN296" s="9"/>
      <c r="AO296" s="9"/>
      <c r="AP296" s="9"/>
      <c r="AQ296" s="15" t="s">
        <v>49</v>
      </c>
      <c r="AS296" s="16" t="s">
        <v>1675</v>
      </c>
    </row>
    <row r="297" spans="1:60" ht="14.5">
      <c r="A297" s="9" t="s">
        <v>1676</v>
      </c>
      <c r="B297" s="9" t="s">
        <v>1677</v>
      </c>
      <c r="C297" s="9" t="s">
        <v>1678</v>
      </c>
      <c r="D297" s="9" t="s">
        <v>1560</v>
      </c>
      <c r="E297" s="9" t="s">
        <v>49</v>
      </c>
      <c r="F297" s="9" t="s">
        <v>69</v>
      </c>
      <c r="G297" s="9" t="s">
        <v>70</v>
      </c>
      <c r="H297" s="9" t="s">
        <v>1561</v>
      </c>
      <c r="I297" s="9" t="s">
        <v>72</v>
      </c>
      <c r="K297" s="28">
        <v>44378</v>
      </c>
      <c r="M297" s="28">
        <v>44489</v>
      </c>
      <c r="N297" s="9">
        <v>2021</v>
      </c>
      <c r="O297" s="9" t="s">
        <v>1679</v>
      </c>
      <c r="P297" s="9" t="s">
        <v>53</v>
      </c>
      <c r="Q297" s="9" t="s">
        <v>53</v>
      </c>
      <c r="R297" s="9" t="s">
        <v>210</v>
      </c>
      <c r="T297" s="9"/>
      <c r="V297" s="9"/>
      <c r="W297" s="11">
        <f>IFERROR(VLOOKUP(B297, PlumX_snapshot!$A:$B, 2, FALSE), " ")</f>
        <v>37</v>
      </c>
      <c r="X297" s="11">
        <f>IFERROR(VLOOKUP(B297, PlumX_snapshot!$A:$C, 3, FALSE), " ")</f>
        <v>4</v>
      </c>
      <c r="Y297" s="12">
        <f>IFERROR(VLOOKUP(B297, PlumX_snapshot!$A:$D, 4, FALSE), " ")</f>
        <v>0</v>
      </c>
      <c r="Z297" s="12">
        <f>IFERROR(VLOOKUP(B297, PlumX_snapshot!$A:$E, 5, FALSE), " ")</f>
        <v>0</v>
      </c>
      <c r="AA297" s="12">
        <f>IFERROR(VLOOKUP(B297, PlumX_snapshot!$A:$F, 6, FALSE), " ")</f>
        <v>0</v>
      </c>
      <c r="AB297" s="13">
        <v>44978</v>
      </c>
      <c r="AC297" s="9" t="s">
        <v>1680</v>
      </c>
      <c r="AD297" s="9" t="s">
        <v>1681</v>
      </c>
      <c r="AH297" s="9">
        <v>2762</v>
      </c>
      <c r="AI297" s="9" t="s">
        <v>77</v>
      </c>
      <c r="AJ297" s="9" t="s">
        <v>301</v>
      </c>
      <c r="AK297" s="11" t="str">
        <f t="shared" si="2"/>
        <v>2021GBP</v>
      </c>
      <c r="AL297" s="11">
        <f>VLOOKUP(AK297, Exchange_rates!$C:$D, 2, FALSE)</f>
        <v>1</v>
      </c>
      <c r="AM297" s="14">
        <f t="shared" si="3"/>
        <v>3314.4</v>
      </c>
      <c r="AN297" s="9"/>
      <c r="AO297" s="9"/>
      <c r="AP297" s="9"/>
      <c r="AQ297" s="15" t="s">
        <v>49</v>
      </c>
      <c r="AS297" s="16" t="s">
        <v>1682</v>
      </c>
    </row>
    <row r="298" spans="1:60" ht="14.5">
      <c r="A298" s="9" t="s">
        <v>1683</v>
      </c>
      <c r="B298" s="9" t="s">
        <v>1684</v>
      </c>
      <c r="C298" s="9" t="s">
        <v>1685</v>
      </c>
      <c r="D298" s="9" t="s">
        <v>1560</v>
      </c>
      <c r="E298" s="9" t="s">
        <v>49</v>
      </c>
      <c r="F298" s="9" t="s">
        <v>50</v>
      </c>
      <c r="G298" s="9" t="s">
        <v>51</v>
      </c>
      <c r="H298" s="9"/>
      <c r="I298" s="9" t="s">
        <v>1647</v>
      </c>
      <c r="K298" s="28">
        <v>44418</v>
      </c>
      <c r="M298" s="10">
        <v>44453</v>
      </c>
      <c r="N298" s="9">
        <v>2021</v>
      </c>
      <c r="O298" s="9" t="s">
        <v>1679</v>
      </c>
      <c r="P298" s="9" t="s">
        <v>53</v>
      </c>
      <c r="Q298" s="9" t="s">
        <v>53</v>
      </c>
      <c r="R298" s="9" t="s">
        <v>210</v>
      </c>
      <c r="T298" s="9" t="s">
        <v>723</v>
      </c>
      <c r="V298" s="9"/>
      <c r="W298" s="11">
        <f>IFERROR(VLOOKUP(B298, PlumX_snapshot!$A:$B, 2, FALSE), " ")</f>
        <v>0</v>
      </c>
      <c r="X298" s="11">
        <f>IFERROR(VLOOKUP(B298, PlumX_snapshot!$A:$C, 3, FALSE), " ")</f>
        <v>0</v>
      </c>
      <c r="Y298" s="12">
        <f>IFERROR(VLOOKUP(B298, PlumX_snapshot!$A:$D, 4, FALSE), " ")</f>
        <v>0</v>
      </c>
      <c r="Z298" s="12">
        <f>IFERROR(VLOOKUP(B298, PlumX_snapshot!$A:$E, 5, FALSE), " ")</f>
        <v>0</v>
      </c>
      <c r="AA298" s="12">
        <f>IFERROR(VLOOKUP(B298, PlumX_snapshot!$A:$F, 6, FALSE), " ")</f>
        <v>0</v>
      </c>
      <c r="AB298" s="13">
        <v>44978</v>
      </c>
      <c r="AC298" s="9" t="s">
        <v>1686</v>
      </c>
      <c r="AD298" s="9" t="s">
        <v>1687</v>
      </c>
      <c r="AH298" s="9">
        <v>1771</v>
      </c>
      <c r="AI298" s="9" t="s">
        <v>77</v>
      </c>
      <c r="AJ298" s="9" t="s">
        <v>301</v>
      </c>
      <c r="AK298" s="11" t="str">
        <f t="shared" si="2"/>
        <v>2021GBP</v>
      </c>
      <c r="AL298" s="11">
        <f>VLOOKUP(AK298, Exchange_rates!$C:$D, 2, FALSE)</f>
        <v>1</v>
      </c>
      <c r="AM298" s="14">
        <f t="shared" si="3"/>
        <v>2125.1999999999998</v>
      </c>
      <c r="AN298" s="9"/>
      <c r="AO298" s="9"/>
      <c r="AP298" s="9"/>
      <c r="AQ298" s="15" t="s">
        <v>49</v>
      </c>
      <c r="AS298" s="16" t="s">
        <v>1688</v>
      </c>
    </row>
    <row r="299" spans="1:60" ht="14.5">
      <c r="A299" s="9" t="s">
        <v>1689</v>
      </c>
      <c r="B299" s="9" t="s">
        <v>1690</v>
      </c>
      <c r="C299" s="9" t="s">
        <v>1685</v>
      </c>
      <c r="D299" s="9" t="s">
        <v>1560</v>
      </c>
      <c r="E299" s="9" t="s">
        <v>49</v>
      </c>
      <c r="F299" s="9" t="s">
        <v>50</v>
      </c>
      <c r="G299" s="9" t="s">
        <v>51</v>
      </c>
      <c r="H299" s="9"/>
      <c r="I299" s="9" t="s">
        <v>1647</v>
      </c>
      <c r="K299" s="28">
        <v>44418</v>
      </c>
      <c r="M299" s="28">
        <v>44481</v>
      </c>
      <c r="N299" s="9">
        <v>2021</v>
      </c>
      <c r="O299" s="9" t="s">
        <v>1679</v>
      </c>
      <c r="P299" s="9" t="s">
        <v>53</v>
      </c>
      <c r="Q299" s="9" t="s">
        <v>53</v>
      </c>
      <c r="R299" s="9" t="s">
        <v>210</v>
      </c>
      <c r="T299" s="9" t="s">
        <v>723</v>
      </c>
      <c r="V299" s="9"/>
      <c r="W299" s="11">
        <f>IFERROR(VLOOKUP(B299, PlumX_snapshot!$A:$B, 2, FALSE), " ")</f>
        <v>0</v>
      </c>
      <c r="X299" s="11">
        <f>IFERROR(VLOOKUP(B299, PlumX_snapshot!$A:$C, 3, FALSE), " ")</f>
        <v>0</v>
      </c>
      <c r="Y299" s="12">
        <f>IFERROR(VLOOKUP(B299, PlumX_snapshot!$A:$D, 4, FALSE), " ")</f>
        <v>0</v>
      </c>
      <c r="Z299" s="12">
        <f>IFERROR(VLOOKUP(B299, PlumX_snapshot!$A:$E, 5, FALSE), " ")</f>
        <v>0</v>
      </c>
      <c r="AA299" s="12">
        <f>IFERROR(VLOOKUP(B299, PlumX_snapshot!$A:$F, 6, FALSE), " ")</f>
        <v>0</v>
      </c>
      <c r="AB299" s="13">
        <v>44978</v>
      </c>
      <c r="AC299" s="9" t="s">
        <v>1691</v>
      </c>
      <c r="AH299" s="9">
        <v>1771</v>
      </c>
      <c r="AI299" s="9" t="s">
        <v>77</v>
      </c>
      <c r="AJ299" s="9" t="s">
        <v>301</v>
      </c>
      <c r="AK299" s="11" t="str">
        <f t="shared" si="2"/>
        <v>2021GBP</v>
      </c>
      <c r="AL299" s="11">
        <f>VLOOKUP(AK299, Exchange_rates!$C:$D, 2, FALSE)</f>
        <v>1</v>
      </c>
      <c r="AM299" s="14">
        <f t="shared" si="3"/>
        <v>2125.1999999999998</v>
      </c>
      <c r="AN299" s="9"/>
      <c r="AO299" s="9"/>
      <c r="AP299" s="9"/>
      <c r="AQ299" s="15" t="s">
        <v>49</v>
      </c>
      <c r="AS299" s="16" t="s">
        <v>1688</v>
      </c>
    </row>
    <row r="300" spans="1:60" ht="14.5">
      <c r="A300" s="9" t="s">
        <v>1692</v>
      </c>
      <c r="B300" s="9" t="s">
        <v>1693</v>
      </c>
      <c r="C300" s="9" t="s">
        <v>1597</v>
      </c>
      <c r="D300" s="9" t="s">
        <v>1560</v>
      </c>
      <c r="E300" s="9" t="s">
        <v>49</v>
      </c>
      <c r="F300" s="9" t="s">
        <v>69</v>
      </c>
      <c r="G300" s="9" t="s">
        <v>70</v>
      </c>
      <c r="H300" s="9" t="s">
        <v>1561</v>
      </c>
      <c r="I300" s="9" t="s">
        <v>72</v>
      </c>
      <c r="K300" s="28">
        <v>44420</v>
      </c>
      <c r="M300" s="28">
        <v>44441</v>
      </c>
      <c r="N300" s="9">
        <v>2021</v>
      </c>
      <c r="O300" s="9" t="s">
        <v>1679</v>
      </c>
      <c r="P300" s="9" t="s">
        <v>53</v>
      </c>
      <c r="Q300" s="9" t="s">
        <v>53</v>
      </c>
      <c r="R300" s="9" t="s">
        <v>1598</v>
      </c>
      <c r="T300" s="9"/>
      <c r="V300" s="9"/>
      <c r="W300" s="11">
        <f>IFERROR(VLOOKUP(B300, PlumX_snapshot!$A:$B, 2, FALSE), " ")</f>
        <v>14</v>
      </c>
      <c r="X300" s="11">
        <f>IFERROR(VLOOKUP(B300, PlumX_snapshot!$A:$C, 3, FALSE), " ")</f>
        <v>1</v>
      </c>
      <c r="Y300" s="12">
        <f>IFERROR(VLOOKUP(B300, PlumX_snapshot!$A:$D, 4, FALSE), " ")</f>
        <v>0</v>
      </c>
      <c r="Z300" s="12">
        <f>IFERROR(VLOOKUP(B300, PlumX_snapshot!$A:$E, 5, FALSE), " ")</f>
        <v>0</v>
      </c>
      <c r="AA300" s="12">
        <f>IFERROR(VLOOKUP(B300, PlumX_snapshot!$A:$F, 6, FALSE), " ")</f>
        <v>0</v>
      </c>
      <c r="AB300" s="13">
        <v>44978</v>
      </c>
      <c r="AC300" s="9" t="s">
        <v>1599</v>
      </c>
      <c r="AD300" s="9" t="s">
        <v>1600</v>
      </c>
      <c r="AH300" s="9">
        <v>2825</v>
      </c>
      <c r="AI300" s="9" t="s">
        <v>77</v>
      </c>
      <c r="AJ300" s="9" t="s">
        <v>301</v>
      </c>
      <c r="AK300" s="11" t="str">
        <f t="shared" si="2"/>
        <v>2021GBP</v>
      </c>
      <c r="AL300" s="11">
        <f>VLOOKUP(AK300, Exchange_rates!$C:$D, 2, FALSE)</f>
        <v>1</v>
      </c>
      <c r="AM300" s="14">
        <f t="shared" si="3"/>
        <v>3390</v>
      </c>
      <c r="AN300" s="9"/>
      <c r="AO300" s="9"/>
      <c r="AP300" s="9"/>
      <c r="AQ300" s="15" t="s">
        <v>49</v>
      </c>
      <c r="AR300" t="s">
        <v>1601</v>
      </c>
      <c r="AS300" s="16" t="s">
        <v>1602</v>
      </c>
    </row>
    <row r="301" spans="1:60" ht="14.5">
      <c r="A301" s="9" t="s">
        <v>1694</v>
      </c>
      <c r="B301" s="9" t="s">
        <v>1695</v>
      </c>
      <c r="C301" s="9" t="s">
        <v>1696</v>
      </c>
      <c r="D301" s="9" t="s">
        <v>1560</v>
      </c>
      <c r="E301" s="9" t="s">
        <v>49</v>
      </c>
      <c r="F301" s="9" t="s">
        <v>69</v>
      </c>
      <c r="G301" s="9" t="s">
        <v>70</v>
      </c>
      <c r="H301" s="9" t="s">
        <v>1561</v>
      </c>
      <c r="I301" s="9" t="s">
        <v>72</v>
      </c>
      <c r="K301" s="10">
        <v>44425</v>
      </c>
      <c r="M301" s="10">
        <v>44427</v>
      </c>
      <c r="N301" s="9">
        <v>2021</v>
      </c>
      <c r="O301" s="9" t="s">
        <v>1679</v>
      </c>
      <c r="P301" s="9" t="s">
        <v>53</v>
      </c>
      <c r="Q301" s="9" t="s">
        <v>53</v>
      </c>
      <c r="R301" s="9" t="s">
        <v>1697</v>
      </c>
      <c r="T301" s="9"/>
      <c r="V301" s="9"/>
      <c r="W301" s="11">
        <f>IFERROR(VLOOKUP(B301, PlumX_snapshot!$A:$B, 2, FALSE), " ")</f>
        <v>18</v>
      </c>
      <c r="X301" s="11">
        <f>IFERROR(VLOOKUP(B301, PlumX_snapshot!$A:$C, 3, FALSE), " ")</f>
        <v>4</v>
      </c>
      <c r="Y301" s="12">
        <f>IFERROR(VLOOKUP(B301, PlumX_snapshot!$A:$D, 4, FALSE), " ")</f>
        <v>0</v>
      </c>
      <c r="Z301" s="12">
        <f>IFERROR(VLOOKUP(B301, PlumX_snapshot!$A:$E, 5, FALSE), " ")</f>
        <v>0</v>
      </c>
      <c r="AA301" s="12">
        <f>IFERROR(VLOOKUP(B301, PlumX_snapshot!$A:$F, 6, FALSE), " ")</f>
        <v>0</v>
      </c>
      <c r="AB301" s="13">
        <v>44978</v>
      </c>
      <c r="AC301" s="9" t="s">
        <v>1698</v>
      </c>
      <c r="AD301" s="9" t="s">
        <v>1699</v>
      </c>
      <c r="AH301" s="9">
        <v>1940</v>
      </c>
      <c r="AI301" s="9" t="s">
        <v>77</v>
      </c>
      <c r="AJ301" s="9" t="s">
        <v>301</v>
      </c>
      <c r="AK301" s="11" t="str">
        <f t="shared" si="2"/>
        <v>2021GBP</v>
      </c>
      <c r="AL301" s="11">
        <f>VLOOKUP(AK301, Exchange_rates!$C:$D, 2, FALSE)</f>
        <v>1</v>
      </c>
      <c r="AM301" s="14">
        <f t="shared" si="3"/>
        <v>2328</v>
      </c>
      <c r="AN301" s="9"/>
      <c r="AO301" s="9"/>
      <c r="AP301" s="9"/>
      <c r="AQ301" s="15" t="s">
        <v>49</v>
      </c>
      <c r="AS301" s="16" t="s">
        <v>1700</v>
      </c>
    </row>
    <row r="302" spans="1:60" ht="14.5">
      <c r="A302" s="9" t="s">
        <v>1701</v>
      </c>
      <c r="B302" s="9" t="s">
        <v>1702</v>
      </c>
      <c r="C302" s="9" t="s">
        <v>1703</v>
      </c>
      <c r="D302" s="9" t="s">
        <v>1560</v>
      </c>
      <c r="E302" s="9" t="s">
        <v>49</v>
      </c>
      <c r="F302" s="9" t="s">
        <v>69</v>
      </c>
      <c r="G302" s="9" t="s">
        <v>70</v>
      </c>
      <c r="H302" s="9" t="s">
        <v>1561</v>
      </c>
      <c r="I302" s="9" t="s">
        <v>72</v>
      </c>
      <c r="K302" s="10">
        <v>44434</v>
      </c>
      <c r="M302" s="28">
        <v>44487</v>
      </c>
      <c r="N302" s="9">
        <v>2021</v>
      </c>
      <c r="O302" s="9" t="s">
        <v>1679</v>
      </c>
      <c r="P302" s="9" t="s">
        <v>53</v>
      </c>
      <c r="Q302" s="9" t="s">
        <v>53</v>
      </c>
      <c r="R302" s="9" t="s">
        <v>210</v>
      </c>
      <c r="T302" s="9"/>
      <c r="V302" s="9"/>
      <c r="W302" s="11">
        <f>IFERROR(VLOOKUP(B302, PlumX_snapshot!$A:$B, 2, FALSE), " ")</f>
        <v>2</v>
      </c>
      <c r="X302" s="11">
        <f>IFERROR(VLOOKUP(B302, PlumX_snapshot!$A:$C, 3, FALSE), " ")</f>
        <v>0</v>
      </c>
      <c r="Y302" s="12">
        <f>IFERROR(VLOOKUP(B302, PlumX_snapshot!$A:$D, 4, FALSE), " ")</f>
        <v>1</v>
      </c>
      <c r="Z302" s="12">
        <f>IFERROR(VLOOKUP(B302, PlumX_snapshot!$A:$E, 5, FALSE), " ")</f>
        <v>0</v>
      </c>
      <c r="AA302" s="12">
        <f>IFERROR(VLOOKUP(B302, PlumX_snapshot!$A:$F, 6, FALSE), " ")</f>
        <v>0</v>
      </c>
      <c r="AB302" s="13">
        <v>44978</v>
      </c>
      <c r="AC302" s="9" t="s">
        <v>1704</v>
      </c>
      <c r="AD302" s="9" t="s">
        <v>1705</v>
      </c>
      <c r="AH302" s="9">
        <v>3138</v>
      </c>
      <c r="AI302" s="9" t="s">
        <v>77</v>
      </c>
      <c r="AJ302" s="9" t="s">
        <v>301</v>
      </c>
      <c r="AK302" s="11" t="str">
        <f t="shared" si="2"/>
        <v>2021GBP</v>
      </c>
      <c r="AL302" s="11">
        <f>VLOOKUP(AK302, Exchange_rates!$C:$D, 2, FALSE)</f>
        <v>1</v>
      </c>
      <c r="AM302" s="14">
        <f t="shared" si="3"/>
        <v>3765.6</v>
      </c>
      <c r="AN302" s="9"/>
      <c r="AO302" s="9"/>
      <c r="AP302" s="9"/>
      <c r="AQ302" s="15" t="s">
        <v>49</v>
      </c>
      <c r="AS302" s="16" t="s">
        <v>1706</v>
      </c>
    </row>
    <row r="303" spans="1:60" ht="14.5">
      <c r="A303" s="9" t="s">
        <v>1707</v>
      </c>
      <c r="B303" s="9" t="s">
        <v>1708</v>
      </c>
      <c r="C303" s="9" t="s">
        <v>1709</v>
      </c>
      <c r="D303" s="9" t="s">
        <v>1560</v>
      </c>
      <c r="E303" s="9" t="s">
        <v>49</v>
      </c>
      <c r="F303" s="9" t="s">
        <v>69</v>
      </c>
      <c r="G303" s="9" t="s">
        <v>70</v>
      </c>
      <c r="H303" s="9" t="s">
        <v>1561</v>
      </c>
      <c r="I303" s="9" t="s">
        <v>72</v>
      </c>
      <c r="K303" s="28">
        <v>44440</v>
      </c>
      <c r="M303" s="10">
        <v>44454</v>
      </c>
      <c r="N303" s="9">
        <v>2021</v>
      </c>
      <c r="O303" s="9" t="s">
        <v>1679</v>
      </c>
      <c r="P303" s="9" t="s">
        <v>83</v>
      </c>
      <c r="Q303" s="9" t="s">
        <v>53</v>
      </c>
      <c r="R303" s="9" t="s">
        <v>1710</v>
      </c>
      <c r="T303" s="9"/>
      <c r="V303" s="9"/>
      <c r="W303" s="11">
        <f>IFERROR(VLOOKUP(B303, PlumX_snapshot!$A:$B, 2, FALSE), " ")</f>
        <v>10</v>
      </c>
      <c r="X303" s="11">
        <f>IFERROR(VLOOKUP(B303, PlumX_snapshot!$A:$C, 3, FALSE), " ")</f>
        <v>13</v>
      </c>
      <c r="Y303" s="12">
        <f>IFERROR(VLOOKUP(B303, PlumX_snapshot!$A:$D, 4, FALSE), " ")</f>
        <v>0</v>
      </c>
      <c r="Z303" s="12">
        <f>IFERROR(VLOOKUP(B303, PlumX_snapshot!$A:$E, 5, FALSE), " ")</f>
        <v>0</v>
      </c>
      <c r="AA303" s="12">
        <f>IFERROR(VLOOKUP(B303, PlumX_snapshot!$A:$F, 6, FALSE), " ")</f>
        <v>0</v>
      </c>
      <c r="AB303" s="13">
        <v>44978</v>
      </c>
      <c r="AC303" s="9" t="s">
        <v>1711</v>
      </c>
      <c r="AD303" s="9" t="s">
        <v>1712</v>
      </c>
      <c r="AH303" s="9">
        <v>2353</v>
      </c>
      <c r="AI303" s="9" t="s">
        <v>77</v>
      </c>
      <c r="AJ303" s="9" t="s">
        <v>301</v>
      </c>
      <c r="AK303" s="11" t="str">
        <f t="shared" si="2"/>
        <v>2021GBP</v>
      </c>
      <c r="AL303" s="11">
        <f>VLOOKUP(AK303, Exchange_rates!$C:$D, 2, FALSE)</f>
        <v>1</v>
      </c>
      <c r="AM303" s="14">
        <f t="shared" si="3"/>
        <v>2823.6</v>
      </c>
      <c r="AN303" s="9"/>
      <c r="AO303" s="9"/>
      <c r="AP303" s="9"/>
      <c r="AQ303" s="15" t="s">
        <v>49</v>
      </c>
      <c r="AR303" t="s">
        <v>1713</v>
      </c>
      <c r="AS303" s="16" t="s">
        <v>1714</v>
      </c>
    </row>
    <row r="304" spans="1:60" ht="14.5">
      <c r="A304" s="9" t="s">
        <v>1715</v>
      </c>
      <c r="B304" s="9" t="s">
        <v>1716</v>
      </c>
      <c r="C304" s="9" t="s">
        <v>1717</v>
      </c>
      <c r="D304" s="9" t="s">
        <v>1560</v>
      </c>
      <c r="E304" s="9" t="s">
        <v>49</v>
      </c>
      <c r="F304" s="9" t="s">
        <v>69</v>
      </c>
      <c r="G304" s="9" t="s">
        <v>70</v>
      </c>
      <c r="H304" s="9" t="s">
        <v>1561</v>
      </c>
      <c r="I304" s="9" t="s">
        <v>72</v>
      </c>
      <c r="K304" s="28">
        <v>44442</v>
      </c>
      <c r="M304" s="28">
        <v>44470</v>
      </c>
      <c r="N304" s="9">
        <v>2021</v>
      </c>
      <c r="O304" s="9" t="s">
        <v>1679</v>
      </c>
      <c r="P304" s="9" t="s">
        <v>53</v>
      </c>
      <c r="Q304" s="9" t="s">
        <v>53</v>
      </c>
      <c r="R304" s="9" t="s">
        <v>210</v>
      </c>
      <c r="T304" s="9"/>
      <c r="V304" s="9"/>
      <c r="W304" s="11">
        <f>IFERROR(VLOOKUP(B304, PlumX_snapshot!$A:$B, 2, FALSE), " ")</f>
        <v>1</v>
      </c>
      <c r="X304" s="11">
        <f>IFERROR(VLOOKUP(B304, PlumX_snapshot!$A:$C, 3, FALSE), " ")</f>
        <v>0</v>
      </c>
      <c r="Y304" s="12">
        <f>IFERROR(VLOOKUP(B304, PlumX_snapshot!$A:$D, 4, FALSE), " ")</f>
        <v>14</v>
      </c>
      <c r="Z304" s="12">
        <f>IFERROR(VLOOKUP(B304, PlumX_snapshot!$A:$E, 5, FALSE), " ")</f>
        <v>0</v>
      </c>
      <c r="AA304" s="12">
        <f>IFERROR(VLOOKUP(B304, PlumX_snapshot!$A:$F, 6, FALSE), " ")</f>
        <v>0</v>
      </c>
      <c r="AB304" s="13">
        <v>44978</v>
      </c>
      <c r="AC304" s="9" t="s">
        <v>1718</v>
      </c>
      <c r="AD304" s="9" t="s">
        <v>1719</v>
      </c>
      <c r="AH304" s="9">
        <v>2478</v>
      </c>
      <c r="AI304" s="9" t="s">
        <v>77</v>
      </c>
      <c r="AJ304" s="9" t="s">
        <v>301</v>
      </c>
      <c r="AK304" s="11" t="str">
        <f t="shared" si="2"/>
        <v>2021GBP</v>
      </c>
      <c r="AL304" s="11">
        <f>VLOOKUP(AK304, Exchange_rates!$C:$D, 2, FALSE)</f>
        <v>1</v>
      </c>
      <c r="AM304" s="14">
        <f t="shared" si="3"/>
        <v>2973.6</v>
      </c>
      <c r="AN304" s="9"/>
      <c r="AO304" s="9"/>
      <c r="AP304" s="9"/>
      <c r="AQ304" s="15" t="s">
        <v>49</v>
      </c>
      <c r="AS304" s="16" t="s">
        <v>1720</v>
      </c>
    </row>
    <row r="305" spans="1:45" ht="14.5">
      <c r="A305" s="9" t="s">
        <v>1721</v>
      </c>
      <c r="B305" s="9" t="s">
        <v>1722</v>
      </c>
      <c r="C305" s="9" t="s">
        <v>1723</v>
      </c>
      <c r="D305" s="9" t="s">
        <v>1560</v>
      </c>
      <c r="E305" s="9" t="s">
        <v>49</v>
      </c>
      <c r="F305" s="9" t="s">
        <v>50</v>
      </c>
      <c r="G305" s="9" t="s">
        <v>51</v>
      </c>
      <c r="H305" s="9"/>
      <c r="I305" s="9" t="s">
        <v>1647</v>
      </c>
      <c r="K305" s="28">
        <v>44483</v>
      </c>
      <c r="M305" s="10">
        <v>44578</v>
      </c>
      <c r="N305" s="9">
        <v>2021</v>
      </c>
      <c r="O305" s="9" t="s">
        <v>1679</v>
      </c>
      <c r="P305" s="9" t="s">
        <v>53</v>
      </c>
      <c r="Q305" s="9" t="s">
        <v>53</v>
      </c>
      <c r="R305" s="9" t="s">
        <v>210</v>
      </c>
      <c r="T305" s="9" t="s">
        <v>723</v>
      </c>
      <c r="V305" s="9"/>
      <c r="W305" s="11">
        <f>IFERROR(VLOOKUP(B305, PlumX_snapshot!$A:$B, 2, FALSE), " ")</f>
        <v>0</v>
      </c>
      <c r="X305" s="11">
        <f>IFERROR(VLOOKUP(B305, PlumX_snapshot!$A:$C, 3, FALSE), " ")</f>
        <v>0</v>
      </c>
      <c r="Y305" s="12">
        <f>IFERROR(VLOOKUP(B305, PlumX_snapshot!$A:$D, 4, FALSE), " ")</f>
        <v>0</v>
      </c>
      <c r="Z305" s="12">
        <f>IFERROR(VLOOKUP(B305, PlumX_snapshot!$A:$E, 5, FALSE), " ")</f>
        <v>0</v>
      </c>
      <c r="AA305" s="12">
        <f>IFERROR(VLOOKUP(B305, PlumX_snapshot!$A:$F, 6, FALSE), " ")</f>
        <v>0</v>
      </c>
      <c r="AB305" s="13">
        <v>44978</v>
      </c>
      <c r="AC305" s="9" t="s">
        <v>1724</v>
      </c>
      <c r="AD305" s="9" t="s">
        <v>1725</v>
      </c>
      <c r="AH305" s="9">
        <v>2857</v>
      </c>
      <c r="AI305" s="9" t="s">
        <v>77</v>
      </c>
      <c r="AJ305" s="9" t="s">
        <v>301</v>
      </c>
      <c r="AK305" s="11" t="str">
        <f t="shared" si="2"/>
        <v>2021GBP</v>
      </c>
      <c r="AL305" s="11">
        <f>VLOOKUP(AK305, Exchange_rates!$C:$D, 2, FALSE)</f>
        <v>1</v>
      </c>
      <c r="AM305" s="14">
        <f t="shared" si="3"/>
        <v>3428.4</v>
      </c>
      <c r="AN305" s="9"/>
      <c r="AO305" s="9"/>
      <c r="AP305" s="9"/>
      <c r="AQ305" s="15" t="s">
        <v>49</v>
      </c>
      <c r="AS305" s="16" t="s">
        <v>1726</v>
      </c>
    </row>
    <row r="306" spans="1:45" ht="14.5">
      <c r="A306" s="9" t="s">
        <v>1727</v>
      </c>
      <c r="B306" s="9" t="s">
        <v>1728</v>
      </c>
      <c r="C306" s="9" t="s">
        <v>1729</v>
      </c>
      <c r="D306" s="9" t="s">
        <v>1560</v>
      </c>
      <c r="E306" s="9" t="s">
        <v>49</v>
      </c>
      <c r="F306" s="9" t="s">
        <v>69</v>
      </c>
      <c r="G306" s="9" t="s">
        <v>70</v>
      </c>
      <c r="H306" s="9" t="s">
        <v>1561</v>
      </c>
      <c r="I306" s="9" t="s">
        <v>72</v>
      </c>
      <c r="K306" s="28">
        <v>44561</v>
      </c>
      <c r="M306" s="10">
        <v>44596</v>
      </c>
      <c r="N306" s="9">
        <v>2021</v>
      </c>
      <c r="O306" s="9" t="s">
        <v>1679</v>
      </c>
      <c r="P306" s="9" t="s">
        <v>53</v>
      </c>
      <c r="Q306" s="9" t="s">
        <v>53</v>
      </c>
      <c r="R306" s="9" t="s">
        <v>1730</v>
      </c>
      <c r="T306" s="9"/>
      <c r="V306" s="9"/>
      <c r="W306" s="11">
        <f>IFERROR(VLOOKUP(B306, PlumX_snapshot!$A:$B, 2, FALSE), " ")</f>
        <v>3</v>
      </c>
      <c r="X306" s="11">
        <f>IFERROR(VLOOKUP(B306, PlumX_snapshot!$A:$C, 3, FALSE), " ")</f>
        <v>1</v>
      </c>
      <c r="Y306" s="12">
        <f>IFERROR(VLOOKUP(B306, PlumX_snapshot!$A:$D, 4, FALSE), " ")</f>
        <v>0</v>
      </c>
      <c r="Z306" s="12">
        <f>IFERROR(VLOOKUP(B306, PlumX_snapshot!$A:$E, 5, FALSE), " ")</f>
        <v>0</v>
      </c>
      <c r="AA306" s="12">
        <f>IFERROR(VLOOKUP(B306, PlumX_snapshot!$A:$F, 6, FALSE), " ")</f>
        <v>1</v>
      </c>
      <c r="AB306" s="13">
        <v>44978</v>
      </c>
      <c r="AC306" s="9" t="s">
        <v>1731</v>
      </c>
      <c r="AD306" s="9" t="s">
        <v>1732</v>
      </c>
      <c r="AH306" s="9">
        <v>3029</v>
      </c>
      <c r="AI306" s="9" t="s">
        <v>77</v>
      </c>
      <c r="AJ306" s="9" t="s">
        <v>301</v>
      </c>
      <c r="AK306" s="11" t="str">
        <f t="shared" si="2"/>
        <v>2021GBP</v>
      </c>
      <c r="AL306" s="11">
        <f>VLOOKUP(AK306, Exchange_rates!$C:$D, 2, FALSE)</f>
        <v>1</v>
      </c>
      <c r="AM306" s="14">
        <f t="shared" si="3"/>
        <v>3634.7999999999997</v>
      </c>
      <c r="AN306" s="9"/>
      <c r="AO306" s="9"/>
      <c r="AP306" s="9"/>
      <c r="AQ306" s="15" t="s">
        <v>49</v>
      </c>
      <c r="AS306" s="16" t="s">
        <v>1733</v>
      </c>
    </row>
    <row r="307" spans="1:45" ht="14.5">
      <c r="A307" s="9" t="s">
        <v>1734</v>
      </c>
      <c r="B307" s="9" t="s">
        <v>1735</v>
      </c>
      <c r="C307" s="9" t="s">
        <v>1736</v>
      </c>
      <c r="D307" s="9" t="s">
        <v>1560</v>
      </c>
      <c r="E307" s="9" t="s">
        <v>49</v>
      </c>
      <c r="F307" s="9" t="s">
        <v>50</v>
      </c>
      <c r="G307" s="9" t="s">
        <v>51</v>
      </c>
      <c r="H307" s="9"/>
      <c r="K307" s="10">
        <v>44636</v>
      </c>
      <c r="M307" s="10">
        <v>44712</v>
      </c>
      <c r="N307" s="9">
        <v>2022</v>
      </c>
      <c r="O307" s="9" t="s">
        <v>1737</v>
      </c>
      <c r="P307" s="9" t="s">
        <v>53</v>
      </c>
      <c r="Q307" s="9" t="s">
        <v>53</v>
      </c>
      <c r="R307" s="9" t="s">
        <v>210</v>
      </c>
      <c r="T307" s="9" t="s">
        <v>723</v>
      </c>
      <c r="U307" s="9" t="s">
        <v>1738</v>
      </c>
      <c r="V307" s="9"/>
      <c r="W307" s="11">
        <f>IFERROR(VLOOKUP(B307, PlumX_snapshot!$A:$B, 2, FALSE), " ")</f>
        <v>0</v>
      </c>
      <c r="X307" s="11">
        <f>IFERROR(VLOOKUP(B307, PlumX_snapshot!$A:$C, 3, FALSE), " ")</f>
        <v>0</v>
      </c>
      <c r="Y307" s="12">
        <f>IFERROR(VLOOKUP(B307, PlumX_snapshot!$A:$D, 4, FALSE), " ")</f>
        <v>0</v>
      </c>
      <c r="Z307" s="12">
        <f>IFERROR(VLOOKUP(B307, PlumX_snapshot!$A:$E, 5, FALSE), " ")</f>
        <v>0</v>
      </c>
      <c r="AA307" s="12">
        <f>IFERROR(VLOOKUP(B307, PlumX_snapshot!$A:$F, 6, FALSE), " ")</f>
        <v>0</v>
      </c>
      <c r="AB307" s="13">
        <v>44978</v>
      </c>
      <c r="AC307" s="9" t="s">
        <v>1739</v>
      </c>
      <c r="AD307" s="9" t="s">
        <v>654</v>
      </c>
      <c r="AH307" s="9">
        <v>2715</v>
      </c>
      <c r="AI307" s="9" t="s">
        <v>77</v>
      </c>
      <c r="AJ307" s="9" t="s">
        <v>301</v>
      </c>
      <c r="AK307" s="11" t="str">
        <f t="shared" si="2"/>
        <v>2022GBP</v>
      </c>
      <c r="AL307" s="11">
        <f>VLOOKUP(AK307, Exchange_rates!$C:$D, 2, FALSE)</f>
        <v>1</v>
      </c>
      <c r="AM307" s="14">
        <f t="shared" si="3"/>
        <v>3258</v>
      </c>
      <c r="AN307" s="9"/>
      <c r="AO307" s="9"/>
      <c r="AP307" s="9"/>
      <c r="AQ307" s="15" t="s">
        <v>49</v>
      </c>
      <c r="AS307" s="16" t="s">
        <v>1740</v>
      </c>
    </row>
    <row r="308" spans="1:45" ht="14.5">
      <c r="A308" s="9" t="s">
        <v>1741</v>
      </c>
      <c r="B308" s="9" t="s">
        <v>1742</v>
      </c>
      <c r="C308" s="9" t="s">
        <v>1743</v>
      </c>
      <c r="D308" s="9" t="s">
        <v>1560</v>
      </c>
      <c r="E308" s="9" t="s">
        <v>49</v>
      </c>
      <c r="F308" s="9" t="s">
        <v>69</v>
      </c>
      <c r="G308" s="9" t="s">
        <v>70</v>
      </c>
      <c r="H308" s="9" t="s">
        <v>1744</v>
      </c>
      <c r="I308" s="9" t="s">
        <v>72</v>
      </c>
      <c r="K308" s="28">
        <v>44593</v>
      </c>
      <c r="M308" s="10">
        <v>44615</v>
      </c>
      <c r="N308" s="9">
        <v>2022</v>
      </c>
      <c r="O308" s="9" t="s">
        <v>1737</v>
      </c>
      <c r="P308" s="9" t="s">
        <v>53</v>
      </c>
      <c r="Q308" s="9" t="s">
        <v>53</v>
      </c>
      <c r="R308" s="9" t="s">
        <v>1745</v>
      </c>
      <c r="T308" s="9"/>
      <c r="V308" s="9"/>
      <c r="W308" s="11">
        <f>IFERROR(VLOOKUP(B308, PlumX_snapshot!$A:$B, 2, FALSE), " ")</f>
        <v>12</v>
      </c>
      <c r="X308" s="11">
        <f>IFERROR(VLOOKUP(B308, PlumX_snapshot!$A:$C, 3, FALSE), " ")</f>
        <v>0</v>
      </c>
      <c r="Y308" s="12">
        <f>IFERROR(VLOOKUP(B308, PlumX_snapshot!$A:$D, 4, FALSE), " ")</f>
        <v>0</v>
      </c>
      <c r="Z308" s="12">
        <f>IFERROR(VLOOKUP(B308, PlumX_snapshot!$A:$E, 5, FALSE), " ")</f>
        <v>0</v>
      </c>
      <c r="AA308" s="12">
        <f>IFERROR(VLOOKUP(B308, PlumX_snapshot!$A:$F, 6, FALSE), " ")</f>
        <v>0</v>
      </c>
      <c r="AB308" s="13">
        <v>44978</v>
      </c>
      <c r="AC308" s="9" t="s">
        <v>1746</v>
      </c>
      <c r="AD308" s="9" t="s">
        <v>1747</v>
      </c>
      <c r="AH308" s="9">
        <v>4798</v>
      </c>
      <c r="AI308" s="9" t="s">
        <v>77</v>
      </c>
      <c r="AJ308" s="9" t="s">
        <v>57</v>
      </c>
      <c r="AK308" s="11" t="str">
        <f t="shared" si="2"/>
        <v>2022USD</v>
      </c>
      <c r="AL308" s="11">
        <f>VLOOKUP(AK308, Exchange_rates!$C:$D, 2, FALSE)</f>
        <v>0.8115</v>
      </c>
      <c r="AM308" s="14">
        <f t="shared" si="3"/>
        <v>4672.2923999999994</v>
      </c>
      <c r="AN308" s="9"/>
      <c r="AO308" s="9"/>
      <c r="AP308" s="9"/>
      <c r="AQ308" s="15" t="s">
        <v>49</v>
      </c>
      <c r="AS308" s="16" t="s">
        <v>1748</v>
      </c>
    </row>
    <row r="309" spans="1:45" ht="14.5">
      <c r="A309" s="9" t="s">
        <v>1749</v>
      </c>
      <c r="B309" s="9" t="s">
        <v>1750</v>
      </c>
      <c r="C309" s="9" t="s">
        <v>1717</v>
      </c>
      <c r="D309" s="9" t="s">
        <v>1560</v>
      </c>
      <c r="E309" s="9" t="s">
        <v>49</v>
      </c>
      <c r="F309" s="9" t="s">
        <v>50</v>
      </c>
      <c r="G309" s="9" t="s">
        <v>51</v>
      </c>
      <c r="H309" s="9"/>
      <c r="K309" s="28">
        <v>44623</v>
      </c>
      <c r="M309" s="10">
        <v>44746</v>
      </c>
      <c r="N309" s="9">
        <v>2022</v>
      </c>
      <c r="O309" s="9" t="s">
        <v>1737</v>
      </c>
      <c r="P309" s="9" t="s">
        <v>53</v>
      </c>
      <c r="Q309" s="9" t="s">
        <v>53</v>
      </c>
      <c r="R309" s="9" t="s">
        <v>210</v>
      </c>
      <c r="T309" s="9" t="s">
        <v>723</v>
      </c>
      <c r="U309" s="9" t="s">
        <v>1738</v>
      </c>
      <c r="V309" s="9"/>
      <c r="W309" s="11">
        <f>IFERROR(VLOOKUP(B309, PlumX_snapshot!$A:$B, 2, FALSE), " ")</f>
        <v>0</v>
      </c>
      <c r="X309" s="11">
        <f>IFERROR(VLOOKUP(B309, PlumX_snapshot!$A:$C, 3, FALSE), " ")</f>
        <v>0</v>
      </c>
      <c r="Y309" s="12">
        <f>IFERROR(VLOOKUP(B309, PlumX_snapshot!$A:$D, 4, FALSE), " ")</f>
        <v>0</v>
      </c>
      <c r="Z309" s="12">
        <f>IFERROR(VLOOKUP(B309, PlumX_snapshot!$A:$E, 5, FALSE), " ")</f>
        <v>0</v>
      </c>
      <c r="AA309" s="12">
        <f>IFERROR(VLOOKUP(B309, PlumX_snapshot!$A:$F, 6, FALSE), " ")</f>
        <v>0</v>
      </c>
      <c r="AB309" s="13">
        <v>44978</v>
      </c>
      <c r="AC309" s="9" t="s">
        <v>1751</v>
      </c>
      <c r="AD309" s="9" t="s">
        <v>1752</v>
      </c>
      <c r="AH309" s="9">
        <v>2641</v>
      </c>
      <c r="AI309" s="9" t="s">
        <v>77</v>
      </c>
      <c r="AJ309" s="9" t="s">
        <v>301</v>
      </c>
      <c r="AK309" s="11" t="str">
        <f t="shared" si="2"/>
        <v>2022GBP</v>
      </c>
      <c r="AL309" s="11">
        <f>VLOOKUP(AK309, Exchange_rates!$C:$D, 2, FALSE)</f>
        <v>1</v>
      </c>
      <c r="AM309" s="14">
        <f t="shared" si="3"/>
        <v>3169.2</v>
      </c>
      <c r="AN309" s="9"/>
      <c r="AO309" s="9"/>
      <c r="AP309" s="9"/>
      <c r="AQ309" s="15" t="s">
        <v>49</v>
      </c>
      <c r="AS309" s="16" t="s">
        <v>1720</v>
      </c>
    </row>
    <row r="310" spans="1:45" ht="14.5">
      <c r="A310" s="9" t="s">
        <v>1753</v>
      </c>
      <c r="B310" s="9" t="s">
        <v>1754</v>
      </c>
      <c r="C310" s="9" t="s">
        <v>1755</v>
      </c>
      <c r="D310" s="9" t="s">
        <v>1560</v>
      </c>
      <c r="E310" s="9" t="s">
        <v>49</v>
      </c>
      <c r="F310" s="9" t="s">
        <v>69</v>
      </c>
      <c r="G310" s="9" t="s">
        <v>70</v>
      </c>
      <c r="H310" s="9" t="s">
        <v>1744</v>
      </c>
      <c r="I310" s="9" t="s">
        <v>72</v>
      </c>
      <c r="K310" s="28">
        <v>44649</v>
      </c>
      <c r="M310" s="10">
        <v>44746</v>
      </c>
      <c r="N310" s="9">
        <v>2022</v>
      </c>
      <c r="O310" s="9" t="s">
        <v>1737</v>
      </c>
      <c r="P310" s="9" t="s">
        <v>53</v>
      </c>
      <c r="Q310" s="9" t="s">
        <v>53</v>
      </c>
      <c r="R310" s="9" t="s">
        <v>210</v>
      </c>
      <c r="T310" s="9"/>
      <c r="V310" s="9"/>
      <c r="W310" s="11">
        <f>IFERROR(VLOOKUP(B310, PlumX_snapshot!$A:$B, 2, FALSE), " ")</f>
        <v>0</v>
      </c>
      <c r="X310" s="11">
        <f>IFERROR(VLOOKUP(B310, PlumX_snapshot!$A:$C, 3, FALSE), " ")</f>
        <v>0</v>
      </c>
      <c r="Y310" s="12">
        <f>IFERROR(VLOOKUP(B310, PlumX_snapshot!$A:$D, 4, FALSE), " ")</f>
        <v>6</v>
      </c>
      <c r="Z310" s="12">
        <f>IFERROR(VLOOKUP(B310, PlumX_snapshot!$A:$E, 5, FALSE), " ")</f>
        <v>0</v>
      </c>
      <c r="AA310" s="12">
        <f>IFERROR(VLOOKUP(B310, PlumX_snapshot!$A:$F, 6, FALSE), " ")</f>
        <v>0</v>
      </c>
      <c r="AB310" s="13">
        <v>44978</v>
      </c>
      <c r="AC310" s="9" t="s">
        <v>1756</v>
      </c>
      <c r="AD310" s="9" t="s">
        <v>1757</v>
      </c>
      <c r="AH310" s="9">
        <v>2326</v>
      </c>
      <c r="AI310" s="9" t="s">
        <v>77</v>
      </c>
      <c r="AJ310" s="9" t="s">
        <v>301</v>
      </c>
      <c r="AK310" s="11" t="str">
        <f t="shared" si="2"/>
        <v>2022GBP</v>
      </c>
      <c r="AL310" s="11">
        <f>VLOOKUP(AK310, Exchange_rates!$C:$D, 2, FALSE)</f>
        <v>1</v>
      </c>
      <c r="AM310" s="14">
        <f t="shared" si="3"/>
        <v>2791.2</v>
      </c>
      <c r="AN310" s="9"/>
      <c r="AO310" s="9"/>
      <c r="AP310" s="9"/>
      <c r="AQ310" s="15" t="s">
        <v>49</v>
      </c>
      <c r="AS310" s="16" t="s">
        <v>1758</v>
      </c>
    </row>
    <row r="311" spans="1:45" ht="14.5">
      <c r="A311" s="9" t="s">
        <v>1759</v>
      </c>
      <c r="B311" s="9" t="s">
        <v>1760</v>
      </c>
      <c r="C311" s="9" t="s">
        <v>1761</v>
      </c>
      <c r="D311" s="9" t="s">
        <v>1560</v>
      </c>
      <c r="E311" s="9" t="s">
        <v>49</v>
      </c>
      <c r="F311" s="9" t="s">
        <v>69</v>
      </c>
      <c r="G311" s="9" t="s">
        <v>70</v>
      </c>
      <c r="H311" s="9" t="s">
        <v>1744</v>
      </c>
      <c r="I311" s="9" t="s">
        <v>72</v>
      </c>
      <c r="K311" s="28">
        <v>44595</v>
      </c>
      <c r="M311" s="10">
        <v>44657</v>
      </c>
      <c r="N311" s="9">
        <v>2022</v>
      </c>
      <c r="O311" s="9" t="s">
        <v>1737</v>
      </c>
      <c r="P311" s="9" t="s">
        <v>53</v>
      </c>
      <c r="Q311" s="9" t="s">
        <v>53</v>
      </c>
      <c r="R311" s="9" t="s">
        <v>210</v>
      </c>
      <c r="T311" s="9"/>
      <c r="V311" s="9"/>
      <c r="W311" s="11">
        <f>IFERROR(VLOOKUP(B311, PlumX_snapshot!$A:$B, 2, FALSE), " ")</f>
        <v>4</v>
      </c>
      <c r="X311" s="11">
        <f>IFERROR(VLOOKUP(B311, PlumX_snapshot!$A:$C, 3, FALSE), " ")</f>
        <v>0</v>
      </c>
      <c r="Y311" s="12">
        <f>IFERROR(VLOOKUP(B311, PlumX_snapshot!$A:$D, 4, FALSE), " ")</f>
        <v>26</v>
      </c>
      <c r="Z311" s="12">
        <f>IFERROR(VLOOKUP(B311, PlumX_snapshot!$A:$E, 5, FALSE), " ")</f>
        <v>0</v>
      </c>
      <c r="AA311" s="12">
        <f>IFERROR(VLOOKUP(B311, PlumX_snapshot!$A:$F, 6, FALSE), " ")</f>
        <v>0</v>
      </c>
      <c r="AB311" s="13">
        <v>44978</v>
      </c>
      <c r="AC311" s="9" t="s">
        <v>1762</v>
      </c>
      <c r="AD311" s="9" t="s">
        <v>1763</v>
      </c>
      <c r="AH311" s="9">
        <v>3956</v>
      </c>
      <c r="AI311" s="9" t="s">
        <v>77</v>
      </c>
      <c r="AJ311" s="9" t="s">
        <v>57</v>
      </c>
      <c r="AK311" s="11" t="str">
        <f t="shared" si="2"/>
        <v>2022USD</v>
      </c>
      <c r="AL311" s="11">
        <f>VLOOKUP(AK311, Exchange_rates!$C:$D, 2, FALSE)</f>
        <v>0.8115</v>
      </c>
      <c r="AM311" s="14">
        <f t="shared" si="3"/>
        <v>3852.3527999999997</v>
      </c>
      <c r="AN311" s="9"/>
      <c r="AO311" s="9"/>
      <c r="AP311" s="9"/>
      <c r="AQ311" s="15" t="s">
        <v>49</v>
      </c>
      <c r="AS311" s="16" t="s">
        <v>1764</v>
      </c>
    </row>
    <row r="312" spans="1:45" ht="14.5">
      <c r="A312" s="9" t="s">
        <v>1765</v>
      </c>
      <c r="B312" s="9" t="s">
        <v>1766</v>
      </c>
      <c r="C312" s="9" t="s">
        <v>1767</v>
      </c>
      <c r="D312" s="9" t="s">
        <v>1560</v>
      </c>
      <c r="E312" s="9" t="s">
        <v>49</v>
      </c>
      <c r="F312" s="9" t="s">
        <v>69</v>
      </c>
      <c r="G312" s="9" t="s">
        <v>51</v>
      </c>
      <c r="H312" s="9"/>
      <c r="I312" s="9" t="s">
        <v>72</v>
      </c>
      <c r="K312" s="28">
        <v>44589</v>
      </c>
      <c r="M312" s="10">
        <v>44669</v>
      </c>
      <c r="N312" s="9">
        <v>2022</v>
      </c>
      <c r="O312" s="9" t="s">
        <v>1737</v>
      </c>
      <c r="P312" s="9" t="s">
        <v>53</v>
      </c>
      <c r="Q312" s="9" t="s">
        <v>53</v>
      </c>
      <c r="R312" s="9" t="s">
        <v>210</v>
      </c>
      <c r="T312" s="9" t="s">
        <v>723</v>
      </c>
      <c r="U312" s="9" t="s">
        <v>1738</v>
      </c>
      <c r="V312" s="9"/>
      <c r="W312" s="11">
        <f>IFERROR(VLOOKUP(B312, PlumX_snapshot!$A:$B, 2, FALSE), " ")</f>
        <v>2</v>
      </c>
      <c r="X312" s="11">
        <f>IFERROR(VLOOKUP(B312, PlumX_snapshot!$A:$C, 3, FALSE), " ")</f>
        <v>0</v>
      </c>
      <c r="Y312" s="12">
        <f>IFERROR(VLOOKUP(B312, PlumX_snapshot!$A:$D, 4, FALSE), " ")</f>
        <v>0</v>
      </c>
      <c r="Z312" s="12">
        <f>IFERROR(VLOOKUP(B312, PlumX_snapshot!$A:$E, 5, FALSE), " ")</f>
        <v>0</v>
      </c>
      <c r="AA312" s="12">
        <f>IFERROR(VLOOKUP(B312, PlumX_snapshot!$A:$F, 6, FALSE), " ")</f>
        <v>0</v>
      </c>
      <c r="AB312" s="13">
        <v>44978</v>
      </c>
      <c r="AC312" s="9" t="s">
        <v>1768</v>
      </c>
      <c r="AD312" s="9" t="s">
        <v>1769</v>
      </c>
      <c r="AH312" s="9">
        <v>2878</v>
      </c>
      <c r="AI312" s="9" t="s">
        <v>77</v>
      </c>
      <c r="AJ312" s="9" t="s">
        <v>301</v>
      </c>
      <c r="AK312" s="11" t="str">
        <f t="shared" si="2"/>
        <v>2022GBP</v>
      </c>
      <c r="AL312" s="11">
        <f>VLOOKUP(AK312, Exchange_rates!$C:$D, 2, FALSE)</f>
        <v>1</v>
      </c>
      <c r="AM312" s="14">
        <f t="shared" si="3"/>
        <v>3453.6</v>
      </c>
      <c r="AN312" s="9"/>
      <c r="AO312" s="9"/>
      <c r="AP312" s="9"/>
      <c r="AQ312" s="15" t="s">
        <v>49</v>
      </c>
      <c r="AS312" s="16" t="s">
        <v>1770</v>
      </c>
    </row>
    <row r="313" spans="1:45" ht="14.5">
      <c r="A313" s="9" t="s">
        <v>1771</v>
      </c>
      <c r="B313" s="9" t="s">
        <v>1772</v>
      </c>
      <c r="C313" s="9" t="s">
        <v>1583</v>
      </c>
      <c r="D313" s="9" t="s">
        <v>1560</v>
      </c>
      <c r="E313" s="9" t="s">
        <v>49</v>
      </c>
      <c r="F313" s="9" t="s">
        <v>69</v>
      </c>
      <c r="G313" s="9" t="s">
        <v>70</v>
      </c>
      <c r="H313" s="9" t="s">
        <v>1744</v>
      </c>
      <c r="I313" s="9" t="s">
        <v>72</v>
      </c>
      <c r="K313" s="28">
        <v>44566</v>
      </c>
      <c r="M313" s="10">
        <v>44569</v>
      </c>
      <c r="N313" s="9">
        <v>2022</v>
      </c>
      <c r="O313" s="9" t="s">
        <v>1737</v>
      </c>
      <c r="P313" s="9" t="s">
        <v>53</v>
      </c>
      <c r="Q313" s="9" t="s">
        <v>53</v>
      </c>
      <c r="R313" s="9" t="s">
        <v>307</v>
      </c>
      <c r="T313" s="9"/>
      <c r="V313" s="9"/>
      <c r="W313" s="11">
        <f>IFERROR(VLOOKUP(B313, PlumX_snapshot!$A:$B, 2, FALSE), " ")</f>
        <v>17</v>
      </c>
      <c r="X313" s="11">
        <f>IFERROR(VLOOKUP(B313, PlumX_snapshot!$A:$C, 3, FALSE), " ")</f>
        <v>3</v>
      </c>
      <c r="Y313" s="12">
        <f>IFERROR(VLOOKUP(B313, PlumX_snapshot!$A:$D, 4, FALSE), " ")</f>
        <v>3</v>
      </c>
      <c r="Z313" s="12">
        <f>IFERROR(VLOOKUP(B313, PlumX_snapshot!$A:$E, 5, FALSE), " ")</f>
        <v>0</v>
      </c>
      <c r="AA313" s="12">
        <f>IFERROR(VLOOKUP(B313, PlumX_snapshot!$A:$F, 6, FALSE), " ")</f>
        <v>0</v>
      </c>
      <c r="AB313" s="13">
        <v>44978</v>
      </c>
      <c r="AC313" s="9" t="s">
        <v>1773</v>
      </c>
      <c r="AD313" s="9" t="s">
        <v>1774</v>
      </c>
      <c r="AH313" s="9">
        <v>4941</v>
      </c>
      <c r="AI313" s="9" t="s">
        <v>77</v>
      </c>
      <c r="AJ313" s="9" t="s">
        <v>57</v>
      </c>
      <c r="AK313" s="11" t="str">
        <f t="shared" si="2"/>
        <v>2022USD</v>
      </c>
      <c r="AL313" s="11">
        <f>VLOOKUP(AK313, Exchange_rates!$C:$D, 2, FALSE)</f>
        <v>0.8115</v>
      </c>
      <c r="AM313" s="14">
        <f t="shared" si="3"/>
        <v>4811.5457999999999</v>
      </c>
      <c r="AN313" s="9"/>
      <c r="AO313" s="9"/>
      <c r="AP313" s="9"/>
      <c r="AQ313" s="15" t="s">
        <v>49</v>
      </c>
      <c r="AR313" t="s">
        <v>1587</v>
      </c>
      <c r="AS313" s="16" t="s">
        <v>1588</v>
      </c>
    </row>
    <row r="314" spans="1:45" ht="14.5">
      <c r="A314" s="9" t="s">
        <v>1775</v>
      </c>
      <c r="B314" s="9" t="s">
        <v>1776</v>
      </c>
      <c r="C314" s="9" t="s">
        <v>1709</v>
      </c>
      <c r="D314" s="9" t="s">
        <v>1560</v>
      </c>
      <c r="E314" s="9" t="s">
        <v>49</v>
      </c>
      <c r="F314" s="9" t="s">
        <v>69</v>
      </c>
      <c r="G314" s="9" t="s">
        <v>70</v>
      </c>
      <c r="H314" s="9" t="s">
        <v>1744</v>
      </c>
      <c r="I314" s="9" t="s">
        <v>72</v>
      </c>
      <c r="K314" s="28">
        <v>44610</v>
      </c>
      <c r="M314" s="10">
        <v>44614</v>
      </c>
      <c r="N314" s="9">
        <v>2022</v>
      </c>
      <c r="O314" s="9" t="s">
        <v>1737</v>
      </c>
      <c r="P314" s="9" t="s">
        <v>83</v>
      </c>
      <c r="Q314" s="9" t="s">
        <v>53</v>
      </c>
      <c r="R314" s="9" t="s">
        <v>1456</v>
      </c>
      <c r="T314" s="9"/>
      <c r="V314" s="9"/>
      <c r="W314" s="11">
        <f>IFERROR(VLOOKUP(B314, PlumX_snapshot!$A:$B, 2, FALSE), " ")</f>
        <v>10</v>
      </c>
      <c r="X314" s="11">
        <f>IFERROR(VLOOKUP(B314, PlumX_snapshot!$A:$C, 3, FALSE), " ")</f>
        <v>4</v>
      </c>
      <c r="Y314" s="12">
        <f>IFERROR(VLOOKUP(B314, PlumX_snapshot!$A:$D, 4, FALSE), " ")</f>
        <v>0</v>
      </c>
      <c r="Z314" s="12">
        <f>IFERROR(VLOOKUP(B314, PlumX_snapshot!$A:$E, 5, FALSE), " ")</f>
        <v>0</v>
      </c>
      <c r="AA314" s="12">
        <f>IFERROR(VLOOKUP(B314, PlumX_snapshot!$A:$F, 6, FALSE), " ")</f>
        <v>0</v>
      </c>
      <c r="AB314" s="13">
        <v>44978</v>
      </c>
      <c r="AC314" s="9" t="s">
        <v>1711</v>
      </c>
      <c r="AD314" s="9" t="s">
        <v>1712</v>
      </c>
      <c r="AH314" s="9">
        <v>3411</v>
      </c>
      <c r="AI314" s="9" t="s">
        <v>77</v>
      </c>
      <c r="AJ314" s="9" t="s">
        <v>57</v>
      </c>
      <c r="AK314" s="11" t="str">
        <f t="shared" si="2"/>
        <v>2022USD</v>
      </c>
      <c r="AL314" s="11">
        <f>VLOOKUP(AK314, Exchange_rates!$C:$D, 2, FALSE)</f>
        <v>0.8115</v>
      </c>
      <c r="AM314" s="14">
        <f t="shared" si="3"/>
        <v>3321.6317999999997</v>
      </c>
      <c r="AN314" s="9"/>
      <c r="AO314" s="9"/>
      <c r="AP314" s="9"/>
      <c r="AQ314" s="15" t="s">
        <v>49</v>
      </c>
      <c r="AR314" t="s">
        <v>1713</v>
      </c>
      <c r="AS314" s="16" t="s">
        <v>1714</v>
      </c>
    </row>
    <row r="315" spans="1:45" ht="14.5">
      <c r="A315" s="9" t="s">
        <v>1777</v>
      </c>
      <c r="B315" s="9" t="s">
        <v>1778</v>
      </c>
      <c r="C315" s="9" t="s">
        <v>1779</v>
      </c>
      <c r="D315" s="9" t="s">
        <v>1560</v>
      </c>
      <c r="E315" s="9" t="s">
        <v>125</v>
      </c>
      <c r="F315" s="9" t="s">
        <v>69</v>
      </c>
      <c r="G315" s="9" t="s">
        <v>70</v>
      </c>
      <c r="H315" s="9" t="s">
        <v>1744</v>
      </c>
      <c r="I315" s="9" t="s">
        <v>238</v>
      </c>
      <c r="K315" s="28">
        <v>44572</v>
      </c>
      <c r="M315" s="10">
        <v>44608</v>
      </c>
      <c r="N315" s="9">
        <v>2022</v>
      </c>
      <c r="O315" s="9" t="s">
        <v>1737</v>
      </c>
      <c r="P315" s="9" t="s">
        <v>53</v>
      </c>
      <c r="Q315" s="9" t="s">
        <v>53</v>
      </c>
      <c r="R315" s="9" t="s">
        <v>210</v>
      </c>
      <c r="T315" s="9"/>
      <c r="V315" s="9"/>
      <c r="W315" s="11">
        <f>IFERROR(VLOOKUP(B315, PlumX_snapshot!$A:$B, 2, FALSE), " ")</f>
        <v>5</v>
      </c>
      <c r="X315" s="11">
        <f>IFERROR(VLOOKUP(B315, PlumX_snapshot!$A:$C, 3, FALSE), " ")</f>
        <v>3</v>
      </c>
      <c r="Y315" s="12">
        <f>IFERROR(VLOOKUP(B315, PlumX_snapshot!$A:$D, 4, FALSE), " ")</f>
        <v>5</v>
      </c>
      <c r="Z315" s="12">
        <f>IFERROR(VLOOKUP(B315, PlumX_snapshot!$A:$E, 5, FALSE), " ")</f>
        <v>0</v>
      </c>
      <c r="AA315" s="12">
        <f>IFERROR(VLOOKUP(B315, PlumX_snapshot!$A:$F, 6, FALSE), " ")</f>
        <v>0</v>
      </c>
      <c r="AB315" s="13">
        <v>44978</v>
      </c>
      <c r="AC315" s="9" t="s">
        <v>1780</v>
      </c>
      <c r="AD315" s="9" t="s">
        <v>1781</v>
      </c>
      <c r="AH315" s="9">
        <v>1496</v>
      </c>
      <c r="AI315" s="9" t="s">
        <v>77</v>
      </c>
      <c r="AJ315" s="9" t="s">
        <v>57</v>
      </c>
      <c r="AK315" s="11" t="str">
        <f t="shared" si="2"/>
        <v>2022USD</v>
      </c>
      <c r="AL315" s="11">
        <f>VLOOKUP(AK315, Exchange_rates!$C:$D, 2, FALSE)</f>
        <v>0.8115</v>
      </c>
      <c r="AM315" s="14">
        <f t="shared" si="3"/>
        <v>1456.8047999999999</v>
      </c>
      <c r="AN315" s="9"/>
      <c r="AO315" s="9"/>
      <c r="AP315" s="9"/>
      <c r="AQ315" s="15" t="s">
        <v>125</v>
      </c>
      <c r="AS315" s="16" t="s">
        <v>1782</v>
      </c>
    </row>
    <row r="316" spans="1:45" ht="14.5">
      <c r="A316" s="9" t="s">
        <v>1783</v>
      </c>
      <c r="B316" s="9" t="s">
        <v>1784</v>
      </c>
      <c r="C316" s="9" t="s">
        <v>1779</v>
      </c>
      <c r="D316" s="9" t="s">
        <v>1560</v>
      </c>
      <c r="E316" s="9" t="s">
        <v>125</v>
      </c>
      <c r="F316" s="9" t="s">
        <v>69</v>
      </c>
      <c r="G316" s="9" t="s">
        <v>70</v>
      </c>
      <c r="H316" s="9" t="s">
        <v>1744</v>
      </c>
      <c r="I316" s="9" t="s">
        <v>72</v>
      </c>
      <c r="K316" s="28">
        <v>44596</v>
      </c>
      <c r="M316" s="10">
        <v>44624</v>
      </c>
      <c r="N316" s="9">
        <v>2022</v>
      </c>
      <c r="O316" s="9" t="s">
        <v>1737</v>
      </c>
      <c r="P316" s="9" t="s">
        <v>83</v>
      </c>
      <c r="Q316" s="9" t="s">
        <v>53</v>
      </c>
      <c r="R316" s="9" t="s">
        <v>1785</v>
      </c>
      <c r="T316" s="9"/>
      <c r="V316" s="9"/>
      <c r="W316" s="11">
        <f>IFERROR(VLOOKUP(B316, PlumX_snapshot!$A:$B, 2, FALSE), " ")</f>
        <v>5</v>
      </c>
      <c r="X316" s="11">
        <f>IFERROR(VLOOKUP(B316, PlumX_snapshot!$A:$C, 3, FALSE), " ")</f>
        <v>1</v>
      </c>
      <c r="Y316" s="12">
        <f>IFERROR(VLOOKUP(B316, PlumX_snapshot!$A:$D, 4, FALSE), " ")</f>
        <v>0</v>
      </c>
      <c r="Z316" s="12">
        <f>IFERROR(VLOOKUP(B316, PlumX_snapshot!$A:$E, 5, FALSE), " ")</f>
        <v>0</v>
      </c>
      <c r="AA316" s="12">
        <f>IFERROR(VLOOKUP(B316, PlumX_snapshot!$A:$F, 6, FALSE), " ")</f>
        <v>0</v>
      </c>
      <c r="AB316" s="13">
        <v>44978</v>
      </c>
      <c r="AC316" s="9" t="s">
        <v>1786</v>
      </c>
      <c r="AD316" s="9" t="s">
        <v>1787</v>
      </c>
      <c r="AH316" s="9">
        <v>1496</v>
      </c>
      <c r="AI316" s="9" t="s">
        <v>77</v>
      </c>
      <c r="AJ316" s="9" t="s">
        <v>57</v>
      </c>
      <c r="AK316" s="11" t="str">
        <f t="shared" si="2"/>
        <v>2022USD</v>
      </c>
      <c r="AL316" s="11">
        <f>VLOOKUP(AK316, Exchange_rates!$C:$D, 2, FALSE)</f>
        <v>0.8115</v>
      </c>
      <c r="AM316" s="14">
        <f t="shared" si="3"/>
        <v>1456.8047999999999</v>
      </c>
      <c r="AN316" s="9"/>
      <c r="AO316" s="9"/>
      <c r="AP316" s="9"/>
      <c r="AQ316" s="15" t="s">
        <v>125</v>
      </c>
      <c r="AS316" s="16" t="s">
        <v>1782</v>
      </c>
    </row>
    <row r="317" spans="1:45" ht="14.5">
      <c r="A317" s="9" t="s">
        <v>1788</v>
      </c>
      <c r="B317" s="9" t="s">
        <v>1789</v>
      </c>
      <c r="C317" s="9" t="s">
        <v>1743</v>
      </c>
      <c r="D317" s="9" t="s">
        <v>1560</v>
      </c>
      <c r="E317" s="9" t="s">
        <v>49</v>
      </c>
      <c r="F317" s="9" t="s">
        <v>69</v>
      </c>
      <c r="G317" s="9" t="s">
        <v>70</v>
      </c>
      <c r="H317" s="9" t="s">
        <v>1744</v>
      </c>
      <c r="I317" s="9" t="s">
        <v>72</v>
      </c>
      <c r="K317" s="10">
        <v>44655</v>
      </c>
      <c r="M317" s="10">
        <v>44676</v>
      </c>
      <c r="N317" s="9">
        <v>2022</v>
      </c>
      <c r="O317" s="9" t="s">
        <v>1737</v>
      </c>
      <c r="P317" s="9" t="s">
        <v>83</v>
      </c>
      <c r="Q317" s="9" t="s">
        <v>53</v>
      </c>
      <c r="R317" s="9" t="s">
        <v>292</v>
      </c>
      <c r="T317" s="9"/>
      <c r="V317" s="9"/>
      <c r="W317" s="11">
        <f>IFERROR(VLOOKUP(B317, PlumX_snapshot!$A:$B, 2, FALSE), " ")</f>
        <v>12</v>
      </c>
      <c r="X317" s="11">
        <f>IFERROR(VLOOKUP(B317, PlumX_snapshot!$A:$C, 3, FALSE), " ")</f>
        <v>1</v>
      </c>
      <c r="Y317" s="12">
        <f>IFERROR(VLOOKUP(B317, PlumX_snapshot!$A:$D, 4, FALSE), " ")</f>
        <v>40</v>
      </c>
      <c r="Z317" s="12">
        <f>IFERROR(VLOOKUP(B317, PlumX_snapshot!$A:$E, 5, FALSE), " ")</f>
        <v>0</v>
      </c>
      <c r="AA317" s="12">
        <f>IFERROR(VLOOKUP(B317, PlumX_snapshot!$A:$F, 6, FALSE), " ")</f>
        <v>0</v>
      </c>
      <c r="AB317" s="13">
        <v>44978</v>
      </c>
      <c r="AC317" s="9" t="s">
        <v>1790</v>
      </c>
      <c r="AD317" s="9" t="s">
        <v>1791</v>
      </c>
      <c r="AH317" s="9">
        <v>4798</v>
      </c>
      <c r="AI317" s="9" t="s">
        <v>77</v>
      </c>
      <c r="AJ317" s="9" t="s">
        <v>57</v>
      </c>
      <c r="AK317" s="11" t="str">
        <f t="shared" si="2"/>
        <v>2022USD</v>
      </c>
      <c r="AL317" s="11">
        <f>VLOOKUP(AK317, Exchange_rates!$C:$D, 2, FALSE)</f>
        <v>0.8115</v>
      </c>
      <c r="AM317" s="14">
        <f t="shared" si="3"/>
        <v>4672.2923999999994</v>
      </c>
      <c r="AN317" s="9"/>
      <c r="AO317" s="9"/>
      <c r="AP317" s="9"/>
      <c r="AQ317" s="15" t="s">
        <v>49</v>
      </c>
      <c r="AS317" s="16" t="s">
        <v>1748</v>
      </c>
    </row>
    <row r="318" spans="1:45" ht="14.5">
      <c r="A318" s="9" t="s">
        <v>1792</v>
      </c>
      <c r="B318" s="9" t="s">
        <v>1793</v>
      </c>
      <c r="C318" s="9" t="s">
        <v>1794</v>
      </c>
      <c r="D318" s="9" t="s">
        <v>1560</v>
      </c>
      <c r="E318" s="9" t="s">
        <v>125</v>
      </c>
      <c r="F318" s="9" t="s">
        <v>69</v>
      </c>
      <c r="G318" s="9" t="s">
        <v>70</v>
      </c>
      <c r="H318" s="9" t="s">
        <v>1744</v>
      </c>
      <c r="I318" s="9" t="s">
        <v>72</v>
      </c>
      <c r="K318" s="10">
        <v>44788</v>
      </c>
      <c r="M318" s="10">
        <v>44791</v>
      </c>
      <c r="N318" s="9">
        <v>2022</v>
      </c>
      <c r="O318" s="9" t="s">
        <v>1737</v>
      </c>
      <c r="P318" s="9" t="s">
        <v>53</v>
      </c>
      <c r="Q318" s="9" t="s">
        <v>53</v>
      </c>
      <c r="R318" s="9">
        <v>0</v>
      </c>
      <c r="T318" s="9"/>
      <c r="V318" s="9"/>
      <c r="W318" s="11">
        <f>IFERROR(VLOOKUP(B318, PlumX_snapshot!$A:$B, 2, FALSE), " ")</f>
        <v>4</v>
      </c>
      <c r="X318" s="11">
        <f>IFERROR(VLOOKUP(B318, PlumX_snapshot!$A:$C, 3, FALSE), " ")</f>
        <v>0</v>
      </c>
      <c r="Y318" s="12">
        <f>IFERROR(VLOOKUP(B318, PlumX_snapshot!$A:$D, 4, FALSE), " ")</f>
        <v>1</v>
      </c>
      <c r="Z318" s="12">
        <f>IFERROR(VLOOKUP(B318, PlumX_snapshot!$A:$E, 5, FALSE), " ")</f>
        <v>0</v>
      </c>
      <c r="AA318" s="12">
        <f>IFERROR(VLOOKUP(B318, PlumX_snapshot!$A:$F, 6, FALSE), " ")</f>
        <v>0</v>
      </c>
      <c r="AB318" s="13">
        <v>44978</v>
      </c>
      <c r="AC318" s="9" t="s">
        <v>1795</v>
      </c>
      <c r="AD318" s="9" t="s">
        <v>1796</v>
      </c>
      <c r="AH318" s="9">
        <v>3013.78</v>
      </c>
      <c r="AI318" s="9" t="s">
        <v>77</v>
      </c>
      <c r="AJ318" s="9" t="s">
        <v>57</v>
      </c>
      <c r="AK318" s="11" t="str">
        <f t="shared" si="2"/>
        <v>2022USD</v>
      </c>
      <c r="AL318" s="11">
        <f>VLOOKUP(AK318, Exchange_rates!$C:$D, 2, FALSE)</f>
        <v>0.8115</v>
      </c>
      <c r="AM318" s="14">
        <f t="shared" si="3"/>
        <v>2934.8189640000001</v>
      </c>
      <c r="AN318" s="9"/>
      <c r="AO318" s="9"/>
      <c r="AP318" s="9"/>
      <c r="AQ318" s="15" t="s">
        <v>125</v>
      </c>
      <c r="AS318" s="16" t="s">
        <v>1797</v>
      </c>
    </row>
    <row r="319" spans="1:45" ht="14.5">
      <c r="A319" s="9" t="s">
        <v>1798</v>
      </c>
      <c r="B319" s="9" t="s">
        <v>1799</v>
      </c>
      <c r="C319" s="9" t="s">
        <v>1640</v>
      </c>
      <c r="D319" s="9" t="s">
        <v>1560</v>
      </c>
      <c r="E319" s="9" t="s">
        <v>49</v>
      </c>
      <c r="F319" s="9" t="s">
        <v>69</v>
      </c>
      <c r="G319" s="9" t="s">
        <v>70</v>
      </c>
      <c r="H319" s="9" t="s">
        <v>1744</v>
      </c>
      <c r="I319" s="9" t="s">
        <v>291</v>
      </c>
      <c r="K319" s="10">
        <v>44761</v>
      </c>
      <c r="N319" s="9">
        <v>2022</v>
      </c>
      <c r="O319" s="9" t="s">
        <v>1737</v>
      </c>
      <c r="P319" s="9" t="s">
        <v>53</v>
      </c>
      <c r="Q319" s="9" t="s">
        <v>53</v>
      </c>
      <c r="R319" s="9" t="e">
        <v>#N/A</v>
      </c>
      <c r="T319" s="9"/>
      <c r="V319" s="9"/>
      <c r="W319" s="11">
        <f>IFERROR(VLOOKUP(B319, PlumX_snapshot!$A:$B, 2, FALSE), " ")</f>
        <v>1</v>
      </c>
      <c r="X319" s="11">
        <f>IFERROR(VLOOKUP(B319, PlumX_snapshot!$A:$C, 3, FALSE), " ")</f>
        <v>0</v>
      </c>
      <c r="Y319" s="12">
        <f>IFERROR(VLOOKUP(B319, PlumX_snapshot!$A:$D, 4, FALSE), " ")</f>
        <v>1</v>
      </c>
      <c r="Z319" s="12">
        <f>IFERROR(VLOOKUP(B319, PlumX_snapshot!$A:$E, 5, FALSE), " ")</f>
        <v>0</v>
      </c>
      <c r="AA319" s="12">
        <f>IFERROR(VLOOKUP(B319, PlumX_snapshot!$A:$F, 6, FALSE), " ")</f>
        <v>0</v>
      </c>
      <c r="AB319" s="13">
        <v>44978</v>
      </c>
      <c r="AC319" s="9" t="s">
        <v>1641</v>
      </c>
      <c r="AD319" s="9" t="s">
        <v>703</v>
      </c>
      <c r="AH319" s="9">
        <v>3421.71</v>
      </c>
      <c r="AI319" s="9" t="s">
        <v>77</v>
      </c>
      <c r="AJ319" s="9" t="s">
        <v>57</v>
      </c>
      <c r="AK319" s="11" t="str">
        <f t="shared" si="2"/>
        <v>2022USD</v>
      </c>
      <c r="AL319" s="11">
        <f>VLOOKUP(AK319, Exchange_rates!$C:$D, 2, FALSE)</f>
        <v>0.8115</v>
      </c>
      <c r="AM319" s="14">
        <f t="shared" si="3"/>
        <v>3332.0611979999999</v>
      </c>
      <c r="AN319" s="9"/>
      <c r="AO319" s="9"/>
      <c r="AP319" s="9"/>
      <c r="AQ319" s="15" t="s">
        <v>49</v>
      </c>
      <c r="AR319" t="s">
        <v>1642</v>
      </c>
      <c r="AS319" s="16" t="s">
        <v>1643</v>
      </c>
    </row>
    <row r="320" spans="1:45" ht="14.5">
      <c r="A320" s="9" t="s">
        <v>1800</v>
      </c>
      <c r="B320" s="9" t="s">
        <v>1801</v>
      </c>
      <c r="C320" s="9" t="s">
        <v>1802</v>
      </c>
      <c r="D320" s="9" t="s">
        <v>1560</v>
      </c>
      <c r="E320" s="9" t="s">
        <v>49</v>
      </c>
      <c r="F320" s="9" t="s">
        <v>69</v>
      </c>
      <c r="G320" s="9" t="s">
        <v>70</v>
      </c>
      <c r="H320" s="9" t="s">
        <v>1744</v>
      </c>
      <c r="I320" s="9" t="s">
        <v>291</v>
      </c>
      <c r="K320" s="10">
        <v>44795</v>
      </c>
      <c r="M320" s="10">
        <v>44811</v>
      </c>
      <c r="N320" s="9">
        <v>2022</v>
      </c>
      <c r="O320" s="9" t="s">
        <v>1737</v>
      </c>
      <c r="P320" s="9" t="s">
        <v>53</v>
      </c>
      <c r="Q320" s="9" t="s">
        <v>53</v>
      </c>
      <c r="R320" s="9">
        <v>0</v>
      </c>
      <c r="T320" s="9"/>
      <c r="V320" s="9"/>
      <c r="W320" s="11">
        <f>IFERROR(VLOOKUP(B320, PlumX_snapshot!$A:$B, 2, FALSE), " ")</f>
        <v>0</v>
      </c>
      <c r="X320" s="11">
        <f>IFERROR(VLOOKUP(B320, PlumX_snapshot!$A:$C, 3, FALSE), " ")</f>
        <v>0</v>
      </c>
      <c r="Y320" s="12">
        <f>IFERROR(VLOOKUP(B320, PlumX_snapshot!$A:$D, 4, FALSE), " ")</f>
        <v>3</v>
      </c>
      <c r="Z320" s="12">
        <f>IFERROR(VLOOKUP(B320, PlumX_snapshot!$A:$E, 5, FALSE), " ")</f>
        <v>0</v>
      </c>
      <c r="AA320" s="12">
        <f>IFERROR(VLOOKUP(B320, PlumX_snapshot!$A:$F, 6, FALSE), " ")</f>
        <v>0</v>
      </c>
      <c r="AB320" s="13">
        <v>44978</v>
      </c>
      <c r="AC320" s="9" t="s">
        <v>1803</v>
      </c>
      <c r="AD320" s="9" t="s">
        <v>1804</v>
      </c>
      <c r="AH320" s="9">
        <v>2844.18</v>
      </c>
      <c r="AI320" s="9" t="s">
        <v>77</v>
      </c>
      <c r="AJ320" s="9" t="s">
        <v>301</v>
      </c>
      <c r="AK320" s="11" t="str">
        <f t="shared" si="2"/>
        <v>2022GBP</v>
      </c>
      <c r="AL320" s="11">
        <f>VLOOKUP(AK320, Exchange_rates!$C:$D, 2, FALSE)</f>
        <v>1</v>
      </c>
      <c r="AM320" s="14">
        <f t="shared" si="3"/>
        <v>3413.0159999999996</v>
      </c>
      <c r="AN320" s="9"/>
      <c r="AO320" s="9"/>
      <c r="AP320" s="9"/>
      <c r="AQ320" s="15" t="s">
        <v>49</v>
      </c>
      <c r="AS320" s="16" t="s">
        <v>1805</v>
      </c>
    </row>
    <row r="321" spans="1:60" ht="14.5">
      <c r="A321" s="9" t="s">
        <v>1806</v>
      </c>
      <c r="B321" s="9" t="s">
        <v>1807</v>
      </c>
      <c r="C321" s="9" t="s">
        <v>1755</v>
      </c>
      <c r="D321" s="9" t="s">
        <v>1560</v>
      </c>
      <c r="E321" s="9" t="s">
        <v>49</v>
      </c>
      <c r="F321" s="9" t="s">
        <v>50</v>
      </c>
      <c r="G321" s="9" t="s">
        <v>51</v>
      </c>
      <c r="H321" s="9"/>
      <c r="I321" s="9" t="s">
        <v>1647</v>
      </c>
      <c r="K321" s="10">
        <v>44791</v>
      </c>
      <c r="N321" s="9">
        <v>2022</v>
      </c>
      <c r="O321" s="9" t="s">
        <v>1737</v>
      </c>
      <c r="P321" s="9" t="s">
        <v>53</v>
      </c>
      <c r="Q321" s="9" t="s">
        <v>53</v>
      </c>
      <c r="R321" s="9" t="e">
        <v>#N/A</v>
      </c>
      <c r="S321" s="9" t="s">
        <v>1808</v>
      </c>
      <c r="T321" s="9" t="s">
        <v>723</v>
      </c>
      <c r="V321" s="9"/>
      <c r="W321" s="11">
        <f>IFERROR(VLOOKUP(B321, PlumX_snapshot!$A:$B, 2, FALSE), " ")</f>
        <v>0</v>
      </c>
      <c r="X321" s="11">
        <f>IFERROR(VLOOKUP(B321, PlumX_snapshot!$A:$C, 3, FALSE), " ")</f>
        <v>0</v>
      </c>
      <c r="Y321" s="12">
        <f>IFERROR(VLOOKUP(B321, PlumX_snapshot!$A:$D, 4, FALSE), " ")</f>
        <v>0</v>
      </c>
      <c r="Z321" s="12">
        <f>IFERROR(VLOOKUP(B321, PlumX_snapshot!$A:$E, 5, FALSE), " ")</f>
        <v>0</v>
      </c>
      <c r="AA321" s="12">
        <f>IFERROR(VLOOKUP(B321, PlumX_snapshot!$A:$F, 6, FALSE), " ")</f>
        <v>0</v>
      </c>
      <c r="AB321" s="13">
        <v>44978</v>
      </c>
      <c r="AC321" s="9" t="s">
        <v>1809</v>
      </c>
      <c r="AD321" s="9" t="s">
        <v>1810</v>
      </c>
      <c r="AH321" s="9">
        <v>2325.65</v>
      </c>
      <c r="AI321" s="9" t="s">
        <v>77</v>
      </c>
      <c r="AJ321" s="9" t="s">
        <v>301</v>
      </c>
      <c r="AK321" s="11" t="str">
        <f t="shared" si="2"/>
        <v>2022GBP</v>
      </c>
      <c r="AL321" s="11">
        <f>VLOOKUP(AK321, Exchange_rates!$C:$D, 2, FALSE)</f>
        <v>1</v>
      </c>
      <c r="AM321" s="14">
        <f t="shared" si="3"/>
        <v>2790.78</v>
      </c>
      <c r="AN321" s="9"/>
      <c r="AO321" s="9"/>
      <c r="AP321" s="9"/>
      <c r="AQ321" s="15" t="s">
        <v>49</v>
      </c>
      <c r="AS321" s="16" t="s">
        <v>1758</v>
      </c>
    </row>
    <row r="322" spans="1:60" ht="14.5">
      <c r="A322" s="9" t="s">
        <v>1811</v>
      </c>
      <c r="B322" s="9" t="s">
        <v>1812</v>
      </c>
      <c r="C322" s="9" t="s">
        <v>1813</v>
      </c>
      <c r="D322" s="9" t="s">
        <v>1560</v>
      </c>
      <c r="E322" s="9" t="s">
        <v>49</v>
      </c>
      <c r="F322" s="9" t="s">
        <v>50</v>
      </c>
      <c r="G322" s="9" t="s">
        <v>51</v>
      </c>
      <c r="H322" s="9"/>
      <c r="I322" s="9" t="s">
        <v>1647</v>
      </c>
      <c r="K322" s="10">
        <v>44700</v>
      </c>
      <c r="M322" s="10">
        <v>44705</v>
      </c>
      <c r="N322" s="9">
        <v>2022</v>
      </c>
      <c r="O322" s="9" t="s">
        <v>1737</v>
      </c>
      <c r="P322" s="9" t="s">
        <v>83</v>
      </c>
      <c r="Q322" s="9" t="s">
        <v>53</v>
      </c>
      <c r="R322" s="9" t="s">
        <v>1814</v>
      </c>
      <c r="T322" s="9" t="s">
        <v>723</v>
      </c>
      <c r="V322" s="9"/>
      <c r="W322" s="11">
        <f>IFERROR(VLOOKUP(B322, PlumX_snapshot!$A:$B, 2, FALSE), " ")</f>
        <v>4</v>
      </c>
      <c r="X322" s="11">
        <f>IFERROR(VLOOKUP(B322, PlumX_snapshot!$A:$C, 3, FALSE), " ")</f>
        <v>2</v>
      </c>
      <c r="Y322" s="12">
        <f>IFERROR(VLOOKUP(B322, PlumX_snapshot!$A:$D, 4, FALSE), " ")</f>
        <v>3</v>
      </c>
      <c r="Z322" s="12">
        <f>IFERROR(VLOOKUP(B322, PlumX_snapshot!$A:$E, 5, FALSE), " ")</f>
        <v>0</v>
      </c>
      <c r="AA322" s="12">
        <f>IFERROR(VLOOKUP(B322, PlumX_snapshot!$A:$F, 6, FALSE), " ")</f>
        <v>0</v>
      </c>
      <c r="AB322" s="13">
        <v>44978</v>
      </c>
      <c r="AC322" s="9" t="s">
        <v>1815</v>
      </c>
      <c r="AD322" s="9" t="s">
        <v>1816</v>
      </c>
      <c r="AH322" s="9">
        <v>3819</v>
      </c>
      <c r="AI322" s="9" t="s">
        <v>77</v>
      </c>
      <c r="AJ322" s="9" t="s">
        <v>57</v>
      </c>
      <c r="AK322" s="11" t="str">
        <f t="shared" si="2"/>
        <v>2022USD</v>
      </c>
      <c r="AL322" s="11">
        <f>VLOOKUP(AK322, Exchange_rates!$C:$D, 2, FALSE)</f>
        <v>0.8115</v>
      </c>
      <c r="AM322" s="14">
        <f t="shared" si="3"/>
        <v>3718.9422</v>
      </c>
      <c r="AN322" s="9"/>
      <c r="AO322" s="9"/>
      <c r="AP322" s="9"/>
      <c r="AQ322" s="15" t="s">
        <v>49</v>
      </c>
      <c r="AS322" s="16" t="s">
        <v>1817</v>
      </c>
    </row>
    <row r="323" spans="1:60" ht="14.5">
      <c r="A323" s="9" t="s">
        <v>1818</v>
      </c>
      <c r="B323" s="9" t="s">
        <v>1819</v>
      </c>
      <c r="C323" s="9" t="s">
        <v>1820</v>
      </c>
      <c r="D323" s="9" t="s">
        <v>1560</v>
      </c>
      <c r="E323" s="9" t="s">
        <v>125</v>
      </c>
      <c r="F323" s="9" t="s">
        <v>69</v>
      </c>
      <c r="G323" s="9" t="s">
        <v>70</v>
      </c>
      <c r="H323" s="9" t="s">
        <v>1744</v>
      </c>
      <c r="I323" s="9" t="s">
        <v>238</v>
      </c>
      <c r="K323" s="10">
        <v>44756</v>
      </c>
      <c r="M323" s="10">
        <v>44770</v>
      </c>
      <c r="N323" s="9">
        <v>2022</v>
      </c>
      <c r="O323" s="9" t="s">
        <v>1737</v>
      </c>
      <c r="P323" s="9" t="s">
        <v>53</v>
      </c>
      <c r="Q323" s="9" t="s">
        <v>53</v>
      </c>
      <c r="R323" s="9">
        <v>0</v>
      </c>
      <c r="T323" s="9"/>
      <c r="V323" s="9"/>
      <c r="W323" s="11">
        <f>IFERROR(VLOOKUP(B323, PlumX_snapshot!$A:$B, 2, FALSE), " ")</f>
        <v>9</v>
      </c>
      <c r="X323" s="11">
        <f>IFERROR(VLOOKUP(B323, PlumX_snapshot!$A:$C, 3, FALSE), " ")</f>
        <v>2</v>
      </c>
      <c r="Y323" s="12">
        <f>IFERROR(VLOOKUP(B323, PlumX_snapshot!$A:$D, 4, FALSE), " ")</f>
        <v>0</v>
      </c>
      <c r="Z323" s="12">
        <f>IFERROR(VLOOKUP(B323, PlumX_snapshot!$A:$E, 5, FALSE), " ")</f>
        <v>4</v>
      </c>
      <c r="AA323" s="12">
        <f>IFERROR(VLOOKUP(B323, PlumX_snapshot!$A:$F, 6, FALSE), " ")</f>
        <v>0</v>
      </c>
      <c r="AB323" s="13">
        <v>44978</v>
      </c>
      <c r="AC323" s="9" t="s">
        <v>1821</v>
      </c>
      <c r="AD323" s="9" t="s">
        <v>1822</v>
      </c>
      <c r="AH323" s="9">
        <v>1998</v>
      </c>
      <c r="AI323" s="9" t="s">
        <v>77</v>
      </c>
      <c r="AJ323" s="9" t="s">
        <v>1823</v>
      </c>
      <c r="AK323" s="11" t="str">
        <f t="shared" si="2"/>
        <v>2022EUR</v>
      </c>
      <c r="AL323" s="11">
        <f>VLOOKUP(AK323, Exchange_rates!$C:$D, 2, FALSE)</f>
        <v>0.8528</v>
      </c>
      <c r="AM323" s="14">
        <f t="shared" si="3"/>
        <v>2044.6732799999997</v>
      </c>
      <c r="AN323" s="9"/>
      <c r="AO323" s="9"/>
      <c r="AP323" s="9"/>
      <c r="AQ323" s="15" t="s">
        <v>125</v>
      </c>
      <c r="AR323" t="s">
        <v>1824</v>
      </c>
      <c r="AS323" s="16" t="s">
        <v>1825</v>
      </c>
    </row>
    <row r="324" spans="1:60" ht="14.5">
      <c r="A324" s="9" t="s">
        <v>1826</v>
      </c>
      <c r="B324" s="9" t="s">
        <v>1827</v>
      </c>
      <c r="C324" s="9" t="s">
        <v>1828</v>
      </c>
      <c r="D324" s="9" t="s">
        <v>1560</v>
      </c>
      <c r="E324" s="9" t="s">
        <v>49</v>
      </c>
      <c r="F324" s="9" t="s">
        <v>50</v>
      </c>
      <c r="G324" s="9" t="s">
        <v>51</v>
      </c>
      <c r="H324" s="9"/>
      <c r="I324" s="9" t="s">
        <v>1647</v>
      </c>
      <c r="K324" s="10">
        <v>44769</v>
      </c>
      <c r="N324" s="9">
        <v>2022</v>
      </c>
      <c r="O324" s="9" t="s">
        <v>1737</v>
      </c>
      <c r="P324" s="9" t="s">
        <v>53</v>
      </c>
      <c r="Q324" s="9" t="s">
        <v>53</v>
      </c>
      <c r="R324" s="9" t="e">
        <v>#N/A</v>
      </c>
      <c r="T324" s="9" t="s">
        <v>723</v>
      </c>
      <c r="V324" s="9"/>
      <c r="W324" s="11">
        <f>IFERROR(VLOOKUP(B324, PlumX_snapshot!$A:$B, 2, FALSE), " ")</f>
        <v>0</v>
      </c>
      <c r="X324" s="11">
        <f>IFERROR(VLOOKUP(B324, PlumX_snapshot!$A:$C, 3, FALSE), " ")</f>
        <v>0</v>
      </c>
      <c r="Y324" s="12">
        <f>IFERROR(VLOOKUP(B324, PlumX_snapshot!$A:$D, 4, FALSE), " ")</f>
        <v>2</v>
      </c>
      <c r="Z324" s="12">
        <f>IFERROR(VLOOKUP(B324, PlumX_snapshot!$A:$E, 5, FALSE), " ")</f>
        <v>0</v>
      </c>
      <c r="AA324" s="12">
        <f>IFERROR(VLOOKUP(B324, PlumX_snapshot!$A:$F, 6, FALSE), " ")</f>
        <v>0</v>
      </c>
      <c r="AB324" s="13">
        <v>44978</v>
      </c>
      <c r="AC324" s="9" t="s">
        <v>1829</v>
      </c>
      <c r="AD324" s="9" t="s">
        <v>1830</v>
      </c>
      <c r="AH324" s="9">
        <v>3428.25</v>
      </c>
      <c r="AI324" s="9" t="s">
        <v>77</v>
      </c>
      <c r="AJ324" s="9" t="s">
        <v>301</v>
      </c>
      <c r="AK324" s="11" t="str">
        <f t="shared" si="2"/>
        <v>2022GBP</v>
      </c>
      <c r="AL324" s="11">
        <f>VLOOKUP(AK324, Exchange_rates!$C:$D, 2, FALSE)</f>
        <v>1</v>
      </c>
      <c r="AM324" s="14">
        <f t="shared" si="3"/>
        <v>4113.8999999999996</v>
      </c>
      <c r="AN324" s="9"/>
      <c r="AO324" s="9"/>
      <c r="AP324" s="9"/>
      <c r="AQ324" s="15" t="s">
        <v>49</v>
      </c>
      <c r="AS324" s="16" t="s">
        <v>1831</v>
      </c>
    </row>
    <row r="325" spans="1:60" ht="14.5">
      <c r="A325" s="9" t="s">
        <v>1832</v>
      </c>
      <c r="B325" s="9" t="s">
        <v>1833</v>
      </c>
      <c r="C325" s="9" t="s">
        <v>1834</v>
      </c>
      <c r="D325" s="9" t="s">
        <v>1560</v>
      </c>
      <c r="E325" s="9" t="s">
        <v>49</v>
      </c>
      <c r="F325" s="9" t="s">
        <v>69</v>
      </c>
      <c r="G325" s="9" t="s">
        <v>70</v>
      </c>
      <c r="H325" s="9" t="s">
        <v>1744</v>
      </c>
      <c r="I325" s="9" t="s">
        <v>238</v>
      </c>
      <c r="K325" s="10">
        <v>44796</v>
      </c>
      <c r="N325" s="9">
        <v>2022</v>
      </c>
      <c r="O325" s="9" t="s">
        <v>1737</v>
      </c>
      <c r="P325" s="9" t="s">
        <v>53</v>
      </c>
      <c r="Q325" s="9" t="s">
        <v>53</v>
      </c>
      <c r="R325" s="9" t="e">
        <v>#N/A</v>
      </c>
      <c r="T325" s="9"/>
      <c r="V325" s="9"/>
      <c r="W325" s="11">
        <f>IFERROR(VLOOKUP(B325, PlumX_snapshot!$A:$B, 2, FALSE), " ")</f>
        <v>3</v>
      </c>
      <c r="X325" s="11">
        <f>IFERROR(VLOOKUP(B325, PlumX_snapshot!$A:$C, 3, FALSE), " ")</f>
        <v>0</v>
      </c>
      <c r="Y325" s="12">
        <f>IFERROR(VLOOKUP(B325, PlumX_snapshot!$A:$D, 4, FALSE), " ")</f>
        <v>32</v>
      </c>
      <c r="Z325" s="12">
        <f>IFERROR(VLOOKUP(B325, PlumX_snapshot!$A:$E, 5, FALSE), " ")</f>
        <v>0</v>
      </c>
      <c r="AA325" s="12">
        <f>IFERROR(VLOOKUP(B325, PlumX_snapshot!$A:$F, 6, FALSE), " ")</f>
        <v>0</v>
      </c>
      <c r="AB325" s="13">
        <v>44978</v>
      </c>
      <c r="AC325" s="9" t="s">
        <v>1835</v>
      </c>
      <c r="AD325" s="9" t="s">
        <v>1836</v>
      </c>
      <c r="AH325" s="9">
        <v>3206.43</v>
      </c>
      <c r="AI325" s="9" t="s">
        <v>77</v>
      </c>
      <c r="AJ325" s="9" t="s">
        <v>57</v>
      </c>
      <c r="AK325" s="11" t="str">
        <f t="shared" si="2"/>
        <v>2022USD</v>
      </c>
      <c r="AL325" s="11">
        <f>VLOOKUP(AK325, Exchange_rates!$C:$D, 2, FALSE)</f>
        <v>0.8115</v>
      </c>
      <c r="AM325" s="14">
        <f t="shared" si="3"/>
        <v>3122.4215340000001</v>
      </c>
      <c r="AN325" s="9"/>
      <c r="AO325" s="9"/>
      <c r="AP325" s="9"/>
      <c r="AQ325" s="15" t="s">
        <v>49</v>
      </c>
      <c r="AS325" s="16" t="s">
        <v>1837</v>
      </c>
    </row>
    <row r="326" spans="1:60" ht="14.5">
      <c r="A326" s="9" t="s">
        <v>1838</v>
      </c>
      <c r="B326" s="9" t="s">
        <v>1839</v>
      </c>
      <c r="C326" s="9" t="s">
        <v>1840</v>
      </c>
      <c r="D326" s="9" t="s">
        <v>1560</v>
      </c>
      <c r="E326" s="9" t="s">
        <v>49</v>
      </c>
      <c r="F326" s="9" t="s">
        <v>50</v>
      </c>
      <c r="G326" s="9" t="s">
        <v>51</v>
      </c>
      <c r="H326" s="9"/>
      <c r="I326" s="9" t="s">
        <v>1841</v>
      </c>
      <c r="K326" s="10">
        <v>44662</v>
      </c>
      <c r="M326" s="10">
        <v>44749</v>
      </c>
      <c r="N326" s="9">
        <v>2022</v>
      </c>
      <c r="O326" s="9" t="s">
        <v>1737</v>
      </c>
      <c r="P326" s="9" t="s">
        <v>53</v>
      </c>
      <c r="Q326" s="9" t="s">
        <v>53</v>
      </c>
      <c r="R326" s="9">
        <v>0</v>
      </c>
      <c r="T326" s="9" t="s">
        <v>723</v>
      </c>
      <c r="U326" s="9" t="s">
        <v>1738</v>
      </c>
      <c r="V326" s="9"/>
      <c r="W326" s="11">
        <f>IFERROR(VLOOKUP(B326, PlumX_snapshot!$A:$B, 2, FALSE), " ")</f>
        <v>1</v>
      </c>
      <c r="X326" s="11">
        <f>IFERROR(VLOOKUP(B326, PlumX_snapshot!$A:$C, 3, FALSE), " ")</f>
        <v>0</v>
      </c>
      <c r="Y326" s="12">
        <f>IFERROR(VLOOKUP(B326, PlumX_snapshot!$A:$D, 4, FALSE), " ")</f>
        <v>0</v>
      </c>
      <c r="Z326" s="12">
        <f>IFERROR(VLOOKUP(B326, PlumX_snapshot!$A:$E, 5, FALSE), " ")</f>
        <v>0</v>
      </c>
      <c r="AA326" s="12">
        <f>IFERROR(VLOOKUP(B326, PlumX_snapshot!$A:$F, 6, FALSE), " ")</f>
        <v>0</v>
      </c>
      <c r="AB326" s="13">
        <v>44978</v>
      </c>
      <c r="AC326" s="9" t="s">
        <v>1842</v>
      </c>
      <c r="AD326" s="9" t="s">
        <v>1843</v>
      </c>
      <c r="AH326" s="9">
        <v>2551</v>
      </c>
      <c r="AI326" s="9" t="s">
        <v>77</v>
      </c>
      <c r="AJ326" s="9" t="s">
        <v>301</v>
      </c>
      <c r="AK326" s="11" t="str">
        <f t="shared" si="2"/>
        <v>2022GBP</v>
      </c>
      <c r="AL326" s="11">
        <f>VLOOKUP(AK326, Exchange_rates!$C:$D, 2, FALSE)</f>
        <v>1</v>
      </c>
      <c r="AM326" s="14">
        <f t="shared" si="3"/>
        <v>3061.2</v>
      </c>
      <c r="AN326" s="9"/>
      <c r="AO326" s="9"/>
      <c r="AP326" s="9"/>
      <c r="AQ326" s="15" t="s">
        <v>49</v>
      </c>
      <c r="AS326" s="16" t="s">
        <v>1844</v>
      </c>
    </row>
    <row r="327" spans="1:60" ht="14.5">
      <c r="A327" s="9" t="s">
        <v>1845</v>
      </c>
      <c r="B327" s="9" t="s">
        <v>1846</v>
      </c>
      <c r="C327" s="9" t="s">
        <v>1840</v>
      </c>
      <c r="D327" s="9" t="s">
        <v>1560</v>
      </c>
      <c r="E327" s="9" t="s">
        <v>49</v>
      </c>
      <c r="F327" s="9" t="s">
        <v>50</v>
      </c>
      <c r="G327" s="9" t="s">
        <v>51</v>
      </c>
      <c r="H327" s="9"/>
      <c r="I327" s="9" t="s">
        <v>1647</v>
      </c>
      <c r="K327" s="10">
        <v>44767</v>
      </c>
      <c r="M327" s="10">
        <v>44810</v>
      </c>
      <c r="N327" s="9">
        <v>2022</v>
      </c>
      <c r="O327" s="9" t="s">
        <v>1737</v>
      </c>
      <c r="P327" s="9" t="s">
        <v>83</v>
      </c>
      <c r="Q327" s="9" t="s">
        <v>53</v>
      </c>
      <c r="R327" s="9" t="s">
        <v>1847</v>
      </c>
      <c r="T327" s="9" t="s">
        <v>723</v>
      </c>
      <c r="V327" s="9"/>
      <c r="W327" s="11">
        <f>IFERROR(VLOOKUP(B327, PlumX_snapshot!$A:$B, 2, FALSE), " ")</f>
        <v>0</v>
      </c>
      <c r="X327" s="11">
        <f>IFERROR(VLOOKUP(B327, PlumX_snapshot!$A:$C, 3, FALSE), " ")</f>
        <v>0</v>
      </c>
      <c r="Y327" s="12">
        <f>IFERROR(VLOOKUP(B327, PlumX_snapshot!$A:$D, 4, FALSE), " ")</f>
        <v>0</v>
      </c>
      <c r="Z327" s="12">
        <f>IFERROR(VLOOKUP(B327, PlumX_snapshot!$A:$E, 5, FALSE), " ")</f>
        <v>0</v>
      </c>
      <c r="AA327" s="12">
        <f>IFERROR(VLOOKUP(B327, PlumX_snapshot!$A:$F, 6, FALSE), " ")</f>
        <v>0</v>
      </c>
      <c r="AB327" s="13">
        <v>44978</v>
      </c>
      <c r="AC327" s="9" t="s">
        <v>1848</v>
      </c>
      <c r="AD327" s="9" t="s">
        <v>1849</v>
      </c>
      <c r="AH327" s="9">
        <v>2551.2800000000002</v>
      </c>
      <c r="AI327" s="9" t="s">
        <v>77</v>
      </c>
      <c r="AJ327" s="9" t="s">
        <v>301</v>
      </c>
      <c r="AK327" s="11" t="str">
        <f t="shared" si="2"/>
        <v>2022GBP</v>
      </c>
      <c r="AL327" s="11">
        <f>VLOOKUP(AK327, Exchange_rates!$C:$D, 2, FALSE)</f>
        <v>1</v>
      </c>
      <c r="AM327" s="14">
        <f t="shared" si="3"/>
        <v>3061.5360000000001</v>
      </c>
      <c r="AN327" s="9"/>
      <c r="AO327" s="9"/>
      <c r="AP327" s="9"/>
      <c r="AQ327" s="15" t="s">
        <v>49</v>
      </c>
      <c r="AS327" s="16" t="s">
        <v>1844</v>
      </c>
    </row>
    <row r="328" spans="1:60" ht="14.5">
      <c r="A328" s="9" t="s">
        <v>1850</v>
      </c>
      <c r="B328" s="9" t="s">
        <v>1851</v>
      </c>
      <c r="C328" s="9" t="s">
        <v>1840</v>
      </c>
      <c r="D328" s="9" t="s">
        <v>1560</v>
      </c>
      <c r="E328" s="9" t="s">
        <v>49</v>
      </c>
      <c r="F328" s="9" t="s">
        <v>50</v>
      </c>
      <c r="G328" s="9" t="s">
        <v>51</v>
      </c>
      <c r="H328" s="9"/>
      <c r="K328" s="10">
        <v>44785</v>
      </c>
      <c r="N328" s="9">
        <v>2022</v>
      </c>
      <c r="O328" s="9" t="s">
        <v>1737</v>
      </c>
      <c r="P328" s="9" t="s">
        <v>53</v>
      </c>
      <c r="Q328" s="9" t="s">
        <v>53</v>
      </c>
      <c r="R328" s="9" t="e">
        <v>#N/A</v>
      </c>
      <c r="T328" s="9" t="s">
        <v>723</v>
      </c>
      <c r="V328" s="9"/>
      <c r="W328" s="11" t="str">
        <f>IFERROR(VLOOKUP(B328, PlumX_snapshot!$A:$B, 2, FALSE), " ")</f>
        <v xml:space="preserve"> </v>
      </c>
      <c r="X328" s="11" t="str">
        <f>IFERROR(VLOOKUP(B328, PlumX_snapshot!$A:$C, 3, FALSE), " ")</f>
        <v xml:space="preserve"> </v>
      </c>
      <c r="Y328" s="12" t="str">
        <f>IFERROR(VLOOKUP(B328, PlumX_snapshot!$A:$D, 4, FALSE), " ")</f>
        <v xml:space="preserve"> </v>
      </c>
      <c r="Z328" s="12" t="str">
        <f>IFERROR(VLOOKUP(B328, PlumX_snapshot!$A:$E, 5, FALSE), " ")</f>
        <v xml:space="preserve"> </v>
      </c>
      <c r="AA328" s="12" t="str">
        <f>IFERROR(VLOOKUP(B328, PlumX_snapshot!$A:$F, 6, FALSE), " ")</f>
        <v xml:space="preserve"> </v>
      </c>
      <c r="AB328" s="13"/>
      <c r="AC328" s="9" t="s">
        <v>1852</v>
      </c>
      <c r="AD328" s="9" t="s">
        <v>1853</v>
      </c>
      <c r="AH328" s="9">
        <v>2551.2800000000002</v>
      </c>
      <c r="AI328" s="9" t="s">
        <v>77</v>
      </c>
      <c r="AJ328" s="9" t="s">
        <v>301</v>
      </c>
      <c r="AK328" s="11" t="str">
        <f t="shared" si="2"/>
        <v>2022GBP</v>
      </c>
      <c r="AL328" s="11">
        <f>VLOOKUP(AK328, Exchange_rates!$C:$D, 2, FALSE)</f>
        <v>1</v>
      </c>
      <c r="AM328" s="14">
        <f t="shared" si="3"/>
        <v>3061.5360000000001</v>
      </c>
      <c r="AN328" s="9"/>
      <c r="AO328" s="9"/>
      <c r="AP328" s="9"/>
      <c r="AQ328" s="15" t="s">
        <v>49</v>
      </c>
      <c r="AS328" s="16" t="s">
        <v>1844</v>
      </c>
    </row>
    <row r="329" spans="1:60" ht="14.5">
      <c r="A329" s="9" t="s">
        <v>1854</v>
      </c>
      <c r="B329" s="9" t="s">
        <v>1855</v>
      </c>
      <c r="C329" s="9" t="s">
        <v>1577</v>
      </c>
      <c r="D329" s="9" t="s">
        <v>1560</v>
      </c>
      <c r="E329" s="9" t="s">
        <v>49</v>
      </c>
      <c r="F329" s="9" t="s">
        <v>69</v>
      </c>
      <c r="G329" s="9" t="s">
        <v>70</v>
      </c>
      <c r="H329" s="9" t="s">
        <v>1744</v>
      </c>
      <c r="I329" s="9" t="s">
        <v>72</v>
      </c>
      <c r="K329" s="10">
        <v>44697</v>
      </c>
      <c r="M329" s="10">
        <v>44700</v>
      </c>
      <c r="N329" s="9">
        <v>2022</v>
      </c>
      <c r="O329" s="9" t="s">
        <v>1737</v>
      </c>
      <c r="P329" s="9" t="s">
        <v>53</v>
      </c>
      <c r="Q329" s="9" t="s">
        <v>53</v>
      </c>
      <c r="R329" s="9" t="s">
        <v>1856</v>
      </c>
      <c r="T329" s="9"/>
      <c r="V329" s="9"/>
      <c r="W329" s="11">
        <f>IFERROR(VLOOKUP(B329, PlumX_snapshot!$A:$B, 2, FALSE), " ")</f>
        <v>0</v>
      </c>
      <c r="X329" s="11">
        <f>IFERROR(VLOOKUP(B329, PlumX_snapshot!$A:$C, 3, FALSE), " ")</f>
        <v>0</v>
      </c>
      <c r="Y329" s="12">
        <f>IFERROR(VLOOKUP(B329, PlumX_snapshot!$A:$D, 4, FALSE), " ")</f>
        <v>0</v>
      </c>
      <c r="Z329" s="12">
        <f>IFERROR(VLOOKUP(B329, PlumX_snapshot!$A:$E, 5, FALSE), " ")</f>
        <v>0</v>
      </c>
      <c r="AA329" s="12">
        <f>IFERROR(VLOOKUP(B329, PlumX_snapshot!$A:$F, 6, FALSE), " ")</f>
        <v>0</v>
      </c>
      <c r="AB329" s="13">
        <v>44978</v>
      </c>
      <c r="AC329" s="9" t="s">
        <v>1857</v>
      </c>
      <c r="AD329" s="9" t="s">
        <v>1858</v>
      </c>
      <c r="AH329" s="9">
        <v>2310</v>
      </c>
      <c r="AI329" s="9" t="s">
        <v>77</v>
      </c>
      <c r="AJ329" s="9" t="s">
        <v>301</v>
      </c>
      <c r="AK329" s="11" t="str">
        <f t="shared" si="2"/>
        <v>2022GBP</v>
      </c>
      <c r="AL329" s="11">
        <f>VLOOKUP(AK329, Exchange_rates!$C:$D, 2, FALSE)</f>
        <v>1</v>
      </c>
      <c r="AM329" s="14">
        <f t="shared" si="3"/>
        <v>2772</v>
      </c>
      <c r="AN329" s="9"/>
      <c r="AO329" s="9"/>
      <c r="AP329" s="9"/>
      <c r="AQ329" s="15" t="s">
        <v>49</v>
      </c>
      <c r="AS329" s="16" t="s">
        <v>1580</v>
      </c>
    </row>
    <row r="330" spans="1:60" ht="14.5">
      <c r="A330" s="9" t="s">
        <v>1859</v>
      </c>
      <c r="B330" s="9" t="s">
        <v>1860</v>
      </c>
      <c r="C330" s="9" t="s">
        <v>1685</v>
      </c>
      <c r="D330" s="9" t="s">
        <v>1560</v>
      </c>
      <c r="E330" s="9" t="s">
        <v>49</v>
      </c>
      <c r="F330" s="9" t="s">
        <v>69</v>
      </c>
      <c r="G330" s="9" t="s">
        <v>70</v>
      </c>
      <c r="H330" s="9" t="s">
        <v>1744</v>
      </c>
      <c r="I330" s="9" t="s">
        <v>72</v>
      </c>
      <c r="K330" s="10">
        <v>44756</v>
      </c>
      <c r="M330" s="10">
        <v>44768</v>
      </c>
      <c r="N330" s="9">
        <v>2022</v>
      </c>
      <c r="O330" s="9" t="s">
        <v>1737</v>
      </c>
      <c r="P330" s="9" t="s">
        <v>53</v>
      </c>
      <c r="Q330" s="9" t="s">
        <v>53</v>
      </c>
      <c r="R330" s="9">
        <v>0</v>
      </c>
      <c r="T330" s="9"/>
      <c r="V330" s="9"/>
      <c r="W330" s="11">
        <f>IFERROR(VLOOKUP(B330, PlumX_snapshot!$A:$B, 2, FALSE), " ")</f>
        <v>0</v>
      </c>
      <c r="X330" s="11">
        <f>IFERROR(VLOOKUP(B330, PlumX_snapshot!$A:$C, 3, FALSE), " ")</f>
        <v>0</v>
      </c>
      <c r="Y330" s="12">
        <f>IFERROR(VLOOKUP(B330, PlumX_snapshot!$A:$D, 4, FALSE), " ")</f>
        <v>0</v>
      </c>
      <c r="Z330" s="12">
        <f>IFERROR(VLOOKUP(B330, PlumX_snapshot!$A:$E, 5, FALSE), " ")</f>
        <v>0</v>
      </c>
      <c r="AA330" s="12">
        <f>IFERROR(VLOOKUP(B330, PlumX_snapshot!$A:$F, 6, FALSE), " ")</f>
        <v>0</v>
      </c>
      <c r="AB330" s="13">
        <v>44978</v>
      </c>
      <c r="AC330" s="9" t="s">
        <v>1861</v>
      </c>
      <c r="AD330" s="9" t="s">
        <v>1862</v>
      </c>
      <c r="AH330" s="9">
        <v>3018.06</v>
      </c>
      <c r="AI330" s="9" t="s">
        <v>77</v>
      </c>
      <c r="AJ330" s="9" t="s">
        <v>57</v>
      </c>
      <c r="AK330" s="11" t="str">
        <f t="shared" si="2"/>
        <v>2022USD</v>
      </c>
      <c r="AL330" s="11">
        <f>VLOOKUP(AK330, Exchange_rates!$C:$D, 2, FALSE)</f>
        <v>0.8115</v>
      </c>
      <c r="AM330" s="14">
        <f t="shared" si="3"/>
        <v>2938.9868280000001</v>
      </c>
      <c r="AN330" s="9"/>
      <c r="AO330" s="9"/>
      <c r="AP330" s="9"/>
      <c r="AQ330" s="15" t="s">
        <v>49</v>
      </c>
      <c r="AS330" s="16" t="s">
        <v>1688</v>
      </c>
    </row>
    <row r="331" spans="1:60" ht="14.5">
      <c r="A331" s="20" t="s">
        <v>1863</v>
      </c>
      <c r="B331" s="20" t="s">
        <v>1864</v>
      </c>
      <c r="C331" s="20" t="s">
        <v>1569</v>
      </c>
      <c r="D331" s="20" t="s">
        <v>1560</v>
      </c>
      <c r="E331" s="20" t="s">
        <v>125</v>
      </c>
      <c r="F331" s="20" t="s">
        <v>69</v>
      </c>
      <c r="G331" s="20" t="s">
        <v>51</v>
      </c>
      <c r="H331" s="20"/>
      <c r="I331" s="20" t="s">
        <v>72</v>
      </c>
      <c r="J331" s="20"/>
      <c r="K331" s="22">
        <v>44757</v>
      </c>
      <c r="L331" s="20"/>
      <c r="M331" s="22">
        <v>44783</v>
      </c>
      <c r="N331" s="20">
        <v>2022</v>
      </c>
      <c r="O331" s="20" t="s">
        <v>1737</v>
      </c>
      <c r="P331" s="20" t="s">
        <v>83</v>
      </c>
      <c r="Q331" s="20" t="s">
        <v>83</v>
      </c>
      <c r="R331" s="20" t="s">
        <v>1865</v>
      </c>
      <c r="S331" s="20" t="s">
        <v>1866</v>
      </c>
      <c r="T331" s="20" t="s">
        <v>723</v>
      </c>
      <c r="U331" s="20" t="s">
        <v>1593</v>
      </c>
      <c r="V331" s="20"/>
      <c r="W331" s="23">
        <f>IFERROR(VLOOKUP(B331, PlumX_snapshot!$A:$B, 2, FALSE), " ")</f>
        <v>8</v>
      </c>
      <c r="X331" s="23">
        <f>IFERROR(VLOOKUP(B331, PlumX_snapshot!$A:$C, 3, FALSE), " ")</f>
        <v>1</v>
      </c>
      <c r="Y331" s="24">
        <f>IFERROR(VLOOKUP(B331, PlumX_snapshot!$A:$D, 4, FALSE), " ")</f>
        <v>1</v>
      </c>
      <c r="Z331" s="24">
        <f>IFERROR(VLOOKUP(B331, PlumX_snapshot!$A:$E, 5, FALSE), " ")</f>
        <v>0</v>
      </c>
      <c r="AA331" s="24">
        <f>IFERROR(VLOOKUP(B331, PlumX_snapshot!$A:$F, 6, FALSE), " ")</f>
        <v>0</v>
      </c>
      <c r="AB331" s="25">
        <v>44978</v>
      </c>
      <c r="AC331" s="20" t="s">
        <v>1867</v>
      </c>
      <c r="AD331" s="20" t="s">
        <v>1868</v>
      </c>
      <c r="AE331" s="20"/>
      <c r="AF331" s="20"/>
      <c r="AG331" s="20"/>
      <c r="AH331" s="20">
        <v>3876</v>
      </c>
      <c r="AI331" s="20" t="s">
        <v>77</v>
      </c>
      <c r="AJ331" s="20" t="s">
        <v>57</v>
      </c>
      <c r="AK331" s="23" t="str">
        <f t="shared" si="2"/>
        <v>2022USD</v>
      </c>
      <c r="AL331" s="23">
        <f>VLOOKUP(AK331, Exchange_rates!$C:$D, 2, FALSE)</f>
        <v>0.8115</v>
      </c>
      <c r="AM331" s="26">
        <f t="shared" si="3"/>
        <v>3774.4487999999997</v>
      </c>
      <c r="AN331" s="20"/>
      <c r="AO331" s="20"/>
      <c r="AP331" s="20"/>
      <c r="AQ331" s="27" t="s">
        <v>125</v>
      </c>
      <c r="AR331" t="s">
        <v>1573</v>
      </c>
      <c r="AS331" s="16" t="s">
        <v>1574</v>
      </c>
      <c r="AT331" s="20"/>
      <c r="AU331" s="20"/>
      <c r="AV331" s="20"/>
      <c r="AW331" s="20"/>
      <c r="AX331" s="20"/>
      <c r="AY331" s="20"/>
      <c r="AZ331" s="20"/>
      <c r="BA331" s="20"/>
      <c r="BB331" s="20"/>
      <c r="BC331" s="20"/>
      <c r="BD331" s="20"/>
      <c r="BE331" s="20"/>
      <c r="BF331" s="20"/>
      <c r="BG331" s="20"/>
      <c r="BH331" s="20"/>
    </row>
    <row r="332" spans="1:60" ht="14.5">
      <c r="A332" s="9" t="s">
        <v>1869</v>
      </c>
      <c r="B332" s="9" t="s">
        <v>1870</v>
      </c>
      <c r="C332" s="9" t="s">
        <v>1597</v>
      </c>
      <c r="D332" s="9" t="s">
        <v>1560</v>
      </c>
      <c r="E332" s="9" t="s">
        <v>49</v>
      </c>
      <c r="F332" s="9" t="s">
        <v>69</v>
      </c>
      <c r="G332" s="9" t="s">
        <v>70</v>
      </c>
      <c r="H332" s="9" t="s">
        <v>1744</v>
      </c>
      <c r="I332" s="9" t="s">
        <v>72</v>
      </c>
      <c r="K332" s="10">
        <v>44706</v>
      </c>
      <c r="M332" s="10">
        <v>44742</v>
      </c>
      <c r="N332" s="9">
        <v>2022</v>
      </c>
      <c r="O332" s="9" t="s">
        <v>1737</v>
      </c>
      <c r="P332" s="9" t="s">
        <v>53</v>
      </c>
      <c r="Q332" s="9" t="s">
        <v>53</v>
      </c>
      <c r="R332" s="9">
        <v>0</v>
      </c>
      <c r="T332" s="9"/>
      <c r="V332" s="9"/>
      <c r="W332" s="11">
        <f>IFERROR(VLOOKUP(B332, PlumX_snapshot!$A:$B, 2, FALSE), " ")</f>
        <v>0</v>
      </c>
      <c r="X332" s="11">
        <f>IFERROR(VLOOKUP(B332, PlumX_snapshot!$A:$C, 3, FALSE), " ")</f>
        <v>0</v>
      </c>
      <c r="Y332" s="12">
        <f>IFERROR(VLOOKUP(B332, PlumX_snapshot!$A:$D, 4, FALSE), " ")</f>
        <v>0</v>
      </c>
      <c r="Z332" s="12">
        <f>IFERROR(VLOOKUP(B332, PlumX_snapshot!$A:$E, 5, FALSE), " ")</f>
        <v>0</v>
      </c>
      <c r="AA332" s="12">
        <f>IFERROR(VLOOKUP(B332, PlumX_snapshot!$A:$F, 6, FALSE), " ")</f>
        <v>0</v>
      </c>
      <c r="AB332" s="13">
        <v>44978</v>
      </c>
      <c r="AC332" s="9" t="s">
        <v>1871</v>
      </c>
      <c r="AD332" s="9" t="s">
        <v>1872</v>
      </c>
      <c r="AH332" s="9">
        <v>3119</v>
      </c>
      <c r="AI332" s="9" t="s">
        <v>77</v>
      </c>
      <c r="AJ332" s="9" t="s">
        <v>301</v>
      </c>
      <c r="AK332" s="11" t="str">
        <f t="shared" si="2"/>
        <v>2022GBP</v>
      </c>
      <c r="AL332" s="11">
        <f>VLOOKUP(AK332, Exchange_rates!$C:$D, 2, FALSE)</f>
        <v>1</v>
      </c>
      <c r="AM332" s="14">
        <f t="shared" si="3"/>
        <v>3742.7999999999997</v>
      </c>
      <c r="AN332" s="9"/>
      <c r="AO332" s="9"/>
      <c r="AP332" s="9"/>
      <c r="AQ332" s="15" t="s">
        <v>49</v>
      </c>
      <c r="AR332" t="s">
        <v>1601</v>
      </c>
      <c r="AS332" s="16" t="s">
        <v>1602</v>
      </c>
    </row>
    <row r="333" spans="1:60" ht="14.5">
      <c r="A333" s="20" t="s">
        <v>1873</v>
      </c>
      <c r="B333" s="20" t="s">
        <v>1874</v>
      </c>
      <c r="C333" s="20" t="s">
        <v>1597</v>
      </c>
      <c r="D333" s="20" t="s">
        <v>1560</v>
      </c>
      <c r="E333" s="20" t="s">
        <v>49</v>
      </c>
      <c r="F333" s="20" t="s">
        <v>69</v>
      </c>
      <c r="G333" s="20" t="s">
        <v>51</v>
      </c>
      <c r="H333" s="20"/>
      <c r="I333" s="20" t="s">
        <v>291</v>
      </c>
      <c r="J333" s="20"/>
      <c r="K333" s="22">
        <v>44760</v>
      </c>
      <c r="L333" s="20"/>
      <c r="M333" s="22">
        <v>44768</v>
      </c>
      <c r="N333" s="20">
        <v>2022</v>
      </c>
      <c r="O333" s="20" t="s">
        <v>1737</v>
      </c>
      <c r="P333" s="20" t="s">
        <v>53</v>
      </c>
      <c r="Q333" s="20" t="s">
        <v>53</v>
      </c>
      <c r="R333" s="20">
        <v>0</v>
      </c>
      <c r="S333" s="20" t="s">
        <v>1875</v>
      </c>
      <c r="T333" s="20" t="s">
        <v>723</v>
      </c>
      <c r="U333" s="20" t="s">
        <v>1593</v>
      </c>
      <c r="V333" s="20"/>
      <c r="W333" s="23">
        <f>IFERROR(VLOOKUP(B333, PlumX_snapshot!$A:$B, 2, FALSE), " ")</f>
        <v>1</v>
      </c>
      <c r="X333" s="23">
        <f>IFERROR(VLOOKUP(B333, PlumX_snapshot!$A:$C, 3, FALSE), " ")</f>
        <v>0</v>
      </c>
      <c r="Y333" s="24">
        <f>IFERROR(VLOOKUP(B333, PlumX_snapshot!$A:$D, 4, FALSE), " ")</f>
        <v>0</v>
      </c>
      <c r="Z333" s="24">
        <f>IFERROR(VLOOKUP(B333, PlumX_snapshot!$A:$E, 5, FALSE), " ")</f>
        <v>0</v>
      </c>
      <c r="AA333" s="24">
        <f>IFERROR(VLOOKUP(B333, PlumX_snapshot!$A:$F, 6, FALSE), " ")</f>
        <v>0</v>
      </c>
      <c r="AB333" s="25">
        <v>44978</v>
      </c>
      <c r="AC333" s="20" t="s">
        <v>1876</v>
      </c>
      <c r="AD333" s="20" t="s">
        <v>1877</v>
      </c>
      <c r="AE333" s="20"/>
      <c r="AF333" s="20"/>
      <c r="AG333" s="20"/>
      <c r="AH333" s="20">
        <v>3118.5</v>
      </c>
      <c r="AI333" s="20" t="s">
        <v>77</v>
      </c>
      <c r="AJ333" s="20" t="s">
        <v>301</v>
      </c>
      <c r="AK333" s="23" t="str">
        <f t="shared" si="2"/>
        <v>2022GBP</v>
      </c>
      <c r="AL333" s="23">
        <f>VLOOKUP(AK333, Exchange_rates!$C:$D, 2, FALSE)</f>
        <v>1</v>
      </c>
      <c r="AM333" s="26">
        <f t="shared" si="3"/>
        <v>3742.2</v>
      </c>
      <c r="AN333" s="20"/>
      <c r="AO333" s="20"/>
      <c r="AP333" s="20"/>
      <c r="AQ333" s="27" t="s">
        <v>49</v>
      </c>
      <c r="AR333" t="s">
        <v>1601</v>
      </c>
      <c r="AS333" s="16" t="s">
        <v>1602</v>
      </c>
      <c r="AT333" s="20"/>
      <c r="AU333" s="20"/>
      <c r="AV333" s="20"/>
      <c r="AW333" s="20"/>
      <c r="AX333" s="20"/>
      <c r="AY333" s="20"/>
      <c r="AZ333" s="20"/>
      <c r="BA333" s="20"/>
      <c r="BB333" s="20"/>
      <c r="BC333" s="20"/>
      <c r="BD333" s="20"/>
      <c r="BE333" s="20"/>
      <c r="BF333" s="20"/>
      <c r="BG333" s="20"/>
      <c r="BH333" s="20"/>
    </row>
    <row r="334" spans="1:60" ht="14.5">
      <c r="A334" s="9" t="s">
        <v>1878</v>
      </c>
      <c r="B334" s="9" t="s">
        <v>1879</v>
      </c>
      <c r="C334" s="9" t="s">
        <v>1880</v>
      </c>
      <c r="D334" s="9" t="s">
        <v>1560</v>
      </c>
      <c r="E334" s="9" t="s">
        <v>49</v>
      </c>
      <c r="F334" s="9" t="s">
        <v>50</v>
      </c>
      <c r="G334" s="9" t="s">
        <v>51</v>
      </c>
      <c r="H334" s="9"/>
      <c r="I334" s="9" t="s">
        <v>1647</v>
      </c>
      <c r="K334" s="10">
        <v>44707</v>
      </c>
      <c r="M334" s="10">
        <v>44735</v>
      </c>
      <c r="N334" s="9">
        <v>2022</v>
      </c>
      <c r="O334" s="9" t="s">
        <v>1737</v>
      </c>
      <c r="P334" s="9" t="s">
        <v>53</v>
      </c>
      <c r="Q334" s="9" t="s">
        <v>53</v>
      </c>
      <c r="R334" s="9">
        <v>0</v>
      </c>
      <c r="T334" s="9" t="s">
        <v>723</v>
      </c>
      <c r="U334" s="9" t="s">
        <v>1738</v>
      </c>
      <c r="V334" s="9"/>
      <c r="W334" s="11">
        <f>IFERROR(VLOOKUP(B334, PlumX_snapshot!$A:$B, 2, FALSE), " ")</f>
        <v>0</v>
      </c>
      <c r="X334" s="11">
        <f>IFERROR(VLOOKUP(B334, PlumX_snapshot!$A:$C, 3, FALSE), " ")</f>
        <v>0</v>
      </c>
      <c r="Y334" s="12">
        <f>IFERROR(VLOOKUP(B334, PlumX_snapshot!$A:$D, 4, FALSE), " ")</f>
        <v>190</v>
      </c>
      <c r="Z334" s="12">
        <f>IFERROR(VLOOKUP(B334, PlumX_snapshot!$A:$E, 5, FALSE), " ")</f>
        <v>0</v>
      </c>
      <c r="AA334" s="12">
        <f>IFERROR(VLOOKUP(B334, PlumX_snapshot!$A:$F, 6, FALSE), " ")</f>
        <v>0</v>
      </c>
      <c r="AB334" s="13">
        <v>44978</v>
      </c>
      <c r="AC334" s="9" t="s">
        <v>1881</v>
      </c>
      <c r="AD334" s="9" t="s">
        <v>1882</v>
      </c>
      <c r="AH334" s="9">
        <v>2641</v>
      </c>
      <c r="AI334" s="9" t="s">
        <v>77</v>
      </c>
      <c r="AJ334" s="9" t="s">
        <v>301</v>
      </c>
      <c r="AK334" s="11" t="str">
        <f t="shared" si="2"/>
        <v>2022GBP</v>
      </c>
      <c r="AL334" s="11">
        <f>VLOOKUP(AK334, Exchange_rates!$C:$D, 2, FALSE)</f>
        <v>1</v>
      </c>
      <c r="AM334" s="14">
        <f t="shared" si="3"/>
        <v>3169.2</v>
      </c>
      <c r="AN334" s="9"/>
      <c r="AO334" s="9"/>
      <c r="AP334" s="9"/>
      <c r="AQ334" s="15" t="s">
        <v>49</v>
      </c>
      <c r="AR334" t="s">
        <v>1883</v>
      </c>
      <c r="AS334" s="16" t="s">
        <v>1884</v>
      </c>
    </row>
    <row r="335" spans="1:60" ht="14.5">
      <c r="A335" s="9" t="s">
        <v>1885</v>
      </c>
      <c r="B335" s="9" t="s">
        <v>1886</v>
      </c>
      <c r="C335" s="9" t="s">
        <v>1887</v>
      </c>
      <c r="D335" s="9" t="s">
        <v>1560</v>
      </c>
      <c r="E335" s="9" t="s">
        <v>49</v>
      </c>
      <c r="F335" s="9" t="s">
        <v>50</v>
      </c>
      <c r="G335" s="9" t="s">
        <v>51</v>
      </c>
      <c r="H335" s="9"/>
      <c r="I335" s="9" t="s">
        <v>1647</v>
      </c>
      <c r="K335" s="10">
        <v>44771</v>
      </c>
      <c r="M335" s="10">
        <v>44786</v>
      </c>
      <c r="N335" s="9">
        <v>2022</v>
      </c>
      <c r="O335" s="9" t="s">
        <v>1737</v>
      </c>
      <c r="P335" s="9" t="s">
        <v>83</v>
      </c>
      <c r="Q335" s="9" t="s">
        <v>53</v>
      </c>
      <c r="R335" s="9" t="s">
        <v>1847</v>
      </c>
      <c r="T335" s="9" t="s">
        <v>723</v>
      </c>
      <c r="V335" s="9"/>
      <c r="W335" s="11">
        <f>IFERROR(VLOOKUP(B335, PlumX_snapshot!$A:$B, 2, FALSE), " ")</f>
        <v>1</v>
      </c>
      <c r="X335" s="11">
        <f>IFERROR(VLOOKUP(B335, PlumX_snapshot!$A:$C, 3, FALSE), " ")</f>
        <v>0</v>
      </c>
      <c r="Y335" s="12">
        <f>IFERROR(VLOOKUP(B335, PlumX_snapshot!$A:$D, 4, FALSE), " ")</f>
        <v>2</v>
      </c>
      <c r="Z335" s="12">
        <f>IFERROR(VLOOKUP(B335, PlumX_snapshot!$A:$E, 5, FALSE), " ")</f>
        <v>0</v>
      </c>
      <c r="AA335" s="12">
        <f>IFERROR(VLOOKUP(B335, PlumX_snapshot!$A:$F, 6, FALSE), " ")</f>
        <v>0</v>
      </c>
      <c r="AB335" s="13">
        <v>44978</v>
      </c>
      <c r="AC335" s="9" t="s">
        <v>1888</v>
      </c>
      <c r="AD335" s="9" t="s">
        <v>1889</v>
      </c>
      <c r="AH335" s="9">
        <v>2891.79</v>
      </c>
      <c r="AI335" s="9" t="s">
        <v>77</v>
      </c>
      <c r="AJ335" s="9" t="s">
        <v>301</v>
      </c>
      <c r="AK335" s="11" t="str">
        <f t="shared" si="2"/>
        <v>2022GBP</v>
      </c>
      <c r="AL335" s="11">
        <f>VLOOKUP(AK335, Exchange_rates!$C:$D, 2, FALSE)</f>
        <v>1</v>
      </c>
      <c r="AM335" s="14">
        <f t="shared" si="3"/>
        <v>3470.1479999999997</v>
      </c>
      <c r="AN335" s="9"/>
      <c r="AO335" s="9"/>
      <c r="AP335" s="9"/>
      <c r="AQ335" s="15" t="s">
        <v>49</v>
      </c>
      <c r="AR335" t="s">
        <v>1890</v>
      </c>
      <c r="AS335" s="16" t="s">
        <v>1891</v>
      </c>
    </row>
    <row r="336" spans="1:60" ht="14.5">
      <c r="A336" s="9" t="s">
        <v>1892</v>
      </c>
      <c r="B336" s="9" t="s">
        <v>1893</v>
      </c>
      <c r="C336" s="9" t="s">
        <v>1894</v>
      </c>
      <c r="D336" s="9" t="s">
        <v>1895</v>
      </c>
      <c r="E336" s="17" t="s">
        <v>49</v>
      </c>
      <c r="F336" s="9" t="s">
        <v>69</v>
      </c>
      <c r="G336" s="9" t="s">
        <v>70</v>
      </c>
      <c r="H336" s="9" t="s">
        <v>1896</v>
      </c>
      <c r="I336" s="9" t="s">
        <v>72</v>
      </c>
      <c r="J336" s="10"/>
      <c r="K336" s="10">
        <v>43854</v>
      </c>
      <c r="M336" s="10">
        <v>43854</v>
      </c>
      <c r="N336" s="9">
        <v>2020</v>
      </c>
      <c r="O336" s="9" t="s">
        <v>1897</v>
      </c>
      <c r="P336" s="9" t="s">
        <v>53</v>
      </c>
      <c r="Q336" s="9" t="s">
        <v>53</v>
      </c>
      <c r="R336" s="9" t="s">
        <v>1898</v>
      </c>
      <c r="T336" s="9"/>
      <c r="V336" s="9"/>
      <c r="W336" s="11">
        <f>IFERROR(VLOOKUP(B336, PlumX_snapshot!$A:$B, 2, FALSE), " ")</f>
        <v>14</v>
      </c>
      <c r="X336" s="11">
        <f>IFERROR(VLOOKUP(B336, PlumX_snapshot!$A:$C, 3, FALSE), " ")</f>
        <v>6</v>
      </c>
      <c r="Y336" s="12">
        <f>IFERROR(VLOOKUP(B336, PlumX_snapshot!$A:$D, 4, FALSE), " ")</f>
        <v>0</v>
      </c>
      <c r="Z336" s="12">
        <f>IFERROR(VLOOKUP(B336, PlumX_snapshot!$A:$E, 5, FALSE), " ")</f>
        <v>0</v>
      </c>
      <c r="AA336" s="12">
        <f>IFERROR(VLOOKUP(B336, PlumX_snapshot!$A:$F, 6, FALSE), " ")</f>
        <v>1</v>
      </c>
      <c r="AB336" s="13">
        <v>44978</v>
      </c>
      <c r="AI336" s="9"/>
      <c r="AJ336" s="9"/>
      <c r="AK336" s="11" t="str">
        <f t="shared" si="2"/>
        <v>2020</v>
      </c>
      <c r="AL336" s="11" t="e">
        <f>VLOOKUP(AK336, Exchange_rates!$C:$D, 2, FALSE)</f>
        <v>#N/A</v>
      </c>
      <c r="AM336" s="14" t="str">
        <f t="shared" si="3"/>
        <v/>
      </c>
      <c r="AN336" s="9"/>
      <c r="AO336" s="9"/>
      <c r="AP336" s="17"/>
      <c r="AQ336" s="15" t="s">
        <v>49</v>
      </c>
      <c r="AR336" t="s">
        <v>1899</v>
      </c>
      <c r="AS336" s="16"/>
    </row>
    <row r="337" spans="1:45" ht="14.5">
      <c r="A337" s="9" t="s">
        <v>1900</v>
      </c>
      <c r="B337" s="9" t="s">
        <v>1901</v>
      </c>
      <c r="C337" s="9" t="s">
        <v>1902</v>
      </c>
      <c r="D337" s="9" t="s">
        <v>1895</v>
      </c>
      <c r="E337" s="9" t="s">
        <v>125</v>
      </c>
      <c r="F337" s="9" t="s">
        <v>69</v>
      </c>
      <c r="G337" s="9" t="s">
        <v>70</v>
      </c>
      <c r="H337" s="9" t="s">
        <v>1896</v>
      </c>
      <c r="I337" s="9" t="s">
        <v>238</v>
      </c>
      <c r="J337" s="10"/>
      <c r="K337" s="10">
        <v>43906</v>
      </c>
      <c r="M337" s="10">
        <v>43906</v>
      </c>
      <c r="N337" s="9">
        <v>2020</v>
      </c>
      <c r="O337" s="9" t="s">
        <v>1897</v>
      </c>
      <c r="P337" s="9" t="s">
        <v>83</v>
      </c>
      <c r="Q337" s="9" t="s">
        <v>53</v>
      </c>
      <c r="R337" s="9" t="s">
        <v>1903</v>
      </c>
      <c r="S337" s="9" t="s">
        <v>1904</v>
      </c>
      <c r="T337" s="9"/>
      <c r="U337" s="9"/>
      <c r="V337" s="9"/>
      <c r="W337" s="11">
        <f>IFERROR(VLOOKUP(B337, PlumX_snapshot!$A:$B, 2, FALSE), " ")</f>
        <v>53</v>
      </c>
      <c r="X337" s="11">
        <f>IFERROR(VLOOKUP(B337, PlumX_snapshot!$A:$C, 3, FALSE), " ")</f>
        <v>21</v>
      </c>
      <c r="Y337" s="12">
        <f>IFERROR(VLOOKUP(B337, PlumX_snapshot!$A:$D, 4, FALSE), " ")</f>
        <v>33</v>
      </c>
      <c r="Z337" s="12">
        <f>IFERROR(VLOOKUP(B337, PlumX_snapshot!$A:$E, 5, FALSE), " ")</f>
        <v>0</v>
      </c>
      <c r="AA337" s="12">
        <f>IFERROR(VLOOKUP(B337, PlumX_snapshot!$A:$F, 6, FALSE), " ")</f>
        <v>0</v>
      </c>
      <c r="AB337" s="13">
        <v>44978</v>
      </c>
      <c r="AI337" s="9"/>
      <c r="AJ337" s="9"/>
      <c r="AK337" s="11" t="str">
        <f t="shared" si="2"/>
        <v>2020</v>
      </c>
      <c r="AL337" s="11" t="e">
        <f>VLOOKUP(AK337, Exchange_rates!$C:$D, 2, FALSE)</f>
        <v>#N/A</v>
      </c>
      <c r="AM337" s="14" t="str">
        <f t="shared" si="3"/>
        <v/>
      </c>
      <c r="AN337" s="9"/>
      <c r="AO337" s="9"/>
      <c r="AP337" s="9"/>
      <c r="AQ337" s="15" t="s">
        <v>125</v>
      </c>
      <c r="AR337" t="s">
        <v>1905</v>
      </c>
      <c r="AS337" s="16"/>
    </row>
    <row r="338" spans="1:45" ht="14.5">
      <c r="A338" s="9" t="s">
        <v>1906</v>
      </c>
      <c r="B338" s="9" t="s">
        <v>1907</v>
      </c>
      <c r="C338" s="9" t="s">
        <v>1902</v>
      </c>
      <c r="D338" s="9" t="s">
        <v>1895</v>
      </c>
      <c r="E338" s="9" t="s">
        <v>125</v>
      </c>
      <c r="F338" s="9" t="s">
        <v>69</v>
      </c>
      <c r="G338" s="9" t="s">
        <v>70</v>
      </c>
      <c r="H338" s="9" t="s">
        <v>1896</v>
      </c>
      <c r="I338" s="9" t="s">
        <v>72</v>
      </c>
      <c r="J338" s="10"/>
      <c r="K338" s="10">
        <v>43846</v>
      </c>
      <c r="M338" s="10">
        <v>43998</v>
      </c>
      <c r="N338" s="9">
        <v>2020</v>
      </c>
      <c r="O338" s="9" t="s">
        <v>1897</v>
      </c>
      <c r="P338" s="9" t="s">
        <v>83</v>
      </c>
      <c r="Q338" s="9" t="s">
        <v>83</v>
      </c>
      <c r="R338" s="9" t="s">
        <v>1908</v>
      </c>
      <c r="S338" s="9" t="s">
        <v>1904</v>
      </c>
      <c r="T338" s="9"/>
      <c r="U338" s="9"/>
      <c r="V338" s="9"/>
      <c r="W338" s="11">
        <f>IFERROR(VLOOKUP(B338, PlumX_snapshot!$A:$B, 2, FALSE), " ")</f>
        <v>24</v>
      </c>
      <c r="X338" s="11">
        <f>IFERROR(VLOOKUP(B338, PlumX_snapshot!$A:$C, 3, FALSE), " ")</f>
        <v>3</v>
      </c>
      <c r="Y338" s="12">
        <f>IFERROR(VLOOKUP(B338, PlumX_snapshot!$A:$D, 4, FALSE), " ")</f>
        <v>37</v>
      </c>
      <c r="Z338" s="12">
        <f>IFERROR(VLOOKUP(B338, PlumX_snapshot!$A:$E, 5, FALSE), " ")</f>
        <v>0</v>
      </c>
      <c r="AA338" s="12">
        <f>IFERROR(VLOOKUP(B338, PlumX_snapshot!$A:$F, 6, FALSE), " ")</f>
        <v>0</v>
      </c>
      <c r="AB338" s="13">
        <v>44978</v>
      </c>
      <c r="AI338" s="9"/>
      <c r="AJ338" s="9"/>
      <c r="AK338" s="11" t="str">
        <f t="shared" si="2"/>
        <v>2020</v>
      </c>
      <c r="AL338" s="11" t="e">
        <f>VLOOKUP(AK338, Exchange_rates!$C:$D, 2, FALSE)</f>
        <v>#N/A</v>
      </c>
      <c r="AM338" s="14" t="str">
        <f t="shared" si="3"/>
        <v/>
      </c>
      <c r="AN338" s="9"/>
      <c r="AO338" s="9"/>
      <c r="AP338" s="9"/>
      <c r="AQ338" s="15" t="s">
        <v>125</v>
      </c>
      <c r="AR338" t="s">
        <v>1905</v>
      </c>
      <c r="AS338" s="16"/>
    </row>
    <row r="339" spans="1:45" ht="14.5">
      <c r="A339" s="9" t="s">
        <v>1909</v>
      </c>
      <c r="B339" s="9" t="s">
        <v>1910</v>
      </c>
      <c r="C339" s="9" t="s">
        <v>1911</v>
      </c>
      <c r="D339" s="9" t="s">
        <v>1895</v>
      </c>
      <c r="E339" s="17" t="s">
        <v>49</v>
      </c>
      <c r="F339" s="9" t="s">
        <v>69</v>
      </c>
      <c r="G339" s="9" t="s">
        <v>51</v>
      </c>
      <c r="H339" s="9"/>
      <c r="I339" s="9" t="s">
        <v>72</v>
      </c>
      <c r="J339" s="10"/>
      <c r="K339" s="10">
        <v>43851</v>
      </c>
      <c r="M339" s="10"/>
      <c r="N339" s="9">
        <v>2020</v>
      </c>
      <c r="O339" s="9" t="s">
        <v>1897</v>
      </c>
      <c r="P339" s="9" t="s">
        <v>53</v>
      </c>
      <c r="Q339" s="9" t="s">
        <v>53</v>
      </c>
      <c r="T339" s="9" t="s">
        <v>1912</v>
      </c>
      <c r="U339" s="9" t="s">
        <v>1913</v>
      </c>
      <c r="V339" s="9"/>
      <c r="W339" s="11">
        <f>IFERROR(VLOOKUP(B339, PlumX_snapshot!$A:$B, 2, FALSE), " ")</f>
        <v>1</v>
      </c>
      <c r="X339" s="11">
        <f>IFERROR(VLOOKUP(B339, PlumX_snapshot!$A:$C, 3, FALSE), " ")</f>
        <v>1</v>
      </c>
      <c r="Y339" s="12">
        <f>IFERROR(VLOOKUP(B339, PlumX_snapshot!$A:$D, 4, FALSE), " ")</f>
        <v>12</v>
      </c>
      <c r="Z339" s="12">
        <f>IFERROR(VLOOKUP(B339, PlumX_snapshot!$A:$E, 5, FALSE), " ")</f>
        <v>0</v>
      </c>
      <c r="AA339" s="12">
        <f>IFERROR(VLOOKUP(B339, PlumX_snapshot!$A:$F, 6, FALSE), " ")</f>
        <v>0</v>
      </c>
      <c r="AB339" s="13">
        <v>44978</v>
      </c>
      <c r="AI339" s="9"/>
      <c r="AJ339" s="9"/>
      <c r="AK339" s="11" t="str">
        <f t="shared" si="2"/>
        <v>2020</v>
      </c>
      <c r="AL339" s="11" t="e">
        <f>VLOOKUP(AK339, Exchange_rates!$C:$D, 2, FALSE)</f>
        <v>#N/A</v>
      </c>
      <c r="AM339" s="14" t="str">
        <f t="shared" si="3"/>
        <v/>
      </c>
      <c r="AN339" s="9"/>
      <c r="AO339" s="9"/>
      <c r="AP339" s="17"/>
      <c r="AQ339" s="15" t="s">
        <v>125</v>
      </c>
      <c r="AR339" t="s">
        <v>1914</v>
      </c>
      <c r="AS339" s="16"/>
    </row>
    <row r="340" spans="1:45" ht="14.5">
      <c r="A340" s="9" t="s">
        <v>1915</v>
      </c>
      <c r="B340" s="9" t="s">
        <v>1916</v>
      </c>
      <c r="C340" s="9" t="s">
        <v>1911</v>
      </c>
      <c r="D340" s="9" t="s">
        <v>1895</v>
      </c>
      <c r="E340" s="17" t="s">
        <v>49</v>
      </c>
      <c r="F340" s="9" t="s">
        <v>69</v>
      </c>
      <c r="G340" s="9" t="s">
        <v>51</v>
      </c>
      <c r="H340" s="9"/>
      <c r="I340" s="9" t="s">
        <v>72</v>
      </c>
      <c r="J340" s="10"/>
      <c r="K340" s="10">
        <v>43889</v>
      </c>
      <c r="M340" s="10"/>
      <c r="N340" s="9">
        <v>2020</v>
      </c>
      <c r="O340" s="9" t="s">
        <v>1897</v>
      </c>
      <c r="P340" s="9" t="s">
        <v>53</v>
      </c>
      <c r="Q340" s="9" t="s">
        <v>53</v>
      </c>
      <c r="T340" s="9" t="s">
        <v>1912</v>
      </c>
      <c r="U340" s="9" t="s">
        <v>1913</v>
      </c>
      <c r="V340" s="9"/>
      <c r="W340" s="11">
        <f>IFERROR(VLOOKUP(B340, PlumX_snapshot!$A:$B, 2, FALSE), " ")</f>
        <v>1</v>
      </c>
      <c r="X340" s="11">
        <f>IFERROR(VLOOKUP(B340, PlumX_snapshot!$A:$C, 3, FALSE), " ")</f>
        <v>0</v>
      </c>
      <c r="Y340" s="12">
        <f>IFERROR(VLOOKUP(B340, PlumX_snapshot!$A:$D, 4, FALSE), " ")</f>
        <v>111</v>
      </c>
      <c r="Z340" s="12">
        <f>IFERROR(VLOOKUP(B340, PlumX_snapshot!$A:$E, 5, FALSE), " ")</f>
        <v>0</v>
      </c>
      <c r="AA340" s="12">
        <f>IFERROR(VLOOKUP(B340, PlumX_snapshot!$A:$F, 6, FALSE), " ")</f>
        <v>0</v>
      </c>
      <c r="AB340" s="13">
        <v>44978</v>
      </c>
      <c r="AI340" s="9"/>
      <c r="AJ340" s="9"/>
      <c r="AK340" s="11" t="str">
        <f t="shared" si="2"/>
        <v>2020</v>
      </c>
      <c r="AL340" s="11" t="e">
        <f>VLOOKUP(AK340, Exchange_rates!$C:$D, 2, FALSE)</f>
        <v>#N/A</v>
      </c>
      <c r="AM340" s="14" t="str">
        <f t="shared" si="3"/>
        <v/>
      </c>
      <c r="AN340" s="9"/>
      <c r="AO340" s="9"/>
      <c r="AP340" s="17"/>
      <c r="AQ340" s="15" t="s">
        <v>125</v>
      </c>
      <c r="AR340" t="s">
        <v>1914</v>
      </c>
      <c r="AS340" s="16"/>
    </row>
    <row r="341" spans="1:45" ht="14.5">
      <c r="A341" s="9" t="s">
        <v>1917</v>
      </c>
      <c r="B341" s="9" t="s">
        <v>1918</v>
      </c>
      <c r="C341" s="9" t="s">
        <v>1911</v>
      </c>
      <c r="D341" s="9" t="s">
        <v>1895</v>
      </c>
      <c r="E341" s="17" t="s">
        <v>49</v>
      </c>
      <c r="F341" s="9" t="s">
        <v>69</v>
      </c>
      <c r="G341" s="9" t="s">
        <v>51</v>
      </c>
      <c r="H341" s="9"/>
      <c r="I341" s="9" t="s">
        <v>72</v>
      </c>
      <c r="J341" s="10"/>
      <c r="K341" s="10">
        <v>43922</v>
      </c>
      <c r="M341" s="10"/>
      <c r="N341" s="9">
        <v>2020</v>
      </c>
      <c r="O341" s="9" t="s">
        <v>1897</v>
      </c>
      <c r="P341" s="9" t="s">
        <v>53</v>
      </c>
      <c r="Q341" s="9" t="s">
        <v>53</v>
      </c>
      <c r="T341" s="9" t="s">
        <v>1912</v>
      </c>
      <c r="U341" s="9" t="s">
        <v>1913</v>
      </c>
      <c r="V341" s="9"/>
      <c r="W341" s="11">
        <f>IFERROR(VLOOKUP(B341, PlumX_snapshot!$A:$B, 2, FALSE), " ")</f>
        <v>3</v>
      </c>
      <c r="X341" s="11">
        <f>IFERROR(VLOOKUP(B341, PlumX_snapshot!$A:$C, 3, FALSE), " ")</f>
        <v>1</v>
      </c>
      <c r="Y341" s="12">
        <f>IFERROR(VLOOKUP(B341, PlumX_snapshot!$A:$D, 4, FALSE), " ")</f>
        <v>9</v>
      </c>
      <c r="Z341" s="12">
        <f>IFERROR(VLOOKUP(B341, PlumX_snapshot!$A:$E, 5, FALSE), " ")</f>
        <v>0</v>
      </c>
      <c r="AA341" s="12">
        <f>IFERROR(VLOOKUP(B341, PlumX_snapshot!$A:$F, 6, FALSE), " ")</f>
        <v>0</v>
      </c>
      <c r="AB341" s="13">
        <v>44978</v>
      </c>
      <c r="AI341" s="9"/>
      <c r="AJ341" s="9"/>
      <c r="AK341" s="11" t="str">
        <f t="shared" si="2"/>
        <v>2020</v>
      </c>
      <c r="AL341" s="11" t="e">
        <f>VLOOKUP(AK341, Exchange_rates!$C:$D, 2, FALSE)</f>
        <v>#N/A</v>
      </c>
      <c r="AM341" s="14" t="str">
        <f t="shared" si="3"/>
        <v/>
      </c>
      <c r="AN341" s="9"/>
      <c r="AO341" s="9"/>
      <c r="AP341" s="17"/>
      <c r="AQ341" s="15" t="s">
        <v>125</v>
      </c>
      <c r="AR341" t="s">
        <v>1914</v>
      </c>
      <c r="AS341" s="16"/>
    </row>
    <row r="342" spans="1:45" ht="14.5">
      <c r="A342" s="9" t="s">
        <v>1919</v>
      </c>
      <c r="B342" s="9" t="s">
        <v>1920</v>
      </c>
      <c r="C342" s="9" t="s">
        <v>1911</v>
      </c>
      <c r="D342" s="9" t="s">
        <v>1895</v>
      </c>
      <c r="E342" s="17" t="s">
        <v>49</v>
      </c>
      <c r="F342" s="9" t="s">
        <v>69</v>
      </c>
      <c r="G342" s="9" t="s">
        <v>51</v>
      </c>
      <c r="H342" s="9"/>
      <c r="I342" s="9" t="s">
        <v>72</v>
      </c>
      <c r="J342" s="10"/>
      <c r="K342" s="10">
        <v>43951</v>
      </c>
      <c r="M342" s="10"/>
      <c r="N342" s="9">
        <v>2020</v>
      </c>
      <c r="O342" s="9" t="s">
        <v>1897</v>
      </c>
      <c r="P342" s="9" t="s">
        <v>53</v>
      </c>
      <c r="Q342" s="9" t="s">
        <v>53</v>
      </c>
      <c r="T342" s="9" t="s">
        <v>1912</v>
      </c>
      <c r="U342" s="9" t="s">
        <v>1913</v>
      </c>
      <c r="V342" s="9"/>
      <c r="W342" s="11">
        <f>IFERROR(VLOOKUP(B342, PlumX_snapshot!$A:$B, 2, FALSE), " ")</f>
        <v>2</v>
      </c>
      <c r="X342" s="11">
        <f>IFERROR(VLOOKUP(B342, PlumX_snapshot!$A:$C, 3, FALSE), " ")</f>
        <v>0</v>
      </c>
      <c r="Y342" s="12">
        <f>IFERROR(VLOOKUP(B342, PlumX_snapshot!$A:$D, 4, FALSE), " ")</f>
        <v>8</v>
      </c>
      <c r="Z342" s="12">
        <f>IFERROR(VLOOKUP(B342, PlumX_snapshot!$A:$E, 5, FALSE), " ")</f>
        <v>0</v>
      </c>
      <c r="AA342" s="12">
        <f>IFERROR(VLOOKUP(B342, PlumX_snapshot!$A:$F, 6, FALSE), " ")</f>
        <v>0</v>
      </c>
      <c r="AB342" s="13">
        <v>44978</v>
      </c>
      <c r="AI342" s="9"/>
      <c r="AJ342" s="9"/>
      <c r="AK342" s="11" t="str">
        <f t="shared" si="2"/>
        <v>2020</v>
      </c>
      <c r="AL342" s="11" t="e">
        <f>VLOOKUP(AK342, Exchange_rates!$C:$D, 2, FALSE)</f>
        <v>#N/A</v>
      </c>
      <c r="AM342" s="14" t="str">
        <f t="shared" si="3"/>
        <v/>
      </c>
      <c r="AN342" s="9"/>
      <c r="AO342" s="9"/>
      <c r="AP342" s="17"/>
      <c r="AQ342" s="15" t="s">
        <v>125</v>
      </c>
      <c r="AR342" t="s">
        <v>1914</v>
      </c>
      <c r="AS342" s="16"/>
    </row>
    <row r="343" spans="1:45" ht="14.5">
      <c r="A343" s="9" t="s">
        <v>1921</v>
      </c>
      <c r="B343" s="9" t="s">
        <v>1922</v>
      </c>
      <c r="C343" s="9" t="s">
        <v>1911</v>
      </c>
      <c r="D343" s="9" t="s">
        <v>1895</v>
      </c>
      <c r="E343" s="17" t="s">
        <v>49</v>
      </c>
      <c r="F343" s="9" t="s">
        <v>69</v>
      </c>
      <c r="G343" s="9" t="s">
        <v>51</v>
      </c>
      <c r="H343" s="9"/>
      <c r="I343" s="9" t="s">
        <v>72</v>
      </c>
      <c r="J343" s="10"/>
      <c r="K343" s="10">
        <v>43980</v>
      </c>
      <c r="M343" s="10"/>
      <c r="N343" s="9">
        <v>2020</v>
      </c>
      <c r="O343" s="9" t="s">
        <v>1897</v>
      </c>
      <c r="P343" s="9" t="s">
        <v>53</v>
      </c>
      <c r="Q343" s="9" t="s">
        <v>53</v>
      </c>
      <c r="T343" s="9" t="s">
        <v>1912</v>
      </c>
      <c r="U343" s="9" t="s">
        <v>1913</v>
      </c>
      <c r="V343" s="9"/>
      <c r="W343" s="11">
        <f>IFERROR(VLOOKUP(B343, PlumX_snapshot!$A:$B, 2, FALSE), " ")</f>
        <v>4</v>
      </c>
      <c r="X343" s="11">
        <f>IFERROR(VLOOKUP(B343, PlumX_snapshot!$A:$C, 3, FALSE), " ")</f>
        <v>0</v>
      </c>
      <c r="Y343" s="12">
        <f>IFERROR(VLOOKUP(B343, PlumX_snapshot!$A:$D, 4, FALSE), " ")</f>
        <v>9</v>
      </c>
      <c r="Z343" s="12">
        <f>IFERROR(VLOOKUP(B343, PlumX_snapshot!$A:$E, 5, FALSE), " ")</f>
        <v>0</v>
      </c>
      <c r="AA343" s="12">
        <f>IFERROR(VLOOKUP(B343, PlumX_snapshot!$A:$F, 6, FALSE), " ")</f>
        <v>0</v>
      </c>
      <c r="AB343" s="13">
        <v>44978</v>
      </c>
      <c r="AI343" s="9"/>
      <c r="AJ343" s="9"/>
      <c r="AK343" s="11" t="str">
        <f t="shared" si="2"/>
        <v>2020</v>
      </c>
      <c r="AL343" s="11" t="e">
        <f>VLOOKUP(AK343, Exchange_rates!$C:$D, 2, FALSE)</f>
        <v>#N/A</v>
      </c>
      <c r="AM343" s="14" t="str">
        <f t="shared" si="3"/>
        <v/>
      </c>
      <c r="AN343" s="9"/>
      <c r="AO343" s="9"/>
      <c r="AP343" s="17"/>
      <c r="AQ343" s="15" t="s">
        <v>125</v>
      </c>
      <c r="AR343" t="s">
        <v>1914</v>
      </c>
      <c r="AS343" s="16"/>
    </row>
    <row r="344" spans="1:45" ht="14.5">
      <c r="A344" s="9" t="s">
        <v>1923</v>
      </c>
      <c r="B344" s="9" t="s">
        <v>1924</v>
      </c>
      <c r="C344" s="9" t="s">
        <v>1911</v>
      </c>
      <c r="D344" s="9" t="s">
        <v>1895</v>
      </c>
      <c r="E344" s="17" t="s">
        <v>49</v>
      </c>
      <c r="F344" s="9" t="s">
        <v>69</v>
      </c>
      <c r="G344" s="9" t="s">
        <v>51</v>
      </c>
      <c r="H344" s="9"/>
      <c r="I344" s="9" t="s">
        <v>72</v>
      </c>
      <c r="J344" s="10"/>
      <c r="K344" s="10">
        <v>44012</v>
      </c>
      <c r="M344" s="10"/>
      <c r="N344" s="9">
        <v>2020</v>
      </c>
      <c r="O344" s="9" t="s">
        <v>1897</v>
      </c>
      <c r="P344" s="9" t="s">
        <v>53</v>
      </c>
      <c r="Q344" s="9" t="s">
        <v>53</v>
      </c>
      <c r="T344" s="9" t="s">
        <v>1912</v>
      </c>
      <c r="U344" s="9" t="s">
        <v>1913</v>
      </c>
      <c r="V344" s="9"/>
      <c r="W344" s="11">
        <f>IFERROR(VLOOKUP(B344, PlumX_snapshot!$A:$B, 2, FALSE), " ")</f>
        <v>1</v>
      </c>
      <c r="X344" s="11">
        <f>IFERROR(VLOOKUP(B344, PlumX_snapshot!$A:$C, 3, FALSE), " ")</f>
        <v>0</v>
      </c>
      <c r="Y344" s="12">
        <f>IFERROR(VLOOKUP(B344, PlumX_snapshot!$A:$D, 4, FALSE), " ")</f>
        <v>7</v>
      </c>
      <c r="Z344" s="12">
        <f>IFERROR(VLOOKUP(B344, PlumX_snapshot!$A:$E, 5, FALSE), " ")</f>
        <v>0</v>
      </c>
      <c r="AA344" s="12">
        <f>IFERROR(VLOOKUP(B344, PlumX_snapshot!$A:$F, 6, FALSE), " ")</f>
        <v>0</v>
      </c>
      <c r="AB344" s="13">
        <v>44978</v>
      </c>
      <c r="AI344" s="9"/>
      <c r="AJ344" s="9"/>
      <c r="AK344" s="11" t="str">
        <f t="shared" si="2"/>
        <v>2020</v>
      </c>
      <c r="AL344" s="11" t="e">
        <f>VLOOKUP(AK344, Exchange_rates!$C:$D, 2, FALSE)</f>
        <v>#N/A</v>
      </c>
      <c r="AM344" s="14" t="str">
        <f t="shared" si="3"/>
        <v/>
      </c>
      <c r="AN344" s="9"/>
      <c r="AO344" s="9"/>
      <c r="AP344" s="17"/>
      <c r="AQ344" s="15" t="s">
        <v>125</v>
      </c>
      <c r="AR344" t="s">
        <v>1914</v>
      </c>
      <c r="AS344" s="16"/>
    </row>
    <row r="345" spans="1:45" ht="14.5">
      <c r="A345" s="9" t="s">
        <v>1925</v>
      </c>
      <c r="B345" s="9" t="s">
        <v>1926</v>
      </c>
      <c r="C345" s="9" t="s">
        <v>1911</v>
      </c>
      <c r="D345" s="9" t="s">
        <v>1895</v>
      </c>
      <c r="E345" s="17" t="s">
        <v>49</v>
      </c>
      <c r="F345" s="9" t="s">
        <v>69</v>
      </c>
      <c r="G345" s="9" t="s">
        <v>51</v>
      </c>
      <c r="H345" s="9"/>
      <c r="I345" s="9" t="s">
        <v>72</v>
      </c>
      <c r="J345" s="10"/>
      <c r="K345" s="10">
        <v>44042</v>
      </c>
      <c r="M345" s="10"/>
      <c r="N345" s="9">
        <v>2020</v>
      </c>
      <c r="O345" s="9" t="s">
        <v>1897</v>
      </c>
      <c r="P345" s="9" t="s">
        <v>53</v>
      </c>
      <c r="Q345" s="9" t="s">
        <v>53</v>
      </c>
      <c r="T345" s="9" t="s">
        <v>1912</v>
      </c>
      <c r="U345" s="9" t="s">
        <v>1913</v>
      </c>
      <c r="V345" s="9"/>
      <c r="W345" s="11">
        <f>IFERROR(VLOOKUP(B345, PlumX_snapshot!$A:$B, 2, FALSE), " ")</f>
        <v>3</v>
      </c>
      <c r="X345" s="11">
        <f>IFERROR(VLOOKUP(B345, PlumX_snapshot!$A:$C, 3, FALSE), " ")</f>
        <v>1</v>
      </c>
      <c r="Y345" s="12">
        <f>IFERROR(VLOOKUP(B345, PlumX_snapshot!$A:$D, 4, FALSE), " ")</f>
        <v>4</v>
      </c>
      <c r="Z345" s="12">
        <f>IFERROR(VLOOKUP(B345, PlumX_snapshot!$A:$E, 5, FALSE), " ")</f>
        <v>0</v>
      </c>
      <c r="AA345" s="12">
        <f>IFERROR(VLOOKUP(B345, PlumX_snapshot!$A:$F, 6, FALSE), " ")</f>
        <v>0</v>
      </c>
      <c r="AB345" s="13">
        <v>44978</v>
      </c>
      <c r="AI345" s="9"/>
      <c r="AJ345" s="9"/>
      <c r="AK345" s="11" t="str">
        <f t="shared" si="2"/>
        <v>2020</v>
      </c>
      <c r="AL345" s="11" t="e">
        <f>VLOOKUP(AK345, Exchange_rates!$C:$D, 2, FALSE)</f>
        <v>#N/A</v>
      </c>
      <c r="AM345" s="14" t="str">
        <f t="shared" si="3"/>
        <v/>
      </c>
      <c r="AN345" s="9"/>
      <c r="AO345" s="9"/>
      <c r="AP345" s="17"/>
      <c r="AQ345" s="15" t="s">
        <v>125</v>
      </c>
      <c r="AR345" t="s">
        <v>1914</v>
      </c>
      <c r="AS345" s="16"/>
    </row>
    <row r="346" spans="1:45" ht="14.5">
      <c r="A346" s="9" t="s">
        <v>1927</v>
      </c>
      <c r="B346" s="9" t="s">
        <v>1928</v>
      </c>
      <c r="C346" s="9" t="s">
        <v>1911</v>
      </c>
      <c r="D346" s="9" t="s">
        <v>1895</v>
      </c>
      <c r="E346" s="17" t="s">
        <v>49</v>
      </c>
      <c r="F346" s="9" t="s">
        <v>69</v>
      </c>
      <c r="G346" s="9" t="s">
        <v>70</v>
      </c>
      <c r="H346" s="9" t="s">
        <v>1896</v>
      </c>
      <c r="I346" s="9" t="s">
        <v>72</v>
      </c>
      <c r="J346" s="10"/>
      <c r="K346" s="10">
        <v>44081</v>
      </c>
      <c r="M346" s="10">
        <v>44081</v>
      </c>
      <c r="N346" s="9">
        <v>2020</v>
      </c>
      <c r="O346" s="9" t="s">
        <v>1897</v>
      </c>
      <c r="P346" s="9" t="s">
        <v>83</v>
      </c>
      <c r="Q346" s="9" t="s">
        <v>53</v>
      </c>
      <c r="R346" s="9" t="s">
        <v>1929</v>
      </c>
      <c r="T346" s="9"/>
      <c r="V346" s="9"/>
      <c r="W346" s="11">
        <f>IFERROR(VLOOKUP(B346, PlumX_snapshot!$A:$B, 2, FALSE), " ")</f>
        <v>9</v>
      </c>
      <c r="X346" s="11">
        <f>IFERROR(VLOOKUP(B346, PlumX_snapshot!$A:$C, 3, FALSE), " ")</f>
        <v>2</v>
      </c>
      <c r="Y346" s="12">
        <f>IFERROR(VLOOKUP(B346, PlumX_snapshot!$A:$D, 4, FALSE), " ")</f>
        <v>8</v>
      </c>
      <c r="Z346" s="12">
        <f>IFERROR(VLOOKUP(B346, PlumX_snapshot!$A:$E, 5, FALSE), " ")</f>
        <v>0</v>
      </c>
      <c r="AA346" s="12">
        <f>IFERROR(VLOOKUP(B346, PlumX_snapshot!$A:$F, 6, FALSE), " ")</f>
        <v>0</v>
      </c>
      <c r="AB346" s="13">
        <v>44978</v>
      </c>
      <c r="AI346" s="9"/>
      <c r="AJ346" s="9"/>
      <c r="AK346" s="11" t="str">
        <f t="shared" si="2"/>
        <v>2020</v>
      </c>
      <c r="AL346" s="11" t="e">
        <f>VLOOKUP(AK346, Exchange_rates!$C:$D, 2, FALSE)</f>
        <v>#N/A</v>
      </c>
      <c r="AM346" s="14" t="str">
        <f t="shared" si="3"/>
        <v/>
      </c>
      <c r="AN346" s="9"/>
      <c r="AO346" s="9"/>
      <c r="AP346" s="17"/>
      <c r="AQ346" s="15" t="s">
        <v>125</v>
      </c>
      <c r="AR346" t="s">
        <v>1914</v>
      </c>
      <c r="AS346" s="16"/>
    </row>
    <row r="347" spans="1:45" ht="14.5">
      <c r="A347" s="9" t="s">
        <v>1930</v>
      </c>
      <c r="B347" s="9" t="s">
        <v>1931</v>
      </c>
      <c r="C347" s="9" t="s">
        <v>1911</v>
      </c>
      <c r="D347" s="9" t="s">
        <v>1895</v>
      </c>
      <c r="E347" s="17" t="s">
        <v>49</v>
      </c>
      <c r="F347" s="9" t="s">
        <v>69</v>
      </c>
      <c r="G347" s="9" t="s">
        <v>51</v>
      </c>
      <c r="H347" s="9"/>
      <c r="I347" s="9" t="s">
        <v>72</v>
      </c>
      <c r="J347" s="10"/>
      <c r="K347" s="10">
        <v>44069</v>
      </c>
      <c r="M347" s="10"/>
      <c r="N347" s="9">
        <v>2020</v>
      </c>
      <c r="O347" s="9" t="s">
        <v>1897</v>
      </c>
      <c r="P347" s="9" t="s">
        <v>53</v>
      </c>
      <c r="Q347" s="9" t="s">
        <v>53</v>
      </c>
      <c r="T347" s="9" t="s">
        <v>1912</v>
      </c>
      <c r="U347" s="9" t="s">
        <v>1913</v>
      </c>
      <c r="V347" s="9"/>
      <c r="W347" s="11">
        <f>IFERROR(VLOOKUP(B347, PlumX_snapshot!$A:$B, 2, FALSE), " ")</f>
        <v>1</v>
      </c>
      <c r="X347" s="11">
        <f>IFERROR(VLOOKUP(B347, PlumX_snapshot!$A:$C, 3, FALSE), " ")</f>
        <v>0</v>
      </c>
      <c r="Y347" s="12">
        <f>IFERROR(VLOOKUP(B347, PlumX_snapshot!$A:$D, 4, FALSE), " ")</f>
        <v>8</v>
      </c>
      <c r="Z347" s="12">
        <f>IFERROR(VLOOKUP(B347, PlumX_snapshot!$A:$E, 5, FALSE), " ")</f>
        <v>0</v>
      </c>
      <c r="AA347" s="12">
        <f>IFERROR(VLOOKUP(B347, PlumX_snapshot!$A:$F, 6, FALSE), " ")</f>
        <v>0</v>
      </c>
      <c r="AB347" s="13">
        <v>44978</v>
      </c>
      <c r="AI347" s="9"/>
      <c r="AJ347" s="9"/>
      <c r="AK347" s="11" t="str">
        <f t="shared" si="2"/>
        <v>2020</v>
      </c>
      <c r="AL347" s="11" t="e">
        <f>VLOOKUP(AK347, Exchange_rates!$C:$D, 2, FALSE)</f>
        <v>#N/A</v>
      </c>
      <c r="AM347" s="14" t="str">
        <f t="shared" si="3"/>
        <v/>
      </c>
      <c r="AN347" s="9"/>
      <c r="AO347" s="9"/>
      <c r="AP347" s="17"/>
      <c r="AQ347" s="15" t="s">
        <v>125</v>
      </c>
      <c r="AR347" t="s">
        <v>1914</v>
      </c>
      <c r="AS347" s="16"/>
    </row>
    <row r="348" spans="1:45" ht="14.5">
      <c r="A348" s="9" t="s">
        <v>1932</v>
      </c>
      <c r="B348" s="9" t="s">
        <v>1933</v>
      </c>
      <c r="C348" s="9" t="s">
        <v>1911</v>
      </c>
      <c r="D348" s="9" t="s">
        <v>1895</v>
      </c>
      <c r="E348" s="17" t="s">
        <v>49</v>
      </c>
      <c r="F348" s="9" t="s">
        <v>69</v>
      </c>
      <c r="G348" s="9" t="s">
        <v>51</v>
      </c>
      <c r="H348" s="9"/>
      <c r="I348" s="9" t="s">
        <v>72</v>
      </c>
      <c r="J348" s="10"/>
      <c r="K348" s="10">
        <v>44102</v>
      </c>
      <c r="M348" s="10"/>
      <c r="N348" s="9">
        <v>2020</v>
      </c>
      <c r="O348" s="9" t="s">
        <v>1897</v>
      </c>
      <c r="P348" s="9" t="s">
        <v>53</v>
      </c>
      <c r="Q348" s="9" t="s">
        <v>53</v>
      </c>
      <c r="T348" s="9" t="s">
        <v>1912</v>
      </c>
      <c r="U348" s="9" t="s">
        <v>1913</v>
      </c>
      <c r="V348" s="9"/>
      <c r="W348" s="11">
        <f>IFERROR(VLOOKUP(B348, PlumX_snapshot!$A:$B, 2, FALSE), " ")</f>
        <v>2</v>
      </c>
      <c r="X348" s="11">
        <f>IFERROR(VLOOKUP(B348, PlumX_snapshot!$A:$C, 3, FALSE), " ")</f>
        <v>0</v>
      </c>
      <c r="Y348" s="12">
        <f>IFERROR(VLOOKUP(B348, PlumX_snapshot!$A:$D, 4, FALSE), " ")</f>
        <v>25</v>
      </c>
      <c r="Z348" s="12">
        <f>IFERROR(VLOOKUP(B348, PlumX_snapshot!$A:$E, 5, FALSE), " ")</f>
        <v>0</v>
      </c>
      <c r="AA348" s="12">
        <f>IFERROR(VLOOKUP(B348, PlumX_snapshot!$A:$F, 6, FALSE), " ")</f>
        <v>0</v>
      </c>
      <c r="AB348" s="13">
        <v>44978</v>
      </c>
      <c r="AI348" s="9"/>
      <c r="AJ348" s="9"/>
      <c r="AK348" s="11" t="str">
        <f t="shared" si="2"/>
        <v>2020</v>
      </c>
      <c r="AL348" s="11" t="e">
        <f>VLOOKUP(AK348, Exchange_rates!$C:$D, 2, FALSE)</f>
        <v>#N/A</v>
      </c>
      <c r="AM348" s="14" t="str">
        <f t="shared" si="3"/>
        <v/>
      </c>
      <c r="AN348" s="9"/>
      <c r="AO348" s="9"/>
      <c r="AP348" s="17"/>
      <c r="AQ348" s="15" t="s">
        <v>125</v>
      </c>
      <c r="AR348" t="s">
        <v>1914</v>
      </c>
      <c r="AS348" s="16"/>
    </row>
    <row r="349" spans="1:45" ht="14.5">
      <c r="A349" s="9" t="s">
        <v>1934</v>
      </c>
      <c r="B349" s="9" t="s">
        <v>1935</v>
      </c>
      <c r="C349" s="9" t="s">
        <v>1911</v>
      </c>
      <c r="D349" s="9" t="s">
        <v>1895</v>
      </c>
      <c r="E349" s="17" t="s">
        <v>49</v>
      </c>
      <c r="F349" s="9" t="s">
        <v>69</v>
      </c>
      <c r="G349" s="9" t="s">
        <v>51</v>
      </c>
      <c r="H349" s="9"/>
      <c r="I349" s="9" t="s">
        <v>72</v>
      </c>
      <c r="J349" s="10"/>
      <c r="K349" s="10">
        <v>44133</v>
      </c>
      <c r="M349" s="10"/>
      <c r="N349" s="9">
        <v>2020</v>
      </c>
      <c r="O349" s="9" t="s">
        <v>1897</v>
      </c>
      <c r="P349" s="9" t="s">
        <v>53</v>
      </c>
      <c r="Q349" s="9" t="s">
        <v>53</v>
      </c>
      <c r="T349" s="9" t="s">
        <v>1912</v>
      </c>
      <c r="U349" s="9" t="s">
        <v>1913</v>
      </c>
      <c r="V349" s="9"/>
      <c r="W349" s="11">
        <f>IFERROR(VLOOKUP(B349, PlumX_snapshot!$A:$B, 2, FALSE), " ")</f>
        <v>0</v>
      </c>
      <c r="X349" s="11">
        <f>IFERROR(VLOOKUP(B349, PlumX_snapshot!$A:$C, 3, FALSE), " ")</f>
        <v>0</v>
      </c>
      <c r="Y349" s="12">
        <f>IFERROR(VLOOKUP(B349, PlumX_snapshot!$A:$D, 4, FALSE), " ")</f>
        <v>17</v>
      </c>
      <c r="Z349" s="12">
        <f>IFERROR(VLOOKUP(B349, PlumX_snapshot!$A:$E, 5, FALSE), " ")</f>
        <v>0</v>
      </c>
      <c r="AA349" s="12">
        <f>IFERROR(VLOOKUP(B349, PlumX_snapshot!$A:$F, 6, FALSE), " ")</f>
        <v>0</v>
      </c>
      <c r="AB349" s="13">
        <v>44978</v>
      </c>
      <c r="AI349" s="9"/>
      <c r="AJ349" s="9"/>
      <c r="AK349" s="11" t="str">
        <f t="shared" si="2"/>
        <v>2020</v>
      </c>
      <c r="AL349" s="11" t="e">
        <f>VLOOKUP(AK349, Exchange_rates!$C:$D, 2, FALSE)</f>
        <v>#N/A</v>
      </c>
      <c r="AM349" s="14" t="str">
        <f t="shared" si="3"/>
        <v/>
      </c>
      <c r="AN349" s="9"/>
      <c r="AO349" s="9"/>
      <c r="AP349" s="17"/>
      <c r="AQ349" s="15" t="s">
        <v>125</v>
      </c>
      <c r="AR349" t="s">
        <v>1914</v>
      </c>
      <c r="AS349" s="16"/>
    </row>
    <row r="350" spans="1:45" ht="14.5">
      <c r="A350" s="9" t="s">
        <v>1936</v>
      </c>
      <c r="B350" s="9" t="s">
        <v>1937</v>
      </c>
      <c r="C350" s="9" t="s">
        <v>1911</v>
      </c>
      <c r="D350" s="9" t="s">
        <v>1895</v>
      </c>
      <c r="E350" s="17" t="s">
        <v>49</v>
      </c>
      <c r="F350" s="9" t="s">
        <v>69</v>
      </c>
      <c r="G350" s="9" t="s">
        <v>51</v>
      </c>
      <c r="H350" s="9"/>
      <c r="I350" s="9" t="s">
        <v>72</v>
      </c>
      <c r="J350" s="10"/>
      <c r="K350" s="10">
        <v>44165</v>
      </c>
      <c r="M350" s="10"/>
      <c r="N350" s="9">
        <v>2020</v>
      </c>
      <c r="O350" s="9" t="s">
        <v>1897</v>
      </c>
      <c r="P350" s="9" t="s">
        <v>53</v>
      </c>
      <c r="Q350" s="9" t="s">
        <v>53</v>
      </c>
      <c r="T350" s="9" t="s">
        <v>1912</v>
      </c>
      <c r="U350" s="9" t="s">
        <v>1913</v>
      </c>
      <c r="V350" s="9"/>
      <c r="W350" s="11">
        <f>IFERROR(VLOOKUP(B350, PlumX_snapshot!$A:$B, 2, FALSE), " ")</f>
        <v>4</v>
      </c>
      <c r="X350" s="11">
        <f>IFERROR(VLOOKUP(B350, PlumX_snapshot!$A:$C, 3, FALSE), " ")</f>
        <v>0</v>
      </c>
      <c r="Y350" s="12">
        <f>IFERROR(VLOOKUP(B350, PlumX_snapshot!$A:$D, 4, FALSE), " ")</f>
        <v>7</v>
      </c>
      <c r="Z350" s="12">
        <f>IFERROR(VLOOKUP(B350, PlumX_snapshot!$A:$E, 5, FALSE), " ")</f>
        <v>0</v>
      </c>
      <c r="AA350" s="12">
        <f>IFERROR(VLOOKUP(B350, PlumX_snapshot!$A:$F, 6, FALSE), " ")</f>
        <v>0</v>
      </c>
      <c r="AB350" s="13">
        <v>44978</v>
      </c>
      <c r="AI350" s="9"/>
      <c r="AJ350" s="9"/>
      <c r="AK350" s="11" t="str">
        <f t="shared" si="2"/>
        <v>2020</v>
      </c>
      <c r="AL350" s="11" t="e">
        <f>VLOOKUP(AK350, Exchange_rates!$C:$D, 2, FALSE)</f>
        <v>#N/A</v>
      </c>
      <c r="AM350" s="14" t="str">
        <f t="shared" si="3"/>
        <v/>
      </c>
      <c r="AN350" s="9"/>
      <c r="AO350" s="9"/>
      <c r="AP350" s="17"/>
      <c r="AQ350" s="15" t="s">
        <v>125</v>
      </c>
      <c r="AR350" t="s">
        <v>1914</v>
      </c>
      <c r="AS350" s="16"/>
    </row>
    <row r="351" spans="1:45" ht="14.5">
      <c r="A351" s="9" t="s">
        <v>1938</v>
      </c>
      <c r="B351" s="9" t="s">
        <v>1939</v>
      </c>
      <c r="C351" s="9" t="s">
        <v>1911</v>
      </c>
      <c r="D351" s="9" t="s">
        <v>1895</v>
      </c>
      <c r="E351" s="17" t="s">
        <v>49</v>
      </c>
      <c r="F351" s="9" t="s">
        <v>69</v>
      </c>
      <c r="G351" s="9" t="s">
        <v>51</v>
      </c>
      <c r="H351" s="9"/>
      <c r="I351" s="9" t="s">
        <v>72</v>
      </c>
      <c r="J351" s="10"/>
      <c r="K351" s="10">
        <v>44188</v>
      </c>
      <c r="M351" s="10"/>
      <c r="N351" s="9">
        <v>2020</v>
      </c>
      <c r="O351" s="9" t="s">
        <v>1897</v>
      </c>
      <c r="P351" s="9" t="s">
        <v>53</v>
      </c>
      <c r="Q351" s="9" t="s">
        <v>53</v>
      </c>
      <c r="T351" s="9" t="s">
        <v>1912</v>
      </c>
      <c r="U351" s="9" t="s">
        <v>1913</v>
      </c>
      <c r="V351" s="9"/>
      <c r="W351" s="11">
        <f>IFERROR(VLOOKUP(B351, PlumX_snapshot!$A:$B, 2, FALSE), " ")</f>
        <v>7</v>
      </c>
      <c r="X351" s="11">
        <f>IFERROR(VLOOKUP(B351, PlumX_snapshot!$A:$C, 3, FALSE), " ")</f>
        <v>1</v>
      </c>
      <c r="Y351" s="12">
        <f>IFERROR(VLOOKUP(B351, PlumX_snapshot!$A:$D, 4, FALSE), " ")</f>
        <v>82</v>
      </c>
      <c r="Z351" s="12">
        <f>IFERROR(VLOOKUP(B351, PlumX_snapshot!$A:$E, 5, FALSE), " ")</f>
        <v>0</v>
      </c>
      <c r="AA351" s="12">
        <f>IFERROR(VLOOKUP(B351, PlumX_snapshot!$A:$F, 6, FALSE), " ")</f>
        <v>0</v>
      </c>
      <c r="AB351" s="13">
        <v>44978</v>
      </c>
      <c r="AI351" s="9"/>
      <c r="AJ351" s="9"/>
      <c r="AK351" s="11" t="str">
        <f t="shared" si="2"/>
        <v>2020</v>
      </c>
      <c r="AL351" s="11" t="e">
        <f>VLOOKUP(AK351, Exchange_rates!$C:$D, 2, FALSE)</f>
        <v>#N/A</v>
      </c>
      <c r="AM351" s="14" t="str">
        <f t="shared" si="3"/>
        <v/>
      </c>
      <c r="AN351" s="9"/>
      <c r="AO351" s="9"/>
      <c r="AP351" s="17"/>
      <c r="AQ351" s="15" t="s">
        <v>125</v>
      </c>
      <c r="AR351" t="s">
        <v>1914</v>
      </c>
      <c r="AS351" s="16"/>
    </row>
    <row r="352" spans="1:45" ht="14.5">
      <c r="A352" s="9" t="s">
        <v>1940</v>
      </c>
      <c r="B352" s="9" t="s">
        <v>1941</v>
      </c>
      <c r="C352" s="9" t="s">
        <v>1911</v>
      </c>
      <c r="D352" s="9" t="s">
        <v>1895</v>
      </c>
      <c r="E352" s="17" t="s">
        <v>49</v>
      </c>
      <c r="F352" s="9" t="s">
        <v>69</v>
      </c>
      <c r="G352" s="9" t="s">
        <v>51</v>
      </c>
      <c r="H352" s="9"/>
      <c r="I352" s="9" t="s">
        <v>72</v>
      </c>
      <c r="J352" s="10">
        <v>44481</v>
      </c>
      <c r="K352" s="10">
        <v>44481</v>
      </c>
      <c r="L352" s="10">
        <v>44481</v>
      </c>
      <c r="M352" s="10"/>
      <c r="N352" s="9">
        <v>2021</v>
      </c>
      <c r="O352" s="9" t="s">
        <v>363</v>
      </c>
      <c r="P352" s="9" t="s">
        <v>53</v>
      </c>
      <c r="Q352" s="9" t="s">
        <v>53</v>
      </c>
      <c r="T352" s="9" t="s">
        <v>1912</v>
      </c>
      <c r="U352" s="9" t="s">
        <v>1913</v>
      </c>
      <c r="V352" s="9"/>
      <c r="W352" s="11">
        <f>IFERROR(VLOOKUP(B352, PlumX_snapshot!$A:$B, 2, FALSE), " ")</f>
        <v>2</v>
      </c>
      <c r="X352" s="11">
        <f>IFERROR(VLOOKUP(B352, PlumX_snapshot!$A:$C, 3, FALSE), " ")</f>
        <v>0</v>
      </c>
      <c r="Y352" s="12">
        <f>IFERROR(VLOOKUP(B352, PlumX_snapshot!$A:$D, 4, FALSE), " ")</f>
        <v>8</v>
      </c>
      <c r="Z352" s="12">
        <f>IFERROR(VLOOKUP(B352, PlumX_snapshot!$A:$E, 5, FALSE), " ")</f>
        <v>0</v>
      </c>
      <c r="AA352" s="12">
        <f>IFERROR(VLOOKUP(B352, PlumX_snapshot!$A:$F, 6, FALSE), " ")</f>
        <v>0</v>
      </c>
      <c r="AB352" s="13">
        <v>44978</v>
      </c>
      <c r="AC352" s="9" t="s">
        <v>1942</v>
      </c>
      <c r="AD352" s="9" t="s">
        <v>1943</v>
      </c>
      <c r="AH352" s="9">
        <v>2100</v>
      </c>
      <c r="AI352" s="9" t="s">
        <v>77</v>
      </c>
      <c r="AJ352" s="9" t="s">
        <v>301</v>
      </c>
      <c r="AK352" s="11" t="str">
        <f t="shared" si="2"/>
        <v>2021GBP</v>
      </c>
      <c r="AL352" s="11">
        <f>VLOOKUP(AK352, Exchange_rates!$C:$D, 2, FALSE)</f>
        <v>1</v>
      </c>
      <c r="AM352" s="14">
        <f t="shared" si="3"/>
        <v>2520</v>
      </c>
      <c r="AN352" s="9"/>
      <c r="AO352" s="9"/>
      <c r="AP352" s="17"/>
      <c r="AQ352" s="15" t="s">
        <v>125</v>
      </c>
      <c r="AR352" t="s">
        <v>1914</v>
      </c>
      <c r="AS352" s="16"/>
    </row>
    <row r="353" spans="1:45" ht="14.5">
      <c r="A353" s="9" t="s">
        <v>1944</v>
      </c>
      <c r="B353" s="9" t="s">
        <v>1945</v>
      </c>
      <c r="C353" s="9" t="s">
        <v>1911</v>
      </c>
      <c r="D353" s="9" t="s">
        <v>1895</v>
      </c>
      <c r="E353" s="17" t="s">
        <v>49</v>
      </c>
      <c r="F353" s="9" t="s">
        <v>69</v>
      </c>
      <c r="G353" s="9" t="s">
        <v>70</v>
      </c>
      <c r="H353" s="9" t="s">
        <v>1946</v>
      </c>
      <c r="I353" s="9" t="s">
        <v>238</v>
      </c>
      <c r="J353" s="10">
        <v>44404</v>
      </c>
      <c r="K353" s="10">
        <v>44456</v>
      </c>
      <c r="L353" s="10">
        <v>44456</v>
      </c>
      <c r="M353" s="10">
        <v>44491</v>
      </c>
      <c r="N353" s="9">
        <v>2021</v>
      </c>
      <c r="O353" s="9" t="s">
        <v>363</v>
      </c>
      <c r="P353" s="9" t="s">
        <v>83</v>
      </c>
      <c r="Q353" s="9" t="s">
        <v>53</v>
      </c>
      <c r="R353" s="9" t="s">
        <v>1947</v>
      </c>
      <c r="T353" s="9"/>
      <c r="V353" s="9"/>
      <c r="W353" s="11">
        <f>IFERROR(VLOOKUP(B353, PlumX_snapshot!$A:$B, 2, FALSE), " ")</f>
        <v>9</v>
      </c>
      <c r="X353" s="11">
        <f>IFERROR(VLOOKUP(B353, PlumX_snapshot!$A:$C, 3, FALSE), " ")</f>
        <v>2</v>
      </c>
      <c r="Y353" s="12">
        <f>IFERROR(VLOOKUP(B353, PlumX_snapshot!$A:$D, 4, FALSE), " ")</f>
        <v>8</v>
      </c>
      <c r="Z353" s="12">
        <f>IFERROR(VLOOKUP(B353, PlumX_snapshot!$A:$E, 5, FALSE), " ")</f>
        <v>0</v>
      </c>
      <c r="AA353" s="12">
        <f>IFERROR(VLOOKUP(B353, PlumX_snapshot!$A:$F, 6, FALSE), " ")</f>
        <v>0</v>
      </c>
      <c r="AB353" s="13">
        <v>44978</v>
      </c>
      <c r="AC353" s="9" t="s">
        <v>1948</v>
      </c>
      <c r="AD353" s="9" t="s">
        <v>1949</v>
      </c>
      <c r="AH353" s="9">
        <v>2100</v>
      </c>
      <c r="AI353" s="9" t="s">
        <v>77</v>
      </c>
      <c r="AJ353" s="9" t="s">
        <v>301</v>
      </c>
      <c r="AK353" s="11" t="str">
        <f t="shared" si="2"/>
        <v>2021GBP</v>
      </c>
      <c r="AL353" s="11">
        <f>VLOOKUP(AK353, Exchange_rates!$C:$D, 2, FALSE)</f>
        <v>1</v>
      </c>
      <c r="AM353" s="14">
        <f t="shared" si="3"/>
        <v>2520</v>
      </c>
      <c r="AN353" s="9"/>
      <c r="AO353" s="9"/>
      <c r="AP353" s="17"/>
      <c r="AQ353" s="15" t="s">
        <v>125</v>
      </c>
      <c r="AR353" t="s">
        <v>1914</v>
      </c>
      <c r="AS353" s="16"/>
    </row>
    <row r="354" spans="1:45" ht="14.5">
      <c r="A354" s="9" t="s">
        <v>1950</v>
      </c>
      <c r="B354" s="9" t="s">
        <v>1951</v>
      </c>
      <c r="C354" s="9" t="s">
        <v>1911</v>
      </c>
      <c r="D354" s="9" t="s">
        <v>1895</v>
      </c>
      <c r="E354" s="17" t="s">
        <v>49</v>
      </c>
      <c r="F354" s="9" t="s">
        <v>69</v>
      </c>
      <c r="G354" s="9" t="s">
        <v>51</v>
      </c>
      <c r="H354" s="9"/>
      <c r="I354" s="9" t="s">
        <v>72</v>
      </c>
      <c r="J354" s="10">
        <v>44455</v>
      </c>
      <c r="K354" s="10">
        <v>44455</v>
      </c>
      <c r="L354" s="10">
        <v>44455</v>
      </c>
      <c r="M354" s="10"/>
      <c r="N354" s="9">
        <v>2021</v>
      </c>
      <c r="O354" s="9" t="s">
        <v>363</v>
      </c>
      <c r="P354" s="9" t="s">
        <v>53</v>
      </c>
      <c r="Q354" s="9" t="s">
        <v>53</v>
      </c>
      <c r="T354" s="9" t="s">
        <v>1912</v>
      </c>
      <c r="U354" s="9" t="s">
        <v>1913</v>
      </c>
      <c r="V354" s="9"/>
      <c r="W354" s="11">
        <f>IFERROR(VLOOKUP(B354, PlumX_snapshot!$A:$B, 2, FALSE), " ")</f>
        <v>0</v>
      </c>
      <c r="X354" s="11">
        <f>IFERROR(VLOOKUP(B354, PlumX_snapshot!$A:$C, 3, FALSE), " ")</f>
        <v>0</v>
      </c>
      <c r="Y354" s="12">
        <f>IFERROR(VLOOKUP(B354, PlumX_snapshot!$A:$D, 4, FALSE), " ")</f>
        <v>7</v>
      </c>
      <c r="Z354" s="12">
        <f>IFERROR(VLOOKUP(B354, PlumX_snapshot!$A:$E, 5, FALSE), " ")</f>
        <v>0</v>
      </c>
      <c r="AA354" s="12">
        <f>IFERROR(VLOOKUP(B354, PlumX_snapshot!$A:$F, 6, FALSE), " ")</f>
        <v>0</v>
      </c>
      <c r="AB354" s="13">
        <v>44978</v>
      </c>
      <c r="AC354" s="9" t="s">
        <v>1942</v>
      </c>
      <c r="AD354" s="9" t="s">
        <v>1943</v>
      </c>
      <c r="AH354" s="9">
        <v>2100</v>
      </c>
      <c r="AI354" s="9" t="s">
        <v>77</v>
      </c>
      <c r="AJ354" s="9" t="s">
        <v>301</v>
      </c>
      <c r="AK354" s="11" t="str">
        <f t="shared" si="2"/>
        <v>2021GBP</v>
      </c>
      <c r="AL354" s="11">
        <f>VLOOKUP(AK354, Exchange_rates!$C:$D, 2, FALSE)</f>
        <v>1</v>
      </c>
      <c r="AM354" s="14">
        <f t="shared" si="3"/>
        <v>2520</v>
      </c>
      <c r="AN354" s="9"/>
      <c r="AO354" s="9"/>
      <c r="AP354" s="17"/>
      <c r="AQ354" s="15" t="s">
        <v>125</v>
      </c>
      <c r="AR354" t="s">
        <v>1914</v>
      </c>
      <c r="AS354" s="16"/>
    </row>
    <row r="355" spans="1:45" ht="14.5">
      <c r="A355" s="9" t="s">
        <v>1952</v>
      </c>
      <c r="B355" s="9" t="s">
        <v>1953</v>
      </c>
      <c r="C355" s="9" t="s">
        <v>1902</v>
      </c>
      <c r="D355" s="9" t="s">
        <v>1895</v>
      </c>
      <c r="E355" s="9" t="s">
        <v>125</v>
      </c>
      <c r="F355" s="9" t="s">
        <v>69</v>
      </c>
      <c r="G355" s="9" t="s">
        <v>51</v>
      </c>
      <c r="H355" s="9"/>
      <c r="I355" s="9" t="s">
        <v>238</v>
      </c>
      <c r="J355" s="10">
        <v>44281</v>
      </c>
      <c r="K355" s="10">
        <v>44398</v>
      </c>
      <c r="L355" s="10">
        <v>44405</v>
      </c>
      <c r="M355" s="10">
        <v>44448</v>
      </c>
      <c r="N355" s="9">
        <v>2021</v>
      </c>
      <c r="O355" s="9" t="s">
        <v>363</v>
      </c>
      <c r="P355" s="9" t="s">
        <v>83</v>
      </c>
      <c r="Q355" s="9" t="s">
        <v>83</v>
      </c>
      <c r="T355" s="9" t="s">
        <v>55</v>
      </c>
      <c r="U355" s="9" t="s">
        <v>1954</v>
      </c>
      <c r="V355" s="9"/>
      <c r="W355" s="11">
        <f>IFERROR(VLOOKUP(B355, PlumX_snapshot!$A:$B, 2, FALSE), " ")</f>
        <v>36</v>
      </c>
      <c r="X355" s="11">
        <f>IFERROR(VLOOKUP(B355, PlumX_snapshot!$A:$C, 3, FALSE), " ")</f>
        <v>59</v>
      </c>
      <c r="Y355" s="12">
        <f>IFERROR(VLOOKUP(B355, PlumX_snapshot!$A:$D, 4, FALSE), " ")</f>
        <v>43</v>
      </c>
      <c r="Z355" s="12">
        <f>IFERROR(VLOOKUP(B355, PlumX_snapshot!$A:$E, 5, FALSE), " ")</f>
        <v>0</v>
      </c>
      <c r="AA355" s="12">
        <f>IFERROR(VLOOKUP(B355, PlumX_snapshot!$A:$F, 6, FALSE), " ")</f>
        <v>0</v>
      </c>
      <c r="AB355" s="13">
        <v>44978</v>
      </c>
      <c r="AC355" s="9" t="s">
        <v>1955</v>
      </c>
      <c r="AD355" s="9" t="s">
        <v>1956</v>
      </c>
      <c r="AH355" s="9">
        <v>1500</v>
      </c>
      <c r="AI355" s="9" t="s">
        <v>77</v>
      </c>
      <c r="AJ355" s="9" t="s">
        <v>301</v>
      </c>
      <c r="AK355" s="11" t="str">
        <f t="shared" si="2"/>
        <v>2021GBP</v>
      </c>
      <c r="AL355" s="11">
        <f>VLOOKUP(AK355, Exchange_rates!$C:$D, 2, FALSE)</f>
        <v>1</v>
      </c>
      <c r="AM355" s="14">
        <f t="shared" si="3"/>
        <v>1800</v>
      </c>
      <c r="AN355" s="9"/>
      <c r="AO355" s="9"/>
      <c r="AP355" s="9"/>
      <c r="AQ355" s="15" t="s">
        <v>125</v>
      </c>
      <c r="AR355" t="s">
        <v>1905</v>
      </c>
      <c r="AS355" s="16"/>
    </row>
    <row r="356" spans="1:45" ht="14.5">
      <c r="A356" s="9" t="s">
        <v>1957</v>
      </c>
      <c r="B356" s="9" t="s">
        <v>1958</v>
      </c>
      <c r="C356" s="9" t="s">
        <v>1911</v>
      </c>
      <c r="D356" s="9" t="s">
        <v>1895</v>
      </c>
      <c r="E356" s="17" t="s">
        <v>49</v>
      </c>
      <c r="F356" s="9" t="s">
        <v>69</v>
      </c>
      <c r="G356" s="9" t="s">
        <v>70</v>
      </c>
      <c r="H356" s="9" t="s">
        <v>1959</v>
      </c>
      <c r="I356" s="9" t="s">
        <v>72</v>
      </c>
      <c r="J356" s="10">
        <v>44305</v>
      </c>
      <c r="K356" s="10">
        <v>44596</v>
      </c>
      <c r="L356" s="10">
        <v>44596</v>
      </c>
      <c r="M356" s="10">
        <v>44627</v>
      </c>
      <c r="N356" s="9">
        <v>2022</v>
      </c>
      <c r="O356" s="9" t="s">
        <v>1960</v>
      </c>
      <c r="P356" s="9" t="s">
        <v>83</v>
      </c>
      <c r="Q356" s="9" t="s">
        <v>53</v>
      </c>
      <c r="R356" s="9" t="s">
        <v>1961</v>
      </c>
      <c r="S356" s="9" t="s">
        <v>1962</v>
      </c>
      <c r="T356" s="9"/>
      <c r="V356" s="9"/>
      <c r="W356" s="11">
        <f>IFERROR(VLOOKUP(B356, PlumX_snapshot!$A:$B, 2, FALSE), " ")</f>
        <v>13</v>
      </c>
      <c r="X356" s="11">
        <f>IFERROR(VLOOKUP(B356, PlumX_snapshot!$A:$C, 3, FALSE), " ")</f>
        <v>3</v>
      </c>
      <c r="Y356" s="12">
        <f>IFERROR(VLOOKUP(B356, PlumX_snapshot!$A:$D, 4, FALSE), " ")</f>
        <v>38</v>
      </c>
      <c r="Z356" s="12">
        <f>IFERROR(VLOOKUP(B356, PlumX_snapshot!$A:$E, 5, FALSE), " ")</f>
        <v>0</v>
      </c>
      <c r="AA356" s="12">
        <f>IFERROR(VLOOKUP(B356, PlumX_snapshot!$A:$F, 6, FALSE), " ")</f>
        <v>0</v>
      </c>
      <c r="AB356" s="13">
        <v>44978</v>
      </c>
      <c r="AC356" s="9" t="s">
        <v>1942</v>
      </c>
      <c r="AD356" s="9" t="s">
        <v>1943</v>
      </c>
      <c r="AH356" s="9">
        <v>2100</v>
      </c>
      <c r="AI356" s="9" t="s">
        <v>77</v>
      </c>
      <c r="AJ356" s="9" t="s">
        <v>301</v>
      </c>
      <c r="AK356" s="11" t="str">
        <f t="shared" si="2"/>
        <v>2022GBP</v>
      </c>
      <c r="AL356" s="11">
        <f>VLOOKUP(AK356, Exchange_rates!$C:$D, 2, FALSE)</f>
        <v>1</v>
      </c>
      <c r="AM356" s="14">
        <f t="shared" si="3"/>
        <v>2520</v>
      </c>
      <c r="AN356" s="9"/>
      <c r="AO356" s="9"/>
      <c r="AP356" s="17"/>
      <c r="AQ356" s="15" t="s">
        <v>125</v>
      </c>
      <c r="AR356" t="s">
        <v>1914</v>
      </c>
      <c r="AS356" s="16"/>
    </row>
    <row r="357" spans="1:45" ht="14.5">
      <c r="A357" s="9" t="s">
        <v>1963</v>
      </c>
      <c r="B357" s="9" t="s">
        <v>1964</v>
      </c>
      <c r="C357" s="9" t="s">
        <v>1911</v>
      </c>
      <c r="D357" s="9" t="s">
        <v>1895</v>
      </c>
      <c r="E357" s="17" t="s">
        <v>49</v>
      </c>
      <c r="F357" s="9" t="s">
        <v>69</v>
      </c>
      <c r="G357" s="9" t="s">
        <v>51</v>
      </c>
      <c r="H357" s="9"/>
      <c r="I357" s="9" t="s">
        <v>72</v>
      </c>
      <c r="J357" s="10">
        <v>44578</v>
      </c>
      <c r="K357" s="10">
        <v>44578</v>
      </c>
      <c r="L357" s="10">
        <v>44578</v>
      </c>
      <c r="M357" s="10">
        <v>44592</v>
      </c>
      <c r="N357" s="9">
        <v>2022</v>
      </c>
      <c r="O357" s="9" t="s">
        <v>1960</v>
      </c>
      <c r="P357" s="9" t="s">
        <v>53</v>
      </c>
      <c r="Q357" s="9" t="s">
        <v>53</v>
      </c>
      <c r="T357" s="9" t="s">
        <v>1912</v>
      </c>
      <c r="U357" s="9" t="s">
        <v>1913</v>
      </c>
      <c r="V357" s="9"/>
      <c r="W357" s="11">
        <f>IFERROR(VLOOKUP(B357, PlumX_snapshot!$A:$B, 2, FALSE), " ")</f>
        <v>0</v>
      </c>
      <c r="X357" s="11">
        <f>IFERROR(VLOOKUP(B357, PlumX_snapshot!$A:$C, 3, FALSE), " ")</f>
        <v>0</v>
      </c>
      <c r="Y357" s="12">
        <f>IFERROR(VLOOKUP(B357, PlumX_snapshot!$A:$D, 4, FALSE), " ")</f>
        <v>18</v>
      </c>
      <c r="Z357" s="12">
        <f>IFERROR(VLOOKUP(B357, PlumX_snapshot!$A:$E, 5, FALSE), " ")</f>
        <v>0</v>
      </c>
      <c r="AA357" s="12">
        <f>IFERROR(VLOOKUP(B357, PlumX_snapshot!$A:$F, 6, FALSE), " ")</f>
        <v>0</v>
      </c>
      <c r="AB357" s="13">
        <v>44978</v>
      </c>
      <c r="AC357" s="9" t="s">
        <v>1942</v>
      </c>
      <c r="AD357" s="9" t="s">
        <v>1943</v>
      </c>
      <c r="AH357" s="9">
        <v>2100</v>
      </c>
      <c r="AI357" s="9" t="s">
        <v>77</v>
      </c>
      <c r="AJ357" s="9" t="s">
        <v>301</v>
      </c>
      <c r="AK357" s="11" t="str">
        <f t="shared" si="2"/>
        <v>2022GBP</v>
      </c>
      <c r="AL357" s="11">
        <f>VLOOKUP(AK357, Exchange_rates!$C:$D, 2, FALSE)</f>
        <v>1</v>
      </c>
      <c r="AM357" s="14">
        <f t="shared" si="3"/>
        <v>2520</v>
      </c>
      <c r="AN357" s="9"/>
      <c r="AO357" s="9"/>
      <c r="AP357" s="17"/>
      <c r="AQ357" s="15" t="s">
        <v>125</v>
      </c>
      <c r="AR357" t="s">
        <v>1914</v>
      </c>
      <c r="AS357" s="16"/>
    </row>
    <row r="358" spans="1:45" ht="14.5">
      <c r="A358" s="9" t="s">
        <v>1965</v>
      </c>
      <c r="B358" s="9" t="s">
        <v>1966</v>
      </c>
      <c r="C358" s="9" t="s">
        <v>1911</v>
      </c>
      <c r="D358" s="9" t="s">
        <v>1895</v>
      </c>
      <c r="E358" s="17" t="s">
        <v>49</v>
      </c>
      <c r="F358" s="9" t="s">
        <v>69</v>
      </c>
      <c r="G358" s="9" t="s">
        <v>51</v>
      </c>
      <c r="H358" s="9"/>
      <c r="I358" s="9" t="s">
        <v>72</v>
      </c>
      <c r="J358" s="10">
        <v>44544</v>
      </c>
      <c r="K358" s="10">
        <v>44544</v>
      </c>
      <c r="L358" s="10">
        <v>44544</v>
      </c>
      <c r="M358" s="10">
        <v>44573</v>
      </c>
      <c r="N358" s="9">
        <v>2021</v>
      </c>
      <c r="O358" s="9" t="s">
        <v>1960</v>
      </c>
      <c r="P358" s="9" t="s">
        <v>53</v>
      </c>
      <c r="Q358" s="9" t="s">
        <v>53</v>
      </c>
      <c r="T358" s="9" t="s">
        <v>1912</v>
      </c>
      <c r="U358" s="9" t="s">
        <v>1913</v>
      </c>
      <c r="V358" s="9"/>
      <c r="W358" s="11">
        <f>IFERROR(VLOOKUP(B358, PlumX_snapshot!$A:$B, 2, FALSE), " ")</f>
        <v>0</v>
      </c>
      <c r="X358" s="11">
        <f>IFERROR(VLOOKUP(B358, PlumX_snapshot!$A:$C, 3, FALSE), " ")</f>
        <v>1</v>
      </c>
      <c r="Y358" s="12">
        <f>IFERROR(VLOOKUP(B358, PlumX_snapshot!$A:$D, 4, FALSE), " ")</f>
        <v>11</v>
      </c>
      <c r="Z358" s="12">
        <f>IFERROR(VLOOKUP(B358, PlumX_snapshot!$A:$E, 5, FALSE), " ")</f>
        <v>0</v>
      </c>
      <c r="AA358" s="12">
        <f>IFERROR(VLOOKUP(B358, PlumX_snapshot!$A:$F, 6, FALSE), " ")</f>
        <v>0</v>
      </c>
      <c r="AB358" s="13">
        <v>44978</v>
      </c>
      <c r="AC358" s="9" t="s">
        <v>1942</v>
      </c>
      <c r="AD358" s="9" t="s">
        <v>1943</v>
      </c>
      <c r="AH358" s="9">
        <v>2100</v>
      </c>
      <c r="AI358" s="9" t="s">
        <v>77</v>
      </c>
      <c r="AJ358" s="9" t="s">
        <v>301</v>
      </c>
      <c r="AK358" s="11" t="str">
        <f t="shared" si="2"/>
        <v>2021GBP</v>
      </c>
      <c r="AL358" s="11">
        <f>VLOOKUP(AK358, Exchange_rates!$C:$D, 2, FALSE)</f>
        <v>1</v>
      </c>
      <c r="AM358" s="14">
        <f t="shared" si="3"/>
        <v>2520</v>
      </c>
      <c r="AN358" s="9"/>
      <c r="AO358" s="9"/>
      <c r="AP358" s="17"/>
      <c r="AQ358" s="15" t="s">
        <v>125</v>
      </c>
      <c r="AR358" t="s">
        <v>1914</v>
      </c>
      <c r="AS358" s="16"/>
    </row>
    <row r="359" spans="1:45" ht="14.5">
      <c r="A359" s="9" t="s">
        <v>1967</v>
      </c>
      <c r="B359" s="9" t="s">
        <v>1968</v>
      </c>
      <c r="C359" s="9" t="s">
        <v>1911</v>
      </c>
      <c r="D359" s="9" t="s">
        <v>1895</v>
      </c>
      <c r="E359" s="17" t="s">
        <v>49</v>
      </c>
      <c r="F359" s="9" t="s">
        <v>69</v>
      </c>
      <c r="G359" s="9" t="s">
        <v>51</v>
      </c>
      <c r="H359" s="9"/>
      <c r="I359" s="9" t="s">
        <v>72</v>
      </c>
      <c r="J359" s="10">
        <v>44519</v>
      </c>
      <c r="K359" s="10">
        <v>44519</v>
      </c>
      <c r="L359" s="10">
        <v>44519</v>
      </c>
      <c r="M359" s="10">
        <v>44530</v>
      </c>
      <c r="N359" s="9">
        <v>2021</v>
      </c>
      <c r="O359" s="9" t="s">
        <v>1960</v>
      </c>
      <c r="P359" s="9" t="s">
        <v>53</v>
      </c>
      <c r="Q359" s="9" t="s">
        <v>53</v>
      </c>
      <c r="T359" s="9" t="s">
        <v>1912</v>
      </c>
      <c r="U359" s="9" t="s">
        <v>1913</v>
      </c>
      <c r="V359" s="9"/>
      <c r="W359" s="11">
        <f>IFERROR(VLOOKUP(B359, PlumX_snapshot!$A:$B, 2, FALSE), " ")</f>
        <v>2</v>
      </c>
      <c r="X359" s="11">
        <f>IFERROR(VLOOKUP(B359, PlumX_snapshot!$A:$C, 3, FALSE), " ")</f>
        <v>1</v>
      </c>
      <c r="Y359" s="12">
        <f>IFERROR(VLOOKUP(B359, PlumX_snapshot!$A:$D, 4, FALSE), " ")</f>
        <v>18</v>
      </c>
      <c r="Z359" s="12">
        <f>IFERROR(VLOOKUP(B359, PlumX_snapshot!$A:$E, 5, FALSE), " ")</f>
        <v>0</v>
      </c>
      <c r="AA359" s="12">
        <f>IFERROR(VLOOKUP(B359, PlumX_snapshot!$A:$F, 6, FALSE), " ")</f>
        <v>0</v>
      </c>
      <c r="AB359" s="13">
        <v>44978</v>
      </c>
      <c r="AC359" s="9" t="s">
        <v>1942</v>
      </c>
      <c r="AD359" s="9" t="s">
        <v>1943</v>
      </c>
      <c r="AH359" s="9">
        <v>2100</v>
      </c>
      <c r="AI359" s="9" t="s">
        <v>77</v>
      </c>
      <c r="AJ359" s="9" t="s">
        <v>301</v>
      </c>
      <c r="AK359" s="11" t="str">
        <f t="shared" si="2"/>
        <v>2021GBP</v>
      </c>
      <c r="AL359" s="11">
        <f>VLOOKUP(AK359, Exchange_rates!$C:$D, 2, FALSE)</f>
        <v>1</v>
      </c>
      <c r="AM359" s="14">
        <f t="shared" si="3"/>
        <v>2520</v>
      </c>
      <c r="AN359" s="9"/>
      <c r="AO359" s="9"/>
      <c r="AP359" s="17"/>
      <c r="AQ359" s="15" t="s">
        <v>125</v>
      </c>
      <c r="AR359" t="s">
        <v>1914</v>
      </c>
      <c r="AS359" s="16"/>
    </row>
    <row r="360" spans="1:45" ht="14.5">
      <c r="A360" s="9" t="s">
        <v>1969</v>
      </c>
      <c r="B360" s="9" t="s">
        <v>1970</v>
      </c>
      <c r="C360" s="9" t="s">
        <v>1971</v>
      </c>
      <c r="D360" s="9" t="s">
        <v>1895</v>
      </c>
      <c r="E360" s="17" t="s">
        <v>49</v>
      </c>
      <c r="F360" s="9" t="s">
        <v>69</v>
      </c>
      <c r="G360" s="9" t="s">
        <v>70</v>
      </c>
      <c r="H360" s="9" t="s">
        <v>1959</v>
      </c>
      <c r="I360" s="9" t="s">
        <v>238</v>
      </c>
      <c r="J360" s="10">
        <v>44531</v>
      </c>
      <c r="K360" s="10">
        <v>44627</v>
      </c>
      <c r="L360" s="10">
        <v>44627</v>
      </c>
      <c r="M360" s="10">
        <v>44678</v>
      </c>
      <c r="N360" s="9">
        <v>2022</v>
      </c>
      <c r="O360" s="9" t="s">
        <v>1972</v>
      </c>
      <c r="P360" s="9" t="s">
        <v>53</v>
      </c>
      <c r="Q360" s="9" t="s">
        <v>53</v>
      </c>
      <c r="R360" s="9" t="s">
        <v>1973</v>
      </c>
      <c r="T360" s="9"/>
      <c r="V360" s="9"/>
      <c r="W360" s="11">
        <f>IFERROR(VLOOKUP(B360, PlumX_snapshot!$A:$B, 2, FALSE), " ")</f>
        <v>3</v>
      </c>
      <c r="X360" s="11">
        <f>IFERROR(VLOOKUP(B360, PlumX_snapshot!$A:$C, 3, FALSE), " ")</f>
        <v>0</v>
      </c>
      <c r="Y360" s="12">
        <f>IFERROR(VLOOKUP(B360, PlumX_snapshot!$A:$D, 4, FALSE), " ")</f>
        <v>13</v>
      </c>
      <c r="Z360" s="12">
        <f>IFERROR(VLOOKUP(B360, PlumX_snapshot!$A:$E, 5, FALSE), " ")</f>
        <v>0</v>
      </c>
      <c r="AA360" s="12">
        <f>IFERROR(VLOOKUP(B360, PlumX_snapshot!$A:$F, 6, FALSE), " ")</f>
        <v>0</v>
      </c>
      <c r="AB360" s="13">
        <v>44978</v>
      </c>
      <c r="AC360" s="9" t="s">
        <v>1974</v>
      </c>
      <c r="AD360" s="9" t="s">
        <v>1975</v>
      </c>
      <c r="AH360" s="9">
        <v>1500</v>
      </c>
      <c r="AI360" s="9" t="s">
        <v>77</v>
      </c>
      <c r="AJ360" s="9" t="s">
        <v>301</v>
      </c>
      <c r="AK360" s="11" t="str">
        <f t="shared" si="2"/>
        <v>2022GBP</v>
      </c>
      <c r="AL360" s="11">
        <f>VLOOKUP(AK360, Exchange_rates!$C:$D, 2, FALSE)</f>
        <v>1</v>
      </c>
      <c r="AM360" s="14">
        <f t="shared" si="3"/>
        <v>1800</v>
      </c>
      <c r="AN360" s="9"/>
      <c r="AO360" s="9"/>
      <c r="AP360" s="17"/>
      <c r="AQ360" s="15" t="s">
        <v>49</v>
      </c>
      <c r="AR360" t="s">
        <v>1976</v>
      </c>
      <c r="AS360" s="16"/>
    </row>
    <row r="361" spans="1:45" ht="14.5">
      <c r="A361" s="9" t="s">
        <v>1977</v>
      </c>
      <c r="B361" s="9" t="s">
        <v>1978</v>
      </c>
      <c r="C361" s="9" t="s">
        <v>1902</v>
      </c>
      <c r="D361" s="9" t="s">
        <v>1895</v>
      </c>
      <c r="E361" s="9" t="s">
        <v>125</v>
      </c>
      <c r="F361" s="9" t="s">
        <v>69</v>
      </c>
      <c r="G361" s="9" t="s">
        <v>70</v>
      </c>
      <c r="H361" s="9" t="s">
        <v>1959</v>
      </c>
      <c r="I361" s="9" t="s">
        <v>72</v>
      </c>
      <c r="J361" s="10">
        <v>44630</v>
      </c>
      <c r="K361" s="10">
        <v>44825</v>
      </c>
      <c r="L361" s="10">
        <v>44825</v>
      </c>
      <c r="M361" s="10">
        <v>44861</v>
      </c>
      <c r="N361" s="9">
        <v>2022</v>
      </c>
      <c r="O361" s="9" t="s">
        <v>1979</v>
      </c>
      <c r="P361" s="9" t="s">
        <v>83</v>
      </c>
      <c r="Q361" s="9" t="s">
        <v>53</v>
      </c>
      <c r="R361" s="9" t="s">
        <v>1980</v>
      </c>
      <c r="T361" s="9"/>
      <c r="V361" s="9"/>
      <c r="W361" s="11">
        <f>IFERROR(VLOOKUP(B361, PlumX_snapshot!$A:$B, 2, FALSE), " ")</f>
        <v>2</v>
      </c>
      <c r="X361" s="11">
        <f>IFERROR(VLOOKUP(B361, PlumX_snapshot!$A:$C, 3, FALSE), " ")</f>
        <v>0</v>
      </c>
      <c r="Y361" s="12">
        <f>IFERROR(VLOOKUP(B361, PlumX_snapshot!$A:$D, 4, FALSE), " ")</f>
        <v>1</v>
      </c>
      <c r="Z361" s="12">
        <f>IFERROR(VLOOKUP(B361, PlumX_snapshot!$A:$E, 5, FALSE), " ")</f>
        <v>0</v>
      </c>
      <c r="AA361" s="12">
        <f>IFERROR(VLOOKUP(B361, PlumX_snapshot!$A:$F, 6, FALSE), " ")</f>
        <v>0</v>
      </c>
      <c r="AB361" s="13">
        <v>44978</v>
      </c>
      <c r="AC361" s="9" t="s">
        <v>1981</v>
      </c>
      <c r="AD361" s="9" t="s">
        <v>1982</v>
      </c>
      <c r="AH361" s="9">
        <v>1500</v>
      </c>
      <c r="AI361" s="9" t="s">
        <v>77</v>
      </c>
      <c r="AJ361" s="9" t="s">
        <v>301</v>
      </c>
      <c r="AK361" s="11" t="str">
        <f t="shared" si="2"/>
        <v>2022GBP</v>
      </c>
      <c r="AL361" s="11">
        <f>VLOOKUP(AK361, Exchange_rates!$C:$D, 2, FALSE)</f>
        <v>1</v>
      </c>
      <c r="AM361" s="14">
        <f t="shared" si="3"/>
        <v>1800</v>
      </c>
      <c r="AN361" s="9"/>
      <c r="AO361" s="9"/>
      <c r="AP361" s="9"/>
      <c r="AQ361" s="15" t="s">
        <v>125</v>
      </c>
      <c r="AR361" t="s">
        <v>1905</v>
      </c>
      <c r="AS361" s="16"/>
    </row>
    <row r="362" spans="1:45" ht="14.5">
      <c r="A362" s="9" t="s">
        <v>1983</v>
      </c>
      <c r="B362" s="9" t="s">
        <v>1984</v>
      </c>
      <c r="C362" s="9" t="s">
        <v>1911</v>
      </c>
      <c r="D362" s="9" t="s">
        <v>1895</v>
      </c>
      <c r="E362" s="17" t="s">
        <v>49</v>
      </c>
      <c r="F362" s="9" t="s">
        <v>69</v>
      </c>
      <c r="G362" s="9" t="s">
        <v>51</v>
      </c>
      <c r="H362" s="9"/>
      <c r="I362" s="9" t="s">
        <v>72</v>
      </c>
      <c r="J362" s="10">
        <v>44813</v>
      </c>
      <c r="K362" s="10">
        <v>44813</v>
      </c>
      <c r="L362" s="10">
        <v>44813</v>
      </c>
      <c r="M362" s="10">
        <v>44826</v>
      </c>
      <c r="N362" s="9">
        <v>2022</v>
      </c>
      <c r="O362" s="9" t="s">
        <v>1979</v>
      </c>
      <c r="P362" s="9" t="s">
        <v>53</v>
      </c>
      <c r="Q362" s="9" t="s">
        <v>53</v>
      </c>
      <c r="T362" s="9" t="s">
        <v>1912</v>
      </c>
      <c r="U362" s="9" t="s">
        <v>1913</v>
      </c>
      <c r="V362" s="9"/>
      <c r="W362" s="11">
        <f>IFERROR(VLOOKUP(B362, PlumX_snapshot!$A:$B, 2, FALSE), " ")</f>
        <v>1</v>
      </c>
      <c r="X362" s="11">
        <f>IFERROR(VLOOKUP(B362, PlumX_snapshot!$A:$C, 3, FALSE), " ")</f>
        <v>1</v>
      </c>
      <c r="Y362" s="12">
        <f>IFERROR(VLOOKUP(B362, PlumX_snapshot!$A:$D, 4, FALSE), " ")</f>
        <v>7</v>
      </c>
      <c r="Z362" s="12">
        <f>IFERROR(VLOOKUP(B362, PlumX_snapshot!$A:$E, 5, FALSE), " ")</f>
        <v>0</v>
      </c>
      <c r="AA362" s="12">
        <f>IFERROR(VLOOKUP(B362, PlumX_snapshot!$A:$F, 6, FALSE), " ")</f>
        <v>0</v>
      </c>
      <c r="AB362" s="13">
        <v>44978</v>
      </c>
      <c r="AC362" s="9" t="s">
        <v>1942</v>
      </c>
      <c r="AD362" s="9" t="s">
        <v>1943</v>
      </c>
      <c r="AH362" s="9">
        <v>2100</v>
      </c>
      <c r="AI362" s="9" t="s">
        <v>77</v>
      </c>
      <c r="AJ362" s="9" t="s">
        <v>301</v>
      </c>
      <c r="AK362" s="11" t="str">
        <f t="shared" si="2"/>
        <v>2022GBP</v>
      </c>
      <c r="AL362" s="11">
        <f>VLOOKUP(AK362, Exchange_rates!$C:$D, 2, FALSE)</f>
        <v>1</v>
      </c>
      <c r="AM362" s="14">
        <f t="shared" si="3"/>
        <v>2520</v>
      </c>
      <c r="AN362" s="9"/>
      <c r="AO362" s="9"/>
      <c r="AP362" s="17"/>
      <c r="AQ362" s="15" t="s">
        <v>125</v>
      </c>
      <c r="AR362" t="s">
        <v>1914</v>
      </c>
      <c r="AS362" s="16"/>
    </row>
    <row r="363" spans="1:45" ht="14.5">
      <c r="A363" s="9" t="s">
        <v>1985</v>
      </c>
      <c r="B363" s="9" t="s">
        <v>1986</v>
      </c>
      <c r="C363" s="9" t="s">
        <v>1902</v>
      </c>
      <c r="D363" s="9" t="s">
        <v>1895</v>
      </c>
      <c r="E363" s="9" t="s">
        <v>125</v>
      </c>
      <c r="F363" s="9" t="s">
        <v>69</v>
      </c>
      <c r="G363" s="9" t="s">
        <v>70</v>
      </c>
      <c r="H363" s="9" t="s">
        <v>1959</v>
      </c>
      <c r="I363" s="9" t="s">
        <v>72</v>
      </c>
      <c r="J363" s="10">
        <v>44579</v>
      </c>
      <c r="K363" s="10">
        <v>44761</v>
      </c>
      <c r="L363" s="10">
        <v>44761</v>
      </c>
      <c r="M363" s="10">
        <v>44824</v>
      </c>
      <c r="N363" s="9">
        <v>2022</v>
      </c>
      <c r="O363" s="9" t="s">
        <v>1979</v>
      </c>
      <c r="P363" s="9" t="s">
        <v>53</v>
      </c>
      <c r="Q363" s="9" t="s">
        <v>53</v>
      </c>
      <c r="R363" s="9" t="s">
        <v>178</v>
      </c>
      <c r="T363" s="9"/>
      <c r="V363" s="9"/>
      <c r="W363" s="11">
        <f>IFERROR(VLOOKUP(B363, PlumX_snapshot!$A:$B, 2, FALSE), " ")</f>
        <v>6</v>
      </c>
      <c r="X363" s="11">
        <f>IFERROR(VLOOKUP(B363, PlumX_snapshot!$A:$C, 3, FALSE), " ")</f>
        <v>0</v>
      </c>
      <c r="Y363" s="12">
        <f>IFERROR(VLOOKUP(B363, PlumX_snapshot!$A:$D, 4, FALSE), " ")</f>
        <v>2</v>
      </c>
      <c r="Z363" s="12">
        <f>IFERROR(VLOOKUP(B363, PlumX_snapshot!$A:$E, 5, FALSE), " ")</f>
        <v>0</v>
      </c>
      <c r="AA363" s="12">
        <f>IFERROR(VLOOKUP(B363, PlumX_snapshot!$A:$F, 6, FALSE), " ")</f>
        <v>0</v>
      </c>
      <c r="AB363" s="13">
        <v>44978</v>
      </c>
      <c r="AC363" s="9" t="s">
        <v>1987</v>
      </c>
      <c r="AD363" s="9" t="s">
        <v>1988</v>
      </c>
      <c r="AH363" s="9">
        <v>1500</v>
      </c>
      <c r="AI363" s="9" t="s">
        <v>77</v>
      </c>
      <c r="AJ363" s="9" t="s">
        <v>301</v>
      </c>
      <c r="AK363" s="11" t="str">
        <f t="shared" si="2"/>
        <v>2022GBP</v>
      </c>
      <c r="AL363" s="11">
        <f>VLOOKUP(AK363, Exchange_rates!$C:$D, 2, FALSE)</f>
        <v>1</v>
      </c>
      <c r="AM363" s="14">
        <f t="shared" si="3"/>
        <v>1800</v>
      </c>
      <c r="AN363" s="9"/>
      <c r="AO363" s="9"/>
      <c r="AP363" s="9"/>
      <c r="AQ363" s="15" t="s">
        <v>125</v>
      </c>
      <c r="AR363" t="s">
        <v>1905</v>
      </c>
      <c r="AS363" s="16"/>
    </row>
    <row r="364" spans="1:45" ht="14.5">
      <c r="A364" s="9" t="s">
        <v>1989</v>
      </c>
      <c r="B364" s="9" t="s">
        <v>1990</v>
      </c>
      <c r="C364" s="9" t="s">
        <v>1911</v>
      </c>
      <c r="D364" s="9" t="s">
        <v>1895</v>
      </c>
      <c r="E364" s="17" t="s">
        <v>49</v>
      </c>
      <c r="F364" s="9" t="s">
        <v>69</v>
      </c>
      <c r="G364" s="9" t="s">
        <v>51</v>
      </c>
      <c r="H364" s="9"/>
      <c r="I364" s="9" t="s">
        <v>72</v>
      </c>
      <c r="J364" s="10">
        <v>44708</v>
      </c>
      <c r="K364" s="10">
        <v>44708</v>
      </c>
      <c r="L364" s="10">
        <v>44708</v>
      </c>
      <c r="M364" s="10">
        <v>44725</v>
      </c>
      <c r="N364" s="9">
        <v>2022</v>
      </c>
      <c r="O364" s="9" t="s">
        <v>1979</v>
      </c>
      <c r="P364" s="9" t="s">
        <v>53</v>
      </c>
      <c r="Q364" s="9" t="s">
        <v>53</v>
      </c>
      <c r="T364" s="9" t="s">
        <v>1912</v>
      </c>
      <c r="U364" s="9" t="s">
        <v>1913</v>
      </c>
      <c r="V364" s="9"/>
      <c r="W364" s="11">
        <f>IFERROR(VLOOKUP(B364, PlumX_snapshot!$A:$B, 2, FALSE), " ")</f>
        <v>0</v>
      </c>
      <c r="X364" s="11">
        <f>IFERROR(VLOOKUP(B364, PlumX_snapshot!$A:$C, 3, FALSE), " ")</f>
        <v>0</v>
      </c>
      <c r="Y364" s="12">
        <f>IFERROR(VLOOKUP(B364, PlumX_snapshot!$A:$D, 4, FALSE), " ")</f>
        <v>16</v>
      </c>
      <c r="Z364" s="12">
        <f>IFERROR(VLOOKUP(B364, PlumX_snapshot!$A:$E, 5, FALSE), " ")</f>
        <v>0</v>
      </c>
      <c r="AA364" s="12">
        <f>IFERROR(VLOOKUP(B364, PlumX_snapshot!$A:$F, 6, FALSE), " ")</f>
        <v>0</v>
      </c>
      <c r="AB364" s="13">
        <v>44978</v>
      </c>
      <c r="AC364" s="9" t="s">
        <v>1942</v>
      </c>
      <c r="AD364" s="9" t="s">
        <v>1943</v>
      </c>
      <c r="AH364" s="9">
        <v>2100</v>
      </c>
      <c r="AI364" s="9" t="s">
        <v>77</v>
      </c>
      <c r="AJ364" s="9" t="s">
        <v>301</v>
      </c>
      <c r="AK364" s="11" t="str">
        <f t="shared" si="2"/>
        <v>2022GBP</v>
      </c>
      <c r="AL364" s="11">
        <f>VLOOKUP(AK364, Exchange_rates!$C:$D, 2, FALSE)</f>
        <v>1</v>
      </c>
      <c r="AM364" s="14">
        <f t="shared" si="3"/>
        <v>2520</v>
      </c>
      <c r="AN364" s="9"/>
      <c r="AO364" s="9"/>
      <c r="AP364" s="17"/>
      <c r="AQ364" s="15" t="s">
        <v>125</v>
      </c>
      <c r="AR364" t="s">
        <v>1914</v>
      </c>
      <c r="AS364" s="16"/>
    </row>
    <row r="365" spans="1:45" ht="14.5">
      <c r="A365" s="9" t="s">
        <v>1991</v>
      </c>
      <c r="B365" s="9" t="s">
        <v>1992</v>
      </c>
      <c r="C365" s="9" t="s">
        <v>1993</v>
      </c>
      <c r="D365" s="9" t="s">
        <v>1994</v>
      </c>
      <c r="E365" s="9" t="s">
        <v>125</v>
      </c>
      <c r="F365" s="9" t="s">
        <v>69</v>
      </c>
      <c r="G365" s="9" t="s">
        <v>70</v>
      </c>
      <c r="H365" s="9" t="s">
        <v>1995</v>
      </c>
      <c r="I365" s="9" t="s">
        <v>72</v>
      </c>
      <c r="J365" s="10"/>
      <c r="K365" s="10"/>
      <c r="L365" s="29"/>
      <c r="M365" s="10">
        <v>44292</v>
      </c>
      <c r="N365" s="9">
        <v>2021</v>
      </c>
      <c r="O365" s="9" t="s">
        <v>1996</v>
      </c>
      <c r="P365" s="9" t="s">
        <v>53</v>
      </c>
      <c r="Q365" s="9" t="s">
        <v>53</v>
      </c>
      <c r="T365" s="9"/>
      <c r="V365" s="9"/>
      <c r="W365" s="11">
        <f>IFERROR(VLOOKUP(B365, PlumX_snapshot!$A:$B, 2, FALSE), " ")</f>
        <v>40</v>
      </c>
      <c r="X365" s="11">
        <f>IFERROR(VLOOKUP(B365, PlumX_snapshot!$A:$C, 3, FALSE), " ")</f>
        <v>52</v>
      </c>
      <c r="Y365" s="12">
        <f>IFERROR(VLOOKUP(B365, PlumX_snapshot!$A:$D, 4, FALSE), " ")</f>
        <v>10</v>
      </c>
      <c r="Z365" s="12">
        <f>IFERROR(VLOOKUP(B365, PlumX_snapshot!$A:$E, 5, FALSE), " ")</f>
        <v>135</v>
      </c>
      <c r="AA365" s="12">
        <f>IFERROR(VLOOKUP(B365, PlumX_snapshot!$A:$F, 6, FALSE), " ")</f>
        <v>1</v>
      </c>
      <c r="AB365" s="13">
        <v>44978</v>
      </c>
      <c r="AC365" s="9" t="s">
        <v>1997</v>
      </c>
      <c r="AD365" s="9" t="s">
        <v>1998</v>
      </c>
      <c r="AH365" s="30">
        <v>1575</v>
      </c>
      <c r="AI365" s="30" t="s">
        <v>1999</v>
      </c>
      <c r="AJ365" s="9" t="s">
        <v>57</v>
      </c>
      <c r="AK365" s="11" t="str">
        <f t="shared" si="2"/>
        <v>2021USD</v>
      </c>
      <c r="AL365" s="11">
        <f>VLOOKUP(AK365, Exchange_rates!$C:$D, 2, FALSE)</f>
        <v>0.72709999999999997</v>
      </c>
      <c r="AM365" s="14">
        <f t="shared" si="3"/>
        <v>1374.2189999999998</v>
      </c>
      <c r="AN365" s="9"/>
      <c r="AO365" s="9"/>
      <c r="AP365" s="9"/>
      <c r="AQ365" s="15" t="s">
        <v>125</v>
      </c>
      <c r="AR365" t="s">
        <v>2000</v>
      </c>
      <c r="AS365" s="16"/>
    </row>
    <row r="366" spans="1:45" ht="14.5">
      <c r="A366" s="9" t="s">
        <v>2001</v>
      </c>
      <c r="B366" s="9" t="s">
        <v>2002</v>
      </c>
      <c r="C366" s="9" t="s">
        <v>1993</v>
      </c>
      <c r="D366" s="9" t="s">
        <v>1994</v>
      </c>
      <c r="E366" s="9" t="s">
        <v>125</v>
      </c>
      <c r="F366" s="9" t="s">
        <v>69</v>
      </c>
      <c r="G366" s="9" t="s">
        <v>70</v>
      </c>
      <c r="H366" s="9" t="s">
        <v>1995</v>
      </c>
      <c r="I366" s="9" t="s">
        <v>72</v>
      </c>
      <c r="J366" s="10"/>
      <c r="K366" s="10"/>
      <c r="L366" s="29"/>
      <c r="M366" s="10">
        <v>44267</v>
      </c>
      <c r="N366" s="9">
        <v>2021</v>
      </c>
      <c r="O366" s="9" t="s">
        <v>1996</v>
      </c>
      <c r="P366" s="9" t="s">
        <v>83</v>
      </c>
      <c r="Q366" s="9" t="s">
        <v>53</v>
      </c>
      <c r="T366" s="9"/>
      <c r="V366" s="9"/>
      <c r="W366" s="11">
        <f>IFERROR(VLOOKUP(B366, PlumX_snapshot!$A:$B, 2, FALSE), " ")</f>
        <v>20</v>
      </c>
      <c r="X366" s="11">
        <f>IFERROR(VLOOKUP(B366, PlumX_snapshot!$A:$C, 3, FALSE), " ")</f>
        <v>54</v>
      </c>
      <c r="Y366" s="12">
        <f>IFERROR(VLOOKUP(B366, PlumX_snapshot!$A:$D, 4, FALSE), " ")</f>
        <v>1</v>
      </c>
      <c r="Z366" s="12">
        <f>IFERROR(VLOOKUP(B366, PlumX_snapshot!$A:$E, 5, FALSE), " ")</f>
        <v>487</v>
      </c>
      <c r="AA366" s="12">
        <f>IFERROR(VLOOKUP(B366, PlumX_snapshot!$A:$F, 6, FALSE), " ")</f>
        <v>0</v>
      </c>
      <c r="AB366" s="13">
        <v>44978</v>
      </c>
      <c r="AC366" s="9" t="s">
        <v>2003</v>
      </c>
      <c r="AD366" s="9" t="s">
        <v>2004</v>
      </c>
      <c r="AH366" s="30">
        <v>1575</v>
      </c>
      <c r="AI366" s="30" t="s">
        <v>1999</v>
      </c>
      <c r="AJ366" s="9" t="s">
        <v>57</v>
      </c>
      <c r="AK366" s="11" t="str">
        <f t="shared" si="2"/>
        <v>2021USD</v>
      </c>
      <c r="AL366" s="11">
        <f>VLOOKUP(AK366, Exchange_rates!$C:$D, 2, FALSE)</f>
        <v>0.72709999999999997</v>
      </c>
      <c r="AM366" s="14">
        <f t="shared" si="3"/>
        <v>1374.2189999999998</v>
      </c>
      <c r="AN366" s="9"/>
      <c r="AO366" s="9"/>
      <c r="AP366" s="9"/>
      <c r="AQ366" s="15" t="s">
        <v>125</v>
      </c>
      <c r="AR366" t="s">
        <v>2000</v>
      </c>
      <c r="AS366" s="16"/>
    </row>
    <row r="367" spans="1:45" ht="14.5">
      <c r="A367" s="9" t="s">
        <v>2005</v>
      </c>
      <c r="B367" s="9" t="s">
        <v>2006</v>
      </c>
      <c r="C367" s="9" t="s">
        <v>1993</v>
      </c>
      <c r="D367" s="9" t="s">
        <v>1994</v>
      </c>
      <c r="E367" s="9" t="s">
        <v>125</v>
      </c>
      <c r="F367" s="9" t="s">
        <v>69</v>
      </c>
      <c r="G367" s="9" t="s">
        <v>70</v>
      </c>
      <c r="H367" s="9" t="s">
        <v>1995</v>
      </c>
      <c r="I367" s="9" t="s">
        <v>72</v>
      </c>
      <c r="J367" s="10"/>
      <c r="K367" s="10"/>
      <c r="L367" s="29"/>
      <c r="M367" s="10">
        <v>44270</v>
      </c>
      <c r="N367" s="9">
        <v>2021</v>
      </c>
      <c r="O367" s="9" t="s">
        <v>1996</v>
      </c>
      <c r="P367" s="9" t="s">
        <v>83</v>
      </c>
      <c r="Q367" s="9" t="s">
        <v>53</v>
      </c>
      <c r="T367" s="9"/>
      <c r="V367" s="9"/>
      <c r="W367" s="11">
        <f>IFERROR(VLOOKUP(B367, PlumX_snapshot!$A:$B, 2, FALSE), " ")</f>
        <v>49</v>
      </c>
      <c r="X367" s="11">
        <f>IFERROR(VLOOKUP(B367, PlumX_snapshot!$A:$C, 3, FALSE), " ")</f>
        <v>62</v>
      </c>
      <c r="Y367" s="12">
        <f>IFERROR(VLOOKUP(B367, PlumX_snapshot!$A:$D, 4, FALSE), " ")</f>
        <v>13</v>
      </c>
      <c r="Z367" s="12">
        <f>IFERROR(VLOOKUP(B367, PlumX_snapshot!$A:$E, 5, FALSE), " ")</f>
        <v>332</v>
      </c>
      <c r="AA367" s="12">
        <f>IFERROR(VLOOKUP(B367, PlumX_snapshot!$A:$F, 6, FALSE), " ")</f>
        <v>0</v>
      </c>
      <c r="AB367" s="13">
        <v>44978</v>
      </c>
      <c r="AC367" s="9" t="s">
        <v>2007</v>
      </c>
      <c r="AD367" s="9" t="s">
        <v>2008</v>
      </c>
      <c r="AH367" s="30">
        <v>1575</v>
      </c>
      <c r="AI367" s="30" t="s">
        <v>1999</v>
      </c>
      <c r="AJ367" s="9" t="s">
        <v>57</v>
      </c>
      <c r="AK367" s="11" t="str">
        <f t="shared" si="2"/>
        <v>2021USD</v>
      </c>
      <c r="AL367" s="11">
        <f>VLOOKUP(AK367, Exchange_rates!$C:$D, 2, FALSE)</f>
        <v>0.72709999999999997</v>
      </c>
      <c r="AM367" s="14">
        <f t="shared" si="3"/>
        <v>1374.2189999999998</v>
      </c>
      <c r="AN367" s="9"/>
      <c r="AO367" s="9"/>
      <c r="AP367" s="9"/>
      <c r="AQ367" s="15" t="s">
        <v>125</v>
      </c>
      <c r="AR367" t="s">
        <v>2000</v>
      </c>
      <c r="AS367" s="16"/>
    </row>
    <row r="368" spans="1:45" ht="14.5">
      <c r="A368" s="9" t="s">
        <v>2009</v>
      </c>
      <c r="B368" s="9" t="s">
        <v>2010</v>
      </c>
      <c r="C368" s="9" t="s">
        <v>1993</v>
      </c>
      <c r="D368" s="9" t="s">
        <v>1994</v>
      </c>
      <c r="E368" s="9" t="s">
        <v>125</v>
      </c>
      <c r="F368" s="9" t="s">
        <v>69</v>
      </c>
      <c r="G368" s="9" t="s">
        <v>70</v>
      </c>
      <c r="H368" s="9" t="s">
        <v>1995</v>
      </c>
      <c r="I368" s="9" t="s">
        <v>72</v>
      </c>
      <c r="J368" s="10"/>
      <c r="K368" s="10"/>
      <c r="L368" s="29"/>
      <c r="M368" s="28">
        <v>44321</v>
      </c>
      <c r="N368" s="9">
        <v>2021</v>
      </c>
      <c r="O368" s="9" t="s">
        <v>2011</v>
      </c>
      <c r="P368" s="9" t="s">
        <v>83</v>
      </c>
      <c r="Q368" s="9" t="s">
        <v>53</v>
      </c>
      <c r="T368" s="9"/>
      <c r="V368" s="9"/>
      <c r="W368" s="11">
        <f>IFERROR(VLOOKUP(B368, PlumX_snapshot!$A:$B, 2, FALSE), " ")</f>
        <v>16</v>
      </c>
      <c r="X368" s="11">
        <f>IFERROR(VLOOKUP(B368, PlumX_snapshot!$A:$C, 3, FALSE), " ")</f>
        <v>25</v>
      </c>
      <c r="Y368" s="12">
        <f>IFERROR(VLOOKUP(B368, PlumX_snapshot!$A:$D, 4, FALSE), " ")</f>
        <v>10</v>
      </c>
      <c r="Z368" s="12">
        <f>IFERROR(VLOOKUP(B368, PlumX_snapshot!$A:$E, 5, FALSE), " ")</f>
        <v>0</v>
      </c>
      <c r="AA368" s="12">
        <f>IFERROR(VLOOKUP(B368, PlumX_snapshot!$A:$F, 6, FALSE), " ")</f>
        <v>0</v>
      </c>
      <c r="AB368" s="13">
        <v>44978</v>
      </c>
      <c r="AC368" s="9" t="s">
        <v>2012</v>
      </c>
      <c r="AD368" s="9" t="s">
        <v>2013</v>
      </c>
      <c r="AH368" s="30">
        <v>1575</v>
      </c>
      <c r="AI368" s="30" t="s">
        <v>77</v>
      </c>
      <c r="AJ368" s="9" t="s">
        <v>57</v>
      </c>
      <c r="AK368" s="11" t="str">
        <f t="shared" si="2"/>
        <v>2021USD</v>
      </c>
      <c r="AL368" s="11">
        <f>VLOOKUP(AK368, Exchange_rates!$C:$D, 2, FALSE)</f>
        <v>0.72709999999999997</v>
      </c>
      <c r="AM368" s="14">
        <f t="shared" si="3"/>
        <v>1374.2189999999998</v>
      </c>
      <c r="AN368" s="30"/>
      <c r="AO368" s="9"/>
      <c r="AP368" s="9"/>
      <c r="AQ368" s="15" t="s">
        <v>125</v>
      </c>
      <c r="AR368" t="s">
        <v>2000</v>
      </c>
      <c r="AS368" s="16"/>
    </row>
    <row r="369" spans="1:45" ht="14.5">
      <c r="A369" s="9" t="s">
        <v>2014</v>
      </c>
      <c r="B369" s="9" t="s">
        <v>2015</v>
      </c>
      <c r="C369" s="9" t="s">
        <v>2016</v>
      </c>
      <c r="D369" s="9" t="s">
        <v>1994</v>
      </c>
      <c r="E369" s="9" t="s">
        <v>125</v>
      </c>
      <c r="F369" s="9" t="s">
        <v>69</v>
      </c>
      <c r="G369" s="9" t="s">
        <v>70</v>
      </c>
      <c r="H369" s="9" t="s">
        <v>2017</v>
      </c>
      <c r="I369" s="9" t="s">
        <v>72</v>
      </c>
      <c r="J369" s="10"/>
      <c r="K369" s="10"/>
      <c r="L369" s="29"/>
      <c r="M369" s="28">
        <v>44307</v>
      </c>
      <c r="N369" s="9">
        <v>2021</v>
      </c>
      <c r="O369" s="9" t="s">
        <v>2011</v>
      </c>
      <c r="P369" s="9" t="s">
        <v>53</v>
      </c>
      <c r="Q369" s="9" t="s">
        <v>53</v>
      </c>
      <c r="R369" s="9" t="s">
        <v>2018</v>
      </c>
      <c r="S369" s="9" t="s">
        <v>2019</v>
      </c>
      <c r="T369" s="9"/>
      <c r="V369" s="9"/>
      <c r="W369" s="11">
        <f>IFERROR(VLOOKUP(B369, PlumX_snapshot!$A:$B, 2, FALSE), " ")</f>
        <v>253</v>
      </c>
      <c r="X369" s="11">
        <f>IFERROR(VLOOKUP(B369, PlumX_snapshot!$A:$C, 3, FALSE), " ")</f>
        <v>58</v>
      </c>
      <c r="Y369" s="12">
        <f>IFERROR(VLOOKUP(B369, PlumX_snapshot!$A:$D, 4, FALSE), " ")</f>
        <v>771</v>
      </c>
      <c r="Z369" s="12">
        <f>IFERROR(VLOOKUP(B369, PlumX_snapshot!$A:$E, 5, FALSE), " ")</f>
        <v>0</v>
      </c>
      <c r="AA369" s="12">
        <f>IFERROR(VLOOKUP(B369, PlumX_snapshot!$A:$F, 6, FALSE), " ")</f>
        <v>11</v>
      </c>
      <c r="AB369" s="13">
        <v>44978</v>
      </c>
      <c r="AC369" s="9" t="s">
        <v>2020</v>
      </c>
      <c r="AD369" s="9" t="s">
        <v>2021</v>
      </c>
      <c r="AH369" s="9">
        <v>2958</v>
      </c>
      <c r="AI369" s="30" t="s">
        <v>1999</v>
      </c>
      <c r="AJ369" s="9" t="s">
        <v>57</v>
      </c>
      <c r="AK369" s="11" t="str">
        <f t="shared" si="2"/>
        <v>2021USD</v>
      </c>
      <c r="AL369" s="11">
        <f>VLOOKUP(AK369, Exchange_rates!$C:$D, 2, FALSE)</f>
        <v>0.72709999999999997</v>
      </c>
      <c r="AM369" s="14">
        <f t="shared" si="3"/>
        <v>2580.9141599999998</v>
      </c>
      <c r="AN369" s="9"/>
      <c r="AO369" s="9"/>
      <c r="AP369" s="9"/>
      <c r="AQ369" s="15" t="s">
        <v>125</v>
      </c>
      <c r="AR369" t="s">
        <v>2022</v>
      </c>
      <c r="AS369" s="16"/>
    </row>
    <row r="370" spans="1:45" ht="14.5">
      <c r="A370" s="9" t="s">
        <v>2023</v>
      </c>
      <c r="B370" s="9" t="s">
        <v>2024</v>
      </c>
      <c r="C370" s="9" t="s">
        <v>1993</v>
      </c>
      <c r="D370" s="9" t="s">
        <v>1994</v>
      </c>
      <c r="E370" s="9" t="s">
        <v>125</v>
      </c>
      <c r="F370" s="9" t="s">
        <v>69</v>
      </c>
      <c r="G370" s="9" t="s">
        <v>70</v>
      </c>
      <c r="H370" s="9" t="s">
        <v>1995</v>
      </c>
      <c r="I370" s="9" t="s">
        <v>72</v>
      </c>
      <c r="J370" s="10"/>
      <c r="K370" s="10"/>
      <c r="L370" s="29"/>
      <c r="M370" s="28">
        <v>44333</v>
      </c>
      <c r="N370" s="9">
        <v>2021</v>
      </c>
      <c r="O370" s="9" t="s">
        <v>2025</v>
      </c>
      <c r="P370" s="9" t="s">
        <v>83</v>
      </c>
      <c r="Q370" s="9" t="s">
        <v>53</v>
      </c>
      <c r="T370" s="9"/>
      <c r="V370" s="9"/>
      <c r="W370" s="11">
        <f>IFERROR(VLOOKUP(B370, PlumX_snapshot!$A:$B, 2, FALSE), " ")</f>
        <v>6</v>
      </c>
      <c r="X370" s="11">
        <f>IFERROR(VLOOKUP(B370, PlumX_snapshot!$A:$C, 3, FALSE), " ")</f>
        <v>49</v>
      </c>
      <c r="Y370" s="12">
        <f>IFERROR(VLOOKUP(B370, PlumX_snapshot!$A:$D, 4, FALSE), " ")</f>
        <v>10</v>
      </c>
      <c r="Z370" s="12">
        <f>IFERROR(VLOOKUP(B370, PlumX_snapshot!$A:$E, 5, FALSE), " ")</f>
        <v>0</v>
      </c>
      <c r="AA370" s="12">
        <f>IFERROR(VLOOKUP(B370, PlumX_snapshot!$A:$F, 6, FALSE), " ")</f>
        <v>0</v>
      </c>
      <c r="AB370" s="13">
        <v>44978</v>
      </c>
      <c r="AC370" s="9" t="s">
        <v>2026</v>
      </c>
      <c r="AD370" s="9" t="s">
        <v>2027</v>
      </c>
      <c r="AH370" s="30">
        <v>1575</v>
      </c>
      <c r="AI370" s="30" t="s">
        <v>1999</v>
      </c>
      <c r="AJ370" s="9" t="s">
        <v>57</v>
      </c>
      <c r="AK370" s="11" t="str">
        <f t="shared" si="2"/>
        <v>2021USD</v>
      </c>
      <c r="AL370" s="11">
        <f>VLOOKUP(AK370, Exchange_rates!$C:$D, 2, FALSE)</f>
        <v>0.72709999999999997</v>
      </c>
      <c r="AM370" s="14">
        <f t="shared" si="3"/>
        <v>1374.2189999999998</v>
      </c>
      <c r="AN370" s="9"/>
      <c r="AO370" s="9"/>
      <c r="AP370" s="9"/>
      <c r="AQ370" s="15" t="s">
        <v>125</v>
      </c>
      <c r="AR370" t="s">
        <v>2000</v>
      </c>
      <c r="AS370" s="16"/>
    </row>
    <row r="371" spans="1:45" ht="14.5">
      <c r="A371" s="9" t="s">
        <v>2028</v>
      </c>
      <c r="B371" s="9" t="s">
        <v>2029</v>
      </c>
      <c r="C371" s="9" t="s">
        <v>1993</v>
      </c>
      <c r="D371" s="9" t="s">
        <v>1994</v>
      </c>
      <c r="E371" s="9" t="s">
        <v>125</v>
      </c>
      <c r="F371" s="9" t="s">
        <v>69</v>
      </c>
      <c r="G371" s="9" t="s">
        <v>70</v>
      </c>
      <c r="H371" s="9" t="s">
        <v>1995</v>
      </c>
      <c r="I371" s="9" t="s">
        <v>72</v>
      </c>
      <c r="J371" s="10"/>
      <c r="K371" s="10"/>
      <c r="L371" s="29"/>
      <c r="M371" s="28">
        <v>44356</v>
      </c>
      <c r="N371" s="9">
        <v>2021</v>
      </c>
      <c r="O371" s="9" t="s">
        <v>2025</v>
      </c>
      <c r="P371" s="9" t="s">
        <v>53</v>
      </c>
      <c r="Q371" s="9" t="s">
        <v>53</v>
      </c>
      <c r="T371" s="9"/>
      <c r="V371" s="9"/>
      <c r="W371" s="11">
        <f>IFERROR(VLOOKUP(B371, PlumX_snapshot!$A:$B, 2, FALSE), " ")</f>
        <v>31</v>
      </c>
      <c r="X371" s="11">
        <f>IFERROR(VLOOKUP(B371, PlumX_snapshot!$A:$C, 3, FALSE), " ")</f>
        <v>115</v>
      </c>
      <c r="Y371" s="12">
        <f>IFERROR(VLOOKUP(B371, PlumX_snapshot!$A:$D, 4, FALSE), " ")</f>
        <v>121</v>
      </c>
      <c r="Z371" s="12">
        <f>IFERROR(VLOOKUP(B371, PlumX_snapshot!$A:$E, 5, FALSE), " ")</f>
        <v>0</v>
      </c>
      <c r="AA371" s="12">
        <f>IFERROR(VLOOKUP(B371, PlumX_snapshot!$A:$F, 6, FALSE), " ")</f>
        <v>8</v>
      </c>
      <c r="AB371" s="13">
        <v>44978</v>
      </c>
      <c r="AC371" s="9" t="s">
        <v>2030</v>
      </c>
      <c r="AD371" s="9" t="s">
        <v>2031</v>
      </c>
      <c r="AH371" s="30">
        <v>1575</v>
      </c>
      <c r="AI371" s="30" t="s">
        <v>1999</v>
      </c>
      <c r="AJ371" s="9" t="s">
        <v>57</v>
      </c>
      <c r="AK371" s="11" t="str">
        <f t="shared" si="2"/>
        <v>2021USD</v>
      </c>
      <c r="AL371" s="11">
        <f>VLOOKUP(AK371, Exchange_rates!$C:$D, 2, FALSE)</f>
        <v>0.72709999999999997</v>
      </c>
      <c r="AM371" s="14">
        <f t="shared" si="3"/>
        <v>1374.2189999999998</v>
      </c>
      <c r="AN371" s="9"/>
      <c r="AO371" s="9"/>
      <c r="AP371" s="9"/>
      <c r="AQ371" s="15" t="s">
        <v>125</v>
      </c>
      <c r="AR371" t="s">
        <v>2000</v>
      </c>
      <c r="AS371" s="16"/>
    </row>
    <row r="372" spans="1:45" ht="14.5">
      <c r="A372" s="9" t="s">
        <v>2032</v>
      </c>
      <c r="B372" s="9" t="s">
        <v>2033</v>
      </c>
      <c r="C372" s="9" t="s">
        <v>1993</v>
      </c>
      <c r="D372" s="9" t="s">
        <v>1994</v>
      </c>
      <c r="E372" s="9" t="s">
        <v>125</v>
      </c>
      <c r="F372" s="9" t="s">
        <v>69</v>
      </c>
      <c r="G372" s="9" t="s">
        <v>70</v>
      </c>
      <c r="H372" s="9" t="s">
        <v>1995</v>
      </c>
      <c r="I372" s="9" t="s">
        <v>72</v>
      </c>
      <c r="J372" s="10"/>
      <c r="K372" s="10"/>
      <c r="L372" s="29"/>
      <c r="M372" s="28">
        <v>44356</v>
      </c>
      <c r="N372" s="9">
        <v>2021</v>
      </c>
      <c r="O372" s="9" t="s">
        <v>2025</v>
      </c>
      <c r="P372" s="9" t="s">
        <v>53</v>
      </c>
      <c r="Q372" s="9" t="s">
        <v>53</v>
      </c>
      <c r="S372" s="9" t="s">
        <v>2019</v>
      </c>
      <c r="T372" s="9"/>
      <c r="V372" s="9"/>
      <c r="W372" s="11">
        <f>IFERROR(VLOOKUP(B372, PlumX_snapshot!$A:$B, 2, FALSE), " ")</f>
        <v>97</v>
      </c>
      <c r="X372" s="11">
        <f>IFERROR(VLOOKUP(B372, PlumX_snapshot!$A:$C, 3, FALSE), " ")</f>
        <v>76</v>
      </c>
      <c r="Y372" s="12">
        <f>IFERROR(VLOOKUP(B372, PlumX_snapshot!$A:$D, 4, FALSE), " ")</f>
        <v>11</v>
      </c>
      <c r="Z372" s="12">
        <f>IFERROR(VLOOKUP(B372, PlumX_snapshot!$A:$E, 5, FALSE), " ")</f>
        <v>0</v>
      </c>
      <c r="AA372" s="12">
        <f>IFERROR(VLOOKUP(B372, PlumX_snapshot!$A:$F, 6, FALSE), " ")</f>
        <v>3</v>
      </c>
      <c r="AB372" s="13">
        <v>44978</v>
      </c>
      <c r="AC372" s="9" t="s">
        <v>2034</v>
      </c>
      <c r="AD372" s="9" t="s">
        <v>2035</v>
      </c>
      <c r="AH372" s="30">
        <v>1575</v>
      </c>
      <c r="AI372" s="30" t="s">
        <v>1999</v>
      </c>
      <c r="AJ372" s="9" t="s">
        <v>57</v>
      </c>
      <c r="AK372" s="11" t="str">
        <f t="shared" si="2"/>
        <v>2021USD</v>
      </c>
      <c r="AL372" s="11">
        <f>VLOOKUP(AK372, Exchange_rates!$C:$D, 2, FALSE)</f>
        <v>0.72709999999999997</v>
      </c>
      <c r="AM372" s="14">
        <f t="shared" si="3"/>
        <v>1374.2189999999998</v>
      </c>
      <c r="AN372" s="9"/>
      <c r="AO372" s="9"/>
      <c r="AP372" s="9"/>
      <c r="AQ372" s="15" t="s">
        <v>125</v>
      </c>
      <c r="AR372" t="s">
        <v>2000</v>
      </c>
      <c r="AS372" s="16"/>
    </row>
    <row r="373" spans="1:45" ht="14.5">
      <c r="A373" s="9" t="s">
        <v>2036</v>
      </c>
      <c r="B373" s="9" t="s">
        <v>2037</v>
      </c>
      <c r="C373" s="9" t="s">
        <v>2038</v>
      </c>
      <c r="D373" s="9" t="s">
        <v>1994</v>
      </c>
      <c r="E373" s="9" t="s">
        <v>125</v>
      </c>
      <c r="F373" s="9" t="s">
        <v>69</v>
      </c>
      <c r="G373" s="9" t="s">
        <v>70</v>
      </c>
      <c r="H373" s="9" t="s">
        <v>1995</v>
      </c>
      <c r="I373" s="9" t="s">
        <v>72</v>
      </c>
      <c r="J373" s="10"/>
      <c r="K373" s="10"/>
      <c r="L373" s="29"/>
      <c r="M373" s="28">
        <v>44393</v>
      </c>
      <c r="N373" s="9">
        <v>2021</v>
      </c>
      <c r="O373" s="9" t="s">
        <v>2039</v>
      </c>
      <c r="P373" s="9" t="s">
        <v>83</v>
      </c>
      <c r="Q373" s="9" t="s">
        <v>83</v>
      </c>
      <c r="T373" s="9"/>
      <c r="V373" s="9"/>
      <c r="W373" s="11">
        <f>IFERROR(VLOOKUP(B373, PlumX_snapshot!$A:$B, 2, FALSE), " ")</f>
        <v>42</v>
      </c>
      <c r="X373" s="11">
        <f>IFERROR(VLOOKUP(B373, PlumX_snapshot!$A:$C, 3, FALSE), " ")</f>
        <v>11</v>
      </c>
      <c r="Y373" s="12">
        <f>IFERROR(VLOOKUP(B373, PlumX_snapshot!$A:$D, 4, FALSE), " ")</f>
        <v>53</v>
      </c>
      <c r="Z373" s="12">
        <f>IFERROR(VLOOKUP(B373, PlumX_snapshot!$A:$E, 5, FALSE), " ")</f>
        <v>0</v>
      </c>
      <c r="AA373" s="12">
        <f>IFERROR(VLOOKUP(B373, PlumX_snapshot!$A:$F, 6, FALSE), " ")</f>
        <v>0</v>
      </c>
      <c r="AB373" s="13">
        <v>44978</v>
      </c>
      <c r="AC373" s="9" t="s">
        <v>2040</v>
      </c>
      <c r="AD373" s="9" t="s">
        <v>1868</v>
      </c>
      <c r="AH373" s="9">
        <v>2958</v>
      </c>
      <c r="AI373" s="30" t="s">
        <v>1999</v>
      </c>
      <c r="AJ373" s="9" t="s">
        <v>57</v>
      </c>
      <c r="AK373" s="11" t="str">
        <f t="shared" si="2"/>
        <v>2021USD</v>
      </c>
      <c r="AL373" s="11">
        <f>VLOOKUP(AK373, Exchange_rates!$C:$D, 2, FALSE)</f>
        <v>0.72709999999999997</v>
      </c>
      <c r="AM373" s="14">
        <f t="shared" si="3"/>
        <v>2580.9141599999998</v>
      </c>
      <c r="AN373" s="9"/>
      <c r="AO373" s="9"/>
      <c r="AP373" s="9"/>
      <c r="AQ373" s="15" t="s">
        <v>125</v>
      </c>
      <c r="AR373" t="s">
        <v>2041</v>
      </c>
      <c r="AS373" s="16"/>
    </row>
    <row r="374" spans="1:45" ht="14.5">
      <c r="A374" s="9" t="s">
        <v>2042</v>
      </c>
      <c r="B374" s="9" t="s">
        <v>2043</v>
      </c>
      <c r="C374" s="9" t="s">
        <v>1993</v>
      </c>
      <c r="D374" s="9" t="s">
        <v>1994</v>
      </c>
      <c r="E374" s="9" t="s">
        <v>125</v>
      </c>
      <c r="F374" s="9" t="s">
        <v>69</v>
      </c>
      <c r="G374" s="9" t="s">
        <v>70</v>
      </c>
      <c r="H374" s="9" t="s">
        <v>1995</v>
      </c>
      <c r="I374" s="9" t="s">
        <v>72</v>
      </c>
      <c r="J374" s="10"/>
      <c r="K374" s="10"/>
      <c r="L374" s="29"/>
      <c r="M374" s="28">
        <v>44390</v>
      </c>
      <c r="N374" s="9">
        <v>2021</v>
      </c>
      <c r="O374" s="9" t="s">
        <v>2039</v>
      </c>
      <c r="P374" s="9" t="s">
        <v>83</v>
      </c>
      <c r="Q374" s="9" t="s">
        <v>53</v>
      </c>
      <c r="T374" s="9"/>
      <c r="V374" s="9"/>
      <c r="W374" s="11">
        <f>IFERROR(VLOOKUP(B374, PlumX_snapshot!$A:$B, 2, FALSE), " ")</f>
        <v>79</v>
      </c>
      <c r="X374" s="11">
        <f>IFERROR(VLOOKUP(B374, PlumX_snapshot!$A:$C, 3, FALSE), " ")</f>
        <v>128</v>
      </c>
      <c r="Y374" s="12">
        <f>IFERROR(VLOOKUP(B374, PlumX_snapshot!$A:$D, 4, FALSE), " ")</f>
        <v>23</v>
      </c>
      <c r="Z374" s="12">
        <f>IFERROR(VLOOKUP(B374, PlumX_snapshot!$A:$E, 5, FALSE), " ")</f>
        <v>0</v>
      </c>
      <c r="AA374" s="12">
        <f>IFERROR(VLOOKUP(B374, PlumX_snapshot!$A:$F, 6, FALSE), " ")</f>
        <v>0</v>
      </c>
      <c r="AB374" s="13">
        <v>44978</v>
      </c>
      <c r="AC374" s="9" t="s">
        <v>2044</v>
      </c>
      <c r="AD374" s="9" t="s">
        <v>2045</v>
      </c>
      <c r="AH374" s="9">
        <v>1749</v>
      </c>
      <c r="AI374" s="30" t="s">
        <v>1999</v>
      </c>
      <c r="AJ374" s="9" t="s">
        <v>57</v>
      </c>
      <c r="AK374" s="11" t="str">
        <f t="shared" si="2"/>
        <v>2021USD</v>
      </c>
      <c r="AL374" s="11">
        <f>VLOOKUP(AK374, Exchange_rates!$C:$D, 2, FALSE)</f>
        <v>0.72709999999999997</v>
      </c>
      <c r="AM374" s="14">
        <f t="shared" si="3"/>
        <v>1526.0374799999997</v>
      </c>
      <c r="AN374" s="9"/>
      <c r="AO374" s="9"/>
      <c r="AP374" s="9"/>
      <c r="AQ374" s="15" t="s">
        <v>125</v>
      </c>
      <c r="AR374" t="s">
        <v>2000</v>
      </c>
      <c r="AS374" s="16"/>
    </row>
    <row r="375" spans="1:45" ht="14.5">
      <c r="A375" s="9" t="s">
        <v>2046</v>
      </c>
      <c r="B375" s="9" t="s">
        <v>2047</v>
      </c>
      <c r="C375" s="9" t="s">
        <v>1993</v>
      </c>
      <c r="D375" s="9" t="s">
        <v>1994</v>
      </c>
      <c r="E375" s="9" t="s">
        <v>125</v>
      </c>
      <c r="F375" s="9" t="s">
        <v>69</v>
      </c>
      <c r="G375" s="9" t="s">
        <v>70</v>
      </c>
      <c r="H375" s="9" t="s">
        <v>1995</v>
      </c>
      <c r="I375" s="9" t="s">
        <v>72</v>
      </c>
      <c r="J375" s="10"/>
      <c r="K375" s="10"/>
      <c r="L375" s="29"/>
      <c r="M375" s="28">
        <v>44400</v>
      </c>
      <c r="N375" s="9">
        <v>2021</v>
      </c>
      <c r="O375" s="9" t="s">
        <v>2039</v>
      </c>
      <c r="P375" s="9" t="s">
        <v>53</v>
      </c>
      <c r="Q375" s="9" t="s">
        <v>53</v>
      </c>
      <c r="T375" s="9"/>
      <c r="V375" s="9"/>
      <c r="W375" s="11">
        <f>IFERROR(VLOOKUP(B375, PlumX_snapshot!$A:$B, 2, FALSE), " ")</f>
        <v>28</v>
      </c>
      <c r="X375" s="11">
        <f>IFERROR(VLOOKUP(B375, PlumX_snapshot!$A:$C, 3, FALSE), " ")</f>
        <v>113</v>
      </c>
      <c r="Y375" s="12">
        <f>IFERROR(VLOOKUP(B375, PlumX_snapshot!$A:$D, 4, FALSE), " ")</f>
        <v>26</v>
      </c>
      <c r="Z375" s="12">
        <f>IFERROR(VLOOKUP(B375, PlumX_snapshot!$A:$E, 5, FALSE), " ")</f>
        <v>0</v>
      </c>
      <c r="AA375" s="12">
        <f>IFERROR(VLOOKUP(B375, PlumX_snapshot!$A:$F, 6, FALSE), " ")</f>
        <v>1</v>
      </c>
      <c r="AB375" s="13">
        <v>44978</v>
      </c>
      <c r="AC375" s="9" t="s">
        <v>2048</v>
      </c>
      <c r="AD375" s="9" t="s">
        <v>2049</v>
      </c>
      <c r="AH375" s="9">
        <v>1749</v>
      </c>
      <c r="AI375" s="30" t="s">
        <v>1999</v>
      </c>
      <c r="AJ375" s="9" t="s">
        <v>57</v>
      </c>
      <c r="AK375" s="11" t="str">
        <f t="shared" si="2"/>
        <v>2021USD</v>
      </c>
      <c r="AL375" s="11">
        <f>VLOOKUP(AK375, Exchange_rates!$C:$D, 2, FALSE)</f>
        <v>0.72709999999999997</v>
      </c>
      <c r="AM375" s="14">
        <f t="shared" si="3"/>
        <v>1526.0374799999997</v>
      </c>
      <c r="AN375" s="9"/>
      <c r="AO375" s="9"/>
      <c r="AP375" s="9"/>
      <c r="AQ375" s="15" t="s">
        <v>125</v>
      </c>
      <c r="AR375" t="s">
        <v>2000</v>
      </c>
      <c r="AS375" s="16"/>
    </row>
    <row r="376" spans="1:45" ht="14.5">
      <c r="A376" s="9" t="s">
        <v>2050</v>
      </c>
      <c r="B376" s="9" t="s">
        <v>2051</v>
      </c>
      <c r="C376" s="9" t="s">
        <v>1993</v>
      </c>
      <c r="D376" s="9" t="s">
        <v>1994</v>
      </c>
      <c r="E376" s="9" t="s">
        <v>125</v>
      </c>
      <c r="F376" s="9" t="s">
        <v>69</v>
      </c>
      <c r="G376" s="9" t="s">
        <v>70</v>
      </c>
      <c r="H376" s="9" t="s">
        <v>1995</v>
      </c>
      <c r="I376" s="9" t="s">
        <v>72</v>
      </c>
      <c r="J376" s="10"/>
      <c r="K376" s="10"/>
      <c r="L376" s="29"/>
      <c r="M376" s="28">
        <v>44412</v>
      </c>
      <c r="N376" s="9">
        <v>2021</v>
      </c>
      <c r="O376" s="9" t="s">
        <v>2039</v>
      </c>
      <c r="P376" s="9" t="s">
        <v>53</v>
      </c>
      <c r="Q376" s="9" t="s">
        <v>53</v>
      </c>
      <c r="T376" s="9"/>
      <c r="V376" s="9"/>
      <c r="W376" s="11">
        <f>IFERROR(VLOOKUP(B376, PlumX_snapshot!$A:$B, 2, FALSE), " ")</f>
        <v>231</v>
      </c>
      <c r="X376" s="11">
        <f>IFERROR(VLOOKUP(B376, PlumX_snapshot!$A:$C, 3, FALSE), " ")</f>
        <v>39</v>
      </c>
      <c r="Y376" s="12">
        <f>IFERROR(VLOOKUP(B376, PlumX_snapshot!$A:$D, 4, FALSE), " ")</f>
        <v>50</v>
      </c>
      <c r="Z376" s="12">
        <f>IFERROR(VLOOKUP(B376, PlumX_snapshot!$A:$E, 5, FALSE), " ")</f>
        <v>0</v>
      </c>
      <c r="AA376" s="12">
        <f>IFERROR(VLOOKUP(B376, PlumX_snapshot!$A:$F, 6, FALSE), " ")</f>
        <v>3</v>
      </c>
      <c r="AB376" s="13">
        <v>44978</v>
      </c>
      <c r="AC376" s="9" t="s">
        <v>2052</v>
      </c>
      <c r="AD376" s="9" t="s">
        <v>2053</v>
      </c>
      <c r="AH376" s="9">
        <v>1749</v>
      </c>
      <c r="AI376" s="30" t="s">
        <v>1999</v>
      </c>
      <c r="AJ376" s="9" t="s">
        <v>57</v>
      </c>
      <c r="AK376" s="11" t="str">
        <f t="shared" si="2"/>
        <v>2021USD</v>
      </c>
      <c r="AL376" s="11">
        <f>VLOOKUP(AK376, Exchange_rates!$C:$D, 2, FALSE)</f>
        <v>0.72709999999999997</v>
      </c>
      <c r="AM376" s="14">
        <f t="shared" si="3"/>
        <v>1526.0374799999997</v>
      </c>
      <c r="AN376" s="9"/>
      <c r="AO376" s="9"/>
      <c r="AP376" s="9"/>
      <c r="AQ376" s="15" t="s">
        <v>125</v>
      </c>
      <c r="AR376" t="s">
        <v>2000</v>
      </c>
      <c r="AS376" s="16"/>
    </row>
    <row r="377" spans="1:45" ht="14.5">
      <c r="A377" s="9" t="s">
        <v>2054</v>
      </c>
      <c r="B377" s="9" t="s">
        <v>2055</v>
      </c>
      <c r="C377" s="9" t="s">
        <v>2056</v>
      </c>
      <c r="D377" s="9" t="s">
        <v>1994</v>
      </c>
      <c r="E377" s="9" t="s">
        <v>125</v>
      </c>
      <c r="F377" s="9" t="s">
        <v>69</v>
      </c>
      <c r="G377" s="9" t="s">
        <v>70</v>
      </c>
      <c r="H377" s="9" t="s">
        <v>2017</v>
      </c>
      <c r="I377" s="9" t="s">
        <v>72</v>
      </c>
      <c r="J377" s="10"/>
      <c r="K377" s="10"/>
      <c r="L377" s="29"/>
      <c r="M377" s="28">
        <v>44481</v>
      </c>
      <c r="N377" s="9">
        <v>2021</v>
      </c>
      <c r="O377" s="9" t="s">
        <v>2057</v>
      </c>
      <c r="P377" s="9" t="s">
        <v>53</v>
      </c>
      <c r="Q377" s="9" t="s">
        <v>53</v>
      </c>
      <c r="R377" s="9" t="s">
        <v>2058</v>
      </c>
      <c r="T377" s="9"/>
      <c r="U377" s="9" t="s">
        <v>2059</v>
      </c>
      <c r="V377" s="9"/>
      <c r="W377" s="11">
        <f>IFERROR(VLOOKUP(B377, PlumX_snapshot!$A:$B, 2, FALSE), " ")</f>
        <v>189</v>
      </c>
      <c r="X377" s="11">
        <f>IFERROR(VLOOKUP(B377, PlumX_snapshot!$A:$C, 3, FALSE), " ")</f>
        <v>7</v>
      </c>
      <c r="Y377" s="12">
        <f>IFERROR(VLOOKUP(B377, PlumX_snapshot!$A:$D, 4, FALSE), " ")</f>
        <v>164</v>
      </c>
      <c r="Z377" s="12">
        <f>IFERROR(VLOOKUP(B377, PlumX_snapshot!$A:$E, 5, FALSE), " ")</f>
        <v>0</v>
      </c>
      <c r="AA377" s="12">
        <f>IFERROR(VLOOKUP(B377, PlumX_snapshot!$A:$F, 6, FALSE), " ")</f>
        <v>3</v>
      </c>
      <c r="AB377" s="13">
        <v>44978</v>
      </c>
      <c r="AC377" s="9" t="s">
        <v>2060</v>
      </c>
      <c r="AD377" s="9" t="s">
        <v>2061</v>
      </c>
      <c r="AH377" s="9">
        <v>4000</v>
      </c>
      <c r="AI377" s="9" t="s">
        <v>77</v>
      </c>
      <c r="AJ377" s="9" t="s">
        <v>57</v>
      </c>
      <c r="AK377" s="11" t="str">
        <f t="shared" si="2"/>
        <v>2021USD</v>
      </c>
      <c r="AL377" s="11">
        <f>VLOOKUP(AK377, Exchange_rates!$C:$D, 2, FALSE)</f>
        <v>0.72709999999999997</v>
      </c>
      <c r="AM377" s="14">
        <f t="shared" si="3"/>
        <v>3490.08</v>
      </c>
      <c r="AN377" s="9"/>
      <c r="AO377" s="9"/>
      <c r="AP377" s="9"/>
      <c r="AQ377" s="15" t="s">
        <v>125</v>
      </c>
      <c r="AR377" t="s">
        <v>2062</v>
      </c>
      <c r="AS377" s="16"/>
    </row>
    <row r="378" spans="1:45" ht="14.5">
      <c r="A378" s="9" t="s">
        <v>2063</v>
      </c>
      <c r="B378" s="9" t="s">
        <v>2064</v>
      </c>
      <c r="C378" s="9" t="s">
        <v>2065</v>
      </c>
      <c r="D378" s="9" t="s">
        <v>1994</v>
      </c>
      <c r="E378" s="9" t="s">
        <v>125</v>
      </c>
      <c r="F378" s="9" t="s">
        <v>69</v>
      </c>
      <c r="G378" s="9" t="s">
        <v>70</v>
      </c>
      <c r="H378" s="9" t="s">
        <v>1995</v>
      </c>
      <c r="I378" s="9" t="s">
        <v>72</v>
      </c>
      <c r="J378" s="10">
        <v>44408</v>
      </c>
      <c r="K378" s="10">
        <v>44476</v>
      </c>
      <c r="L378" s="29"/>
      <c r="M378" s="28">
        <v>44482</v>
      </c>
      <c r="N378" s="9">
        <v>2021</v>
      </c>
      <c r="O378" s="9" t="s">
        <v>2066</v>
      </c>
      <c r="P378" s="9" t="s">
        <v>53</v>
      </c>
      <c r="Q378" s="9" t="s">
        <v>53</v>
      </c>
      <c r="R378" s="9" t="s">
        <v>2067</v>
      </c>
      <c r="T378" s="9"/>
      <c r="V378" s="9"/>
      <c r="W378" s="11">
        <f>IFERROR(VLOOKUP(B378, PlumX_snapshot!$A:$B, 2, FALSE), " ")</f>
        <v>4</v>
      </c>
      <c r="X378" s="11">
        <f>IFERROR(VLOOKUP(B378, PlumX_snapshot!$A:$C, 3, FALSE), " ")</f>
        <v>0</v>
      </c>
      <c r="Y378" s="12">
        <f>IFERROR(VLOOKUP(B378, PlumX_snapshot!$A:$D, 4, FALSE), " ")</f>
        <v>4</v>
      </c>
      <c r="Z378" s="12">
        <f>IFERROR(VLOOKUP(B378, PlumX_snapshot!$A:$E, 5, FALSE), " ")</f>
        <v>0</v>
      </c>
      <c r="AA378" s="12">
        <f>IFERROR(VLOOKUP(B378, PlumX_snapshot!$A:$F, 6, FALSE), " ")</f>
        <v>0</v>
      </c>
      <c r="AB378" s="13">
        <v>44978</v>
      </c>
      <c r="AC378" s="9" t="s">
        <v>2068</v>
      </c>
      <c r="AD378" s="9" t="s">
        <v>2069</v>
      </c>
      <c r="AH378" s="9">
        <v>2958</v>
      </c>
      <c r="AI378" s="9" t="s">
        <v>1999</v>
      </c>
      <c r="AJ378" s="9" t="s">
        <v>57</v>
      </c>
      <c r="AK378" s="11" t="str">
        <f t="shared" si="2"/>
        <v>2021USD</v>
      </c>
      <c r="AL378" s="11">
        <f>VLOOKUP(AK378, Exchange_rates!$C:$D, 2, FALSE)</f>
        <v>0.72709999999999997</v>
      </c>
      <c r="AM378" s="14">
        <f t="shared" si="3"/>
        <v>2580.9141599999998</v>
      </c>
      <c r="AN378" s="9"/>
      <c r="AO378" s="9"/>
      <c r="AP378" s="9"/>
      <c r="AQ378" s="15" t="s">
        <v>125</v>
      </c>
      <c r="AR378" t="s">
        <v>2070</v>
      </c>
      <c r="AS378" s="16"/>
    </row>
    <row r="379" spans="1:45" ht="14.5">
      <c r="A379" s="9" t="s">
        <v>2071</v>
      </c>
      <c r="B379" s="9" t="s">
        <v>2072</v>
      </c>
      <c r="C379" s="9" t="s">
        <v>1993</v>
      </c>
      <c r="D379" s="9" t="s">
        <v>1994</v>
      </c>
      <c r="E379" s="9" t="s">
        <v>125</v>
      </c>
      <c r="F379" s="9" t="s">
        <v>69</v>
      </c>
      <c r="G379" s="9" t="s">
        <v>70</v>
      </c>
      <c r="H379" s="9" t="s">
        <v>1995</v>
      </c>
      <c r="I379" s="9" t="s">
        <v>72</v>
      </c>
      <c r="J379" s="10">
        <v>44277</v>
      </c>
      <c r="K379" s="10">
        <v>44474</v>
      </c>
      <c r="L379" s="29"/>
      <c r="M379" s="28">
        <v>44483</v>
      </c>
      <c r="N379" s="9">
        <v>2021</v>
      </c>
      <c r="O379" s="9" t="s">
        <v>2066</v>
      </c>
      <c r="P379" s="9" t="s">
        <v>83</v>
      </c>
      <c r="Q379" s="9" t="s">
        <v>53</v>
      </c>
      <c r="R379" s="9" t="s">
        <v>2073</v>
      </c>
      <c r="T379" s="9"/>
      <c r="V379" s="9"/>
      <c r="W379" s="11">
        <f>IFERROR(VLOOKUP(B379, PlumX_snapshot!$A:$B, 2, FALSE), " ")</f>
        <v>49</v>
      </c>
      <c r="X379" s="11">
        <f>IFERROR(VLOOKUP(B379, PlumX_snapshot!$A:$C, 3, FALSE), " ")</f>
        <v>34</v>
      </c>
      <c r="Y379" s="12">
        <f>IFERROR(VLOOKUP(B379, PlumX_snapshot!$A:$D, 4, FALSE), " ")</f>
        <v>20</v>
      </c>
      <c r="Z379" s="12">
        <f>IFERROR(VLOOKUP(B379, PlumX_snapshot!$A:$E, 5, FALSE), " ")</f>
        <v>0</v>
      </c>
      <c r="AA379" s="12">
        <f>IFERROR(VLOOKUP(B379, PlumX_snapshot!$A:$F, 6, FALSE), " ")</f>
        <v>0</v>
      </c>
      <c r="AB379" s="13">
        <v>44978</v>
      </c>
      <c r="AC379" s="9" t="s">
        <v>540</v>
      </c>
      <c r="AD379" s="9" t="s">
        <v>541</v>
      </c>
      <c r="AH379" s="9">
        <v>1749</v>
      </c>
      <c r="AI379" s="9" t="s">
        <v>1999</v>
      </c>
      <c r="AJ379" s="9" t="s">
        <v>57</v>
      </c>
      <c r="AK379" s="11" t="str">
        <f t="shared" si="2"/>
        <v>2021USD</v>
      </c>
      <c r="AL379" s="11">
        <f>VLOOKUP(AK379, Exchange_rates!$C:$D, 2, FALSE)</f>
        <v>0.72709999999999997</v>
      </c>
      <c r="AM379" s="14">
        <f t="shared" si="3"/>
        <v>1526.0374799999997</v>
      </c>
      <c r="AN379" s="9"/>
      <c r="AO379" s="9"/>
      <c r="AP379" s="9"/>
      <c r="AQ379" s="15" t="s">
        <v>125</v>
      </c>
      <c r="AR379" t="s">
        <v>2000</v>
      </c>
      <c r="AS379" s="16"/>
    </row>
    <row r="380" spans="1:45" ht="14.5">
      <c r="A380" s="9" t="s">
        <v>2074</v>
      </c>
      <c r="B380" s="9" t="s">
        <v>2075</v>
      </c>
      <c r="C380" s="9" t="s">
        <v>1993</v>
      </c>
      <c r="D380" s="9" t="s">
        <v>1994</v>
      </c>
      <c r="E380" s="9" t="s">
        <v>125</v>
      </c>
      <c r="F380" s="9" t="s">
        <v>69</v>
      </c>
      <c r="G380" s="9" t="s">
        <v>70</v>
      </c>
      <c r="H380" s="9" t="s">
        <v>1995</v>
      </c>
      <c r="I380" s="9" t="s">
        <v>72</v>
      </c>
      <c r="J380" s="10">
        <v>44320</v>
      </c>
      <c r="K380" s="10">
        <v>44489</v>
      </c>
      <c r="L380" s="29"/>
      <c r="M380" s="28">
        <v>44498</v>
      </c>
      <c r="N380" s="9">
        <v>2021</v>
      </c>
      <c r="O380" s="9" t="s">
        <v>2066</v>
      </c>
      <c r="P380" s="9" t="s">
        <v>53</v>
      </c>
      <c r="Q380" s="9" t="s">
        <v>53</v>
      </c>
      <c r="R380" s="9" t="s">
        <v>2076</v>
      </c>
      <c r="T380" s="9"/>
      <c r="V380" s="9"/>
      <c r="W380" s="11">
        <f>IFERROR(VLOOKUP(B380, PlumX_snapshot!$A:$B, 2, FALSE), " ")</f>
        <v>20</v>
      </c>
      <c r="X380" s="11">
        <f>IFERROR(VLOOKUP(B380, PlumX_snapshot!$A:$C, 3, FALSE), " ")</f>
        <v>69</v>
      </c>
      <c r="Y380" s="12">
        <f>IFERROR(VLOOKUP(B380, PlumX_snapshot!$A:$D, 4, FALSE), " ")</f>
        <v>23</v>
      </c>
      <c r="Z380" s="12">
        <f>IFERROR(VLOOKUP(B380, PlumX_snapshot!$A:$E, 5, FALSE), " ")</f>
        <v>0</v>
      </c>
      <c r="AA380" s="12">
        <f>IFERROR(VLOOKUP(B380, PlumX_snapshot!$A:$F, 6, FALSE), " ")</f>
        <v>0</v>
      </c>
      <c r="AB380" s="13">
        <v>44978</v>
      </c>
      <c r="AC380" s="9" t="s">
        <v>525</v>
      </c>
      <c r="AD380" s="9" t="s">
        <v>526</v>
      </c>
      <c r="AH380" s="9">
        <v>1749</v>
      </c>
      <c r="AI380" s="9" t="s">
        <v>1999</v>
      </c>
      <c r="AJ380" s="9" t="s">
        <v>57</v>
      </c>
      <c r="AK380" s="11" t="str">
        <f t="shared" si="2"/>
        <v>2021USD</v>
      </c>
      <c r="AL380" s="11">
        <f>VLOOKUP(AK380, Exchange_rates!$C:$D, 2, FALSE)</f>
        <v>0.72709999999999997</v>
      </c>
      <c r="AM380" s="14">
        <f t="shared" si="3"/>
        <v>1526.0374799999997</v>
      </c>
      <c r="AN380" s="9"/>
      <c r="AO380" s="9"/>
      <c r="AP380" s="9"/>
      <c r="AQ380" s="15" t="s">
        <v>125</v>
      </c>
      <c r="AR380" t="s">
        <v>2000</v>
      </c>
      <c r="AS380" s="16"/>
    </row>
    <row r="381" spans="1:45" ht="14.5">
      <c r="A381" s="9" t="s">
        <v>2077</v>
      </c>
      <c r="B381" s="9" t="s">
        <v>2078</v>
      </c>
      <c r="C381" s="9" t="s">
        <v>1993</v>
      </c>
      <c r="D381" s="9" t="s">
        <v>1994</v>
      </c>
      <c r="E381" s="9" t="s">
        <v>125</v>
      </c>
      <c r="F381" s="9" t="s">
        <v>69</v>
      </c>
      <c r="G381" s="9" t="s">
        <v>70</v>
      </c>
      <c r="H381" s="9" t="s">
        <v>1995</v>
      </c>
      <c r="I381" s="9" t="s">
        <v>72</v>
      </c>
      <c r="J381" s="10">
        <v>44347</v>
      </c>
      <c r="K381" s="10">
        <v>44484</v>
      </c>
      <c r="L381" s="29"/>
      <c r="M381" s="28">
        <v>44495</v>
      </c>
      <c r="N381" s="9">
        <v>2021</v>
      </c>
      <c r="O381" s="9" t="s">
        <v>2066</v>
      </c>
      <c r="P381" s="9" t="s">
        <v>83</v>
      </c>
      <c r="Q381" s="9" t="s">
        <v>53</v>
      </c>
      <c r="R381" s="9" t="s">
        <v>2079</v>
      </c>
      <c r="T381" s="9"/>
      <c r="V381" s="9"/>
      <c r="W381" s="11">
        <f>IFERROR(VLOOKUP(B381, PlumX_snapshot!$A:$B, 2, FALSE), " ")</f>
        <v>39</v>
      </c>
      <c r="X381" s="11">
        <f>IFERROR(VLOOKUP(B381, PlumX_snapshot!$A:$C, 3, FALSE), " ")</f>
        <v>74</v>
      </c>
      <c r="Y381" s="12">
        <f>IFERROR(VLOOKUP(B381, PlumX_snapshot!$A:$D, 4, FALSE), " ")</f>
        <v>6</v>
      </c>
      <c r="Z381" s="12">
        <f>IFERROR(VLOOKUP(B381, PlumX_snapshot!$A:$E, 5, FALSE), " ")</f>
        <v>0</v>
      </c>
      <c r="AA381" s="12">
        <f>IFERROR(VLOOKUP(B381, PlumX_snapshot!$A:$F, 6, FALSE), " ")</f>
        <v>0</v>
      </c>
      <c r="AB381" s="13">
        <v>44978</v>
      </c>
      <c r="AC381" s="9" t="s">
        <v>2080</v>
      </c>
      <c r="AD381" s="9" t="s">
        <v>2081</v>
      </c>
      <c r="AH381" s="9">
        <v>1749</v>
      </c>
      <c r="AI381" s="9" t="s">
        <v>1999</v>
      </c>
      <c r="AJ381" s="9" t="s">
        <v>57</v>
      </c>
      <c r="AK381" s="11" t="str">
        <f t="shared" si="2"/>
        <v>2021USD</v>
      </c>
      <c r="AL381" s="11">
        <f>VLOOKUP(AK381, Exchange_rates!$C:$D, 2, FALSE)</f>
        <v>0.72709999999999997</v>
      </c>
      <c r="AM381" s="14">
        <f t="shared" si="3"/>
        <v>1526.0374799999997</v>
      </c>
      <c r="AN381" s="9"/>
      <c r="AO381" s="9"/>
      <c r="AP381" s="9"/>
      <c r="AQ381" s="15" t="s">
        <v>125</v>
      </c>
      <c r="AR381" t="s">
        <v>2000</v>
      </c>
      <c r="AS381" s="16"/>
    </row>
    <row r="382" spans="1:45" ht="14.5">
      <c r="A382" s="9" t="s">
        <v>2082</v>
      </c>
      <c r="B382" s="9" t="s">
        <v>2083</v>
      </c>
      <c r="C382" s="9" t="s">
        <v>1993</v>
      </c>
      <c r="D382" s="9" t="s">
        <v>1994</v>
      </c>
      <c r="E382" s="9" t="s">
        <v>125</v>
      </c>
      <c r="F382" s="9" t="s">
        <v>69</v>
      </c>
      <c r="G382" s="9" t="s">
        <v>70</v>
      </c>
      <c r="H382" s="9" t="s">
        <v>1995</v>
      </c>
      <c r="I382" s="9" t="s">
        <v>72</v>
      </c>
      <c r="J382" s="10">
        <v>44356</v>
      </c>
      <c r="K382" s="10">
        <v>44489</v>
      </c>
      <c r="L382" s="29"/>
      <c r="M382" s="10">
        <v>44504</v>
      </c>
      <c r="N382" s="9">
        <v>2021</v>
      </c>
      <c r="O382" s="9" t="s">
        <v>2066</v>
      </c>
      <c r="P382" s="9" t="s">
        <v>83</v>
      </c>
      <c r="Q382" s="9" t="s">
        <v>53</v>
      </c>
      <c r="R382" s="9" t="s">
        <v>2084</v>
      </c>
      <c r="T382" s="9"/>
      <c r="V382" s="9"/>
      <c r="W382" s="11">
        <f>IFERROR(VLOOKUP(B382, PlumX_snapshot!$A:$B, 2, FALSE), " ")</f>
        <v>12</v>
      </c>
      <c r="X382" s="11">
        <f>IFERROR(VLOOKUP(B382, PlumX_snapshot!$A:$C, 3, FALSE), " ")</f>
        <v>56</v>
      </c>
      <c r="Y382" s="12">
        <f>IFERROR(VLOOKUP(B382, PlumX_snapshot!$A:$D, 4, FALSE), " ")</f>
        <v>10</v>
      </c>
      <c r="Z382" s="12">
        <f>IFERROR(VLOOKUP(B382, PlumX_snapshot!$A:$E, 5, FALSE), " ")</f>
        <v>0</v>
      </c>
      <c r="AA382" s="12">
        <f>IFERROR(VLOOKUP(B382, PlumX_snapshot!$A:$F, 6, FALSE), " ")</f>
        <v>0</v>
      </c>
      <c r="AB382" s="13">
        <v>44978</v>
      </c>
      <c r="AC382" s="9" t="s">
        <v>2085</v>
      </c>
      <c r="AD382" s="9" t="s">
        <v>2086</v>
      </c>
      <c r="AH382" s="9">
        <v>1749</v>
      </c>
      <c r="AI382" s="9" t="s">
        <v>1999</v>
      </c>
      <c r="AJ382" s="9" t="s">
        <v>57</v>
      </c>
      <c r="AK382" s="11" t="str">
        <f t="shared" si="2"/>
        <v>2021USD</v>
      </c>
      <c r="AL382" s="11">
        <f>VLOOKUP(AK382, Exchange_rates!$C:$D, 2, FALSE)</f>
        <v>0.72709999999999997</v>
      </c>
      <c r="AM382" s="14">
        <f t="shared" si="3"/>
        <v>1526.0374799999997</v>
      </c>
      <c r="AN382" s="9"/>
      <c r="AO382" s="9"/>
      <c r="AP382" s="9"/>
      <c r="AQ382" s="15" t="s">
        <v>125</v>
      </c>
      <c r="AR382" t="s">
        <v>2000</v>
      </c>
      <c r="AS382" s="16"/>
    </row>
    <row r="383" spans="1:45" ht="14.5">
      <c r="A383" s="9" t="s">
        <v>2087</v>
      </c>
      <c r="B383" s="9" t="s">
        <v>2088</v>
      </c>
      <c r="C383" s="9" t="s">
        <v>1993</v>
      </c>
      <c r="D383" s="9" t="s">
        <v>1994</v>
      </c>
      <c r="E383" s="9" t="s">
        <v>125</v>
      </c>
      <c r="F383" s="9" t="s">
        <v>69</v>
      </c>
      <c r="G383" s="9" t="s">
        <v>70</v>
      </c>
      <c r="H383" s="9" t="s">
        <v>1995</v>
      </c>
      <c r="I383" s="9" t="s">
        <v>72</v>
      </c>
      <c r="J383" s="10">
        <v>44267</v>
      </c>
      <c r="K383" s="10">
        <v>44519</v>
      </c>
      <c r="L383" s="29"/>
      <c r="M383" s="10">
        <v>44531</v>
      </c>
      <c r="N383" s="9">
        <v>2021</v>
      </c>
      <c r="O383" s="9" t="s">
        <v>2089</v>
      </c>
      <c r="P383" s="9" t="s">
        <v>53</v>
      </c>
      <c r="Q383" s="9" t="s">
        <v>53</v>
      </c>
      <c r="R383" s="9" t="s">
        <v>2090</v>
      </c>
      <c r="T383" s="9"/>
      <c r="V383" s="9"/>
      <c r="W383" s="11">
        <f>IFERROR(VLOOKUP(B383, PlumX_snapshot!$A:$B, 2, FALSE), " ")</f>
        <v>19</v>
      </c>
      <c r="X383" s="11">
        <f>IFERROR(VLOOKUP(B383, PlumX_snapshot!$A:$C, 3, FALSE), " ")</f>
        <v>88</v>
      </c>
      <c r="Y383" s="12">
        <f>IFERROR(VLOOKUP(B383, PlumX_snapshot!$A:$D, 4, FALSE), " ")</f>
        <v>5</v>
      </c>
      <c r="Z383" s="12">
        <f>IFERROR(VLOOKUP(B383, PlumX_snapshot!$A:$E, 5, FALSE), " ")</f>
        <v>0</v>
      </c>
      <c r="AA383" s="12">
        <f>IFERROR(VLOOKUP(B383, PlumX_snapshot!$A:$F, 6, FALSE), " ")</f>
        <v>0</v>
      </c>
      <c r="AB383" s="13">
        <v>44978</v>
      </c>
      <c r="AC383" s="9" t="s">
        <v>2091</v>
      </c>
      <c r="AD383" s="9" t="s">
        <v>2092</v>
      </c>
      <c r="AH383" s="9">
        <v>1749</v>
      </c>
      <c r="AI383" s="9" t="s">
        <v>1999</v>
      </c>
      <c r="AJ383" s="9" t="s">
        <v>57</v>
      </c>
      <c r="AK383" s="11" t="str">
        <f t="shared" si="2"/>
        <v>2021USD</v>
      </c>
      <c r="AL383" s="11">
        <f>VLOOKUP(AK383, Exchange_rates!$C:$D, 2, FALSE)</f>
        <v>0.72709999999999997</v>
      </c>
      <c r="AM383" s="14">
        <f t="shared" si="3"/>
        <v>1526.0374799999997</v>
      </c>
      <c r="AN383" s="9"/>
      <c r="AO383" s="9"/>
      <c r="AP383" s="9"/>
      <c r="AQ383" s="15" t="s">
        <v>125</v>
      </c>
      <c r="AR383" t="s">
        <v>2000</v>
      </c>
      <c r="AS383" s="16"/>
    </row>
    <row r="384" spans="1:45" ht="14.5">
      <c r="A384" s="9" t="s">
        <v>2093</v>
      </c>
      <c r="B384" s="9" t="s">
        <v>2094</v>
      </c>
      <c r="C384" s="9" t="s">
        <v>1993</v>
      </c>
      <c r="D384" s="9" t="s">
        <v>1994</v>
      </c>
      <c r="E384" s="9" t="s">
        <v>125</v>
      </c>
      <c r="F384" s="9" t="s">
        <v>69</v>
      </c>
      <c r="G384" s="9" t="s">
        <v>70</v>
      </c>
      <c r="H384" s="9" t="s">
        <v>1995</v>
      </c>
      <c r="I384" s="9" t="s">
        <v>72</v>
      </c>
      <c r="J384" s="10">
        <v>44393</v>
      </c>
      <c r="K384" s="10">
        <v>44523</v>
      </c>
      <c r="L384" s="29"/>
      <c r="M384" s="10">
        <v>44532</v>
      </c>
      <c r="N384" s="9">
        <v>2021</v>
      </c>
      <c r="O384" s="9" t="s">
        <v>2089</v>
      </c>
      <c r="P384" s="9" t="s">
        <v>83</v>
      </c>
      <c r="Q384" s="9" t="s">
        <v>53</v>
      </c>
      <c r="R384" s="9" t="s">
        <v>2095</v>
      </c>
      <c r="T384" s="9"/>
      <c r="V384" s="9"/>
      <c r="W384" s="11">
        <f>IFERROR(VLOOKUP(B384, PlumX_snapshot!$A:$B, 2, FALSE), " ")</f>
        <v>22</v>
      </c>
      <c r="X384" s="11">
        <f>IFERROR(VLOOKUP(B384, PlumX_snapshot!$A:$C, 3, FALSE), " ")</f>
        <v>81</v>
      </c>
      <c r="Y384" s="12">
        <f>IFERROR(VLOOKUP(B384, PlumX_snapshot!$A:$D, 4, FALSE), " ")</f>
        <v>26</v>
      </c>
      <c r="Z384" s="12">
        <f>IFERROR(VLOOKUP(B384, PlumX_snapshot!$A:$E, 5, FALSE), " ")</f>
        <v>0</v>
      </c>
      <c r="AA384" s="12">
        <f>IFERROR(VLOOKUP(B384, PlumX_snapshot!$A:$F, 6, FALSE), " ")</f>
        <v>4</v>
      </c>
      <c r="AB384" s="13">
        <v>44978</v>
      </c>
      <c r="AC384" s="9" t="s">
        <v>2096</v>
      </c>
      <c r="AD384" s="9" t="s">
        <v>2097</v>
      </c>
      <c r="AH384" s="9">
        <v>1749</v>
      </c>
      <c r="AI384" s="9" t="s">
        <v>1999</v>
      </c>
      <c r="AJ384" s="9" t="s">
        <v>57</v>
      </c>
      <c r="AK384" s="11" t="str">
        <f t="shared" si="2"/>
        <v>2021USD</v>
      </c>
      <c r="AL384" s="11">
        <f>VLOOKUP(AK384, Exchange_rates!$C:$D, 2, FALSE)</f>
        <v>0.72709999999999997</v>
      </c>
      <c r="AM384" s="14">
        <f t="shared" si="3"/>
        <v>1526.0374799999997</v>
      </c>
      <c r="AN384" s="9"/>
      <c r="AO384" s="9"/>
      <c r="AP384" s="9"/>
      <c r="AQ384" s="15" t="s">
        <v>125</v>
      </c>
      <c r="AR384" t="s">
        <v>2000</v>
      </c>
      <c r="AS384" s="16"/>
    </row>
    <row r="385" spans="1:45" ht="14.5">
      <c r="A385" s="9" t="s">
        <v>2098</v>
      </c>
      <c r="B385" s="9" t="s">
        <v>2099</v>
      </c>
      <c r="C385" s="9" t="s">
        <v>1993</v>
      </c>
      <c r="D385" s="9" t="s">
        <v>1994</v>
      </c>
      <c r="E385" s="9" t="s">
        <v>125</v>
      </c>
      <c r="F385" s="9" t="s">
        <v>69</v>
      </c>
      <c r="G385" s="9" t="s">
        <v>70</v>
      </c>
      <c r="H385" s="9" t="s">
        <v>1995</v>
      </c>
      <c r="I385" s="9" t="s">
        <v>72</v>
      </c>
      <c r="J385" s="10">
        <v>44262</v>
      </c>
      <c r="K385" s="10">
        <v>44537</v>
      </c>
      <c r="L385" s="29"/>
      <c r="M385" s="28">
        <v>44546</v>
      </c>
      <c r="N385" s="9">
        <v>2021</v>
      </c>
      <c r="O385" s="9" t="s">
        <v>2100</v>
      </c>
      <c r="P385" s="9" t="s">
        <v>53</v>
      </c>
      <c r="Q385" s="9" t="s">
        <v>53</v>
      </c>
      <c r="R385" s="9" t="s">
        <v>2101</v>
      </c>
      <c r="T385" s="9"/>
      <c r="V385" s="9"/>
      <c r="W385" s="11">
        <f>IFERROR(VLOOKUP(B385, PlumX_snapshot!$A:$B, 2, FALSE), " ")</f>
        <v>23</v>
      </c>
      <c r="X385" s="11">
        <f>IFERROR(VLOOKUP(B385, PlumX_snapshot!$A:$C, 3, FALSE), " ")</f>
        <v>65</v>
      </c>
      <c r="Y385" s="12">
        <f>IFERROR(VLOOKUP(B385, PlumX_snapshot!$A:$D, 4, FALSE), " ")</f>
        <v>5</v>
      </c>
      <c r="Z385" s="12">
        <f>IFERROR(VLOOKUP(B385, PlumX_snapshot!$A:$E, 5, FALSE), " ")</f>
        <v>0</v>
      </c>
      <c r="AA385" s="12">
        <f>IFERROR(VLOOKUP(B385, PlumX_snapshot!$A:$F, 6, FALSE), " ")</f>
        <v>1</v>
      </c>
      <c r="AB385" s="13">
        <v>44978</v>
      </c>
      <c r="AC385" s="9" t="s">
        <v>2102</v>
      </c>
      <c r="AD385" s="9" t="s">
        <v>2103</v>
      </c>
      <c r="AH385" s="9">
        <v>1749</v>
      </c>
      <c r="AI385" s="9" t="s">
        <v>77</v>
      </c>
      <c r="AJ385" s="9" t="s">
        <v>57</v>
      </c>
      <c r="AK385" s="11" t="str">
        <f t="shared" si="2"/>
        <v>2021USD</v>
      </c>
      <c r="AL385" s="11">
        <f>VLOOKUP(AK385, Exchange_rates!$C:$D, 2, FALSE)</f>
        <v>0.72709999999999997</v>
      </c>
      <c r="AM385" s="14">
        <f t="shared" si="3"/>
        <v>1526.0374799999997</v>
      </c>
      <c r="AN385" s="9"/>
      <c r="AO385" s="9"/>
      <c r="AP385" s="9"/>
      <c r="AQ385" s="15" t="s">
        <v>125</v>
      </c>
      <c r="AR385" t="s">
        <v>2000</v>
      </c>
      <c r="AS385" s="16"/>
    </row>
    <row r="386" spans="1:45" ht="14.5">
      <c r="A386" s="9" t="s">
        <v>2104</v>
      </c>
      <c r="B386" s="9" t="s">
        <v>2105</v>
      </c>
      <c r="C386" s="9" t="s">
        <v>1993</v>
      </c>
      <c r="D386" s="9" t="s">
        <v>1994</v>
      </c>
      <c r="E386" s="9" t="s">
        <v>125</v>
      </c>
      <c r="F386" s="9" t="s">
        <v>69</v>
      </c>
      <c r="G386" s="9" t="s">
        <v>70</v>
      </c>
      <c r="H386" s="9" t="s">
        <v>1995</v>
      </c>
      <c r="I386" s="9" t="s">
        <v>72</v>
      </c>
      <c r="J386" s="10">
        <v>44352</v>
      </c>
      <c r="K386" s="10">
        <v>44558</v>
      </c>
      <c r="L386" s="29"/>
      <c r="M386" s="10">
        <v>44572</v>
      </c>
      <c r="N386" s="9">
        <v>2021</v>
      </c>
      <c r="O386" s="9" t="s">
        <v>2100</v>
      </c>
      <c r="P386" s="9" t="s">
        <v>53</v>
      </c>
      <c r="Q386" s="9" t="s">
        <v>53</v>
      </c>
      <c r="R386" s="9" t="s">
        <v>2090</v>
      </c>
      <c r="T386" s="9"/>
      <c r="V386" s="9"/>
      <c r="W386" s="11">
        <f>IFERROR(VLOOKUP(B386, PlumX_snapshot!$A:$B, 2, FALSE), " ")</f>
        <v>48</v>
      </c>
      <c r="X386" s="11">
        <f>IFERROR(VLOOKUP(B386, PlumX_snapshot!$A:$C, 3, FALSE), " ")</f>
        <v>86</v>
      </c>
      <c r="Y386" s="12">
        <f>IFERROR(VLOOKUP(B386, PlumX_snapshot!$A:$D, 4, FALSE), " ")</f>
        <v>2</v>
      </c>
      <c r="Z386" s="12">
        <f>IFERROR(VLOOKUP(B386, PlumX_snapshot!$A:$E, 5, FALSE), " ")</f>
        <v>0</v>
      </c>
      <c r="AA386" s="12">
        <f>IFERROR(VLOOKUP(B386, PlumX_snapshot!$A:$F, 6, FALSE), " ")</f>
        <v>0</v>
      </c>
      <c r="AB386" s="13">
        <v>44978</v>
      </c>
      <c r="AC386" s="9" t="s">
        <v>2106</v>
      </c>
      <c r="AD386" s="9" t="s">
        <v>2107</v>
      </c>
      <c r="AH386" s="9">
        <v>1749</v>
      </c>
      <c r="AI386" s="9" t="s">
        <v>77</v>
      </c>
      <c r="AJ386" s="9" t="s">
        <v>57</v>
      </c>
      <c r="AK386" s="11" t="str">
        <f t="shared" si="2"/>
        <v>2021USD</v>
      </c>
      <c r="AL386" s="11">
        <f>VLOOKUP(AK386, Exchange_rates!$C:$D, 2, FALSE)</f>
        <v>0.72709999999999997</v>
      </c>
      <c r="AM386" s="14">
        <f t="shared" si="3"/>
        <v>1526.0374799999997</v>
      </c>
      <c r="AN386" s="9"/>
      <c r="AO386" s="9"/>
      <c r="AP386" s="9"/>
      <c r="AQ386" s="15" t="s">
        <v>125</v>
      </c>
      <c r="AR386" t="s">
        <v>2000</v>
      </c>
      <c r="AS386" s="16"/>
    </row>
    <row r="387" spans="1:45" ht="14.5">
      <c r="A387" s="9" t="s">
        <v>2108</v>
      </c>
      <c r="B387" s="9" t="s">
        <v>2109</v>
      </c>
      <c r="C387" s="9" t="s">
        <v>2065</v>
      </c>
      <c r="D387" s="9" t="s">
        <v>1994</v>
      </c>
      <c r="E387" s="9" t="s">
        <v>125</v>
      </c>
      <c r="F387" s="9" t="s">
        <v>69</v>
      </c>
      <c r="G387" s="9" t="s">
        <v>70</v>
      </c>
      <c r="H387" s="9" t="s">
        <v>2110</v>
      </c>
      <c r="I387" s="9" t="s">
        <v>72</v>
      </c>
      <c r="J387" s="10">
        <v>44341</v>
      </c>
      <c r="K387" s="10">
        <v>44593</v>
      </c>
      <c r="L387" s="29"/>
      <c r="M387" s="10">
        <v>44596</v>
      </c>
      <c r="N387" s="9">
        <v>2022</v>
      </c>
      <c r="O387" s="9" t="s">
        <v>2111</v>
      </c>
      <c r="P387" s="9" t="s">
        <v>53</v>
      </c>
      <c r="Q387" s="9" t="s">
        <v>53</v>
      </c>
      <c r="R387" s="9" t="s">
        <v>2112</v>
      </c>
      <c r="T387" s="9"/>
      <c r="V387" s="9"/>
      <c r="W387" s="11">
        <f>IFERROR(VLOOKUP(B387, PlumX_snapshot!$A:$B, 2, FALSE), " ")</f>
        <v>31</v>
      </c>
      <c r="X387" s="11">
        <f>IFERROR(VLOOKUP(B387, PlumX_snapshot!$A:$C, 3, FALSE), " ")</f>
        <v>1</v>
      </c>
      <c r="Y387" s="12">
        <f>IFERROR(VLOOKUP(B387, PlumX_snapshot!$A:$D, 4, FALSE), " ")</f>
        <v>5</v>
      </c>
      <c r="Z387" s="12">
        <f>IFERROR(VLOOKUP(B387, PlumX_snapshot!$A:$E, 5, FALSE), " ")</f>
        <v>0</v>
      </c>
      <c r="AA387" s="12">
        <f>IFERROR(VLOOKUP(B387, PlumX_snapshot!$A:$F, 6, FALSE), " ")</f>
        <v>0</v>
      </c>
      <c r="AB387" s="13">
        <v>44978</v>
      </c>
      <c r="AC387" s="9" t="s">
        <v>2113</v>
      </c>
      <c r="AD387" s="9" t="s">
        <v>2114</v>
      </c>
      <c r="AH387" s="9">
        <v>2958</v>
      </c>
      <c r="AI387" s="9" t="s">
        <v>1999</v>
      </c>
      <c r="AJ387" s="9" t="s">
        <v>57</v>
      </c>
      <c r="AK387" s="11" t="str">
        <f t="shared" si="2"/>
        <v>2022USD</v>
      </c>
      <c r="AL387" s="11">
        <f>VLOOKUP(AK387, Exchange_rates!$C:$D, 2, FALSE)</f>
        <v>0.8115</v>
      </c>
      <c r="AM387" s="14">
        <f t="shared" si="3"/>
        <v>2880.5003999999999</v>
      </c>
      <c r="AN387" s="9"/>
      <c r="AO387" s="9"/>
      <c r="AP387" s="9"/>
      <c r="AQ387" s="15" t="s">
        <v>125</v>
      </c>
      <c r="AR387" t="s">
        <v>2070</v>
      </c>
      <c r="AS387" s="16"/>
    </row>
    <row r="388" spans="1:45" ht="14.5">
      <c r="A388" s="9" t="s">
        <v>2115</v>
      </c>
      <c r="B388" s="9" t="s">
        <v>2116</v>
      </c>
      <c r="C388" s="9" t="s">
        <v>1993</v>
      </c>
      <c r="D388" s="9" t="s">
        <v>1994</v>
      </c>
      <c r="E388" s="9" t="s">
        <v>125</v>
      </c>
      <c r="F388" s="9" t="s">
        <v>69</v>
      </c>
      <c r="G388" s="9" t="s">
        <v>70</v>
      </c>
      <c r="H388" s="9" t="s">
        <v>2110</v>
      </c>
      <c r="I388" s="9" t="s">
        <v>72</v>
      </c>
      <c r="J388" s="10">
        <v>44251</v>
      </c>
      <c r="K388" s="10">
        <v>44250</v>
      </c>
      <c r="L388" s="29"/>
      <c r="M388" s="10">
        <v>44575</v>
      </c>
      <c r="N388" s="9">
        <v>2022</v>
      </c>
      <c r="O388" s="9" t="s">
        <v>2117</v>
      </c>
      <c r="P388" s="9" t="s">
        <v>53</v>
      </c>
      <c r="Q388" s="9" t="s">
        <v>53</v>
      </c>
      <c r="R388" s="9" t="s">
        <v>2118</v>
      </c>
      <c r="T388" s="9"/>
      <c r="V388" s="9"/>
      <c r="W388" s="11">
        <f>IFERROR(VLOOKUP(B388, PlumX_snapshot!$A:$B, 2, FALSE), " ")</f>
        <v>5</v>
      </c>
      <c r="X388" s="11">
        <f>IFERROR(VLOOKUP(B388, PlumX_snapshot!$A:$C, 3, FALSE), " ")</f>
        <v>47</v>
      </c>
      <c r="Y388" s="12">
        <f>IFERROR(VLOOKUP(B388, PlumX_snapshot!$A:$D, 4, FALSE), " ")</f>
        <v>6</v>
      </c>
      <c r="Z388" s="12">
        <f>IFERROR(VLOOKUP(B388, PlumX_snapshot!$A:$E, 5, FALSE), " ")</f>
        <v>0</v>
      </c>
      <c r="AA388" s="12">
        <f>IFERROR(VLOOKUP(B388, PlumX_snapshot!$A:$F, 6, FALSE), " ")</f>
        <v>0</v>
      </c>
      <c r="AB388" s="13">
        <v>44978</v>
      </c>
      <c r="AC388" s="9" t="s">
        <v>2119</v>
      </c>
      <c r="AD388" s="9" t="s">
        <v>2120</v>
      </c>
      <c r="AH388" s="9">
        <v>1734</v>
      </c>
      <c r="AI388" s="9" t="s">
        <v>1999</v>
      </c>
      <c r="AJ388" s="9" t="s">
        <v>57</v>
      </c>
      <c r="AK388" s="11" t="str">
        <f t="shared" si="2"/>
        <v>2022USD</v>
      </c>
      <c r="AL388" s="11">
        <f>VLOOKUP(AK388, Exchange_rates!$C:$D, 2, FALSE)</f>
        <v>0.8115</v>
      </c>
      <c r="AM388" s="14">
        <f t="shared" si="3"/>
        <v>1688.5692000000001</v>
      </c>
      <c r="AN388" s="9"/>
      <c r="AO388" s="9"/>
      <c r="AP388" s="9"/>
      <c r="AQ388" s="15" t="s">
        <v>125</v>
      </c>
      <c r="AR388" t="s">
        <v>2000</v>
      </c>
      <c r="AS388" s="16"/>
    </row>
    <row r="389" spans="1:45" ht="14.5">
      <c r="A389" s="9" t="s">
        <v>2121</v>
      </c>
      <c r="B389" s="9" t="s">
        <v>2122</v>
      </c>
      <c r="C389" s="9" t="s">
        <v>1993</v>
      </c>
      <c r="D389" s="9" t="s">
        <v>1994</v>
      </c>
      <c r="E389" s="9" t="s">
        <v>125</v>
      </c>
      <c r="F389" s="9" t="s">
        <v>69</v>
      </c>
      <c r="G389" s="9" t="s">
        <v>70</v>
      </c>
      <c r="H389" s="9" t="s">
        <v>2110</v>
      </c>
      <c r="I389" s="9" t="s">
        <v>72</v>
      </c>
      <c r="J389" s="10">
        <v>44379</v>
      </c>
      <c r="K389" s="10">
        <v>44565</v>
      </c>
      <c r="L389" s="29"/>
      <c r="M389" s="10">
        <v>44574</v>
      </c>
      <c r="N389" s="9">
        <v>2022</v>
      </c>
      <c r="O389" s="9" t="s">
        <v>2117</v>
      </c>
      <c r="P389" s="9" t="s">
        <v>83</v>
      </c>
      <c r="Q389" s="9" t="s">
        <v>83</v>
      </c>
      <c r="R389" s="9" t="s">
        <v>2123</v>
      </c>
      <c r="T389" s="9"/>
      <c r="V389" s="9"/>
      <c r="W389" s="11">
        <f>IFERROR(VLOOKUP(B389, PlumX_snapshot!$A:$B, 2, FALSE), " ")</f>
        <v>34</v>
      </c>
      <c r="X389" s="11">
        <f>IFERROR(VLOOKUP(B389, PlumX_snapshot!$A:$C, 3, FALSE), " ")</f>
        <v>33</v>
      </c>
      <c r="Y389" s="12">
        <f>IFERROR(VLOOKUP(B389, PlumX_snapshot!$A:$D, 4, FALSE), " ")</f>
        <v>10</v>
      </c>
      <c r="Z389" s="12">
        <f>IFERROR(VLOOKUP(B389, PlumX_snapshot!$A:$E, 5, FALSE), " ")</f>
        <v>0</v>
      </c>
      <c r="AA389" s="12">
        <f>IFERROR(VLOOKUP(B389, PlumX_snapshot!$A:$F, 6, FALSE), " ")</f>
        <v>0</v>
      </c>
      <c r="AB389" s="13">
        <v>44978</v>
      </c>
      <c r="AC389" s="9" t="s">
        <v>2124</v>
      </c>
      <c r="AD389" s="9" t="s">
        <v>2125</v>
      </c>
      <c r="AH389" s="9">
        <v>1734</v>
      </c>
      <c r="AI389" s="9" t="s">
        <v>1999</v>
      </c>
      <c r="AJ389" s="9" t="s">
        <v>57</v>
      </c>
      <c r="AK389" s="11" t="str">
        <f t="shared" si="2"/>
        <v>2022USD</v>
      </c>
      <c r="AL389" s="11">
        <f>VLOOKUP(AK389, Exchange_rates!$C:$D, 2, FALSE)</f>
        <v>0.8115</v>
      </c>
      <c r="AM389" s="14">
        <f t="shared" si="3"/>
        <v>1688.5692000000001</v>
      </c>
      <c r="AN389" s="9"/>
      <c r="AO389" s="9"/>
      <c r="AP389" s="9"/>
      <c r="AQ389" s="15" t="s">
        <v>125</v>
      </c>
      <c r="AR389" t="s">
        <v>2000</v>
      </c>
      <c r="AS389" s="16"/>
    </row>
    <row r="390" spans="1:45" ht="14.5">
      <c r="A390" s="9" t="s">
        <v>2126</v>
      </c>
      <c r="B390" s="9" t="s">
        <v>2127</v>
      </c>
      <c r="C390" s="9" t="s">
        <v>1993</v>
      </c>
      <c r="D390" s="9" t="s">
        <v>1994</v>
      </c>
      <c r="E390" s="9" t="s">
        <v>125</v>
      </c>
      <c r="F390" s="9" t="s">
        <v>69</v>
      </c>
      <c r="G390" s="9" t="s">
        <v>70</v>
      </c>
      <c r="H390" s="9" t="s">
        <v>2110</v>
      </c>
      <c r="I390" s="9" t="s">
        <v>72</v>
      </c>
      <c r="J390" s="10">
        <v>44386</v>
      </c>
      <c r="K390" s="10">
        <v>44588</v>
      </c>
      <c r="L390" s="29"/>
      <c r="M390" s="10">
        <v>44602</v>
      </c>
      <c r="N390" s="9">
        <v>2022</v>
      </c>
      <c r="O390" s="9" t="s">
        <v>2117</v>
      </c>
      <c r="P390" s="9" t="s">
        <v>53</v>
      </c>
      <c r="Q390" s="9" t="s">
        <v>53</v>
      </c>
      <c r="R390" s="9" t="s">
        <v>2128</v>
      </c>
      <c r="T390" s="9"/>
      <c r="V390" s="9"/>
      <c r="W390" s="11">
        <f>IFERROR(VLOOKUP(B390, PlumX_snapshot!$A:$B, 2, FALSE), " ")</f>
        <v>26</v>
      </c>
      <c r="X390" s="11">
        <f>IFERROR(VLOOKUP(B390, PlumX_snapshot!$A:$C, 3, FALSE), " ")</f>
        <v>46</v>
      </c>
      <c r="Y390" s="12">
        <f>IFERROR(VLOOKUP(B390, PlumX_snapshot!$A:$D, 4, FALSE), " ")</f>
        <v>0</v>
      </c>
      <c r="Z390" s="12">
        <f>IFERROR(VLOOKUP(B390, PlumX_snapshot!$A:$E, 5, FALSE), " ")</f>
        <v>0</v>
      </c>
      <c r="AA390" s="12">
        <f>IFERROR(VLOOKUP(B390, PlumX_snapshot!$A:$F, 6, FALSE), " ")</f>
        <v>0</v>
      </c>
      <c r="AB390" s="13">
        <v>44978</v>
      </c>
      <c r="AC390" s="9" t="s">
        <v>2129</v>
      </c>
      <c r="AD390" s="9" t="s">
        <v>2130</v>
      </c>
      <c r="AH390" s="9">
        <v>1734</v>
      </c>
      <c r="AI390" s="9" t="s">
        <v>1999</v>
      </c>
      <c r="AJ390" s="9" t="s">
        <v>57</v>
      </c>
      <c r="AK390" s="11" t="str">
        <f t="shared" si="2"/>
        <v>2022USD</v>
      </c>
      <c r="AL390" s="11">
        <f>VLOOKUP(AK390, Exchange_rates!$C:$D, 2, FALSE)</f>
        <v>0.8115</v>
      </c>
      <c r="AM390" s="14">
        <f t="shared" si="3"/>
        <v>1688.5692000000001</v>
      </c>
      <c r="AN390" s="9"/>
      <c r="AO390" s="9"/>
      <c r="AP390" s="9"/>
      <c r="AQ390" s="15" t="s">
        <v>125</v>
      </c>
      <c r="AR390" t="s">
        <v>2000</v>
      </c>
      <c r="AS390" s="16"/>
    </row>
    <row r="391" spans="1:45" ht="14.5">
      <c r="A391" s="9" t="s">
        <v>2131</v>
      </c>
      <c r="B391" s="9" t="s">
        <v>2132</v>
      </c>
      <c r="C391" s="9" t="s">
        <v>2133</v>
      </c>
      <c r="D391" s="9" t="s">
        <v>1994</v>
      </c>
      <c r="E391" s="9" t="s">
        <v>125</v>
      </c>
      <c r="F391" s="9" t="s">
        <v>69</v>
      </c>
      <c r="G391" s="9" t="s">
        <v>70</v>
      </c>
      <c r="H391" s="9" t="s">
        <v>2110</v>
      </c>
      <c r="I391" s="9" t="s">
        <v>72</v>
      </c>
      <c r="J391" s="10">
        <v>44539</v>
      </c>
      <c r="K391" s="10">
        <v>44825</v>
      </c>
      <c r="L391" s="29"/>
      <c r="N391" s="9">
        <v>2022</v>
      </c>
      <c r="O391" s="9" t="s">
        <v>2134</v>
      </c>
      <c r="P391" s="9" t="s">
        <v>53</v>
      </c>
      <c r="Q391" s="9" t="s">
        <v>53</v>
      </c>
      <c r="R391" s="9" t="s">
        <v>2135</v>
      </c>
      <c r="T391" s="9"/>
      <c r="V391" s="9"/>
      <c r="W391" s="11">
        <f>IFERROR(VLOOKUP(B391, PlumX_snapshot!$A:$B, 2, FALSE), " ")</f>
        <v>3</v>
      </c>
      <c r="X391" s="11">
        <f>IFERROR(VLOOKUP(B391, PlumX_snapshot!$A:$C, 3, FALSE), " ")</f>
        <v>0</v>
      </c>
      <c r="Y391" s="12">
        <f>IFERROR(VLOOKUP(B391, PlumX_snapshot!$A:$D, 4, FALSE), " ")</f>
        <v>4</v>
      </c>
      <c r="Z391" s="12">
        <f>IFERROR(VLOOKUP(B391, PlumX_snapshot!$A:$E, 5, FALSE), " ")</f>
        <v>0</v>
      </c>
      <c r="AA391" s="12">
        <f>IFERROR(VLOOKUP(B391, PlumX_snapshot!$A:$F, 6, FALSE), " ")</f>
        <v>0</v>
      </c>
      <c r="AB391" s="13">
        <v>44978</v>
      </c>
      <c r="AC391" s="9" t="s">
        <v>2136</v>
      </c>
      <c r="AD391" s="9" t="s">
        <v>2137</v>
      </c>
      <c r="AH391" s="9">
        <v>2575</v>
      </c>
      <c r="AI391" s="9" t="s">
        <v>77</v>
      </c>
      <c r="AJ391" s="9" t="s">
        <v>57</v>
      </c>
      <c r="AK391" s="11" t="str">
        <f t="shared" si="2"/>
        <v>2022USD</v>
      </c>
      <c r="AL391" s="11">
        <f>VLOOKUP(AK391, Exchange_rates!$C:$D, 2, FALSE)</f>
        <v>0.8115</v>
      </c>
      <c r="AM391" s="14">
        <f t="shared" si="3"/>
        <v>2507.5350000000003</v>
      </c>
      <c r="AN391" s="9"/>
      <c r="AO391" s="9"/>
      <c r="AP391" s="9"/>
      <c r="AQ391" s="15" t="s">
        <v>125</v>
      </c>
      <c r="AR391" t="s">
        <v>2138</v>
      </c>
      <c r="AS391" s="16"/>
    </row>
    <row r="392" spans="1:45" ht="14.5">
      <c r="A392" s="9" t="s">
        <v>2139</v>
      </c>
      <c r="B392" s="9" t="s">
        <v>2140</v>
      </c>
      <c r="C392" s="9" t="s">
        <v>1993</v>
      </c>
      <c r="D392" s="9" t="s">
        <v>1994</v>
      </c>
      <c r="E392" s="9" t="s">
        <v>125</v>
      </c>
      <c r="F392" s="9" t="s">
        <v>69</v>
      </c>
      <c r="G392" s="9" t="s">
        <v>70</v>
      </c>
      <c r="H392" s="9" t="s">
        <v>2110</v>
      </c>
      <c r="I392" s="9" t="s">
        <v>72</v>
      </c>
      <c r="J392" s="10">
        <v>44504</v>
      </c>
      <c r="K392" s="10">
        <v>44810</v>
      </c>
      <c r="L392" s="29"/>
      <c r="N392" s="9">
        <v>2022</v>
      </c>
      <c r="O392" s="9" t="s">
        <v>2134</v>
      </c>
      <c r="P392" s="9" t="s">
        <v>53</v>
      </c>
      <c r="Q392" s="9" t="s">
        <v>53</v>
      </c>
      <c r="R392" s="9" t="s">
        <v>2141</v>
      </c>
      <c r="T392" s="9"/>
      <c r="V392" s="9"/>
      <c r="W392" s="11">
        <f>IFERROR(VLOOKUP(B392, PlumX_snapshot!$A:$B, 2, FALSE), " ")</f>
        <v>4</v>
      </c>
      <c r="X392" s="11">
        <f>IFERROR(VLOOKUP(B392, PlumX_snapshot!$A:$C, 3, FALSE), " ")</f>
        <v>26</v>
      </c>
      <c r="Y392" s="12">
        <f>IFERROR(VLOOKUP(B392, PlumX_snapshot!$A:$D, 4, FALSE), " ")</f>
        <v>13</v>
      </c>
      <c r="Z392" s="12">
        <f>IFERROR(VLOOKUP(B392, PlumX_snapshot!$A:$E, 5, FALSE), " ")</f>
        <v>0</v>
      </c>
      <c r="AA392" s="12">
        <f>IFERROR(VLOOKUP(B392, PlumX_snapshot!$A:$F, 6, FALSE), " ")</f>
        <v>0</v>
      </c>
      <c r="AB392" s="13">
        <v>44978</v>
      </c>
      <c r="AC392" s="9" t="s">
        <v>2142</v>
      </c>
      <c r="AD392" s="9" t="s">
        <v>2143</v>
      </c>
      <c r="AH392" s="9">
        <v>1749</v>
      </c>
      <c r="AI392" s="9" t="s">
        <v>77</v>
      </c>
      <c r="AJ392" s="9" t="s">
        <v>57</v>
      </c>
      <c r="AK392" s="11" t="str">
        <f t="shared" si="2"/>
        <v>2022USD</v>
      </c>
      <c r="AL392" s="11">
        <f>VLOOKUP(AK392, Exchange_rates!$C:$D, 2, FALSE)</f>
        <v>0.8115</v>
      </c>
      <c r="AM392" s="14">
        <f t="shared" si="3"/>
        <v>1703.1761999999999</v>
      </c>
      <c r="AN392" s="9"/>
      <c r="AO392" s="9"/>
      <c r="AP392" s="9"/>
      <c r="AQ392" s="15" t="s">
        <v>125</v>
      </c>
      <c r="AR392" t="s">
        <v>2000</v>
      </c>
      <c r="AS392" s="16"/>
    </row>
    <row r="393" spans="1:45" ht="14.5">
      <c r="A393" s="9" t="s">
        <v>2144</v>
      </c>
      <c r="B393" s="9" t="s">
        <v>2145</v>
      </c>
      <c r="C393" s="9" t="s">
        <v>1993</v>
      </c>
      <c r="D393" s="9" t="s">
        <v>1994</v>
      </c>
      <c r="E393" s="9" t="s">
        <v>125</v>
      </c>
      <c r="F393" s="9" t="s">
        <v>69</v>
      </c>
      <c r="G393" s="9" t="s">
        <v>70</v>
      </c>
      <c r="H393" s="9" t="s">
        <v>2110</v>
      </c>
      <c r="I393" s="9" t="s">
        <v>72</v>
      </c>
      <c r="J393" s="10">
        <v>44429</v>
      </c>
      <c r="K393" s="10">
        <v>44813</v>
      </c>
      <c r="L393" s="29"/>
      <c r="N393" s="9">
        <v>2022</v>
      </c>
      <c r="O393" s="9" t="s">
        <v>2134</v>
      </c>
      <c r="P393" s="9" t="s">
        <v>53</v>
      </c>
      <c r="Q393" s="9" t="s">
        <v>53</v>
      </c>
      <c r="R393" s="9" t="s">
        <v>2146</v>
      </c>
      <c r="T393" s="9"/>
      <c r="V393" s="9"/>
      <c r="W393" s="11">
        <f>IFERROR(VLOOKUP(B393, PlumX_snapshot!$A:$B, 2, FALSE), " ")</f>
        <v>11</v>
      </c>
      <c r="X393" s="11">
        <f>IFERROR(VLOOKUP(B393, PlumX_snapshot!$A:$C, 3, FALSE), " ")</f>
        <v>28</v>
      </c>
      <c r="Y393" s="12">
        <f>IFERROR(VLOOKUP(B393, PlumX_snapshot!$A:$D, 4, FALSE), " ")</f>
        <v>13</v>
      </c>
      <c r="Z393" s="12">
        <f>IFERROR(VLOOKUP(B393, PlumX_snapshot!$A:$E, 5, FALSE), " ")</f>
        <v>0</v>
      </c>
      <c r="AA393" s="12">
        <f>IFERROR(VLOOKUP(B393, PlumX_snapshot!$A:$F, 6, FALSE), " ")</f>
        <v>0</v>
      </c>
      <c r="AB393" s="13">
        <v>44978</v>
      </c>
      <c r="AC393" s="9" t="s">
        <v>2147</v>
      </c>
      <c r="AD393" s="9" t="s">
        <v>2148</v>
      </c>
      <c r="AH393" s="9">
        <v>1805</v>
      </c>
      <c r="AI393" s="9" t="s">
        <v>77</v>
      </c>
      <c r="AJ393" s="9" t="s">
        <v>57</v>
      </c>
      <c r="AK393" s="11" t="str">
        <f t="shared" si="2"/>
        <v>2022USD</v>
      </c>
      <c r="AL393" s="11">
        <f>VLOOKUP(AK393, Exchange_rates!$C:$D, 2, FALSE)</f>
        <v>0.8115</v>
      </c>
      <c r="AM393" s="14">
        <f t="shared" si="3"/>
        <v>1757.7089999999998</v>
      </c>
      <c r="AN393" s="9"/>
      <c r="AO393" s="9"/>
      <c r="AP393" s="9"/>
      <c r="AQ393" s="15" t="s">
        <v>125</v>
      </c>
      <c r="AR393" t="s">
        <v>2000</v>
      </c>
      <c r="AS393" s="16"/>
    </row>
    <row r="394" spans="1:45" ht="14.5">
      <c r="A394" s="9" t="s">
        <v>2149</v>
      </c>
      <c r="B394" s="9" t="s">
        <v>2150</v>
      </c>
      <c r="C394" s="9" t="s">
        <v>1993</v>
      </c>
      <c r="D394" s="9" t="s">
        <v>1994</v>
      </c>
      <c r="E394" s="9" t="s">
        <v>125</v>
      </c>
      <c r="F394" s="9" t="s">
        <v>69</v>
      </c>
      <c r="G394" s="9" t="s">
        <v>70</v>
      </c>
      <c r="H394" s="9" t="s">
        <v>2110</v>
      </c>
      <c r="I394" s="9" t="s">
        <v>72</v>
      </c>
      <c r="J394" s="10">
        <v>44501</v>
      </c>
      <c r="K394" s="10">
        <v>44804</v>
      </c>
      <c r="L394" s="29"/>
      <c r="N394" s="9">
        <v>2022</v>
      </c>
      <c r="O394" s="9" t="s">
        <v>2151</v>
      </c>
      <c r="P394" s="9" t="s">
        <v>53</v>
      </c>
      <c r="Q394" s="9" t="s">
        <v>53</v>
      </c>
      <c r="R394" s="9" t="s">
        <v>2152</v>
      </c>
      <c r="T394" s="9"/>
      <c r="V394" s="9"/>
      <c r="W394" s="11">
        <f>IFERROR(VLOOKUP(B394, PlumX_snapshot!$A:$B, 2, FALSE), " ")</f>
        <v>2</v>
      </c>
      <c r="X394" s="11">
        <f>IFERROR(VLOOKUP(B394, PlumX_snapshot!$A:$C, 3, FALSE), " ")</f>
        <v>58</v>
      </c>
      <c r="Y394" s="12">
        <f>IFERROR(VLOOKUP(B394, PlumX_snapshot!$A:$D, 4, FALSE), " ")</f>
        <v>7</v>
      </c>
      <c r="Z394" s="12">
        <f>IFERROR(VLOOKUP(B394, PlumX_snapshot!$A:$E, 5, FALSE), " ")</f>
        <v>0</v>
      </c>
      <c r="AA394" s="12">
        <f>IFERROR(VLOOKUP(B394, PlumX_snapshot!$A:$F, 6, FALSE), " ")</f>
        <v>1</v>
      </c>
      <c r="AB394" s="13">
        <v>44978</v>
      </c>
      <c r="AC394" s="9" t="s">
        <v>2153</v>
      </c>
      <c r="AD394" s="9" t="s">
        <v>2154</v>
      </c>
      <c r="AH394" s="9">
        <v>1749</v>
      </c>
      <c r="AI394" s="9" t="s">
        <v>77</v>
      </c>
      <c r="AJ394" s="9" t="s">
        <v>57</v>
      </c>
      <c r="AK394" s="11" t="str">
        <f t="shared" si="2"/>
        <v>2022USD</v>
      </c>
      <c r="AL394" s="11">
        <f>VLOOKUP(AK394, Exchange_rates!$C:$D, 2, FALSE)</f>
        <v>0.8115</v>
      </c>
      <c r="AM394" s="14">
        <f t="shared" si="3"/>
        <v>1703.1761999999999</v>
      </c>
      <c r="AN394" s="9"/>
      <c r="AO394" s="9"/>
      <c r="AP394" s="9"/>
      <c r="AQ394" s="15" t="s">
        <v>125</v>
      </c>
      <c r="AR394" t="s">
        <v>2000</v>
      </c>
      <c r="AS394" s="16"/>
    </row>
    <row r="395" spans="1:45" ht="14.5">
      <c r="A395" s="9" t="s">
        <v>2155</v>
      </c>
      <c r="B395" s="9" t="s">
        <v>2156</v>
      </c>
      <c r="C395" s="9" t="s">
        <v>1993</v>
      </c>
      <c r="D395" s="9" t="s">
        <v>1994</v>
      </c>
      <c r="E395" s="9" t="s">
        <v>125</v>
      </c>
      <c r="F395" s="9" t="s">
        <v>69</v>
      </c>
      <c r="G395" s="9" t="s">
        <v>70</v>
      </c>
      <c r="H395" s="9" t="s">
        <v>2110</v>
      </c>
      <c r="I395" s="9" t="s">
        <v>72</v>
      </c>
      <c r="J395" s="10">
        <v>44599</v>
      </c>
      <c r="K395" s="10">
        <v>44778</v>
      </c>
      <c r="L395" s="29"/>
      <c r="N395" s="9">
        <v>2022</v>
      </c>
      <c r="O395" s="9" t="s">
        <v>2151</v>
      </c>
      <c r="P395" s="9" t="s">
        <v>53</v>
      </c>
      <c r="Q395" s="9" t="s">
        <v>53</v>
      </c>
      <c r="R395" s="9" t="s">
        <v>2101</v>
      </c>
      <c r="T395" s="9"/>
      <c r="V395" s="9"/>
      <c r="W395" s="11">
        <f>IFERROR(VLOOKUP(B395, PlumX_snapshot!$A:$B, 2, FALSE), " ")</f>
        <v>15</v>
      </c>
      <c r="X395" s="11">
        <f>IFERROR(VLOOKUP(B395, PlumX_snapshot!$A:$C, 3, FALSE), " ")</f>
        <v>79</v>
      </c>
      <c r="Y395" s="12">
        <f>IFERROR(VLOOKUP(B395, PlumX_snapshot!$A:$D, 4, FALSE), " ")</f>
        <v>13</v>
      </c>
      <c r="Z395" s="12">
        <f>IFERROR(VLOOKUP(B395, PlumX_snapshot!$A:$E, 5, FALSE), " ")</f>
        <v>0</v>
      </c>
      <c r="AA395" s="12">
        <f>IFERROR(VLOOKUP(B395, PlumX_snapshot!$A:$F, 6, FALSE), " ")</f>
        <v>0</v>
      </c>
      <c r="AB395" s="13">
        <v>44978</v>
      </c>
      <c r="AC395" s="9" t="s">
        <v>787</v>
      </c>
      <c r="AD395" s="9" t="s">
        <v>788</v>
      </c>
      <c r="AH395" s="9">
        <v>1100</v>
      </c>
      <c r="AI395" s="9" t="s">
        <v>77</v>
      </c>
      <c r="AJ395" s="9" t="s">
        <v>57</v>
      </c>
      <c r="AK395" s="11" t="str">
        <f t="shared" si="2"/>
        <v>2022USD</v>
      </c>
      <c r="AL395" s="11">
        <f>VLOOKUP(AK395, Exchange_rates!$C:$D, 2, FALSE)</f>
        <v>0.8115</v>
      </c>
      <c r="AM395" s="14">
        <f t="shared" si="3"/>
        <v>1071.1799999999998</v>
      </c>
      <c r="AN395" s="9"/>
      <c r="AO395" s="9"/>
      <c r="AP395" s="9"/>
      <c r="AQ395" s="15" t="s">
        <v>125</v>
      </c>
      <c r="AR395" t="s">
        <v>2000</v>
      </c>
      <c r="AS395" s="16"/>
    </row>
    <row r="396" spans="1:45" ht="14.5">
      <c r="A396" s="9" t="s">
        <v>2157</v>
      </c>
      <c r="B396" s="9" t="s">
        <v>2158</v>
      </c>
      <c r="C396" s="9" t="s">
        <v>1993</v>
      </c>
      <c r="D396" s="9" t="s">
        <v>1994</v>
      </c>
      <c r="E396" s="9" t="s">
        <v>125</v>
      </c>
      <c r="F396" s="9" t="s">
        <v>69</v>
      </c>
      <c r="G396" s="9" t="s">
        <v>70</v>
      </c>
      <c r="H396" s="9" t="s">
        <v>2110</v>
      </c>
      <c r="I396" s="9" t="s">
        <v>72</v>
      </c>
      <c r="J396" s="10">
        <v>44473</v>
      </c>
      <c r="K396" s="10">
        <v>44748</v>
      </c>
      <c r="L396" s="29"/>
      <c r="N396" s="9">
        <v>2022</v>
      </c>
      <c r="O396" s="9" t="s">
        <v>2159</v>
      </c>
      <c r="P396" s="9" t="s">
        <v>53</v>
      </c>
      <c r="Q396" s="9" t="s">
        <v>53</v>
      </c>
      <c r="R396" s="9" t="s">
        <v>2160</v>
      </c>
      <c r="T396" s="9"/>
      <c r="V396" s="9"/>
      <c r="W396" s="11">
        <f>IFERROR(VLOOKUP(B396, PlumX_snapshot!$A:$B, 2, FALSE), " ")</f>
        <v>15</v>
      </c>
      <c r="X396" s="11">
        <f>IFERROR(VLOOKUP(B396, PlumX_snapshot!$A:$C, 3, FALSE), " ")</f>
        <v>68</v>
      </c>
      <c r="Y396" s="12">
        <f>IFERROR(VLOOKUP(B396, PlumX_snapshot!$A:$D, 4, FALSE), " ")</f>
        <v>71</v>
      </c>
      <c r="Z396" s="12">
        <f>IFERROR(VLOOKUP(B396, PlumX_snapshot!$A:$E, 5, FALSE), " ")</f>
        <v>0</v>
      </c>
      <c r="AA396" s="12">
        <f>IFERROR(VLOOKUP(B396, PlumX_snapshot!$A:$F, 6, FALSE), " ")</f>
        <v>0</v>
      </c>
      <c r="AB396" s="13">
        <v>44978</v>
      </c>
      <c r="AC396" s="9" t="s">
        <v>2161</v>
      </c>
      <c r="AD396" s="9" t="s">
        <v>2162</v>
      </c>
      <c r="AH396" s="9">
        <v>1749</v>
      </c>
      <c r="AI396" s="9" t="s">
        <v>77</v>
      </c>
      <c r="AJ396" s="9" t="s">
        <v>57</v>
      </c>
      <c r="AK396" s="11" t="str">
        <f t="shared" si="2"/>
        <v>2022USD</v>
      </c>
      <c r="AL396" s="11">
        <f>VLOOKUP(AK396, Exchange_rates!$C:$D, 2, FALSE)</f>
        <v>0.8115</v>
      </c>
      <c r="AM396" s="14">
        <f t="shared" si="3"/>
        <v>1703.1761999999999</v>
      </c>
      <c r="AN396" s="9"/>
      <c r="AO396" s="9"/>
      <c r="AP396" s="9"/>
      <c r="AQ396" s="15" t="s">
        <v>125</v>
      </c>
      <c r="AR396" t="s">
        <v>2000</v>
      </c>
      <c r="AS396" s="16"/>
    </row>
    <row r="397" spans="1:45" ht="14.5">
      <c r="A397" s="9" t="s">
        <v>2163</v>
      </c>
      <c r="B397" s="9" t="s">
        <v>2164</v>
      </c>
      <c r="C397" s="9" t="s">
        <v>2056</v>
      </c>
      <c r="D397" s="9" t="s">
        <v>1994</v>
      </c>
      <c r="E397" s="9" t="s">
        <v>125</v>
      </c>
      <c r="F397" s="9" t="s">
        <v>69</v>
      </c>
      <c r="G397" s="9" t="s">
        <v>70</v>
      </c>
      <c r="H397" s="9" t="s">
        <v>2165</v>
      </c>
      <c r="I397" s="9" t="s">
        <v>72</v>
      </c>
      <c r="J397" s="10">
        <v>44495</v>
      </c>
      <c r="K397" s="10">
        <v>44732</v>
      </c>
      <c r="L397" s="29"/>
      <c r="N397" s="9">
        <v>2022</v>
      </c>
      <c r="O397" s="9" t="s">
        <v>2166</v>
      </c>
      <c r="P397" s="9" t="s">
        <v>53</v>
      </c>
      <c r="Q397" s="9" t="s">
        <v>53</v>
      </c>
      <c r="T397" s="9"/>
      <c r="V397" s="9"/>
      <c r="W397" s="11">
        <f>IFERROR(VLOOKUP(B397, PlumX_snapshot!$A:$B, 2, FALSE), " ")</f>
        <v>18</v>
      </c>
      <c r="X397" s="11">
        <f>IFERROR(VLOOKUP(B397, PlumX_snapshot!$A:$C, 3, FALSE), " ")</f>
        <v>1</v>
      </c>
      <c r="Y397" s="12">
        <f>IFERROR(VLOOKUP(B397, PlumX_snapshot!$A:$D, 4, FALSE), " ")</f>
        <v>73</v>
      </c>
      <c r="Z397" s="12">
        <f>IFERROR(VLOOKUP(B397, PlumX_snapshot!$A:$E, 5, FALSE), " ")</f>
        <v>0</v>
      </c>
      <c r="AA397" s="12">
        <f>IFERROR(VLOOKUP(B397, PlumX_snapshot!$A:$F, 6, FALSE), " ")</f>
        <v>0</v>
      </c>
      <c r="AB397" s="13">
        <v>44978</v>
      </c>
      <c r="AC397" s="9" t="s">
        <v>2167</v>
      </c>
      <c r="AD397" s="9" t="s">
        <v>2168</v>
      </c>
      <c r="AH397" s="9">
        <v>4000</v>
      </c>
      <c r="AI397" s="9" t="s">
        <v>77</v>
      </c>
      <c r="AJ397" s="9" t="s">
        <v>57</v>
      </c>
      <c r="AK397" s="11" t="str">
        <f t="shared" si="2"/>
        <v>2022USD</v>
      </c>
      <c r="AL397" s="11">
        <f>VLOOKUP(AK397, Exchange_rates!$C:$D, 2, FALSE)</f>
        <v>0.8115</v>
      </c>
      <c r="AM397" s="14">
        <f t="shared" si="3"/>
        <v>3895.2</v>
      </c>
      <c r="AN397" s="9"/>
      <c r="AO397" s="9"/>
      <c r="AP397" s="9"/>
      <c r="AQ397" s="15" t="s">
        <v>125</v>
      </c>
      <c r="AR397" t="s">
        <v>2062</v>
      </c>
      <c r="AS397" s="16"/>
    </row>
    <row r="398" spans="1:45" ht="14.5">
      <c r="A398" s="9" t="s">
        <v>2169</v>
      </c>
      <c r="B398" s="9" t="s">
        <v>2170</v>
      </c>
      <c r="C398" s="9" t="s">
        <v>2171</v>
      </c>
      <c r="D398" s="9" t="s">
        <v>1994</v>
      </c>
      <c r="E398" s="9" t="s">
        <v>125</v>
      </c>
      <c r="F398" s="9" t="s">
        <v>69</v>
      </c>
      <c r="G398" s="9" t="s">
        <v>70</v>
      </c>
      <c r="H398" s="9" t="s">
        <v>2110</v>
      </c>
      <c r="I398" s="9" t="s">
        <v>72</v>
      </c>
      <c r="J398" s="10">
        <v>44426</v>
      </c>
      <c r="K398" s="10">
        <v>44720</v>
      </c>
      <c r="L398" s="29"/>
      <c r="M398" s="10">
        <v>44725</v>
      </c>
      <c r="N398" s="9">
        <v>2022</v>
      </c>
      <c r="O398" s="9" t="s">
        <v>2166</v>
      </c>
      <c r="P398" s="9" t="s">
        <v>83</v>
      </c>
      <c r="Q398" s="9" t="s">
        <v>83</v>
      </c>
      <c r="R398" s="9" t="s">
        <v>2172</v>
      </c>
      <c r="T398" s="9"/>
      <c r="V398" s="9"/>
      <c r="W398" s="11">
        <f>IFERROR(VLOOKUP(B398, PlumX_snapshot!$A:$B, 2, FALSE), " ")</f>
        <v>20</v>
      </c>
      <c r="X398" s="11">
        <f>IFERROR(VLOOKUP(B398, PlumX_snapshot!$A:$C, 3, FALSE), " ")</f>
        <v>2</v>
      </c>
      <c r="Y398" s="12">
        <f>IFERROR(VLOOKUP(B398, PlumX_snapshot!$A:$D, 4, FALSE), " ")</f>
        <v>0</v>
      </c>
      <c r="Z398" s="12">
        <f>IFERROR(VLOOKUP(B398, PlumX_snapshot!$A:$E, 5, FALSE), " ")</f>
        <v>0</v>
      </c>
      <c r="AA398" s="12">
        <f>IFERROR(VLOOKUP(B398, PlumX_snapshot!$A:$F, 6, FALSE), " ")</f>
        <v>0</v>
      </c>
      <c r="AB398" s="13">
        <v>44978</v>
      </c>
      <c r="AC398" s="9" t="s">
        <v>2173</v>
      </c>
      <c r="AD398" s="9" t="s">
        <v>2174</v>
      </c>
      <c r="AH398" s="9">
        <v>2420</v>
      </c>
      <c r="AI398" s="9" t="s">
        <v>77</v>
      </c>
      <c r="AJ398" s="9" t="s">
        <v>57</v>
      </c>
      <c r="AK398" s="11" t="str">
        <f t="shared" si="2"/>
        <v>2022USD</v>
      </c>
      <c r="AL398" s="11">
        <f>VLOOKUP(AK398, Exchange_rates!$C:$D, 2, FALSE)</f>
        <v>0.8115</v>
      </c>
      <c r="AM398" s="14">
        <f t="shared" si="3"/>
        <v>2356.596</v>
      </c>
      <c r="AN398" s="9"/>
      <c r="AO398" s="9"/>
      <c r="AP398" s="9"/>
      <c r="AQ398" s="15" t="s">
        <v>125</v>
      </c>
      <c r="AR398" t="s">
        <v>2175</v>
      </c>
      <c r="AS398" s="16"/>
    </row>
    <row r="399" spans="1:45" ht="14.5">
      <c r="A399" s="9" t="s">
        <v>2176</v>
      </c>
      <c r="B399" s="9" t="s">
        <v>2177</v>
      </c>
      <c r="C399" s="9" t="s">
        <v>1993</v>
      </c>
      <c r="D399" s="9" t="s">
        <v>1994</v>
      </c>
      <c r="E399" s="9" t="s">
        <v>125</v>
      </c>
      <c r="F399" s="9" t="s">
        <v>69</v>
      </c>
      <c r="G399" s="9" t="s">
        <v>70</v>
      </c>
      <c r="H399" s="9" t="s">
        <v>2110</v>
      </c>
      <c r="I399" s="9" t="s">
        <v>72</v>
      </c>
      <c r="J399" s="10">
        <v>44505</v>
      </c>
      <c r="K399" s="10">
        <v>44727</v>
      </c>
      <c r="L399" s="29"/>
      <c r="N399" s="9">
        <v>2022</v>
      </c>
      <c r="O399" s="9" t="s">
        <v>2166</v>
      </c>
      <c r="P399" s="9" t="s">
        <v>83</v>
      </c>
      <c r="Q399" s="9" t="s">
        <v>53</v>
      </c>
      <c r="R399" s="9" t="s">
        <v>2178</v>
      </c>
      <c r="T399" s="9"/>
      <c r="V399" s="9"/>
      <c r="W399" s="11">
        <f>IFERROR(VLOOKUP(B399, PlumX_snapshot!$A:$B, 2, FALSE), " ")</f>
        <v>12</v>
      </c>
      <c r="X399" s="11">
        <f>IFERROR(VLOOKUP(B399, PlumX_snapshot!$A:$C, 3, FALSE), " ")</f>
        <v>50</v>
      </c>
      <c r="Y399" s="12">
        <f>IFERROR(VLOOKUP(B399, PlumX_snapshot!$A:$D, 4, FALSE), " ")</f>
        <v>14</v>
      </c>
      <c r="Z399" s="12">
        <f>IFERROR(VLOOKUP(B399, PlumX_snapshot!$A:$E, 5, FALSE), " ")</f>
        <v>0</v>
      </c>
      <c r="AA399" s="12">
        <f>IFERROR(VLOOKUP(B399, PlumX_snapshot!$A:$F, 6, FALSE), " ")</f>
        <v>0</v>
      </c>
      <c r="AB399" s="13">
        <v>44978</v>
      </c>
      <c r="AC399" s="9" t="s">
        <v>2179</v>
      </c>
      <c r="AD399" s="9" t="s">
        <v>1791</v>
      </c>
      <c r="AH399" s="9">
        <v>1749</v>
      </c>
      <c r="AI399" s="9" t="s">
        <v>77</v>
      </c>
      <c r="AJ399" s="9" t="s">
        <v>57</v>
      </c>
      <c r="AK399" s="11" t="str">
        <f t="shared" si="2"/>
        <v>2022USD</v>
      </c>
      <c r="AL399" s="11">
        <f>VLOOKUP(AK399, Exchange_rates!$C:$D, 2, FALSE)</f>
        <v>0.8115</v>
      </c>
      <c r="AM399" s="14">
        <f t="shared" si="3"/>
        <v>1703.1761999999999</v>
      </c>
      <c r="AN399" s="9"/>
      <c r="AO399" s="9"/>
      <c r="AP399" s="9"/>
      <c r="AQ399" s="15" t="s">
        <v>125</v>
      </c>
      <c r="AR399" t="s">
        <v>2000</v>
      </c>
      <c r="AS399" s="16"/>
    </row>
    <row r="400" spans="1:45" ht="14.5">
      <c r="A400" s="9" t="s">
        <v>2180</v>
      </c>
      <c r="B400" s="9" t="s">
        <v>2181</v>
      </c>
      <c r="C400" s="9" t="s">
        <v>1993</v>
      </c>
      <c r="D400" s="9" t="s">
        <v>1994</v>
      </c>
      <c r="E400" s="9" t="s">
        <v>125</v>
      </c>
      <c r="F400" s="9" t="s">
        <v>69</v>
      </c>
      <c r="G400" s="9" t="s">
        <v>70</v>
      </c>
      <c r="H400" s="9" t="s">
        <v>2110</v>
      </c>
      <c r="I400" s="9" t="s">
        <v>72</v>
      </c>
      <c r="J400" s="10">
        <v>44512</v>
      </c>
      <c r="K400" s="10">
        <v>44657</v>
      </c>
      <c r="L400" s="29"/>
      <c r="N400" s="9">
        <v>2022</v>
      </c>
      <c r="O400" s="9" t="s">
        <v>2182</v>
      </c>
      <c r="P400" s="9" t="s">
        <v>83</v>
      </c>
      <c r="Q400" s="9" t="s">
        <v>53</v>
      </c>
      <c r="R400" s="9" t="s">
        <v>2183</v>
      </c>
      <c r="T400" s="9"/>
      <c r="V400" s="9"/>
      <c r="W400" s="11">
        <f>IFERROR(VLOOKUP(B400, PlumX_snapshot!$A:$B, 2, FALSE), " ")</f>
        <v>2</v>
      </c>
      <c r="X400" s="11">
        <f>IFERROR(VLOOKUP(B400, PlumX_snapshot!$A:$C, 3, FALSE), " ")</f>
        <v>46</v>
      </c>
      <c r="Y400" s="12">
        <f>IFERROR(VLOOKUP(B400, PlumX_snapshot!$A:$D, 4, FALSE), " ")</f>
        <v>4</v>
      </c>
      <c r="Z400" s="12">
        <f>IFERROR(VLOOKUP(B400, PlumX_snapshot!$A:$E, 5, FALSE), " ")</f>
        <v>0</v>
      </c>
      <c r="AA400" s="12">
        <f>IFERROR(VLOOKUP(B400, PlumX_snapshot!$A:$F, 6, FALSE), " ")</f>
        <v>0</v>
      </c>
      <c r="AB400" s="13">
        <v>44978</v>
      </c>
      <c r="AC400" s="9" t="s">
        <v>2068</v>
      </c>
      <c r="AD400" s="9" t="s">
        <v>2069</v>
      </c>
      <c r="AH400" s="9">
        <v>1749</v>
      </c>
      <c r="AI400" s="9" t="s">
        <v>77</v>
      </c>
      <c r="AJ400" s="9" t="s">
        <v>57</v>
      </c>
      <c r="AK400" s="11" t="str">
        <f t="shared" si="2"/>
        <v>2022USD</v>
      </c>
      <c r="AL400" s="11">
        <f>VLOOKUP(AK400, Exchange_rates!$C:$D, 2, FALSE)</f>
        <v>0.8115</v>
      </c>
      <c r="AM400" s="14">
        <f t="shared" si="3"/>
        <v>1703.1761999999999</v>
      </c>
      <c r="AN400" s="9"/>
      <c r="AO400" s="9"/>
      <c r="AP400" s="9"/>
      <c r="AQ400" s="15" t="s">
        <v>125</v>
      </c>
      <c r="AR400" t="s">
        <v>2000</v>
      </c>
      <c r="AS400" s="16"/>
    </row>
    <row r="401" spans="1:45" ht="14.5">
      <c r="A401" s="9" t="s">
        <v>2184</v>
      </c>
      <c r="B401" s="9" t="s">
        <v>2185</v>
      </c>
      <c r="C401" s="9" t="s">
        <v>1993</v>
      </c>
      <c r="D401" s="9" t="s">
        <v>1994</v>
      </c>
      <c r="E401" s="9" t="s">
        <v>125</v>
      </c>
      <c r="F401" s="9" t="s">
        <v>69</v>
      </c>
      <c r="G401" s="9" t="s">
        <v>70</v>
      </c>
      <c r="H401" s="9" t="s">
        <v>2110</v>
      </c>
      <c r="I401" s="9" t="s">
        <v>72</v>
      </c>
      <c r="J401" s="10">
        <v>44568</v>
      </c>
      <c r="K401" s="10">
        <v>44634</v>
      </c>
      <c r="L401" s="29"/>
      <c r="N401" s="9">
        <v>2022</v>
      </c>
      <c r="O401" s="9" t="s">
        <v>2186</v>
      </c>
      <c r="P401" s="9" t="s">
        <v>53</v>
      </c>
      <c r="Q401" s="9" t="s">
        <v>53</v>
      </c>
      <c r="R401" s="9" t="s">
        <v>2187</v>
      </c>
      <c r="T401" s="9"/>
      <c r="V401" s="9"/>
      <c r="W401" s="11">
        <f>IFERROR(VLOOKUP(B401, PlumX_snapshot!$A:$B, 2, FALSE), " ")</f>
        <v>48</v>
      </c>
      <c r="X401" s="11">
        <f>IFERROR(VLOOKUP(B401, PlumX_snapshot!$A:$C, 3, FALSE), " ")</f>
        <v>51</v>
      </c>
      <c r="Y401" s="12">
        <f>IFERROR(VLOOKUP(B401, PlumX_snapshot!$A:$D, 4, FALSE), " ")</f>
        <v>29</v>
      </c>
      <c r="Z401" s="12">
        <f>IFERROR(VLOOKUP(B401, PlumX_snapshot!$A:$E, 5, FALSE), " ")</f>
        <v>0</v>
      </c>
      <c r="AA401" s="12">
        <f>IFERROR(VLOOKUP(B401, PlumX_snapshot!$A:$F, 6, FALSE), " ")</f>
        <v>0</v>
      </c>
      <c r="AB401" s="13">
        <v>44978</v>
      </c>
      <c r="AC401" s="9" t="s">
        <v>2188</v>
      </c>
      <c r="AD401" s="9" t="s">
        <v>2189</v>
      </c>
      <c r="AH401" s="9">
        <v>1734</v>
      </c>
      <c r="AI401" s="9" t="s">
        <v>1999</v>
      </c>
      <c r="AJ401" s="9" t="s">
        <v>57</v>
      </c>
      <c r="AK401" s="11" t="str">
        <f t="shared" si="2"/>
        <v>2022USD</v>
      </c>
      <c r="AL401" s="11">
        <f>VLOOKUP(AK401, Exchange_rates!$C:$D, 2, FALSE)</f>
        <v>0.8115</v>
      </c>
      <c r="AM401" s="14">
        <f t="shared" si="3"/>
        <v>1688.5692000000001</v>
      </c>
      <c r="AN401" s="9"/>
      <c r="AO401" s="9"/>
      <c r="AP401" s="9"/>
      <c r="AQ401" s="15" t="s">
        <v>125</v>
      </c>
      <c r="AR401" t="s">
        <v>2000</v>
      </c>
      <c r="AS401" s="16"/>
    </row>
    <row r="402" spans="1:45" ht="14.5">
      <c r="A402" s="9" t="s">
        <v>2190</v>
      </c>
      <c r="B402" s="9" t="s">
        <v>2191</v>
      </c>
      <c r="C402" s="9" t="s">
        <v>1993</v>
      </c>
      <c r="D402" s="9" t="s">
        <v>1994</v>
      </c>
      <c r="E402" s="9" t="s">
        <v>125</v>
      </c>
      <c r="F402" s="9" t="s">
        <v>69</v>
      </c>
      <c r="G402" s="9" t="s">
        <v>70</v>
      </c>
      <c r="H402" s="9" t="s">
        <v>2110</v>
      </c>
      <c r="I402" s="9" t="s">
        <v>72</v>
      </c>
      <c r="J402" s="10">
        <v>44407</v>
      </c>
      <c r="K402" s="10">
        <v>44636</v>
      </c>
      <c r="L402" s="29"/>
      <c r="N402" s="9">
        <v>2022</v>
      </c>
      <c r="O402" s="9" t="s">
        <v>2186</v>
      </c>
      <c r="P402" s="9" t="s">
        <v>53</v>
      </c>
      <c r="Q402" s="9" t="s">
        <v>53</v>
      </c>
      <c r="R402" s="9" t="s">
        <v>2192</v>
      </c>
      <c r="T402" s="9"/>
      <c r="V402" s="9"/>
      <c r="W402" s="11">
        <f>IFERROR(VLOOKUP(B402, PlumX_snapshot!$A:$B, 2, FALSE), " ")</f>
        <v>39</v>
      </c>
      <c r="X402" s="11">
        <f>IFERROR(VLOOKUP(B402, PlumX_snapshot!$A:$C, 3, FALSE), " ")</f>
        <v>35</v>
      </c>
      <c r="Y402" s="12">
        <f>IFERROR(VLOOKUP(B402, PlumX_snapshot!$A:$D, 4, FALSE), " ")</f>
        <v>25</v>
      </c>
      <c r="Z402" s="12">
        <f>IFERROR(VLOOKUP(B402, PlumX_snapshot!$A:$E, 5, FALSE), " ")</f>
        <v>0</v>
      </c>
      <c r="AA402" s="12">
        <f>IFERROR(VLOOKUP(B402, PlumX_snapshot!$A:$F, 6, FALSE), " ")</f>
        <v>0</v>
      </c>
      <c r="AB402" s="13">
        <v>44978</v>
      </c>
      <c r="AC402" s="9" t="s">
        <v>2193</v>
      </c>
      <c r="AD402" s="9" t="s">
        <v>2194</v>
      </c>
      <c r="AH402" s="9">
        <v>1734</v>
      </c>
      <c r="AI402" s="9" t="s">
        <v>1999</v>
      </c>
      <c r="AJ402" s="9" t="s">
        <v>57</v>
      </c>
      <c r="AK402" s="11" t="str">
        <f t="shared" si="2"/>
        <v>2022USD</v>
      </c>
      <c r="AL402" s="11">
        <f>VLOOKUP(AK402, Exchange_rates!$C:$D, 2, FALSE)</f>
        <v>0.8115</v>
      </c>
      <c r="AM402" s="14">
        <f t="shared" si="3"/>
        <v>1688.5692000000001</v>
      </c>
      <c r="AN402" s="9"/>
      <c r="AO402" s="9"/>
      <c r="AP402" s="9"/>
      <c r="AQ402" s="15" t="s">
        <v>125</v>
      </c>
      <c r="AR402" t="s">
        <v>2000</v>
      </c>
      <c r="AS402" s="16"/>
    </row>
    <row r="403" spans="1:45" ht="14.5">
      <c r="A403" s="9" t="s">
        <v>2195</v>
      </c>
      <c r="B403" s="9" t="s">
        <v>2196</v>
      </c>
      <c r="C403" s="9" t="s">
        <v>1993</v>
      </c>
      <c r="D403" s="9" t="s">
        <v>1994</v>
      </c>
      <c r="E403" s="9" t="s">
        <v>125</v>
      </c>
      <c r="F403" s="9" t="s">
        <v>69</v>
      </c>
      <c r="G403" s="9" t="s">
        <v>70</v>
      </c>
      <c r="H403" s="9" t="s">
        <v>2110</v>
      </c>
      <c r="I403" s="9" t="s">
        <v>72</v>
      </c>
      <c r="J403" s="10">
        <v>44543</v>
      </c>
      <c r="K403" s="10">
        <v>44648</v>
      </c>
      <c r="L403" s="29"/>
      <c r="N403" s="9">
        <v>2022</v>
      </c>
      <c r="O403" s="9" t="s">
        <v>2186</v>
      </c>
      <c r="P403" s="9" t="s">
        <v>83</v>
      </c>
      <c r="Q403" s="9" t="s">
        <v>53</v>
      </c>
      <c r="R403" s="9" t="s">
        <v>2197</v>
      </c>
      <c r="T403" s="9"/>
      <c r="V403" s="9"/>
      <c r="W403" s="11">
        <f>IFERROR(VLOOKUP(B403, PlumX_snapshot!$A:$B, 2, FALSE), " ")</f>
        <v>15</v>
      </c>
      <c r="X403" s="11">
        <f>IFERROR(VLOOKUP(B403, PlumX_snapshot!$A:$C, 3, FALSE), " ")</f>
        <v>165</v>
      </c>
      <c r="Y403" s="12">
        <f>IFERROR(VLOOKUP(B403, PlumX_snapshot!$A:$D, 4, FALSE), " ")</f>
        <v>460</v>
      </c>
      <c r="Z403" s="12">
        <f>IFERROR(VLOOKUP(B403, PlumX_snapshot!$A:$E, 5, FALSE), " ")</f>
        <v>0</v>
      </c>
      <c r="AA403" s="12">
        <f>IFERROR(VLOOKUP(B403, PlumX_snapshot!$A:$F, 6, FALSE), " ")</f>
        <v>31</v>
      </c>
      <c r="AB403" s="13">
        <v>44978</v>
      </c>
      <c r="AC403" s="9" t="s">
        <v>2198</v>
      </c>
      <c r="AD403" s="9" t="s">
        <v>2199</v>
      </c>
      <c r="AH403" s="9">
        <v>1734</v>
      </c>
      <c r="AI403" s="9" t="s">
        <v>1999</v>
      </c>
      <c r="AJ403" s="9" t="s">
        <v>57</v>
      </c>
      <c r="AK403" s="11" t="str">
        <f t="shared" si="2"/>
        <v>2022USD</v>
      </c>
      <c r="AL403" s="11">
        <f>VLOOKUP(AK403, Exchange_rates!$C:$D, 2, FALSE)</f>
        <v>0.8115</v>
      </c>
      <c r="AM403" s="14">
        <f t="shared" si="3"/>
        <v>1688.5692000000001</v>
      </c>
      <c r="AN403" s="9"/>
      <c r="AO403" s="9"/>
      <c r="AP403" s="9"/>
      <c r="AQ403" s="15" t="s">
        <v>125</v>
      </c>
      <c r="AR403" t="s">
        <v>2000</v>
      </c>
      <c r="AS403" s="16"/>
    </row>
    <row r="404" spans="1:45" ht="14.5">
      <c r="A404" s="9" t="s">
        <v>2200</v>
      </c>
      <c r="B404" s="9" t="s">
        <v>2201</v>
      </c>
      <c r="C404" s="9" t="s">
        <v>1993</v>
      </c>
      <c r="D404" s="9" t="s">
        <v>1994</v>
      </c>
      <c r="E404" s="9" t="s">
        <v>125</v>
      </c>
      <c r="F404" s="9" t="s">
        <v>69</v>
      </c>
      <c r="G404" s="9" t="s">
        <v>70</v>
      </c>
      <c r="H404" s="9" t="s">
        <v>2110</v>
      </c>
      <c r="I404" s="9" t="s">
        <v>72</v>
      </c>
      <c r="J404" s="10">
        <v>44452</v>
      </c>
      <c r="K404" s="10">
        <v>44645</v>
      </c>
      <c r="L404" s="29"/>
      <c r="N404" s="9">
        <v>2022</v>
      </c>
      <c r="O404" s="9" t="s">
        <v>2186</v>
      </c>
      <c r="P404" s="9" t="s">
        <v>83</v>
      </c>
      <c r="Q404" s="9" t="s">
        <v>53</v>
      </c>
      <c r="R404" s="9" t="s">
        <v>2202</v>
      </c>
      <c r="T404" s="9"/>
      <c r="V404" s="9"/>
      <c r="W404" s="11">
        <f>IFERROR(VLOOKUP(B404, PlumX_snapshot!$A:$B, 2, FALSE), " ")</f>
        <v>5</v>
      </c>
      <c r="X404" s="11">
        <f>IFERROR(VLOOKUP(B404, PlumX_snapshot!$A:$C, 3, FALSE), " ")</f>
        <v>63</v>
      </c>
      <c r="Y404" s="12">
        <f>IFERROR(VLOOKUP(B404, PlumX_snapshot!$A:$D, 4, FALSE), " ")</f>
        <v>0</v>
      </c>
      <c r="Z404" s="12">
        <f>IFERROR(VLOOKUP(B404, PlumX_snapshot!$A:$E, 5, FALSE), " ")</f>
        <v>0</v>
      </c>
      <c r="AA404" s="12">
        <f>IFERROR(VLOOKUP(B404, PlumX_snapshot!$A:$F, 6, FALSE), " ")</f>
        <v>0</v>
      </c>
      <c r="AB404" s="13">
        <v>44978</v>
      </c>
      <c r="AC404" s="9" t="s">
        <v>2203</v>
      </c>
      <c r="AD404" s="9" t="s">
        <v>2204</v>
      </c>
      <c r="AH404" s="9">
        <v>1734</v>
      </c>
      <c r="AI404" s="9" t="s">
        <v>1999</v>
      </c>
      <c r="AJ404" s="9" t="s">
        <v>57</v>
      </c>
      <c r="AK404" s="11" t="str">
        <f t="shared" si="2"/>
        <v>2022USD</v>
      </c>
      <c r="AL404" s="11">
        <f>VLOOKUP(AK404, Exchange_rates!$C:$D, 2, FALSE)</f>
        <v>0.8115</v>
      </c>
      <c r="AM404" s="14">
        <f t="shared" si="3"/>
        <v>1688.5692000000001</v>
      </c>
      <c r="AN404" s="9"/>
      <c r="AO404" s="9"/>
      <c r="AP404" s="9"/>
      <c r="AQ404" s="15" t="s">
        <v>125</v>
      </c>
      <c r="AR404" t="s">
        <v>2000</v>
      </c>
      <c r="AS404" s="16"/>
    </row>
    <row r="405" spans="1:45" ht="14.5">
      <c r="A405" s="9" t="s">
        <v>2205</v>
      </c>
      <c r="B405" s="9" t="s">
        <v>2206</v>
      </c>
      <c r="C405" s="20" t="s">
        <v>2207</v>
      </c>
      <c r="D405" s="9" t="s">
        <v>2208</v>
      </c>
      <c r="E405" s="9" t="s">
        <v>49</v>
      </c>
      <c r="F405" s="9" t="s">
        <v>69</v>
      </c>
      <c r="G405" s="9" t="s">
        <v>70</v>
      </c>
      <c r="H405" s="9" t="s">
        <v>2209</v>
      </c>
      <c r="I405" s="9" t="s">
        <v>72</v>
      </c>
      <c r="J405" s="29"/>
      <c r="K405" s="10">
        <v>44540</v>
      </c>
      <c r="L405" s="29"/>
      <c r="M405" s="10">
        <v>44606</v>
      </c>
      <c r="N405" s="9">
        <v>2022</v>
      </c>
      <c r="O405" s="9" t="s">
        <v>2210</v>
      </c>
      <c r="P405" s="9" t="s">
        <v>83</v>
      </c>
      <c r="Q405" s="9" t="s">
        <v>53</v>
      </c>
      <c r="R405" s="9" t="s">
        <v>2211</v>
      </c>
      <c r="T405" s="9"/>
      <c r="U405" s="9" t="s">
        <v>2212</v>
      </c>
      <c r="V405" s="9"/>
      <c r="W405" s="11">
        <f>IFERROR(VLOOKUP(B405, PlumX_snapshot!$A:$B, 2, FALSE), " ")</f>
        <v>680</v>
      </c>
      <c r="X405" s="11">
        <f>IFERROR(VLOOKUP(B405, PlumX_snapshot!$A:$C, 3, FALSE), " ")</f>
        <v>171</v>
      </c>
      <c r="Y405" s="12">
        <f>IFERROR(VLOOKUP(B405, PlumX_snapshot!$A:$D, 4, FALSE), " ")</f>
        <v>1727</v>
      </c>
      <c r="Z405" s="12">
        <f>IFERROR(VLOOKUP(B405, PlumX_snapshot!$A:$E, 5, FALSE), " ")</f>
        <v>0</v>
      </c>
      <c r="AA405" s="12">
        <f>IFERROR(VLOOKUP(B405, PlumX_snapshot!$A:$F, 6, FALSE), " ")</f>
        <v>74</v>
      </c>
      <c r="AB405" s="13">
        <v>44978</v>
      </c>
      <c r="AH405" s="20">
        <v>4995</v>
      </c>
      <c r="AI405" s="20" t="s">
        <v>875</v>
      </c>
      <c r="AJ405" s="20" t="s">
        <v>57</v>
      </c>
      <c r="AK405" s="11" t="str">
        <f t="shared" si="2"/>
        <v>2022USD</v>
      </c>
      <c r="AL405" s="11">
        <f>VLOOKUP(AK405, Exchange_rates!$C:$D, 2, FALSE)</f>
        <v>0.8115</v>
      </c>
      <c r="AM405" s="14">
        <f t="shared" si="3"/>
        <v>4864.1310000000003</v>
      </c>
      <c r="AN405" s="9"/>
      <c r="AO405" s="9"/>
      <c r="AP405" s="9"/>
      <c r="AQ405" s="15" t="s">
        <v>49</v>
      </c>
      <c r="AR405" t="s">
        <v>2213</v>
      </c>
      <c r="AS405" s="16" t="s">
        <v>2214</v>
      </c>
    </row>
    <row r="406" spans="1:45" ht="14.5">
      <c r="A406" s="9" t="s">
        <v>2215</v>
      </c>
      <c r="B406" s="9" t="s">
        <v>2216</v>
      </c>
      <c r="C406" s="9" t="s">
        <v>2217</v>
      </c>
      <c r="D406" s="9" t="s">
        <v>2218</v>
      </c>
      <c r="E406" s="17" t="s">
        <v>49</v>
      </c>
      <c r="F406" s="9" t="s">
        <v>69</v>
      </c>
      <c r="G406" s="9" t="s">
        <v>70</v>
      </c>
      <c r="H406" s="9" t="s">
        <v>2219</v>
      </c>
      <c r="I406" s="9" t="s">
        <v>72</v>
      </c>
      <c r="J406" s="10"/>
      <c r="K406" s="10">
        <v>43963</v>
      </c>
      <c r="L406" s="10"/>
      <c r="M406" s="10">
        <v>43983</v>
      </c>
      <c r="N406" s="9">
        <v>2020</v>
      </c>
      <c r="O406" s="9" t="s">
        <v>2220</v>
      </c>
      <c r="P406" s="9" t="s">
        <v>83</v>
      </c>
      <c r="Q406" s="9" t="s">
        <v>53</v>
      </c>
      <c r="R406" s="9" t="s">
        <v>2221</v>
      </c>
      <c r="T406" s="9"/>
      <c r="V406" s="9"/>
      <c r="W406" s="11">
        <f>IFERROR(VLOOKUP(B406, PlumX_snapshot!$A:$B, 2, FALSE), " ")</f>
        <v>118</v>
      </c>
      <c r="X406" s="11">
        <f>IFERROR(VLOOKUP(B406, PlumX_snapshot!$A:$C, 3, FALSE), " ")</f>
        <v>27</v>
      </c>
      <c r="Y406" s="12">
        <f>IFERROR(VLOOKUP(B406, PlumX_snapshot!$A:$D, 4, FALSE), " ")</f>
        <v>2</v>
      </c>
      <c r="Z406" s="12">
        <f>IFERROR(VLOOKUP(B406, PlumX_snapshot!$A:$E, 5, FALSE), " ")</f>
        <v>0</v>
      </c>
      <c r="AA406" s="12">
        <f>IFERROR(VLOOKUP(B406, PlumX_snapshot!$A:$F, 6, FALSE), " ")</f>
        <v>1</v>
      </c>
      <c r="AB406" s="13">
        <v>44978</v>
      </c>
      <c r="AI406" s="9"/>
      <c r="AJ406" s="9"/>
      <c r="AK406" s="11" t="str">
        <f t="shared" si="2"/>
        <v>2020</v>
      </c>
      <c r="AL406" s="11" t="e">
        <f>VLOOKUP(AK406, Exchange_rates!$C:$D, 2, FALSE)</f>
        <v>#N/A</v>
      </c>
      <c r="AM406" s="14" t="str">
        <f t="shared" si="3"/>
        <v/>
      </c>
      <c r="AN406" s="9"/>
      <c r="AO406" s="9"/>
      <c r="AP406" s="17"/>
      <c r="AQ406" s="15" t="s">
        <v>49</v>
      </c>
      <c r="AR406" t="s">
        <v>2222</v>
      </c>
      <c r="AS406" s="16"/>
    </row>
    <row r="407" spans="1:45" ht="14.5">
      <c r="A407" s="9" t="s">
        <v>2223</v>
      </c>
      <c r="B407" s="9" t="s">
        <v>2224</v>
      </c>
      <c r="C407" s="9" t="s">
        <v>2225</v>
      </c>
      <c r="D407" s="9" t="s">
        <v>2218</v>
      </c>
      <c r="E407" s="17" t="s">
        <v>49</v>
      </c>
      <c r="F407" s="9" t="s">
        <v>69</v>
      </c>
      <c r="G407" s="9" t="s">
        <v>70</v>
      </c>
      <c r="H407" s="9" t="s">
        <v>2219</v>
      </c>
      <c r="I407" s="9" t="s">
        <v>72</v>
      </c>
      <c r="J407" s="10"/>
      <c r="K407" s="10">
        <v>44131</v>
      </c>
      <c r="L407" s="10"/>
      <c r="M407" s="28">
        <v>44161</v>
      </c>
      <c r="N407" s="9">
        <v>2020</v>
      </c>
      <c r="O407" s="9" t="s">
        <v>2220</v>
      </c>
      <c r="P407" s="9" t="s">
        <v>83</v>
      </c>
      <c r="Q407" s="9" t="s">
        <v>83</v>
      </c>
      <c r="R407" s="9" t="s">
        <v>2226</v>
      </c>
      <c r="T407" s="9"/>
      <c r="V407" s="9"/>
      <c r="W407" s="11">
        <f>IFERROR(VLOOKUP(B407, PlumX_snapshot!$A:$B, 2, FALSE), " ")</f>
        <v>9</v>
      </c>
      <c r="X407" s="11">
        <f>IFERROR(VLOOKUP(B407, PlumX_snapshot!$A:$C, 3, FALSE), " ")</f>
        <v>2</v>
      </c>
      <c r="Y407" s="12">
        <f>IFERROR(VLOOKUP(B407, PlumX_snapshot!$A:$D, 4, FALSE), " ")</f>
        <v>0</v>
      </c>
      <c r="Z407" s="12">
        <f>IFERROR(VLOOKUP(B407, PlumX_snapshot!$A:$E, 5, FALSE), " ")</f>
        <v>0</v>
      </c>
      <c r="AA407" s="12">
        <f>IFERROR(VLOOKUP(B407, PlumX_snapshot!$A:$F, 6, FALSE), " ")</f>
        <v>0</v>
      </c>
      <c r="AB407" s="13">
        <v>44978</v>
      </c>
      <c r="AI407" s="9"/>
      <c r="AJ407" s="9"/>
      <c r="AK407" s="11" t="str">
        <f t="shared" si="2"/>
        <v>2020</v>
      </c>
      <c r="AL407" s="11" t="e">
        <f>VLOOKUP(AK407, Exchange_rates!$C:$D, 2, FALSE)</f>
        <v>#N/A</v>
      </c>
      <c r="AM407" s="14" t="str">
        <f t="shared" si="3"/>
        <v/>
      </c>
      <c r="AN407" s="9"/>
      <c r="AO407" s="9"/>
      <c r="AP407" s="17"/>
      <c r="AQ407" s="15" t="s">
        <v>49</v>
      </c>
      <c r="AR407" t="s">
        <v>2227</v>
      </c>
      <c r="AS407" s="16"/>
    </row>
    <row r="408" spans="1:45" ht="14.5">
      <c r="A408" s="9" t="s">
        <v>2228</v>
      </c>
      <c r="B408" s="9" t="s">
        <v>2229</v>
      </c>
      <c r="C408" s="9" t="s">
        <v>2230</v>
      </c>
      <c r="D408" s="9" t="s">
        <v>2218</v>
      </c>
      <c r="E408" s="17" t="s">
        <v>49</v>
      </c>
      <c r="F408" s="9" t="s">
        <v>69</v>
      </c>
      <c r="G408" s="9" t="s">
        <v>70</v>
      </c>
      <c r="H408" s="9" t="s">
        <v>2231</v>
      </c>
      <c r="I408" s="9" t="s">
        <v>72</v>
      </c>
      <c r="J408" s="10"/>
      <c r="K408" s="10">
        <v>44277</v>
      </c>
      <c r="L408" s="10"/>
      <c r="M408" s="10">
        <v>44302</v>
      </c>
      <c r="N408" s="9">
        <v>2021</v>
      </c>
      <c r="O408" s="9" t="s">
        <v>2220</v>
      </c>
      <c r="P408" s="9" t="s">
        <v>53</v>
      </c>
      <c r="Q408" s="9" t="s">
        <v>53</v>
      </c>
      <c r="R408" s="9" t="s">
        <v>2232</v>
      </c>
      <c r="T408" s="9"/>
      <c r="V408" s="9"/>
      <c r="W408" s="11">
        <f>IFERROR(VLOOKUP(B408, PlumX_snapshot!$A:$B, 2, FALSE), " ")</f>
        <v>15</v>
      </c>
      <c r="X408" s="11">
        <f>IFERROR(VLOOKUP(B408, PlumX_snapshot!$A:$C, 3, FALSE), " ")</f>
        <v>2</v>
      </c>
      <c r="Y408" s="12">
        <f>IFERROR(VLOOKUP(B408, PlumX_snapshot!$A:$D, 4, FALSE), " ")</f>
        <v>0</v>
      </c>
      <c r="Z408" s="12">
        <f>IFERROR(VLOOKUP(B408, PlumX_snapshot!$A:$E, 5, FALSE), " ")</f>
        <v>0</v>
      </c>
      <c r="AA408" s="12">
        <f>IFERROR(VLOOKUP(B408, PlumX_snapshot!$A:$F, 6, FALSE), " ")</f>
        <v>0</v>
      </c>
      <c r="AB408" s="13">
        <v>44978</v>
      </c>
      <c r="AI408" s="9"/>
      <c r="AJ408" s="9"/>
      <c r="AK408" s="11" t="str">
        <f t="shared" si="2"/>
        <v>2021</v>
      </c>
      <c r="AL408" s="11" t="e">
        <f>VLOOKUP(AK408, Exchange_rates!$C:$D, 2, FALSE)</f>
        <v>#N/A</v>
      </c>
      <c r="AM408" s="14" t="str">
        <f t="shared" si="3"/>
        <v/>
      </c>
      <c r="AN408" s="9"/>
      <c r="AO408" s="9"/>
      <c r="AP408" s="17"/>
      <c r="AQ408" s="15" t="s">
        <v>49</v>
      </c>
      <c r="AR408" t="s">
        <v>2233</v>
      </c>
      <c r="AS408" s="16"/>
    </row>
    <row r="409" spans="1:45" ht="14.5">
      <c r="A409" s="9" t="s">
        <v>2234</v>
      </c>
      <c r="B409" s="9" t="s">
        <v>2235</v>
      </c>
      <c r="C409" s="9" t="s">
        <v>2230</v>
      </c>
      <c r="D409" s="9" t="s">
        <v>2218</v>
      </c>
      <c r="E409" s="17" t="s">
        <v>49</v>
      </c>
      <c r="F409" s="9" t="s">
        <v>69</v>
      </c>
      <c r="G409" s="9" t="s">
        <v>70</v>
      </c>
      <c r="H409" s="9" t="s">
        <v>2231</v>
      </c>
      <c r="I409" s="9" t="s">
        <v>72</v>
      </c>
      <c r="J409" s="10"/>
      <c r="K409" s="10">
        <v>44321</v>
      </c>
      <c r="L409" s="10"/>
      <c r="M409" s="10">
        <v>44348</v>
      </c>
      <c r="N409" s="9">
        <v>2021</v>
      </c>
      <c r="O409" s="9" t="s">
        <v>2220</v>
      </c>
      <c r="P409" s="9" t="s">
        <v>53</v>
      </c>
      <c r="Q409" s="9" t="s">
        <v>53</v>
      </c>
      <c r="R409" s="9" t="s">
        <v>2236</v>
      </c>
      <c r="T409" s="9"/>
      <c r="V409" s="9"/>
      <c r="W409" s="11">
        <f>IFERROR(VLOOKUP(B409, PlumX_snapshot!$A:$B, 2, FALSE), " ")</f>
        <v>14</v>
      </c>
      <c r="X409" s="11">
        <f>IFERROR(VLOOKUP(B409, PlumX_snapshot!$A:$C, 3, FALSE), " ")</f>
        <v>7</v>
      </c>
      <c r="Y409" s="12">
        <f>IFERROR(VLOOKUP(B409, PlumX_snapshot!$A:$D, 4, FALSE), " ")</f>
        <v>0</v>
      </c>
      <c r="Z409" s="12">
        <f>IFERROR(VLOOKUP(B409, PlumX_snapshot!$A:$E, 5, FALSE), " ")</f>
        <v>0</v>
      </c>
      <c r="AA409" s="12">
        <f>IFERROR(VLOOKUP(B409, PlumX_snapshot!$A:$F, 6, FALSE), " ")</f>
        <v>0</v>
      </c>
      <c r="AB409" s="13">
        <v>44978</v>
      </c>
      <c r="AI409" s="9"/>
      <c r="AJ409" s="9"/>
      <c r="AK409" s="11" t="str">
        <f t="shared" si="2"/>
        <v>2021</v>
      </c>
      <c r="AL409" s="11" t="e">
        <f>VLOOKUP(AK409, Exchange_rates!$C:$D, 2, FALSE)</f>
        <v>#N/A</v>
      </c>
      <c r="AM409" s="14" t="str">
        <f t="shared" si="3"/>
        <v/>
      </c>
      <c r="AN409" s="9"/>
      <c r="AO409" s="9"/>
      <c r="AP409" s="17"/>
      <c r="AQ409" s="15" t="s">
        <v>49</v>
      </c>
      <c r="AR409" t="s">
        <v>2233</v>
      </c>
      <c r="AS409" s="16"/>
    </row>
    <row r="410" spans="1:45" ht="14.5">
      <c r="A410" s="9" t="s">
        <v>2237</v>
      </c>
      <c r="B410" s="9" t="s">
        <v>2238</v>
      </c>
      <c r="C410" s="9" t="s">
        <v>2230</v>
      </c>
      <c r="D410" s="9" t="s">
        <v>2218</v>
      </c>
      <c r="E410" s="17" t="s">
        <v>49</v>
      </c>
      <c r="F410" s="9" t="s">
        <v>69</v>
      </c>
      <c r="G410" s="9" t="s">
        <v>70</v>
      </c>
      <c r="H410" s="9" t="s">
        <v>2219</v>
      </c>
      <c r="I410" s="9" t="s">
        <v>72</v>
      </c>
      <c r="J410" s="10"/>
      <c r="K410" s="10">
        <v>44053</v>
      </c>
      <c r="L410" s="10"/>
      <c r="M410" s="10">
        <v>44085</v>
      </c>
      <c r="N410" s="9">
        <v>2020</v>
      </c>
      <c r="O410" s="9" t="s">
        <v>2239</v>
      </c>
      <c r="P410" s="9" t="s">
        <v>83</v>
      </c>
      <c r="Q410" s="9" t="s">
        <v>53</v>
      </c>
      <c r="R410" s="9" t="s">
        <v>2240</v>
      </c>
      <c r="T410" s="9"/>
      <c r="V410" s="9"/>
      <c r="W410" s="11">
        <f>IFERROR(VLOOKUP(B410, PlumX_snapshot!$A:$B, 2, FALSE), " ")</f>
        <v>21</v>
      </c>
      <c r="X410" s="11">
        <f>IFERROR(VLOOKUP(B410, PlumX_snapshot!$A:$C, 3, FALSE), " ")</f>
        <v>11</v>
      </c>
      <c r="Y410" s="12">
        <f>IFERROR(VLOOKUP(B410, PlumX_snapshot!$A:$D, 4, FALSE), " ")</f>
        <v>0</v>
      </c>
      <c r="Z410" s="12">
        <f>IFERROR(VLOOKUP(B410, PlumX_snapshot!$A:$E, 5, FALSE), " ")</f>
        <v>0</v>
      </c>
      <c r="AA410" s="12">
        <f>IFERROR(VLOOKUP(B410, PlumX_snapshot!$A:$F, 6, FALSE), " ")</f>
        <v>1</v>
      </c>
      <c r="AB410" s="13">
        <v>44978</v>
      </c>
      <c r="AI410" s="9"/>
      <c r="AJ410" s="9"/>
      <c r="AK410" s="11" t="str">
        <f t="shared" si="2"/>
        <v>2020</v>
      </c>
      <c r="AL410" s="11" t="e">
        <f>VLOOKUP(AK410, Exchange_rates!$C:$D, 2, FALSE)</f>
        <v>#N/A</v>
      </c>
      <c r="AM410" s="14" t="str">
        <f t="shared" si="3"/>
        <v/>
      </c>
      <c r="AN410" s="9"/>
      <c r="AO410" s="9"/>
      <c r="AP410" s="17"/>
      <c r="AQ410" s="15" t="s">
        <v>49</v>
      </c>
      <c r="AR410" t="s">
        <v>2233</v>
      </c>
      <c r="AS410" s="16"/>
    </row>
    <row r="411" spans="1:45" ht="14.5">
      <c r="A411" s="9" t="s">
        <v>2241</v>
      </c>
      <c r="B411" s="9" t="s">
        <v>2242</v>
      </c>
      <c r="C411" s="9" t="s">
        <v>2217</v>
      </c>
      <c r="D411" s="9" t="s">
        <v>2218</v>
      </c>
      <c r="E411" s="17" t="s">
        <v>49</v>
      </c>
      <c r="F411" s="9" t="s">
        <v>69</v>
      </c>
      <c r="G411" s="9" t="s">
        <v>70</v>
      </c>
      <c r="H411" s="9" t="s">
        <v>2231</v>
      </c>
      <c r="I411" s="9" t="s">
        <v>72</v>
      </c>
      <c r="J411" s="10"/>
      <c r="K411" s="10"/>
      <c r="L411" s="10">
        <v>44398</v>
      </c>
      <c r="M411" s="10">
        <v>44414</v>
      </c>
      <c r="N411" s="9">
        <v>2021</v>
      </c>
      <c r="O411" s="9" t="s">
        <v>2243</v>
      </c>
      <c r="P411" s="9" t="s">
        <v>53</v>
      </c>
      <c r="Q411" s="9" t="s">
        <v>83</v>
      </c>
      <c r="R411" s="9" t="s">
        <v>2244</v>
      </c>
      <c r="T411" s="9"/>
      <c r="V411" s="9"/>
      <c r="W411" s="11">
        <f>IFERROR(VLOOKUP(B411, PlumX_snapshot!$A:$B, 2, FALSE), " ")</f>
        <v>15</v>
      </c>
      <c r="X411" s="11">
        <f>IFERROR(VLOOKUP(B411, PlumX_snapshot!$A:$C, 3, FALSE), " ")</f>
        <v>4</v>
      </c>
      <c r="Y411" s="12">
        <f>IFERROR(VLOOKUP(B411, PlumX_snapshot!$A:$D, 4, FALSE), " ")</f>
        <v>0</v>
      </c>
      <c r="Z411" s="12">
        <f>IFERROR(VLOOKUP(B411, PlumX_snapshot!$A:$E, 5, FALSE), " ")</f>
        <v>0</v>
      </c>
      <c r="AA411" s="12">
        <f>IFERROR(VLOOKUP(B411, PlumX_snapshot!$A:$F, 6, FALSE), " ")</f>
        <v>0</v>
      </c>
      <c r="AB411" s="13">
        <v>44978</v>
      </c>
      <c r="AI411" s="9"/>
      <c r="AJ411" s="9"/>
      <c r="AK411" s="11" t="str">
        <f t="shared" si="2"/>
        <v>2021</v>
      </c>
      <c r="AL411" s="11" t="e">
        <f>VLOOKUP(AK411, Exchange_rates!$C:$D, 2, FALSE)</f>
        <v>#N/A</v>
      </c>
      <c r="AM411" s="14" t="str">
        <f t="shared" si="3"/>
        <v/>
      </c>
      <c r="AN411" s="9"/>
      <c r="AO411" s="9"/>
      <c r="AP411" s="17"/>
      <c r="AQ411" s="15" t="s">
        <v>49</v>
      </c>
      <c r="AR411" t="s">
        <v>2222</v>
      </c>
      <c r="AS411" s="16"/>
    </row>
    <row r="412" spans="1:45" ht="14.5">
      <c r="A412" s="9" t="s">
        <v>2245</v>
      </c>
      <c r="B412" s="9" t="s">
        <v>2246</v>
      </c>
      <c r="C412" s="9" t="s">
        <v>2247</v>
      </c>
      <c r="D412" s="9" t="s">
        <v>2218</v>
      </c>
      <c r="E412" s="17" t="s">
        <v>125</v>
      </c>
      <c r="F412" s="9" t="s">
        <v>69</v>
      </c>
      <c r="G412" s="9" t="s">
        <v>70</v>
      </c>
      <c r="H412" s="9" t="s">
        <v>2231</v>
      </c>
      <c r="I412" s="9" t="s">
        <v>72</v>
      </c>
      <c r="J412" s="10">
        <v>44456</v>
      </c>
      <c r="K412" s="10">
        <v>44508</v>
      </c>
      <c r="L412" s="10">
        <v>44508</v>
      </c>
      <c r="M412" s="10">
        <v>44537</v>
      </c>
      <c r="N412" s="9">
        <v>2021</v>
      </c>
      <c r="O412" s="9" t="s">
        <v>2248</v>
      </c>
      <c r="P412" s="9" t="s">
        <v>53</v>
      </c>
      <c r="Q412" s="9" t="s">
        <v>53</v>
      </c>
      <c r="R412" s="9" t="s">
        <v>2249</v>
      </c>
      <c r="T412" s="9"/>
      <c r="V412" s="9"/>
      <c r="W412" s="11">
        <f>IFERROR(VLOOKUP(B412, PlumX_snapshot!$A:$B, 2, FALSE), " ")</f>
        <v>13</v>
      </c>
      <c r="X412" s="11">
        <f>IFERROR(VLOOKUP(B412, PlumX_snapshot!$A:$C, 3, FALSE), " ")</f>
        <v>2</v>
      </c>
      <c r="Y412" s="12">
        <f>IFERROR(VLOOKUP(B412, PlumX_snapshot!$A:$D, 4, FALSE), " ")</f>
        <v>0</v>
      </c>
      <c r="Z412" s="12">
        <f>IFERROR(VLOOKUP(B412, PlumX_snapshot!$A:$E, 5, FALSE), " ")</f>
        <v>0</v>
      </c>
      <c r="AA412" s="12">
        <f>IFERROR(VLOOKUP(B412, PlumX_snapshot!$A:$F, 6, FALSE), " ")</f>
        <v>0</v>
      </c>
      <c r="AB412" s="13">
        <v>44978</v>
      </c>
      <c r="AI412" s="9"/>
      <c r="AJ412" s="9"/>
      <c r="AK412" s="11" t="str">
        <f t="shared" si="2"/>
        <v>2021</v>
      </c>
      <c r="AL412" s="11" t="e">
        <f>VLOOKUP(AK412, Exchange_rates!$C:$D, 2, FALSE)</f>
        <v>#N/A</v>
      </c>
      <c r="AM412" s="14" t="str">
        <f t="shared" si="3"/>
        <v/>
      </c>
      <c r="AN412" s="9"/>
      <c r="AO412" s="9"/>
      <c r="AP412" s="17"/>
      <c r="AQ412" s="15" t="s">
        <v>125</v>
      </c>
      <c r="AR412" t="s">
        <v>2250</v>
      </c>
      <c r="AS412" s="16"/>
    </row>
    <row r="413" spans="1:45" ht="14.5">
      <c r="A413" s="9" t="s">
        <v>2251</v>
      </c>
      <c r="B413" s="9" t="s">
        <v>2252</v>
      </c>
      <c r="C413" s="9" t="s">
        <v>2225</v>
      </c>
      <c r="D413" s="9" t="s">
        <v>2218</v>
      </c>
      <c r="E413" s="17" t="s">
        <v>49</v>
      </c>
      <c r="F413" s="9" t="s">
        <v>69</v>
      </c>
      <c r="G413" s="9" t="s">
        <v>70</v>
      </c>
      <c r="H413" s="9" t="s">
        <v>2253</v>
      </c>
      <c r="I413" s="9" t="s">
        <v>72</v>
      </c>
      <c r="J413" s="10"/>
      <c r="K413" s="10">
        <v>44684</v>
      </c>
      <c r="L413" s="10"/>
      <c r="M413" s="10">
        <v>44684</v>
      </c>
      <c r="N413" s="9">
        <v>2022</v>
      </c>
      <c r="O413" s="9" t="s">
        <v>2254</v>
      </c>
      <c r="P413" s="9" t="s">
        <v>83</v>
      </c>
      <c r="Q413" s="9" t="s">
        <v>53</v>
      </c>
      <c r="R413" s="9" t="s">
        <v>2255</v>
      </c>
      <c r="T413" s="9"/>
      <c r="U413" s="9" t="s">
        <v>2256</v>
      </c>
      <c r="V413" s="9"/>
      <c r="W413" s="11">
        <f>IFERROR(VLOOKUP(B413, PlumX_snapshot!$A:$B, 2, FALSE), " ")</f>
        <v>3</v>
      </c>
      <c r="X413" s="11">
        <f>IFERROR(VLOOKUP(B413, PlumX_snapshot!$A:$C, 3, FALSE), " ")</f>
        <v>0</v>
      </c>
      <c r="Y413" s="12">
        <f>IFERROR(VLOOKUP(B413, PlumX_snapshot!$A:$D, 4, FALSE), " ")</f>
        <v>0</v>
      </c>
      <c r="Z413" s="12">
        <f>IFERROR(VLOOKUP(B413, PlumX_snapshot!$A:$E, 5, FALSE), " ")</f>
        <v>0</v>
      </c>
      <c r="AA413" s="12">
        <f>IFERROR(VLOOKUP(B413, PlumX_snapshot!$A:$F, 6, FALSE), " ")</f>
        <v>0</v>
      </c>
      <c r="AB413" s="13">
        <v>44978</v>
      </c>
      <c r="AC413" s="9" t="s">
        <v>1942</v>
      </c>
      <c r="AD413" s="9" t="s">
        <v>1943</v>
      </c>
      <c r="AF413" s="9" t="s">
        <v>2257</v>
      </c>
      <c r="AH413" s="9">
        <v>1950</v>
      </c>
      <c r="AI413" s="9" t="s">
        <v>77</v>
      </c>
      <c r="AJ413" s="9" t="s">
        <v>301</v>
      </c>
      <c r="AK413" s="11" t="str">
        <f t="shared" si="2"/>
        <v>2022GBP</v>
      </c>
      <c r="AL413" s="11">
        <f>VLOOKUP(AK413, Exchange_rates!$C:$D, 2, FALSE)</f>
        <v>1</v>
      </c>
      <c r="AM413" s="14">
        <f t="shared" si="3"/>
        <v>2340</v>
      </c>
      <c r="AN413" s="9"/>
      <c r="AO413" s="9"/>
      <c r="AP413" s="17"/>
      <c r="AQ413" s="15" t="s">
        <v>49</v>
      </c>
      <c r="AR413" t="s">
        <v>2227</v>
      </c>
      <c r="AS413" s="16"/>
    </row>
    <row r="414" spans="1:45" ht="14.5">
      <c r="A414" s="9" t="s">
        <v>2258</v>
      </c>
      <c r="B414" s="9" t="s">
        <v>2259</v>
      </c>
      <c r="C414" s="9" t="s">
        <v>2230</v>
      </c>
      <c r="D414" s="9" t="s">
        <v>2218</v>
      </c>
      <c r="E414" s="17" t="s">
        <v>49</v>
      </c>
      <c r="F414" s="9" t="s">
        <v>69</v>
      </c>
      <c r="G414" s="9" t="s">
        <v>70</v>
      </c>
      <c r="H414" s="9" t="s">
        <v>2253</v>
      </c>
      <c r="I414" s="9" t="s">
        <v>72</v>
      </c>
      <c r="J414" s="10">
        <v>44685</v>
      </c>
      <c r="K414" s="10">
        <v>44858</v>
      </c>
      <c r="L414" s="10">
        <v>44858</v>
      </c>
      <c r="N414" s="9">
        <v>2022</v>
      </c>
      <c r="O414" s="9" t="s">
        <v>2260</v>
      </c>
      <c r="P414" s="9" t="s">
        <v>83</v>
      </c>
      <c r="Q414" s="9" t="s">
        <v>53</v>
      </c>
      <c r="R414" s="9" t="s">
        <v>2261</v>
      </c>
      <c r="T414" s="9"/>
      <c r="V414" s="9"/>
      <c r="W414" s="11">
        <f>IFERROR(VLOOKUP(B414, PlumX_snapshot!$A:$B, 2, FALSE), " ")</f>
        <v>3</v>
      </c>
      <c r="X414" s="11">
        <f>IFERROR(VLOOKUP(B414, PlumX_snapshot!$A:$C, 3, FALSE), " ")</f>
        <v>0</v>
      </c>
      <c r="Y414" s="12">
        <f>IFERROR(VLOOKUP(B414, PlumX_snapshot!$A:$D, 4, FALSE), " ")</f>
        <v>0</v>
      </c>
      <c r="Z414" s="12">
        <f>IFERROR(VLOOKUP(B414, PlumX_snapshot!$A:$E, 5, FALSE), " ")</f>
        <v>0</v>
      </c>
      <c r="AA414" s="12">
        <f>IFERROR(VLOOKUP(B414, PlumX_snapshot!$A:$F, 6, FALSE), " ")</f>
        <v>0</v>
      </c>
      <c r="AB414" s="13">
        <v>44978</v>
      </c>
      <c r="AC414" s="9" t="s">
        <v>2262</v>
      </c>
      <c r="AD414" s="9" t="s">
        <v>2263</v>
      </c>
      <c r="AF414" s="9" t="s">
        <v>2264</v>
      </c>
      <c r="AH414" s="9">
        <v>1950</v>
      </c>
      <c r="AI414" s="9" t="s">
        <v>77</v>
      </c>
      <c r="AJ414" s="9" t="s">
        <v>301</v>
      </c>
      <c r="AK414" s="11" t="str">
        <f t="shared" si="2"/>
        <v>2022GBP</v>
      </c>
      <c r="AL414" s="11">
        <f>VLOOKUP(AK414, Exchange_rates!$C:$D, 2, FALSE)</f>
        <v>1</v>
      </c>
      <c r="AM414" s="14">
        <f t="shared" si="3"/>
        <v>2340</v>
      </c>
      <c r="AN414" s="9"/>
      <c r="AO414" s="9"/>
      <c r="AP414" s="17"/>
      <c r="AQ414" s="15" t="s">
        <v>49</v>
      </c>
      <c r="AR414" t="s">
        <v>2233</v>
      </c>
      <c r="AS414" s="16"/>
    </row>
    <row r="415" spans="1:45" ht="14.5">
      <c r="A415" s="9" t="s">
        <v>2265</v>
      </c>
      <c r="B415" s="9" t="s">
        <v>2266</v>
      </c>
      <c r="C415" s="9" t="s">
        <v>2267</v>
      </c>
      <c r="D415" s="9" t="s">
        <v>2268</v>
      </c>
      <c r="E415" s="17" t="s">
        <v>49</v>
      </c>
      <c r="F415" s="9" t="s">
        <v>69</v>
      </c>
      <c r="G415" s="9" t="s">
        <v>51</v>
      </c>
      <c r="H415" s="9"/>
      <c r="I415" s="9" t="s">
        <v>72</v>
      </c>
      <c r="J415" s="10">
        <v>43755</v>
      </c>
      <c r="K415" s="10">
        <v>43866</v>
      </c>
      <c r="L415" s="10"/>
      <c r="M415" s="10">
        <v>43893</v>
      </c>
      <c r="N415" s="9">
        <v>2020</v>
      </c>
      <c r="O415" s="9" t="s">
        <v>2269</v>
      </c>
      <c r="P415" s="9" t="s">
        <v>83</v>
      </c>
      <c r="Q415" s="9" t="s">
        <v>53</v>
      </c>
      <c r="R415" s="9" t="s">
        <v>2270</v>
      </c>
      <c r="T415" s="9" t="s">
        <v>1656</v>
      </c>
      <c r="U415" s="9" t="s">
        <v>2271</v>
      </c>
      <c r="V415" s="9"/>
      <c r="W415" s="11">
        <f>IFERROR(VLOOKUP(B415, PlumX_snapshot!$A:$B, 2, FALSE), " ")</f>
        <v>36</v>
      </c>
      <c r="X415" s="11">
        <f>IFERROR(VLOOKUP(B415, PlumX_snapshot!$A:$C, 3, FALSE), " ")</f>
        <v>8</v>
      </c>
      <c r="Y415" s="12">
        <f>IFERROR(VLOOKUP(B415, PlumX_snapshot!$A:$D, 4, FALSE), " ")</f>
        <v>5</v>
      </c>
      <c r="Z415" s="12">
        <f>IFERROR(VLOOKUP(B415, PlumX_snapshot!$A:$E, 5, FALSE), " ")</f>
        <v>0</v>
      </c>
      <c r="AA415" s="12">
        <f>IFERROR(VLOOKUP(B415, PlumX_snapshot!$A:$F, 6, FALSE), " ")</f>
        <v>0</v>
      </c>
      <c r="AB415" s="13">
        <v>44978</v>
      </c>
      <c r="AI415" s="9"/>
      <c r="AJ415" s="9"/>
      <c r="AK415" s="11" t="str">
        <f t="shared" si="2"/>
        <v>2020</v>
      </c>
      <c r="AL415" s="11" t="e">
        <f>VLOOKUP(AK415, Exchange_rates!$C:$D, 2, FALSE)</f>
        <v>#N/A</v>
      </c>
      <c r="AM415" s="14" t="str">
        <f t="shared" si="3"/>
        <v/>
      </c>
      <c r="AN415" s="9"/>
      <c r="AO415" s="9"/>
      <c r="AP415" s="17"/>
      <c r="AQ415" s="15" t="s">
        <v>49</v>
      </c>
      <c r="AR415" t="s">
        <v>2272</v>
      </c>
      <c r="AS415" s="16"/>
    </row>
    <row r="416" spans="1:45" ht="14.5">
      <c r="A416" s="9" t="s">
        <v>2273</v>
      </c>
      <c r="B416" s="9" t="s">
        <v>2274</v>
      </c>
      <c r="C416" s="9" t="s">
        <v>2275</v>
      </c>
      <c r="D416" s="9" t="s">
        <v>2268</v>
      </c>
      <c r="E416" s="17" t="s">
        <v>49</v>
      </c>
      <c r="F416" s="9" t="s">
        <v>69</v>
      </c>
      <c r="G416" s="9" t="s">
        <v>51</v>
      </c>
      <c r="H416" s="9"/>
      <c r="I416" s="9" t="s">
        <v>72</v>
      </c>
      <c r="J416" s="10">
        <v>43873</v>
      </c>
      <c r="K416" s="10">
        <v>43895</v>
      </c>
      <c r="L416" s="10"/>
      <c r="M416" s="10">
        <v>43909</v>
      </c>
      <c r="N416" s="9">
        <v>2020</v>
      </c>
      <c r="O416" s="9" t="s">
        <v>2269</v>
      </c>
      <c r="P416" s="9" t="s">
        <v>83</v>
      </c>
      <c r="Q416" s="9" t="s">
        <v>53</v>
      </c>
      <c r="R416" s="9" t="s">
        <v>2276</v>
      </c>
      <c r="T416" s="9" t="s">
        <v>1656</v>
      </c>
      <c r="U416" s="9" t="s">
        <v>2271</v>
      </c>
      <c r="V416" s="9"/>
      <c r="W416" s="11">
        <f>IFERROR(VLOOKUP(B416, PlumX_snapshot!$A:$B, 2, FALSE), " ")</f>
        <v>15</v>
      </c>
      <c r="X416" s="11">
        <f>IFERROR(VLOOKUP(B416, PlumX_snapshot!$A:$C, 3, FALSE), " ")</f>
        <v>4</v>
      </c>
      <c r="Y416" s="12">
        <f>IFERROR(VLOOKUP(B416, PlumX_snapshot!$A:$D, 4, FALSE), " ")</f>
        <v>4</v>
      </c>
      <c r="Z416" s="12">
        <f>IFERROR(VLOOKUP(B416, PlumX_snapshot!$A:$E, 5, FALSE), " ")</f>
        <v>0</v>
      </c>
      <c r="AA416" s="12">
        <f>IFERROR(VLOOKUP(B416, PlumX_snapshot!$A:$F, 6, FALSE), " ")</f>
        <v>0</v>
      </c>
      <c r="AB416" s="13">
        <v>44978</v>
      </c>
      <c r="AI416" s="9"/>
      <c r="AJ416" s="9"/>
      <c r="AK416" s="11" t="str">
        <f t="shared" si="2"/>
        <v>2020</v>
      </c>
      <c r="AL416" s="11" t="e">
        <f>VLOOKUP(AK416, Exchange_rates!$C:$D, 2, FALSE)</f>
        <v>#N/A</v>
      </c>
      <c r="AM416" s="14" t="str">
        <f t="shared" si="3"/>
        <v/>
      </c>
      <c r="AN416" s="9"/>
      <c r="AO416" s="9"/>
      <c r="AP416" s="17"/>
      <c r="AQ416" s="15" t="s">
        <v>49</v>
      </c>
      <c r="AR416" t="s">
        <v>2277</v>
      </c>
      <c r="AS416" s="16"/>
    </row>
    <row r="417" spans="1:45" ht="14.5">
      <c r="A417" s="9" t="s">
        <v>2278</v>
      </c>
      <c r="B417" s="9" t="s">
        <v>2279</v>
      </c>
      <c r="C417" s="9" t="s">
        <v>2267</v>
      </c>
      <c r="D417" s="9" t="s">
        <v>2268</v>
      </c>
      <c r="E417" s="17" t="s">
        <v>49</v>
      </c>
      <c r="F417" s="9" t="s">
        <v>50</v>
      </c>
      <c r="G417" s="9" t="s">
        <v>51</v>
      </c>
      <c r="H417" s="9"/>
      <c r="J417" s="10">
        <v>43823</v>
      </c>
      <c r="K417" s="10">
        <v>43913</v>
      </c>
      <c r="L417" s="10"/>
      <c r="M417" s="10">
        <v>43928</v>
      </c>
      <c r="N417" s="9">
        <v>2020</v>
      </c>
      <c r="O417" s="9" t="s">
        <v>2269</v>
      </c>
      <c r="P417" s="9" t="s">
        <v>53</v>
      </c>
      <c r="Q417" s="9" t="s">
        <v>53</v>
      </c>
      <c r="T417" s="9" t="s">
        <v>1656</v>
      </c>
      <c r="U417" s="9" t="s">
        <v>2280</v>
      </c>
      <c r="V417" s="9"/>
      <c r="W417" s="11">
        <f>IFERROR(VLOOKUP(B417, PlumX_snapshot!$A:$B, 2, FALSE), " ")</f>
        <v>14</v>
      </c>
      <c r="X417" s="11">
        <f>IFERROR(VLOOKUP(B417, PlumX_snapshot!$A:$C, 3, FALSE), " ")</f>
        <v>5</v>
      </c>
      <c r="Y417" s="12">
        <f>IFERROR(VLOOKUP(B417, PlumX_snapshot!$A:$D, 4, FALSE), " ")</f>
        <v>5</v>
      </c>
      <c r="Z417" s="12">
        <f>IFERROR(VLOOKUP(B417, PlumX_snapshot!$A:$E, 5, FALSE), " ")</f>
        <v>0</v>
      </c>
      <c r="AA417" s="12">
        <f>IFERROR(VLOOKUP(B417, PlumX_snapshot!$A:$F, 6, FALSE), " ")</f>
        <v>0</v>
      </c>
      <c r="AB417" s="13">
        <v>44978</v>
      </c>
      <c r="AI417" s="9"/>
      <c r="AJ417" s="9"/>
      <c r="AK417" s="11" t="str">
        <f t="shared" si="2"/>
        <v>2020</v>
      </c>
      <c r="AL417" s="11" t="e">
        <f>VLOOKUP(AK417, Exchange_rates!$C:$D, 2, FALSE)</f>
        <v>#N/A</v>
      </c>
      <c r="AM417" s="14" t="str">
        <f t="shared" si="3"/>
        <v/>
      </c>
      <c r="AN417" s="9"/>
      <c r="AO417" s="9"/>
      <c r="AP417" s="17"/>
      <c r="AQ417" s="15" t="s">
        <v>49</v>
      </c>
      <c r="AR417" t="s">
        <v>2272</v>
      </c>
      <c r="AS417" s="16"/>
    </row>
    <row r="418" spans="1:45" ht="14.5">
      <c r="A418" s="9" t="s">
        <v>2281</v>
      </c>
      <c r="B418" s="9" t="s">
        <v>2282</v>
      </c>
      <c r="C418" s="9" t="s">
        <v>2275</v>
      </c>
      <c r="D418" s="9" t="s">
        <v>2268</v>
      </c>
      <c r="E418" s="17" t="s">
        <v>49</v>
      </c>
      <c r="F418" s="9" t="s">
        <v>50</v>
      </c>
      <c r="G418" s="9" t="s">
        <v>51</v>
      </c>
      <c r="H418" s="9"/>
      <c r="J418" s="10">
        <v>43875</v>
      </c>
      <c r="K418" s="10">
        <v>43915</v>
      </c>
      <c r="L418" s="10"/>
      <c r="M418" s="10">
        <v>43915</v>
      </c>
      <c r="N418" s="9">
        <v>2020</v>
      </c>
      <c r="O418" s="9" t="s">
        <v>2269</v>
      </c>
      <c r="P418" s="9" t="s">
        <v>53</v>
      </c>
      <c r="Q418" s="9" t="s">
        <v>53</v>
      </c>
      <c r="T418" s="9" t="s">
        <v>1656</v>
      </c>
      <c r="U418" s="9" t="s">
        <v>2280</v>
      </c>
      <c r="V418" s="9"/>
      <c r="W418" s="11">
        <f>IFERROR(VLOOKUP(B418, PlumX_snapshot!$A:$B, 2, FALSE), " ")</f>
        <v>5</v>
      </c>
      <c r="X418" s="11">
        <f>IFERROR(VLOOKUP(B418, PlumX_snapshot!$A:$C, 3, FALSE), " ")</f>
        <v>2</v>
      </c>
      <c r="Y418" s="12">
        <f>IFERROR(VLOOKUP(B418, PlumX_snapshot!$A:$D, 4, FALSE), " ")</f>
        <v>15</v>
      </c>
      <c r="Z418" s="12">
        <f>IFERROR(VLOOKUP(B418, PlumX_snapshot!$A:$E, 5, FALSE), " ")</f>
        <v>0</v>
      </c>
      <c r="AA418" s="12">
        <f>IFERROR(VLOOKUP(B418, PlumX_snapshot!$A:$F, 6, FALSE), " ")</f>
        <v>0</v>
      </c>
      <c r="AB418" s="13">
        <v>44978</v>
      </c>
      <c r="AI418" s="9"/>
      <c r="AJ418" s="9"/>
      <c r="AK418" s="11" t="str">
        <f t="shared" si="2"/>
        <v>2020</v>
      </c>
      <c r="AL418" s="11" t="e">
        <f>VLOOKUP(AK418, Exchange_rates!$C:$D, 2, FALSE)</f>
        <v>#N/A</v>
      </c>
      <c r="AM418" s="14" t="str">
        <f t="shared" si="3"/>
        <v/>
      </c>
      <c r="AN418" s="9"/>
      <c r="AO418" s="9"/>
      <c r="AP418" s="17"/>
      <c r="AQ418" s="15" t="s">
        <v>49</v>
      </c>
      <c r="AR418" t="s">
        <v>2277</v>
      </c>
      <c r="AS418" s="16"/>
    </row>
    <row r="419" spans="1:45" ht="14.5">
      <c r="A419" s="9" t="s">
        <v>2283</v>
      </c>
      <c r="B419" s="9" t="s">
        <v>2284</v>
      </c>
      <c r="C419" s="9" t="s">
        <v>2285</v>
      </c>
      <c r="D419" s="9" t="s">
        <v>2268</v>
      </c>
      <c r="E419" s="17" t="s">
        <v>49</v>
      </c>
      <c r="F419" s="9" t="s">
        <v>69</v>
      </c>
      <c r="G419" s="9" t="s">
        <v>70</v>
      </c>
      <c r="H419" s="9" t="s">
        <v>2286</v>
      </c>
      <c r="I419" s="9" t="s">
        <v>72</v>
      </c>
      <c r="J419" s="10">
        <v>43962</v>
      </c>
      <c r="K419" s="10">
        <v>43965</v>
      </c>
      <c r="L419" s="10"/>
      <c r="M419" s="10">
        <v>43965</v>
      </c>
      <c r="N419" s="9">
        <v>2020</v>
      </c>
      <c r="O419" s="9" t="s">
        <v>2269</v>
      </c>
      <c r="P419" s="9" t="s">
        <v>83</v>
      </c>
      <c r="Q419" s="9" t="s">
        <v>53</v>
      </c>
      <c r="R419" s="9" t="s">
        <v>2287</v>
      </c>
      <c r="T419" s="9"/>
      <c r="V419" s="9"/>
      <c r="W419" s="11">
        <f>IFERROR(VLOOKUP(B419, PlumX_snapshot!$A:$B, 2, FALSE), " ")</f>
        <v>15</v>
      </c>
      <c r="X419" s="11">
        <f>IFERROR(VLOOKUP(B419, PlumX_snapshot!$A:$C, 3, FALSE), " ")</f>
        <v>7</v>
      </c>
      <c r="Y419" s="12">
        <f>IFERROR(VLOOKUP(B419, PlumX_snapshot!$A:$D, 4, FALSE), " ")</f>
        <v>0</v>
      </c>
      <c r="Z419" s="12">
        <f>IFERROR(VLOOKUP(B419, PlumX_snapshot!$A:$E, 5, FALSE), " ")</f>
        <v>0</v>
      </c>
      <c r="AA419" s="12">
        <f>IFERROR(VLOOKUP(B419, PlumX_snapshot!$A:$F, 6, FALSE), " ")</f>
        <v>0</v>
      </c>
      <c r="AB419" s="13">
        <v>44978</v>
      </c>
      <c r="AH419" s="9">
        <v>1242</v>
      </c>
      <c r="AI419" s="9" t="s">
        <v>2288</v>
      </c>
      <c r="AJ419" s="9" t="s">
        <v>301</v>
      </c>
      <c r="AK419" s="11" t="str">
        <f t="shared" si="2"/>
        <v>2020GBP</v>
      </c>
      <c r="AL419" s="11">
        <f>VLOOKUP(AK419, Exchange_rates!$C:$D, 2, FALSE)</f>
        <v>1</v>
      </c>
      <c r="AM419" s="14">
        <f t="shared" si="3"/>
        <v>1490.3999999999999</v>
      </c>
      <c r="AN419" s="9"/>
      <c r="AO419" s="9"/>
      <c r="AP419" s="17"/>
      <c r="AQ419" s="15" t="s">
        <v>49</v>
      </c>
      <c r="AR419" t="s">
        <v>2289</v>
      </c>
      <c r="AS419" s="16"/>
    </row>
    <row r="420" spans="1:45" ht="14.5">
      <c r="A420" s="9" t="s">
        <v>2290</v>
      </c>
      <c r="B420" s="9" t="s">
        <v>2291</v>
      </c>
      <c r="C420" s="9" t="s">
        <v>2292</v>
      </c>
      <c r="D420" s="9" t="s">
        <v>2268</v>
      </c>
      <c r="E420" s="17" t="s">
        <v>49</v>
      </c>
      <c r="F420" s="9" t="s">
        <v>69</v>
      </c>
      <c r="G420" s="9" t="s">
        <v>70</v>
      </c>
      <c r="H420" s="9" t="s">
        <v>2286</v>
      </c>
      <c r="I420" s="9" t="s">
        <v>238</v>
      </c>
      <c r="J420" s="10">
        <v>43846</v>
      </c>
      <c r="K420" s="10">
        <v>43958</v>
      </c>
      <c r="L420" s="10"/>
      <c r="M420" s="10">
        <v>43958</v>
      </c>
      <c r="N420" s="9">
        <v>2020</v>
      </c>
      <c r="O420" s="9" t="s">
        <v>2269</v>
      </c>
      <c r="P420" s="9" t="s">
        <v>53</v>
      </c>
      <c r="Q420" s="9" t="s">
        <v>53</v>
      </c>
      <c r="R420" s="9" t="s">
        <v>2293</v>
      </c>
      <c r="T420" s="9"/>
      <c r="V420" s="9"/>
      <c r="W420" s="11">
        <f>IFERROR(VLOOKUP(B420, PlumX_snapshot!$A:$B, 2, FALSE), " ")</f>
        <v>4</v>
      </c>
      <c r="X420" s="11">
        <f>IFERROR(VLOOKUP(B420, PlumX_snapshot!$A:$C, 3, FALSE), " ")</f>
        <v>1</v>
      </c>
      <c r="Y420" s="12">
        <f>IFERROR(VLOOKUP(B420, PlumX_snapshot!$A:$D, 4, FALSE), " ")</f>
        <v>5</v>
      </c>
      <c r="Z420" s="12">
        <f>IFERROR(VLOOKUP(B420, PlumX_snapshot!$A:$E, 5, FALSE), " ")</f>
        <v>0</v>
      </c>
      <c r="AA420" s="12">
        <f>IFERROR(VLOOKUP(B420, PlumX_snapshot!$A:$F, 6, FALSE), " ")</f>
        <v>0</v>
      </c>
      <c r="AB420" s="13">
        <v>44978</v>
      </c>
      <c r="AH420" s="9">
        <v>1242</v>
      </c>
      <c r="AI420" s="9" t="s">
        <v>2288</v>
      </c>
      <c r="AJ420" s="9" t="s">
        <v>301</v>
      </c>
      <c r="AK420" s="11" t="str">
        <f t="shared" si="2"/>
        <v>2020GBP</v>
      </c>
      <c r="AL420" s="11">
        <f>VLOOKUP(AK420, Exchange_rates!$C:$D, 2, FALSE)</f>
        <v>1</v>
      </c>
      <c r="AM420" s="14">
        <f t="shared" si="3"/>
        <v>1490.3999999999999</v>
      </c>
      <c r="AN420" s="9"/>
      <c r="AO420" s="9"/>
      <c r="AP420" s="17"/>
      <c r="AQ420" s="15" t="s">
        <v>49</v>
      </c>
      <c r="AR420" t="s">
        <v>2294</v>
      </c>
      <c r="AS420" s="16"/>
    </row>
    <row r="421" spans="1:45" ht="14.5">
      <c r="A421" s="9" t="s">
        <v>2295</v>
      </c>
      <c r="B421" s="9" t="s">
        <v>2296</v>
      </c>
      <c r="C421" s="9" t="s">
        <v>2275</v>
      </c>
      <c r="D421" s="9" t="s">
        <v>2268</v>
      </c>
      <c r="E421" s="17" t="s">
        <v>49</v>
      </c>
      <c r="F421" s="9" t="s">
        <v>69</v>
      </c>
      <c r="G421" s="9" t="s">
        <v>70</v>
      </c>
      <c r="H421" s="9" t="s">
        <v>2286</v>
      </c>
      <c r="I421" s="9" t="s">
        <v>72</v>
      </c>
      <c r="J421" s="10">
        <v>43946</v>
      </c>
      <c r="K421" s="10">
        <v>43970</v>
      </c>
      <c r="L421" s="10"/>
      <c r="M421" s="10">
        <v>43977</v>
      </c>
      <c r="N421" s="9">
        <v>2020</v>
      </c>
      <c r="O421" s="9" t="s">
        <v>2269</v>
      </c>
      <c r="P421" s="9" t="s">
        <v>53</v>
      </c>
      <c r="Q421" s="9" t="s">
        <v>53</v>
      </c>
      <c r="R421" s="9" t="s">
        <v>178</v>
      </c>
      <c r="T421" s="9"/>
      <c r="V421" s="9"/>
      <c r="W421" s="11">
        <f>IFERROR(VLOOKUP(B421, PlumX_snapshot!$A:$B, 2, FALSE), " ")</f>
        <v>16</v>
      </c>
      <c r="X421" s="11">
        <f>IFERROR(VLOOKUP(B421, PlumX_snapshot!$A:$C, 3, FALSE), " ")</f>
        <v>13</v>
      </c>
      <c r="Y421" s="12">
        <f>IFERROR(VLOOKUP(B421, PlumX_snapshot!$A:$D, 4, FALSE), " ")</f>
        <v>18</v>
      </c>
      <c r="Z421" s="12">
        <f>IFERROR(VLOOKUP(B421, PlumX_snapshot!$A:$E, 5, FALSE), " ")</f>
        <v>0</v>
      </c>
      <c r="AA421" s="12">
        <f>IFERROR(VLOOKUP(B421, PlumX_snapshot!$A:$F, 6, FALSE), " ")</f>
        <v>0</v>
      </c>
      <c r="AB421" s="13">
        <v>44978</v>
      </c>
      <c r="AH421" s="9">
        <v>1242</v>
      </c>
      <c r="AI421" s="9" t="s">
        <v>2288</v>
      </c>
      <c r="AJ421" s="9" t="s">
        <v>301</v>
      </c>
      <c r="AK421" s="11" t="str">
        <f t="shared" si="2"/>
        <v>2020GBP</v>
      </c>
      <c r="AL421" s="11">
        <f>VLOOKUP(AK421, Exchange_rates!$C:$D, 2, FALSE)</f>
        <v>1</v>
      </c>
      <c r="AM421" s="14">
        <f t="shared" si="3"/>
        <v>1490.3999999999999</v>
      </c>
      <c r="AN421" s="9"/>
      <c r="AO421" s="9"/>
      <c r="AP421" s="17"/>
      <c r="AQ421" s="15" t="s">
        <v>49</v>
      </c>
      <c r="AR421" t="s">
        <v>2277</v>
      </c>
      <c r="AS421" s="16"/>
    </row>
    <row r="422" spans="1:45" ht="14.5">
      <c r="A422" s="9" t="s">
        <v>2297</v>
      </c>
      <c r="B422" s="9" t="s">
        <v>2298</v>
      </c>
      <c r="C422" s="9" t="s">
        <v>2299</v>
      </c>
      <c r="D422" s="9" t="s">
        <v>2268</v>
      </c>
      <c r="E422" s="17" t="s">
        <v>49</v>
      </c>
      <c r="F422" s="9" t="s">
        <v>69</v>
      </c>
      <c r="G422" s="9" t="s">
        <v>70</v>
      </c>
      <c r="H422" s="9" t="s">
        <v>2286</v>
      </c>
      <c r="I422" s="9" t="s">
        <v>72</v>
      </c>
      <c r="J422" s="10">
        <v>43910</v>
      </c>
      <c r="K422" s="10">
        <v>43952</v>
      </c>
      <c r="L422" s="10"/>
      <c r="M422" s="10">
        <v>43960</v>
      </c>
      <c r="N422" s="9">
        <v>2020</v>
      </c>
      <c r="O422" s="9" t="s">
        <v>2269</v>
      </c>
      <c r="P422" s="9" t="s">
        <v>83</v>
      </c>
      <c r="Q422" s="9" t="s">
        <v>53</v>
      </c>
      <c r="R422" s="9" t="s">
        <v>2300</v>
      </c>
      <c r="T422" s="9"/>
      <c r="V422" s="9"/>
      <c r="W422" s="11">
        <f>IFERROR(VLOOKUP(B422, PlumX_snapshot!$A:$B, 2, FALSE), " ")</f>
        <v>15</v>
      </c>
      <c r="X422" s="11">
        <f>IFERROR(VLOOKUP(B422, PlumX_snapshot!$A:$C, 3, FALSE), " ")</f>
        <v>10</v>
      </c>
      <c r="Y422" s="12">
        <f>IFERROR(VLOOKUP(B422, PlumX_snapshot!$A:$D, 4, FALSE), " ")</f>
        <v>21</v>
      </c>
      <c r="Z422" s="12">
        <f>IFERROR(VLOOKUP(B422, PlumX_snapshot!$A:$E, 5, FALSE), " ")</f>
        <v>0</v>
      </c>
      <c r="AA422" s="12">
        <f>IFERROR(VLOOKUP(B422, PlumX_snapshot!$A:$F, 6, FALSE), " ")</f>
        <v>0</v>
      </c>
      <c r="AB422" s="13">
        <v>44978</v>
      </c>
      <c r="AH422" s="9">
        <v>1242</v>
      </c>
      <c r="AI422" s="9" t="s">
        <v>2288</v>
      </c>
      <c r="AJ422" s="9" t="s">
        <v>301</v>
      </c>
      <c r="AK422" s="11" t="str">
        <f t="shared" si="2"/>
        <v>2020GBP</v>
      </c>
      <c r="AL422" s="11">
        <f>VLOOKUP(AK422, Exchange_rates!$C:$D, 2, FALSE)</f>
        <v>1</v>
      </c>
      <c r="AM422" s="14">
        <f t="shared" si="3"/>
        <v>1490.3999999999999</v>
      </c>
      <c r="AN422" s="9"/>
      <c r="AO422" s="9"/>
      <c r="AP422" s="17"/>
      <c r="AQ422" s="15" t="s">
        <v>49</v>
      </c>
      <c r="AR422" t="s">
        <v>2301</v>
      </c>
      <c r="AS422" s="16"/>
    </row>
    <row r="423" spans="1:45" ht="14.5">
      <c r="A423" s="9" t="s">
        <v>2302</v>
      </c>
      <c r="B423" s="9" t="s">
        <v>2303</v>
      </c>
      <c r="C423" s="9" t="s">
        <v>2292</v>
      </c>
      <c r="D423" s="9" t="s">
        <v>2268</v>
      </c>
      <c r="E423" s="17" t="s">
        <v>49</v>
      </c>
      <c r="F423" s="9" t="s">
        <v>69</v>
      </c>
      <c r="G423" s="9" t="s">
        <v>70</v>
      </c>
      <c r="H423" s="9" t="s">
        <v>2286</v>
      </c>
      <c r="I423" s="9" t="s">
        <v>72</v>
      </c>
      <c r="J423" s="10">
        <v>43878</v>
      </c>
      <c r="K423" s="10">
        <v>43986</v>
      </c>
      <c r="L423" s="10"/>
      <c r="M423" s="10">
        <v>43986</v>
      </c>
      <c r="N423" s="9">
        <v>2020</v>
      </c>
      <c r="O423" s="9" t="s">
        <v>2269</v>
      </c>
      <c r="P423" s="9" t="s">
        <v>83</v>
      </c>
      <c r="Q423" s="9" t="s">
        <v>53</v>
      </c>
      <c r="R423" s="9" t="s">
        <v>2304</v>
      </c>
      <c r="T423" s="9"/>
      <c r="V423" s="9"/>
      <c r="W423" s="11">
        <f>IFERROR(VLOOKUP(B423, PlumX_snapshot!$A:$B, 2, FALSE), " ")</f>
        <v>17</v>
      </c>
      <c r="X423" s="11">
        <f>IFERROR(VLOOKUP(B423, PlumX_snapshot!$A:$C, 3, FALSE), " ")</f>
        <v>7</v>
      </c>
      <c r="Y423" s="12">
        <f>IFERROR(VLOOKUP(B423, PlumX_snapshot!$A:$D, 4, FALSE), " ")</f>
        <v>0</v>
      </c>
      <c r="Z423" s="12">
        <f>IFERROR(VLOOKUP(B423, PlumX_snapshot!$A:$E, 5, FALSE), " ")</f>
        <v>0</v>
      </c>
      <c r="AA423" s="12">
        <f>IFERROR(VLOOKUP(B423, PlumX_snapshot!$A:$F, 6, FALSE), " ")</f>
        <v>0</v>
      </c>
      <c r="AB423" s="13">
        <v>44978</v>
      </c>
      <c r="AH423" s="9">
        <v>1242</v>
      </c>
      <c r="AI423" s="9" t="s">
        <v>2288</v>
      </c>
      <c r="AJ423" s="9" t="s">
        <v>301</v>
      </c>
      <c r="AK423" s="11" t="str">
        <f t="shared" si="2"/>
        <v>2020GBP</v>
      </c>
      <c r="AL423" s="11">
        <f>VLOOKUP(AK423, Exchange_rates!$C:$D, 2, FALSE)</f>
        <v>1</v>
      </c>
      <c r="AM423" s="14">
        <f t="shared" si="3"/>
        <v>1490.3999999999999</v>
      </c>
      <c r="AN423" s="9"/>
      <c r="AO423" s="9"/>
      <c r="AP423" s="17"/>
      <c r="AQ423" s="15" t="s">
        <v>49</v>
      </c>
      <c r="AR423" t="s">
        <v>2294</v>
      </c>
      <c r="AS423" s="16"/>
    </row>
    <row r="424" spans="1:45" ht="14.5">
      <c r="A424" s="9" t="s">
        <v>2305</v>
      </c>
      <c r="B424" s="9" t="s">
        <v>2306</v>
      </c>
      <c r="C424" s="9" t="s">
        <v>2307</v>
      </c>
      <c r="D424" s="9" t="s">
        <v>2268</v>
      </c>
      <c r="E424" s="17" t="s">
        <v>49</v>
      </c>
      <c r="F424" s="9" t="s">
        <v>69</v>
      </c>
      <c r="G424" s="9" t="s">
        <v>70</v>
      </c>
      <c r="H424" s="9" t="s">
        <v>2286</v>
      </c>
      <c r="I424" s="9" t="s">
        <v>238</v>
      </c>
      <c r="J424" s="10">
        <v>43978</v>
      </c>
      <c r="K424" s="10">
        <v>44017</v>
      </c>
      <c r="L424" s="10"/>
      <c r="M424" s="10">
        <v>44018</v>
      </c>
      <c r="N424" s="9">
        <v>2020</v>
      </c>
      <c r="O424" s="9" t="s">
        <v>2308</v>
      </c>
      <c r="P424" s="9" t="s">
        <v>53</v>
      </c>
      <c r="Q424" s="9" t="s">
        <v>53</v>
      </c>
      <c r="R424" s="9" t="s">
        <v>2309</v>
      </c>
      <c r="T424" s="9"/>
      <c r="V424" s="9"/>
      <c r="W424" s="11">
        <f>IFERROR(VLOOKUP(B424, PlumX_snapshot!$A:$B, 2, FALSE), " ")</f>
        <v>11</v>
      </c>
      <c r="X424" s="11">
        <f>IFERROR(VLOOKUP(B424, PlumX_snapshot!$A:$C, 3, FALSE), " ")</f>
        <v>8</v>
      </c>
      <c r="Y424" s="12">
        <f>IFERROR(VLOOKUP(B424, PlumX_snapshot!$A:$D, 4, FALSE), " ")</f>
        <v>2</v>
      </c>
      <c r="Z424" s="12">
        <f>IFERROR(VLOOKUP(B424, PlumX_snapshot!$A:$E, 5, FALSE), " ")</f>
        <v>0</v>
      </c>
      <c r="AA424" s="12">
        <f>IFERROR(VLOOKUP(B424, PlumX_snapshot!$A:$F, 6, FALSE), " ")</f>
        <v>0</v>
      </c>
      <c r="AB424" s="13">
        <v>44978</v>
      </c>
      <c r="AH424" s="9">
        <v>1242</v>
      </c>
      <c r="AI424" s="9" t="s">
        <v>2288</v>
      </c>
      <c r="AJ424" s="9" t="s">
        <v>301</v>
      </c>
      <c r="AK424" s="11" t="str">
        <f t="shared" si="2"/>
        <v>2020GBP</v>
      </c>
      <c r="AL424" s="11">
        <f>VLOOKUP(AK424, Exchange_rates!$C:$D, 2, FALSE)</f>
        <v>1</v>
      </c>
      <c r="AM424" s="14">
        <f t="shared" si="3"/>
        <v>1490.3999999999999</v>
      </c>
      <c r="AN424" s="9"/>
      <c r="AO424" s="9"/>
      <c r="AP424" s="17"/>
      <c r="AQ424" s="15" t="s">
        <v>49</v>
      </c>
      <c r="AR424" t="s">
        <v>2310</v>
      </c>
      <c r="AS424" s="16"/>
    </row>
    <row r="425" spans="1:45" ht="14.5">
      <c r="A425" s="9" t="s">
        <v>2311</v>
      </c>
      <c r="B425" s="9" t="s">
        <v>2312</v>
      </c>
      <c r="C425" s="9" t="s">
        <v>2313</v>
      </c>
      <c r="D425" s="9" t="s">
        <v>2268</v>
      </c>
      <c r="E425" s="17" t="s">
        <v>49</v>
      </c>
      <c r="F425" s="9" t="s">
        <v>69</v>
      </c>
      <c r="G425" s="9" t="s">
        <v>70</v>
      </c>
      <c r="H425" s="9" t="s">
        <v>2286</v>
      </c>
      <c r="I425" s="9" t="s">
        <v>72</v>
      </c>
      <c r="J425" s="10">
        <v>43982</v>
      </c>
      <c r="K425" s="10">
        <v>44033</v>
      </c>
      <c r="L425" s="10"/>
      <c r="M425" s="10">
        <v>44046</v>
      </c>
      <c r="N425" s="9">
        <v>2020</v>
      </c>
      <c r="O425" s="9" t="s">
        <v>2308</v>
      </c>
      <c r="P425" s="9" t="s">
        <v>83</v>
      </c>
      <c r="Q425" s="9" t="s">
        <v>53</v>
      </c>
      <c r="R425" s="9" t="s">
        <v>2314</v>
      </c>
      <c r="T425" s="9"/>
      <c r="V425" s="9"/>
      <c r="W425" s="11">
        <f>IFERROR(VLOOKUP(B425, PlumX_snapshot!$A:$B, 2, FALSE), " ")</f>
        <v>184</v>
      </c>
      <c r="X425" s="11">
        <f>IFERROR(VLOOKUP(B425, PlumX_snapshot!$A:$C, 3, FALSE), " ")</f>
        <v>52</v>
      </c>
      <c r="Y425" s="12">
        <f>IFERROR(VLOOKUP(B425, PlumX_snapshot!$A:$D, 4, FALSE), " ")</f>
        <v>0</v>
      </c>
      <c r="Z425" s="12">
        <f>IFERROR(VLOOKUP(B425, PlumX_snapshot!$A:$E, 5, FALSE), " ")</f>
        <v>0</v>
      </c>
      <c r="AA425" s="12">
        <f>IFERROR(VLOOKUP(B425, PlumX_snapshot!$A:$F, 6, FALSE), " ")</f>
        <v>0</v>
      </c>
      <c r="AB425" s="13">
        <v>44978</v>
      </c>
      <c r="AH425" s="9">
        <v>1242</v>
      </c>
      <c r="AI425" s="9" t="s">
        <v>2288</v>
      </c>
      <c r="AJ425" s="9" t="s">
        <v>301</v>
      </c>
      <c r="AK425" s="11" t="str">
        <f t="shared" si="2"/>
        <v>2020GBP</v>
      </c>
      <c r="AL425" s="11">
        <f>VLOOKUP(AK425, Exchange_rates!$C:$D, 2, FALSE)</f>
        <v>1</v>
      </c>
      <c r="AM425" s="14">
        <f t="shared" si="3"/>
        <v>1490.3999999999999</v>
      </c>
      <c r="AN425" s="9"/>
      <c r="AO425" s="9"/>
      <c r="AP425" s="17"/>
      <c r="AQ425" s="15" t="s">
        <v>49</v>
      </c>
      <c r="AR425" t="s">
        <v>2315</v>
      </c>
      <c r="AS425" s="16"/>
    </row>
    <row r="426" spans="1:45" ht="14.5">
      <c r="A426" s="9" t="s">
        <v>2316</v>
      </c>
      <c r="B426" s="9" t="s">
        <v>2317</v>
      </c>
      <c r="C426" s="9" t="s">
        <v>2318</v>
      </c>
      <c r="D426" s="9" t="s">
        <v>2268</v>
      </c>
      <c r="E426" s="17" t="s">
        <v>49</v>
      </c>
      <c r="F426" s="9" t="s">
        <v>69</v>
      </c>
      <c r="G426" s="9" t="s">
        <v>70</v>
      </c>
      <c r="H426" s="9" t="s">
        <v>2286</v>
      </c>
      <c r="I426" s="9" t="s">
        <v>238</v>
      </c>
      <c r="J426" s="10">
        <v>43938</v>
      </c>
      <c r="K426" s="10">
        <v>44040</v>
      </c>
      <c r="L426" s="10"/>
      <c r="M426" s="10">
        <v>44053</v>
      </c>
      <c r="N426" s="9">
        <v>2020</v>
      </c>
      <c r="O426" s="9" t="s">
        <v>2308</v>
      </c>
      <c r="P426" s="9" t="s">
        <v>83</v>
      </c>
      <c r="Q426" s="9" t="s">
        <v>53</v>
      </c>
      <c r="R426" s="9" t="s">
        <v>2319</v>
      </c>
      <c r="T426" s="9"/>
      <c r="U426" s="9" t="s">
        <v>2320</v>
      </c>
      <c r="V426" s="9"/>
      <c r="W426" s="11">
        <f>IFERROR(VLOOKUP(B426, PlumX_snapshot!$A:$B, 2, FALSE), " ")</f>
        <v>165</v>
      </c>
      <c r="X426" s="11">
        <f>IFERROR(VLOOKUP(B426, PlumX_snapshot!$A:$C, 3, FALSE), " ")</f>
        <v>62</v>
      </c>
      <c r="Y426" s="12">
        <f>IFERROR(VLOOKUP(B426, PlumX_snapshot!$A:$D, 4, FALSE), " ")</f>
        <v>6</v>
      </c>
      <c r="Z426" s="12">
        <f>IFERROR(VLOOKUP(B426, PlumX_snapshot!$A:$E, 5, FALSE), " ")</f>
        <v>0</v>
      </c>
      <c r="AA426" s="12">
        <f>IFERROR(VLOOKUP(B426, PlumX_snapshot!$A:$F, 6, FALSE), " ")</f>
        <v>0</v>
      </c>
      <c r="AB426" s="13">
        <v>44978</v>
      </c>
      <c r="AH426" s="9">
        <v>1242</v>
      </c>
      <c r="AI426" s="9" t="s">
        <v>2288</v>
      </c>
      <c r="AJ426" s="9" t="s">
        <v>301</v>
      </c>
      <c r="AK426" s="11" t="str">
        <f t="shared" si="2"/>
        <v>2020GBP</v>
      </c>
      <c r="AL426" s="11">
        <f>VLOOKUP(AK426, Exchange_rates!$C:$D, 2, FALSE)</f>
        <v>1</v>
      </c>
      <c r="AM426" s="14">
        <f t="shared" si="3"/>
        <v>1490.3999999999999</v>
      </c>
      <c r="AN426" s="9"/>
      <c r="AO426" s="9"/>
      <c r="AP426" s="17"/>
      <c r="AQ426" s="15" t="s">
        <v>49</v>
      </c>
      <c r="AR426" t="s">
        <v>2321</v>
      </c>
      <c r="AS426" s="16"/>
    </row>
    <row r="427" spans="1:45" ht="14.5">
      <c r="A427" s="9" t="s">
        <v>2322</v>
      </c>
      <c r="B427" s="9" t="s">
        <v>2323</v>
      </c>
      <c r="C427" s="9" t="s">
        <v>2292</v>
      </c>
      <c r="D427" s="9" t="s">
        <v>2268</v>
      </c>
      <c r="E427" s="17" t="s">
        <v>49</v>
      </c>
      <c r="F427" s="9" t="s">
        <v>69</v>
      </c>
      <c r="G427" s="9" t="s">
        <v>70</v>
      </c>
      <c r="H427" s="9" t="s">
        <v>2286</v>
      </c>
      <c r="I427" s="9" t="s">
        <v>72</v>
      </c>
      <c r="J427" s="10">
        <v>43970</v>
      </c>
      <c r="K427" s="10">
        <v>44055</v>
      </c>
      <c r="L427" s="10"/>
      <c r="M427" s="10">
        <v>44060</v>
      </c>
      <c r="N427" s="9">
        <v>2020</v>
      </c>
      <c r="O427" s="9" t="s">
        <v>2308</v>
      </c>
      <c r="P427" s="9" t="s">
        <v>83</v>
      </c>
      <c r="Q427" s="9" t="s">
        <v>53</v>
      </c>
      <c r="R427" s="9" t="s">
        <v>2324</v>
      </c>
      <c r="T427" s="9"/>
      <c r="V427" s="9"/>
      <c r="W427" s="11">
        <f>IFERROR(VLOOKUP(B427, PlumX_snapshot!$A:$B, 2, FALSE), " ")</f>
        <v>16</v>
      </c>
      <c r="X427" s="11">
        <f>IFERROR(VLOOKUP(B427, PlumX_snapshot!$A:$C, 3, FALSE), " ")</f>
        <v>10</v>
      </c>
      <c r="Y427" s="12">
        <f>IFERROR(VLOOKUP(B427, PlumX_snapshot!$A:$D, 4, FALSE), " ")</f>
        <v>15</v>
      </c>
      <c r="Z427" s="12">
        <f>IFERROR(VLOOKUP(B427, PlumX_snapshot!$A:$E, 5, FALSE), " ")</f>
        <v>0</v>
      </c>
      <c r="AA427" s="12">
        <f>IFERROR(VLOOKUP(B427, PlumX_snapshot!$A:$F, 6, FALSE), " ")</f>
        <v>0</v>
      </c>
      <c r="AB427" s="13">
        <v>44978</v>
      </c>
      <c r="AH427" s="9">
        <v>1242</v>
      </c>
      <c r="AI427" s="9" t="s">
        <v>2288</v>
      </c>
      <c r="AJ427" s="9" t="s">
        <v>301</v>
      </c>
      <c r="AK427" s="11" t="str">
        <f t="shared" si="2"/>
        <v>2020GBP</v>
      </c>
      <c r="AL427" s="11">
        <f>VLOOKUP(AK427, Exchange_rates!$C:$D, 2, FALSE)</f>
        <v>1</v>
      </c>
      <c r="AM427" s="14">
        <f t="shared" si="3"/>
        <v>1490.3999999999999</v>
      </c>
      <c r="AN427" s="9"/>
      <c r="AO427" s="9"/>
      <c r="AP427" s="17"/>
      <c r="AQ427" s="15" t="s">
        <v>49</v>
      </c>
      <c r="AR427" t="s">
        <v>2294</v>
      </c>
      <c r="AS427" s="16"/>
    </row>
    <row r="428" spans="1:45" ht="14.5">
      <c r="A428" s="9" t="s">
        <v>2325</v>
      </c>
      <c r="B428" s="9" t="s">
        <v>2326</v>
      </c>
      <c r="C428" s="9" t="s">
        <v>2292</v>
      </c>
      <c r="D428" s="9" t="s">
        <v>2268</v>
      </c>
      <c r="E428" s="17" t="s">
        <v>49</v>
      </c>
      <c r="F428" s="9" t="s">
        <v>69</v>
      </c>
      <c r="G428" s="9" t="s">
        <v>70</v>
      </c>
      <c r="H428" s="9" t="s">
        <v>2286</v>
      </c>
      <c r="I428" s="9" t="s">
        <v>72</v>
      </c>
      <c r="J428" s="10">
        <v>43994</v>
      </c>
      <c r="K428" s="10">
        <v>44055</v>
      </c>
      <c r="L428" s="10"/>
      <c r="M428" s="10">
        <v>44055</v>
      </c>
      <c r="N428" s="9">
        <v>2020</v>
      </c>
      <c r="O428" s="9" t="s">
        <v>2308</v>
      </c>
      <c r="P428" s="9" t="s">
        <v>53</v>
      </c>
      <c r="Q428" s="9" t="s">
        <v>53</v>
      </c>
      <c r="R428" s="9" t="s">
        <v>2327</v>
      </c>
      <c r="T428" s="9"/>
      <c r="V428" s="9"/>
      <c r="W428" s="11">
        <f>IFERROR(VLOOKUP(B428, PlumX_snapshot!$A:$B, 2, FALSE), " ")</f>
        <v>9</v>
      </c>
      <c r="X428" s="11">
        <f>IFERROR(VLOOKUP(B428, PlumX_snapshot!$A:$C, 3, FALSE), " ")</f>
        <v>6</v>
      </c>
      <c r="Y428" s="12">
        <f>IFERROR(VLOOKUP(B428, PlumX_snapshot!$A:$D, 4, FALSE), " ")</f>
        <v>6</v>
      </c>
      <c r="Z428" s="12">
        <f>IFERROR(VLOOKUP(B428, PlumX_snapshot!$A:$E, 5, FALSE), " ")</f>
        <v>0</v>
      </c>
      <c r="AA428" s="12">
        <f>IFERROR(VLOOKUP(B428, PlumX_snapshot!$A:$F, 6, FALSE), " ")</f>
        <v>0</v>
      </c>
      <c r="AB428" s="13">
        <v>44978</v>
      </c>
      <c r="AH428" s="9">
        <v>1242</v>
      </c>
      <c r="AI428" s="9" t="s">
        <v>2288</v>
      </c>
      <c r="AJ428" s="9" t="s">
        <v>301</v>
      </c>
      <c r="AK428" s="11" t="str">
        <f t="shared" si="2"/>
        <v>2020GBP</v>
      </c>
      <c r="AL428" s="11">
        <f>VLOOKUP(AK428, Exchange_rates!$C:$D, 2, FALSE)</f>
        <v>1</v>
      </c>
      <c r="AM428" s="14">
        <f t="shared" si="3"/>
        <v>1490.3999999999999</v>
      </c>
      <c r="AN428" s="9"/>
      <c r="AO428" s="9"/>
      <c r="AP428" s="17"/>
      <c r="AQ428" s="15" t="s">
        <v>49</v>
      </c>
      <c r="AR428" t="s">
        <v>2294</v>
      </c>
      <c r="AS428" s="16"/>
    </row>
    <row r="429" spans="1:45" ht="14.5">
      <c r="A429" s="9" t="s">
        <v>2328</v>
      </c>
      <c r="B429" s="9" t="s">
        <v>2329</v>
      </c>
      <c r="C429" s="9" t="s">
        <v>2330</v>
      </c>
      <c r="D429" s="9" t="s">
        <v>2268</v>
      </c>
      <c r="E429" s="17" t="s">
        <v>49</v>
      </c>
      <c r="F429" s="9" t="s">
        <v>69</v>
      </c>
      <c r="G429" s="9" t="s">
        <v>70</v>
      </c>
      <c r="H429" s="9" t="s">
        <v>2286</v>
      </c>
      <c r="I429" s="9" t="s">
        <v>72</v>
      </c>
      <c r="J429" s="10">
        <v>44012</v>
      </c>
      <c r="K429" s="10">
        <v>44056</v>
      </c>
      <c r="L429" s="10"/>
      <c r="M429" s="10">
        <v>44056</v>
      </c>
      <c r="N429" s="9">
        <v>2020</v>
      </c>
      <c r="O429" s="9" t="s">
        <v>2308</v>
      </c>
      <c r="P429" s="9" t="s">
        <v>53</v>
      </c>
      <c r="Q429" s="9" t="s">
        <v>53</v>
      </c>
      <c r="R429" s="9" t="s">
        <v>2331</v>
      </c>
      <c r="T429" s="9"/>
      <c r="V429" s="9"/>
      <c r="W429" s="11">
        <f>IFERROR(VLOOKUP(B429, PlumX_snapshot!$A:$B, 2, FALSE), " ")</f>
        <v>35</v>
      </c>
      <c r="X429" s="11">
        <f>IFERROR(VLOOKUP(B429, PlumX_snapshot!$A:$C, 3, FALSE), " ")</f>
        <v>14</v>
      </c>
      <c r="Y429" s="12">
        <f>IFERROR(VLOOKUP(B429, PlumX_snapshot!$A:$D, 4, FALSE), " ")</f>
        <v>0</v>
      </c>
      <c r="Z429" s="12">
        <f>IFERROR(VLOOKUP(B429, PlumX_snapshot!$A:$E, 5, FALSE), " ")</f>
        <v>0</v>
      </c>
      <c r="AA429" s="12">
        <f>IFERROR(VLOOKUP(B429, PlumX_snapshot!$A:$F, 6, FALSE), " ")</f>
        <v>3</v>
      </c>
      <c r="AB429" s="13">
        <v>44978</v>
      </c>
      <c r="AH429" s="9">
        <v>1242</v>
      </c>
      <c r="AI429" s="9" t="s">
        <v>2288</v>
      </c>
      <c r="AJ429" s="9" t="s">
        <v>301</v>
      </c>
      <c r="AK429" s="11" t="str">
        <f t="shared" si="2"/>
        <v>2020GBP</v>
      </c>
      <c r="AL429" s="11">
        <f>VLOOKUP(AK429, Exchange_rates!$C:$D, 2, FALSE)</f>
        <v>1</v>
      </c>
      <c r="AM429" s="14">
        <f t="shared" si="3"/>
        <v>1490.3999999999999</v>
      </c>
      <c r="AN429" s="9"/>
      <c r="AO429" s="9"/>
      <c r="AP429" s="17"/>
      <c r="AQ429" s="15" t="s">
        <v>49</v>
      </c>
      <c r="AR429" t="s">
        <v>2332</v>
      </c>
      <c r="AS429" s="16"/>
    </row>
    <row r="430" spans="1:45" ht="14.5">
      <c r="A430" s="9" t="s">
        <v>2333</v>
      </c>
      <c r="B430" s="9" t="s">
        <v>2334</v>
      </c>
      <c r="C430" s="9" t="s">
        <v>2275</v>
      </c>
      <c r="D430" s="9" t="s">
        <v>2268</v>
      </c>
      <c r="E430" s="17" t="s">
        <v>49</v>
      </c>
      <c r="F430" s="9" t="s">
        <v>69</v>
      </c>
      <c r="G430" s="9" t="s">
        <v>70</v>
      </c>
      <c r="H430" s="9" t="s">
        <v>2286</v>
      </c>
      <c r="I430" s="9" t="s">
        <v>72</v>
      </c>
      <c r="J430" s="10">
        <v>43987</v>
      </c>
      <c r="K430" s="10">
        <v>44048</v>
      </c>
      <c r="L430" s="10"/>
      <c r="M430" s="10">
        <v>44061</v>
      </c>
      <c r="N430" s="9">
        <v>2020</v>
      </c>
      <c r="O430" s="9" t="s">
        <v>2308</v>
      </c>
      <c r="P430" s="9" t="s">
        <v>53</v>
      </c>
      <c r="Q430" s="9" t="s">
        <v>53</v>
      </c>
      <c r="R430" s="9" t="s">
        <v>2335</v>
      </c>
      <c r="T430" s="9"/>
      <c r="V430" s="9"/>
      <c r="W430" s="11">
        <f>IFERROR(VLOOKUP(B430, PlumX_snapshot!$A:$B, 2, FALSE), " ")</f>
        <v>28</v>
      </c>
      <c r="X430" s="11">
        <f>IFERROR(VLOOKUP(B430, PlumX_snapshot!$A:$C, 3, FALSE), " ")</f>
        <v>25</v>
      </c>
      <c r="Y430" s="12">
        <f>IFERROR(VLOOKUP(B430, PlumX_snapshot!$A:$D, 4, FALSE), " ")</f>
        <v>15</v>
      </c>
      <c r="Z430" s="12">
        <f>IFERROR(VLOOKUP(B430, PlumX_snapshot!$A:$E, 5, FALSE), " ")</f>
        <v>0</v>
      </c>
      <c r="AA430" s="12">
        <f>IFERROR(VLOOKUP(B430, PlumX_snapshot!$A:$F, 6, FALSE), " ")</f>
        <v>1</v>
      </c>
      <c r="AB430" s="13">
        <v>44978</v>
      </c>
      <c r="AH430" s="9">
        <v>1242</v>
      </c>
      <c r="AI430" s="9" t="s">
        <v>2288</v>
      </c>
      <c r="AJ430" s="9" t="s">
        <v>301</v>
      </c>
      <c r="AK430" s="11" t="str">
        <f t="shared" si="2"/>
        <v>2020GBP</v>
      </c>
      <c r="AL430" s="11">
        <f>VLOOKUP(AK430, Exchange_rates!$C:$D, 2, FALSE)</f>
        <v>1</v>
      </c>
      <c r="AM430" s="14">
        <f t="shared" si="3"/>
        <v>1490.3999999999999</v>
      </c>
      <c r="AN430" s="9"/>
      <c r="AO430" s="9"/>
      <c r="AP430" s="17"/>
      <c r="AQ430" s="15" t="s">
        <v>49</v>
      </c>
      <c r="AR430" t="s">
        <v>2277</v>
      </c>
      <c r="AS430" s="16"/>
    </row>
    <row r="431" spans="1:45" ht="14.5">
      <c r="A431" s="9" t="s">
        <v>2336</v>
      </c>
      <c r="B431" s="9" t="s">
        <v>2337</v>
      </c>
      <c r="C431" s="9" t="s">
        <v>2267</v>
      </c>
      <c r="D431" s="9" t="s">
        <v>2268</v>
      </c>
      <c r="E431" s="17" t="s">
        <v>49</v>
      </c>
      <c r="F431" s="9" t="s">
        <v>69</v>
      </c>
      <c r="G431" s="9" t="s">
        <v>70</v>
      </c>
      <c r="H431" s="9" t="s">
        <v>2286</v>
      </c>
      <c r="I431" s="9" t="s">
        <v>238</v>
      </c>
      <c r="J431" s="10">
        <v>44036</v>
      </c>
      <c r="K431" s="10">
        <v>44090</v>
      </c>
      <c r="L431" s="10"/>
      <c r="M431" s="10">
        <v>44104</v>
      </c>
      <c r="N431" s="9">
        <v>2020</v>
      </c>
      <c r="O431" s="9" t="s">
        <v>2308</v>
      </c>
      <c r="P431" s="9" t="s">
        <v>83</v>
      </c>
      <c r="Q431" s="9" t="s">
        <v>53</v>
      </c>
      <c r="R431" s="9" t="s">
        <v>2338</v>
      </c>
      <c r="T431" s="9"/>
      <c r="V431" s="9"/>
      <c r="W431" s="11">
        <f>IFERROR(VLOOKUP(B431, PlumX_snapshot!$A:$B, 2, FALSE), " ")</f>
        <v>9</v>
      </c>
      <c r="X431" s="11">
        <f>IFERROR(VLOOKUP(B431, PlumX_snapshot!$A:$C, 3, FALSE), " ")</f>
        <v>4</v>
      </c>
      <c r="Y431" s="12">
        <f>IFERROR(VLOOKUP(B431, PlumX_snapshot!$A:$D, 4, FALSE), " ")</f>
        <v>23</v>
      </c>
      <c r="Z431" s="12">
        <f>IFERROR(VLOOKUP(B431, PlumX_snapshot!$A:$E, 5, FALSE), " ")</f>
        <v>0</v>
      </c>
      <c r="AA431" s="12">
        <f>IFERROR(VLOOKUP(B431, PlumX_snapshot!$A:$F, 6, FALSE), " ")</f>
        <v>0</v>
      </c>
      <c r="AB431" s="13">
        <v>44978</v>
      </c>
      <c r="AH431" s="9">
        <v>1242</v>
      </c>
      <c r="AI431" s="9" t="s">
        <v>2288</v>
      </c>
      <c r="AJ431" s="9" t="s">
        <v>301</v>
      </c>
      <c r="AK431" s="11" t="str">
        <f t="shared" si="2"/>
        <v>2020GBP</v>
      </c>
      <c r="AL431" s="11">
        <f>VLOOKUP(AK431, Exchange_rates!$C:$D, 2, FALSE)</f>
        <v>1</v>
      </c>
      <c r="AM431" s="14">
        <f t="shared" si="3"/>
        <v>1490.3999999999999</v>
      </c>
      <c r="AN431" s="9"/>
      <c r="AO431" s="9"/>
      <c r="AP431" s="17"/>
      <c r="AQ431" s="15" t="s">
        <v>49</v>
      </c>
      <c r="AR431" t="s">
        <v>2272</v>
      </c>
      <c r="AS431" s="16"/>
    </row>
    <row r="432" spans="1:45" ht="14.5">
      <c r="A432" s="9" t="s">
        <v>2339</v>
      </c>
      <c r="B432" s="9" t="s">
        <v>2340</v>
      </c>
      <c r="C432" s="9" t="s">
        <v>2292</v>
      </c>
      <c r="D432" s="9" t="s">
        <v>2268</v>
      </c>
      <c r="E432" s="17" t="s">
        <v>49</v>
      </c>
      <c r="F432" s="9" t="s">
        <v>69</v>
      </c>
      <c r="G432" s="9" t="s">
        <v>70</v>
      </c>
      <c r="H432" s="9" t="s">
        <v>2286</v>
      </c>
      <c r="I432" s="9" t="s">
        <v>72</v>
      </c>
      <c r="J432" s="10">
        <v>44028</v>
      </c>
      <c r="K432" s="10">
        <v>44127</v>
      </c>
      <c r="L432" s="10"/>
      <c r="M432" s="10">
        <v>44174</v>
      </c>
      <c r="N432" s="9">
        <v>2020</v>
      </c>
      <c r="O432" s="9" t="s">
        <v>2341</v>
      </c>
      <c r="P432" s="9" t="s">
        <v>53</v>
      </c>
      <c r="Q432" s="9" t="s">
        <v>53</v>
      </c>
      <c r="R432" s="9" t="s">
        <v>2342</v>
      </c>
      <c r="T432" s="9"/>
      <c r="V432" s="9"/>
      <c r="W432" s="11">
        <f>IFERROR(VLOOKUP(B432, PlumX_snapshot!$A:$B, 2, FALSE), " ")</f>
        <v>15</v>
      </c>
      <c r="X432" s="11">
        <f>IFERROR(VLOOKUP(B432, PlumX_snapshot!$A:$C, 3, FALSE), " ")</f>
        <v>9</v>
      </c>
      <c r="Y432" s="12">
        <f>IFERROR(VLOOKUP(B432, PlumX_snapshot!$A:$D, 4, FALSE), " ")</f>
        <v>1</v>
      </c>
      <c r="Z432" s="12">
        <f>IFERROR(VLOOKUP(B432, PlumX_snapshot!$A:$E, 5, FALSE), " ")</f>
        <v>0</v>
      </c>
      <c r="AA432" s="12">
        <f>IFERROR(VLOOKUP(B432, PlumX_snapshot!$A:$F, 6, FALSE), " ")</f>
        <v>0</v>
      </c>
      <c r="AB432" s="13">
        <v>44978</v>
      </c>
      <c r="AH432" s="9">
        <v>1242</v>
      </c>
      <c r="AI432" s="9" t="s">
        <v>2288</v>
      </c>
      <c r="AJ432" s="9" t="s">
        <v>301</v>
      </c>
      <c r="AK432" s="11" t="str">
        <f t="shared" si="2"/>
        <v>2020GBP</v>
      </c>
      <c r="AL432" s="11">
        <f>VLOOKUP(AK432, Exchange_rates!$C:$D, 2, FALSE)</f>
        <v>1</v>
      </c>
      <c r="AM432" s="14">
        <f t="shared" si="3"/>
        <v>1490.3999999999999</v>
      </c>
      <c r="AN432" s="9"/>
      <c r="AO432" s="9"/>
      <c r="AP432" s="17"/>
      <c r="AQ432" s="15" t="s">
        <v>49</v>
      </c>
      <c r="AR432" t="s">
        <v>2294</v>
      </c>
      <c r="AS432" s="16"/>
    </row>
    <row r="433" spans="1:45" ht="14.5">
      <c r="A433" s="9" t="s">
        <v>2343</v>
      </c>
      <c r="B433" s="9" t="s">
        <v>2344</v>
      </c>
      <c r="C433" s="9" t="s">
        <v>2292</v>
      </c>
      <c r="D433" s="9" t="s">
        <v>2268</v>
      </c>
      <c r="E433" s="17" t="s">
        <v>49</v>
      </c>
      <c r="F433" s="9" t="s">
        <v>50</v>
      </c>
      <c r="G433" s="9" t="s">
        <v>51</v>
      </c>
      <c r="H433" s="9"/>
      <c r="I433" s="9"/>
      <c r="J433" s="10">
        <v>44148</v>
      </c>
      <c r="K433" s="10">
        <v>44201</v>
      </c>
      <c r="L433" s="10"/>
      <c r="M433" s="10">
        <v>44201</v>
      </c>
      <c r="N433" s="9">
        <v>2021</v>
      </c>
      <c r="O433" s="9" t="s">
        <v>2345</v>
      </c>
      <c r="P433" s="9" t="s">
        <v>83</v>
      </c>
      <c r="Q433" s="9" t="s">
        <v>53</v>
      </c>
      <c r="R433" s="9" t="s">
        <v>2346</v>
      </c>
      <c r="T433" s="9" t="s">
        <v>723</v>
      </c>
      <c r="U433" s="9" t="s">
        <v>2347</v>
      </c>
      <c r="V433" s="9"/>
      <c r="W433" s="11">
        <f>IFERROR(VLOOKUP(B433, PlumX_snapshot!$A:$B, 2, FALSE), " ")</f>
        <v>8</v>
      </c>
      <c r="X433" s="11">
        <f>IFERROR(VLOOKUP(B433, PlumX_snapshot!$A:$C, 3, FALSE), " ")</f>
        <v>6</v>
      </c>
      <c r="Y433" s="12">
        <f>IFERROR(VLOOKUP(B433, PlumX_snapshot!$A:$D, 4, FALSE), " ")</f>
        <v>6</v>
      </c>
      <c r="Z433" s="12">
        <f>IFERROR(VLOOKUP(B433, PlumX_snapshot!$A:$E, 5, FALSE), " ")</f>
        <v>0</v>
      </c>
      <c r="AA433" s="12">
        <f>IFERROR(VLOOKUP(B433, PlumX_snapshot!$A:$F, 6, FALSE), " ")</f>
        <v>0</v>
      </c>
      <c r="AB433" s="13">
        <v>44978</v>
      </c>
      <c r="AI433" s="9"/>
      <c r="AJ433" s="9"/>
      <c r="AK433" s="11" t="str">
        <f t="shared" si="2"/>
        <v>2021</v>
      </c>
      <c r="AL433" s="11" t="e">
        <f>VLOOKUP(AK433, Exchange_rates!$C:$D, 2, FALSE)</f>
        <v>#N/A</v>
      </c>
      <c r="AM433" s="14" t="str">
        <f t="shared" si="3"/>
        <v/>
      </c>
      <c r="AN433" s="9"/>
      <c r="AO433" s="9"/>
      <c r="AP433" s="17"/>
      <c r="AQ433" s="15" t="s">
        <v>49</v>
      </c>
      <c r="AR433" t="s">
        <v>2294</v>
      </c>
      <c r="AS433" s="16"/>
    </row>
    <row r="434" spans="1:45" ht="14.5">
      <c r="A434" s="9" t="s">
        <v>2348</v>
      </c>
      <c r="B434" s="9" t="s">
        <v>2349</v>
      </c>
      <c r="C434" s="9" t="s">
        <v>2292</v>
      </c>
      <c r="D434" s="9" t="s">
        <v>2268</v>
      </c>
      <c r="E434" s="17" t="s">
        <v>49</v>
      </c>
      <c r="F434" s="9" t="s">
        <v>69</v>
      </c>
      <c r="G434" s="9" t="s">
        <v>70</v>
      </c>
      <c r="H434" s="9" t="s">
        <v>2350</v>
      </c>
      <c r="I434" s="9" t="s">
        <v>72</v>
      </c>
      <c r="J434" s="10">
        <v>44180</v>
      </c>
      <c r="K434" s="10">
        <v>44267</v>
      </c>
      <c r="L434" s="10"/>
      <c r="N434" s="9">
        <v>2021</v>
      </c>
      <c r="O434" s="9" t="s">
        <v>2345</v>
      </c>
      <c r="P434" s="9" t="s">
        <v>53</v>
      </c>
      <c r="Q434" s="9" t="s">
        <v>53</v>
      </c>
      <c r="R434" s="9" t="s">
        <v>2351</v>
      </c>
      <c r="T434" s="9"/>
      <c r="V434" s="9"/>
      <c r="W434" s="11">
        <f>IFERROR(VLOOKUP(B434, PlumX_snapshot!$A:$B, 2, FALSE), " ")</f>
        <v>18</v>
      </c>
      <c r="X434" s="11">
        <f>IFERROR(VLOOKUP(B434, PlumX_snapshot!$A:$C, 3, FALSE), " ")</f>
        <v>7</v>
      </c>
      <c r="Y434" s="12">
        <f>IFERROR(VLOOKUP(B434, PlumX_snapshot!$A:$D, 4, FALSE), " ")</f>
        <v>0</v>
      </c>
      <c r="Z434" s="12">
        <f>IFERROR(VLOOKUP(B434, PlumX_snapshot!$A:$E, 5, FALSE), " ")</f>
        <v>0</v>
      </c>
      <c r="AA434" s="12">
        <f>IFERROR(VLOOKUP(B434, PlumX_snapshot!$A:$F, 6, FALSE), " ")</f>
        <v>0</v>
      </c>
      <c r="AB434" s="13">
        <v>44978</v>
      </c>
      <c r="AH434" s="9">
        <v>1242</v>
      </c>
      <c r="AI434" s="9" t="s">
        <v>2288</v>
      </c>
      <c r="AJ434" s="9" t="s">
        <v>301</v>
      </c>
      <c r="AK434" s="11" t="str">
        <f t="shared" si="2"/>
        <v>2021GBP</v>
      </c>
      <c r="AL434" s="11">
        <f>VLOOKUP(AK434, Exchange_rates!$C:$D, 2, FALSE)</f>
        <v>1</v>
      </c>
      <c r="AM434" s="14">
        <f t="shared" si="3"/>
        <v>1490.3999999999999</v>
      </c>
      <c r="AN434" s="9"/>
      <c r="AO434" s="9"/>
      <c r="AP434" s="17"/>
      <c r="AQ434" s="15" t="s">
        <v>49</v>
      </c>
      <c r="AR434" t="s">
        <v>2294</v>
      </c>
      <c r="AS434" s="16"/>
    </row>
    <row r="435" spans="1:45" ht="14.5">
      <c r="A435" s="9" t="s">
        <v>2352</v>
      </c>
      <c r="B435" s="9" t="s">
        <v>2353</v>
      </c>
      <c r="C435" s="9" t="s">
        <v>2285</v>
      </c>
      <c r="D435" s="9" t="s">
        <v>2268</v>
      </c>
      <c r="E435" s="17" t="s">
        <v>49</v>
      </c>
      <c r="F435" s="9" t="s">
        <v>69</v>
      </c>
      <c r="G435" s="9" t="s">
        <v>70</v>
      </c>
      <c r="H435" s="9" t="s">
        <v>2350</v>
      </c>
      <c r="I435" s="9" t="s">
        <v>238</v>
      </c>
      <c r="J435" s="10">
        <v>44180</v>
      </c>
      <c r="K435" s="10">
        <v>44213</v>
      </c>
      <c r="L435" s="10"/>
      <c r="M435" s="10">
        <v>44214</v>
      </c>
      <c r="N435" s="9">
        <v>2021</v>
      </c>
      <c r="O435" s="9" t="s">
        <v>2345</v>
      </c>
      <c r="P435" s="9" t="s">
        <v>83</v>
      </c>
      <c r="Q435" s="9" t="s">
        <v>53</v>
      </c>
      <c r="R435" s="9" t="s">
        <v>117</v>
      </c>
      <c r="T435" s="9"/>
      <c r="V435" s="9"/>
      <c r="W435" s="11">
        <f>IFERROR(VLOOKUP(B435, PlumX_snapshot!$A:$B, 2, FALSE), " ")</f>
        <v>9</v>
      </c>
      <c r="X435" s="11">
        <f>IFERROR(VLOOKUP(B435, PlumX_snapshot!$A:$C, 3, FALSE), " ")</f>
        <v>4</v>
      </c>
      <c r="Y435" s="12">
        <f>IFERROR(VLOOKUP(B435, PlumX_snapshot!$A:$D, 4, FALSE), " ")</f>
        <v>10</v>
      </c>
      <c r="Z435" s="12">
        <f>IFERROR(VLOOKUP(B435, PlumX_snapshot!$A:$E, 5, FALSE), " ")</f>
        <v>0</v>
      </c>
      <c r="AA435" s="12">
        <f>IFERROR(VLOOKUP(B435, PlumX_snapshot!$A:$F, 6, FALSE), " ")</f>
        <v>0</v>
      </c>
      <c r="AB435" s="13">
        <v>44978</v>
      </c>
      <c r="AH435" s="9">
        <v>1242</v>
      </c>
      <c r="AI435" s="9" t="s">
        <v>2288</v>
      </c>
      <c r="AJ435" s="9" t="s">
        <v>301</v>
      </c>
      <c r="AK435" s="11" t="str">
        <f t="shared" si="2"/>
        <v>2021GBP</v>
      </c>
      <c r="AL435" s="11">
        <f>VLOOKUP(AK435, Exchange_rates!$C:$D, 2, FALSE)</f>
        <v>1</v>
      </c>
      <c r="AM435" s="14">
        <f t="shared" si="3"/>
        <v>1490.3999999999999</v>
      </c>
      <c r="AN435" s="9"/>
      <c r="AO435" s="9"/>
      <c r="AP435" s="17"/>
      <c r="AQ435" s="15" t="s">
        <v>49</v>
      </c>
      <c r="AR435" t="s">
        <v>2289</v>
      </c>
      <c r="AS435" s="16"/>
    </row>
    <row r="436" spans="1:45" ht="14.5">
      <c r="A436" s="9" t="s">
        <v>2354</v>
      </c>
      <c r="B436" s="9" t="s">
        <v>2355</v>
      </c>
      <c r="C436" s="9" t="s">
        <v>2356</v>
      </c>
      <c r="D436" s="9" t="s">
        <v>2268</v>
      </c>
      <c r="E436" s="17" t="s">
        <v>49</v>
      </c>
      <c r="F436" s="9" t="s">
        <v>69</v>
      </c>
      <c r="G436" s="9" t="s">
        <v>70</v>
      </c>
      <c r="H436" s="9" t="s">
        <v>2350</v>
      </c>
      <c r="I436" s="9" t="s">
        <v>238</v>
      </c>
      <c r="J436" s="10">
        <v>44145</v>
      </c>
      <c r="K436" s="10">
        <v>44207</v>
      </c>
      <c r="L436" s="10"/>
      <c r="N436" s="9">
        <v>2021</v>
      </c>
      <c r="O436" s="9" t="s">
        <v>2345</v>
      </c>
      <c r="P436" s="9" t="s">
        <v>53</v>
      </c>
      <c r="Q436" s="9" t="s">
        <v>53</v>
      </c>
      <c r="R436" s="9" t="s">
        <v>2357</v>
      </c>
      <c r="T436" s="9"/>
      <c r="V436" s="9"/>
      <c r="W436" s="11">
        <f>IFERROR(VLOOKUP(B436, PlumX_snapshot!$A:$B, 2, FALSE), " ")</f>
        <v>16</v>
      </c>
      <c r="X436" s="11">
        <f>IFERROR(VLOOKUP(B436, PlumX_snapshot!$A:$C, 3, FALSE), " ")</f>
        <v>6</v>
      </c>
      <c r="Y436" s="12">
        <f>IFERROR(VLOOKUP(B436, PlumX_snapshot!$A:$D, 4, FALSE), " ")</f>
        <v>8</v>
      </c>
      <c r="Z436" s="12">
        <f>IFERROR(VLOOKUP(B436, PlumX_snapshot!$A:$E, 5, FALSE), " ")</f>
        <v>0</v>
      </c>
      <c r="AA436" s="12">
        <f>IFERROR(VLOOKUP(B436, PlumX_snapshot!$A:$F, 6, FALSE), " ")</f>
        <v>0</v>
      </c>
      <c r="AB436" s="13">
        <v>44978</v>
      </c>
      <c r="AH436" s="9">
        <v>1242</v>
      </c>
      <c r="AI436" s="9" t="s">
        <v>2288</v>
      </c>
      <c r="AJ436" s="9" t="s">
        <v>301</v>
      </c>
      <c r="AK436" s="11" t="str">
        <f t="shared" si="2"/>
        <v>2021GBP</v>
      </c>
      <c r="AL436" s="11">
        <f>VLOOKUP(AK436, Exchange_rates!$C:$D, 2, FALSE)</f>
        <v>1</v>
      </c>
      <c r="AM436" s="14">
        <f t="shared" si="3"/>
        <v>1490.3999999999999</v>
      </c>
      <c r="AN436" s="9"/>
      <c r="AO436" s="9"/>
      <c r="AP436" s="17"/>
      <c r="AQ436" s="15" t="s">
        <v>49</v>
      </c>
      <c r="AR436" t="s">
        <v>2358</v>
      </c>
      <c r="AS436" s="16"/>
    </row>
    <row r="437" spans="1:45" ht="14.5">
      <c r="A437" s="9" t="s">
        <v>2359</v>
      </c>
      <c r="B437" s="9" t="s">
        <v>2360</v>
      </c>
      <c r="C437" s="9" t="s">
        <v>2361</v>
      </c>
      <c r="D437" s="9" t="s">
        <v>2268</v>
      </c>
      <c r="E437" s="17" t="s">
        <v>49</v>
      </c>
      <c r="F437" s="9" t="s">
        <v>69</v>
      </c>
      <c r="G437" s="9" t="s">
        <v>70</v>
      </c>
      <c r="H437" s="9" t="s">
        <v>2350</v>
      </c>
      <c r="I437" s="9" t="s">
        <v>238</v>
      </c>
      <c r="J437" s="10">
        <v>44175</v>
      </c>
      <c r="K437" s="10">
        <v>44293</v>
      </c>
      <c r="L437" s="10"/>
      <c r="M437" s="10">
        <v>44298</v>
      </c>
      <c r="N437" s="9">
        <v>2021</v>
      </c>
      <c r="O437" s="9" t="s">
        <v>2345</v>
      </c>
      <c r="P437" s="9" t="s">
        <v>83</v>
      </c>
      <c r="Q437" s="9" t="s">
        <v>53</v>
      </c>
      <c r="R437" s="9" t="s">
        <v>2362</v>
      </c>
      <c r="T437" s="9"/>
      <c r="V437" s="9"/>
      <c r="W437" s="11">
        <f>IFERROR(VLOOKUP(B437, PlumX_snapshot!$A:$B, 2, FALSE), " ")</f>
        <v>43</v>
      </c>
      <c r="X437" s="11">
        <f>IFERROR(VLOOKUP(B437, PlumX_snapshot!$A:$C, 3, FALSE), " ")</f>
        <v>16</v>
      </c>
      <c r="Y437" s="12">
        <f>IFERROR(VLOOKUP(B437, PlumX_snapshot!$A:$D, 4, FALSE), " ")</f>
        <v>24</v>
      </c>
      <c r="Z437" s="12">
        <f>IFERROR(VLOOKUP(B437, PlumX_snapshot!$A:$E, 5, FALSE), " ")</f>
        <v>0</v>
      </c>
      <c r="AA437" s="12">
        <f>IFERROR(VLOOKUP(B437, PlumX_snapshot!$A:$F, 6, FALSE), " ")</f>
        <v>1</v>
      </c>
      <c r="AB437" s="13">
        <v>44978</v>
      </c>
      <c r="AH437" s="9">
        <v>1242</v>
      </c>
      <c r="AI437" s="9" t="s">
        <v>2288</v>
      </c>
      <c r="AJ437" s="9" t="s">
        <v>301</v>
      </c>
      <c r="AK437" s="11" t="str">
        <f t="shared" si="2"/>
        <v>2021GBP</v>
      </c>
      <c r="AL437" s="11">
        <f>VLOOKUP(AK437, Exchange_rates!$C:$D, 2, FALSE)</f>
        <v>1</v>
      </c>
      <c r="AM437" s="14">
        <f t="shared" si="3"/>
        <v>1490.3999999999999</v>
      </c>
      <c r="AN437" s="9"/>
      <c r="AO437" s="9"/>
      <c r="AP437" s="17"/>
      <c r="AQ437" s="15" t="s">
        <v>49</v>
      </c>
      <c r="AR437" t="s">
        <v>2363</v>
      </c>
      <c r="AS437" s="16"/>
    </row>
    <row r="438" spans="1:45" ht="14.5">
      <c r="A438" s="9" t="s">
        <v>2364</v>
      </c>
      <c r="B438" s="9" t="s">
        <v>2365</v>
      </c>
      <c r="C438" s="9" t="s">
        <v>2366</v>
      </c>
      <c r="D438" s="9" t="s">
        <v>2268</v>
      </c>
      <c r="E438" s="17" t="s">
        <v>49</v>
      </c>
      <c r="F438" s="9" t="s">
        <v>69</v>
      </c>
      <c r="G438" s="9" t="s">
        <v>70</v>
      </c>
      <c r="H438" s="9" t="s">
        <v>2350</v>
      </c>
      <c r="I438" s="9" t="s">
        <v>238</v>
      </c>
      <c r="J438" s="10">
        <v>44225</v>
      </c>
      <c r="K438" s="10">
        <v>44316</v>
      </c>
      <c r="L438" s="10"/>
      <c r="N438" s="9">
        <v>2021</v>
      </c>
      <c r="O438" s="9" t="s">
        <v>2345</v>
      </c>
      <c r="P438" s="9" t="s">
        <v>53</v>
      </c>
      <c r="Q438" s="9" t="s">
        <v>53</v>
      </c>
      <c r="R438" s="9" t="s">
        <v>2367</v>
      </c>
      <c r="T438" s="9"/>
      <c r="V438" s="9"/>
      <c r="W438" s="11">
        <f>IFERROR(VLOOKUP(B438, PlumX_snapshot!$A:$B, 2, FALSE), " ")</f>
        <v>9</v>
      </c>
      <c r="X438" s="11">
        <f>IFERROR(VLOOKUP(B438, PlumX_snapshot!$A:$C, 3, FALSE), " ")</f>
        <v>6</v>
      </c>
      <c r="Y438" s="12">
        <f>IFERROR(VLOOKUP(B438, PlumX_snapshot!$A:$D, 4, FALSE), " ")</f>
        <v>1</v>
      </c>
      <c r="Z438" s="12">
        <f>IFERROR(VLOOKUP(B438, PlumX_snapshot!$A:$E, 5, FALSE), " ")</f>
        <v>0</v>
      </c>
      <c r="AA438" s="12">
        <f>IFERROR(VLOOKUP(B438, PlumX_snapshot!$A:$F, 6, FALSE), " ")</f>
        <v>0</v>
      </c>
      <c r="AB438" s="13">
        <v>44978</v>
      </c>
      <c r="AH438" s="9">
        <v>1242</v>
      </c>
      <c r="AI438" s="9" t="s">
        <v>2288</v>
      </c>
      <c r="AJ438" s="9" t="s">
        <v>301</v>
      </c>
      <c r="AK438" s="11" t="str">
        <f t="shared" si="2"/>
        <v>2021GBP</v>
      </c>
      <c r="AL438" s="11">
        <f>VLOOKUP(AK438, Exchange_rates!$C:$D, 2, FALSE)</f>
        <v>1</v>
      </c>
      <c r="AM438" s="14">
        <f t="shared" si="3"/>
        <v>1490.3999999999999</v>
      </c>
      <c r="AN438" s="9"/>
      <c r="AO438" s="9"/>
      <c r="AP438" s="17"/>
      <c r="AQ438" s="15" t="s">
        <v>49</v>
      </c>
      <c r="AR438" t="s">
        <v>2368</v>
      </c>
      <c r="AS438" s="16"/>
    </row>
    <row r="439" spans="1:45" ht="14.5">
      <c r="A439" s="9" t="s">
        <v>2369</v>
      </c>
      <c r="B439" s="9" t="s">
        <v>2370</v>
      </c>
      <c r="C439" s="9" t="s">
        <v>2356</v>
      </c>
      <c r="D439" s="9" t="s">
        <v>2268</v>
      </c>
      <c r="E439" s="17" t="s">
        <v>49</v>
      </c>
      <c r="F439" s="9" t="s">
        <v>69</v>
      </c>
      <c r="G439" s="9" t="s">
        <v>70</v>
      </c>
      <c r="H439" s="9" t="s">
        <v>2350</v>
      </c>
      <c r="I439" s="9" t="s">
        <v>238</v>
      </c>
      <c r="J439" s="10">
        <v>44244</v>
      </c>
      <c r="K439" s="10">
        <v>44292</v>
      </c>
      <c r="L439" s="10"/>
      <c r="N439" s="9">
        <v>2021</v>
      </c>
      <c r="O439" s="9" t="s">
        <v>2345</v>
      </c>
      <c r="P439" s="9" t="s">
        <v>53</v>
      </c>
      <c r="Q439" s="9" t="s">
        <v>53</v>
      </c>
      <c r="R439" s="9" t="s">
        <v>2371</v>
      </c>
      <c r="T439" s="9"/>
      <c r="V439" s="9"/>
      <c r="W439" s="11">
        <f>IFERROR(VLOOKUP(B439, PlumX_snapshot!$A:$B, 2, FALSE), " ")</f>
        <v>59</v>
      </c>
      <c r="X439" s="11">
        <f>IFERROR(VLOOKUP(B439, PlumX_snapshot!$A:$C, 3, FALSE), " ")</f>
        <v>32</v>
      </c>
      <c r="Y439" s="12">
        <f>IFERROR(VLOOKUP(B439, PlumX_snapshot!$A:$D, 4, FALSE), " ")</f>
        <v>0</v>
      </c>
      <c r="Z439" s="12">
        <f>IFERROR(VLOOKUP(B439, PlumX_snapshot!$A:$E, 5, FALSE), " ")</f>
        <v>0</v>
      </c>
      <c r="AA439" s="12">
        <f>IFERROR(VLOOKUP(B439, PlumX_snapshot!$A:$F, 6, FALSE), " ")</f>
        <v>0</v>
      </c>
      <c r="AB439" s="13">
        <v>44978</v>
      </c>
      <c r="AH439" s="9">
        <v>1242</v>
      </c>
      <c r="AI439" s="9" t="s">
        <v>2288</v>
      </c>
      <c r="AJ439" s="9" t="s">
        <v>301</v>
      </c>
      <c r="AK439" s="11" t="str">
        <f t="shared" si="2"/>
        <v>2021GBP</v>
      </c>
      <c r="AL439" s="11">
        <f>VLOOKUP(AK439, Exchange_rates!$C:$D, 2, FALSE)</f>
        <v>1</v>
      </c>
      <c r="AM439" s="14">
        <f t="shared" si="3"/>
        <v>1490.3999999999999</v>
      </c>
      <c r="AN439" s="9"/>
      <c r="AO439" s="9"/>
      <c r="AP439" s="17"/>
      <c r="AQ439" s="15" t="s">
        <v>49</v>
      </c>
      <c r="AR439" t="s">
        <v>2358</v>
      </c>
      <c r="AS439" s="16"/>
    </row>
    <row r="440" spans="1:45" ht="14.5">
      <c r="A440" s="9" t="s">
        <v>2372</v>
      </c>
      <c r="B440" s="9" t="s">
        <v>2373</v>
      </c>
      <c r="C440" s="9" t="s">
        <v>2356</v>
      </c>
      <c r="D440" s="9" t="s">
        <v>2268</v>
      </c>
      <c r="E440" s="17" t="s">
        <v>49</v>
      </c>
      <c r="F440" s="9" t="s">
        <v>69</v>
      </c>
      <c r="G440" s="9" t="s">
        <v>70</v>
      </c>
      <c r="H440" s="9" t="s">
        <v>2350</v>
      </c>
      <c r="I440" s="9" t="s">
        <v>72</v>
      </c>
      <c r="J440" s="10">
        <v>44298</v>
      </c>
      <c r="K440" s="10">
        <v>44323</v>
      </c>
      <c r="L440" s="10"/>
      <c r="N440" s="9">
        <v>2021</v>
      </c>
      <c r="O440" s="9" t="s">
        <v>2345</v>
      </c>
      <c r="P440" s="9" t="s">
        <v>53</v>
      </c>
      <c r="Q440" s="9" t="s">
        <v>53</v>
      </c>
      <c r="R440" s="9" t="s">
        <v>2374</v>
      </c>
      <c r="T440" s="9"/>
      <c r="V440" s="9"/>
      <c r="W440" s="11">
        <f>IFERROR(VLOOKUP(B440, PlumX_snapshot!$A:$B, 2, FALSE), " ")</f>
        <v>10</v>
      </c>
      <c r="X440" s="11">
        <f>IFERROR(VLOOKUP(B440, PlumX_snapshot!$A:$C, 3, FALSE), " ")</f>
        <v>17</v>
      </c>
      <c r="Y440" s="12">
        <f>IFERROR(VLOOKUP(B440, PlumX_snapshot!$A:$D, 4, FALSE), " ")</f>
        <v>0</v>
      </c>
      <c r="Z440" s="12">
        <f>IFERROR(VLOOKUP(B440, PlumX_snapshot!$A:$E, 5, FALSE), " ")</f>
        <v>0</v>
      </c>
      <c r="AA440" s="12">
        <f>IFERROR(VLOOKUP(B440, PlumX_snapshot!$A:$F, 6, FALSE), " ")</f>
        <v>0</v>
      </c>
      <c r="AB440" s="13">
        <v>44978</v>
      </c>
      <c r="AH440" s="9">
        <v>1242</v>
      </c>
      <c r="AI440" s="9" t="s">
        <v>2288</v>
      </c>
      <c r="AJ440" s="9" t="s">
        <v>301</v>
      </c>
      <c r="AK440" s="11" t="str">
        <f t="shared" si="2"/>
        <v>2021GBP</v>
      </c>
      <c r="AL440" s="11">
        <f>VLOOKUP(AK440, Exchange_rates!$C:$D, 2, FALSE)</f>
        <v>1</v>
      </c>
      <c r="AM440" s="14">
        <f t="shared" si="3"/>
        <v>1490.3999999999999</v>
      </c>
      <c r="AN440" s="9"/>
      <c r="AO440" s="9"/>
      <c r="AP440" s="17"/>
      <c r="AQ440" s="15" t="s">
        <v>49</v>
      </c>
      <c r="AR440" t="s">
        <v>2358</v>
      </c>
      <c r="AS440" s="16"/>
    </row>
    <row r="441" spans="1:45" ht="14.5">
      <c r="A441" s="9" t="s">
        <v>2375</v>
      </c>
      <c r="B441" s="9" t="s">
        <v>2376</v>
      </c>
      <c r="C441" s="9" t="s">
        <v>2377</v>
      </c>
      <c r="D441" s="9" t="s">
        <v>2268</v>
      </c>
      <c r="E441" s="17" t="s">
        <v>49</v>
      </c>
      <c r="F441" s="9" t="s">
        <v>69</v>
      </c>
      <c r="G441" s="9" t="s">
        <v>70</v>
      </c>
      <c r="H441" s="9" t="s">
        <v>2350</v>
      </c>
      <c r="I441" s="9" t="s">
        <v>238</v>
      </c>
      <c r="J441" s="10">
        <v>44307</v>
      </c>
      <c r="K441" s="10">
        <v>44373</v>
      </c>
      <c r="L441" s="10"/>
      <c r="M441" s="10">
        <v>44375</v>
      </c>
      <c r="N441" s="9">
        <v>2021</v>
      </c>
      <c r="O441" s="9" t="s">
        <v>2345</v>
      </c>
      <c r="P441" s="9" t="s">
        <v>83</v>
      </c>
      <c r="Q441" s="9" t="s">
        <v>53</v>
      </c>
      <c r="R441" s="9" t="s">
        <v>2378</v>
      </c>
      <c r="T441" s="9"/>
      <c r="V441" s="9"/>
      <c r="W441" s="11">
        <f>IFERROR(VLOOKUP(B441, PlumX_snapshot!$A:$B, 2, FALSE), " ")</f>
        <v>14</v>
      </c>
      <c r="X441" s="11">
        <f>IFERROR(VLOOKUP(B441, PlumX_snapshot!$A:$C, 3, FALSE), " ")</f>
        <v>2</v>
      </c>
      <c r="Y441" s="12">
        <f>IFERROR(VLOOKUP(B441, PlumX_snapshot!$A:$D, 4, FALSE), " ")</f>
        <v>33</v>
      </c>
      <c r="Z441" s="12">
        <f>IFERROR(VLOOKUP(B441, PlumX_snapshot!$A:$E, 5, FALSE), " ")</f>
        <v>0</v>
      </c>
      <c r="AA441" s="12">
        <f>IFERROR(VLOOKUP(B441, PlumX_snapshot!$A:$F, 6, FALSE), " ")</f>
        <v>0</v>
      </c>
      <c r="AB441" s="13">
        <v>44978</v>
      </c>
      <c r="AH441" s="9">
        <v>1242</v>
      </c>
      <c r="AI441" s="9" t="s">
        <v>2288</v>
      </c>
      <c r="AJ441" s="9" t="s">
        <v>301</v>
      </c>
      <c r="AK441" s="11" t="str">
        <f t="shared" si="2"/>
        <v>2021GBP</v>
      </c>
      <c r="AL441" s="11">
        <f>VLOOKUP(AK441, Exchange_rates!$C:$D, 2, FALSE)</f>
        <v>1</v>
      </c>
      <c r="AM441" s="14">
        <f t="shared" si="3"/>
        <v>1490.3999999999999</v>
      </c>
      <c r="AN441" s="9"/>
      <c r="AO441" s="9"/>
      <c r="AP441" s="17"/>
      <c r="AQ441" s="15" t="s">
        <v>49</v>
      </c>
      <c r="AR441" t="s">
        <v>2379</v>
      </c>
      <c r="AS441" s="16"/>
    </row>
    <row r="442" spans="1:45" ht="14.5">
      <c r="A442" s="9" t="s">
        <v>2380</v>
      </c>
      <c r="B442" s="9" t="s">
        <v>2381</v>
      </c>
      <c r="C442" s="9" t="s">
        <v>2356</v>
      </c>
      <c r="D442" s="9" t="s">
        <v>2268</v>
      </c>
      <c r="E442" s="17" t="s">
        <v>49</v>
      </c>
      <c r="F442" s="9" t="s">
        <v>69</v>
      </c>
      <c r="G442" s="9" t="s">
        <v>70</v>
      </c>
      <c r="H442" s="9" t="s">
        <v>2350</v>
      </c>
      <c r="I442" s="9" t="s">
        <v>72</v>
      </c>
      <c r="J442" s="10">
        <v>44335</v>
      </c>
      <c r="K442" s="10">
        <v>44375</v>
      </c>
      <c r="L442" s="10"/>
      <c r="N442" s="9">
        <v>2021</v>
      </c>
      <c r="O442" s="9" t="s">
        <v>2345</v>
      </c>
      <c r="P442" s="9" t="s">
        <v>53</v>
      </c>
      <c r="Q442" s="9" t="s">
        <v>53</v>
      </c>
      <c r="R442" s="9" t="s">
        <v>2382</v>
      </c>
      <c r="T442" s="9"/>
      <c r="V442" s="9"/>
      <c r="W442" s="11">
        <f>IFERROR(VLOOKUP(B442, PlumX_snapshot!$A:$B, 2, FALSE), " ")</f>
        <v>4</v>
      </c>
      <c r="X442" s="11">
        <f>IFERROR(VLOOKUP(B442, PlumX_snapshot!$A:$C, 3, FALSE), " ")</f>
        <v>3</v>
      </c>
      <c r="Y442" s="12">
        <f>IFERROR(VLOOKUP(B442, PlumX_snapshot!$A:$D, 4, FALSE), " ")</f>
        <v>4</v>
      </c>
      <c r="Z442" s="12">
        <f>IFERROR(VLOOKUP(B442, PlumX_snapshot!$A:$E, 5, FALSE), " ")</f>
        <v>0</v>
      </c>
      <c r="AA442" s="12">
        <f>IFERROR(VLOOKUP(B442, PlumX_snapshot!$A:$F, 6, FALSE), " ")</f>
        <v>0</v>
      </c>
      <c r="AB442" s="13">
        <v>44978</v>
      </c>
      <c r="AH442" s="9">
        <v>1242</v>
      </c>
      <c r="AI442" s="9" t="s">
        <v>2288</v>
      </c>
      <c r="AJ442" s="9" t="s">
        <v>301</v>
      </c>
      <c r="AK442" s="11" t="str">
        <f t="shared" si="2"/>
        <v>2021GBP</v>
      </c>
      <c r="AL442" s="11">
        <f>VLOOKUP(AK442, Exchange_rates!$C:$D, 2, FALSE)</f>
        <v>1</v>
      </c>
      <c r="AM442" s="14">
        <f t="shared" si="3"/>
        <v>1490.3999999999999</v>
      </c>
      <c r="AN442" s="9"/>
      <c r="AO442" s="9"/>
      <c r="AP442" s="17"/>
      <c r="AQ442" s="15" t="s">
        <v>49</v>
      </c>
      <c r="AR442" t="s">
        <v>2358</v>
      </c>
      <c r="AS442" s="16"/>
    </row>
    <row r="443" spans="1:45" ht="14.5">
      <c r="A443" s="9" t="s">
        <v>2383</v>
      </c>
      <c r="B443" s="9" t="s">
        <v>2384</v>
      </c>
      <c r="C443" s="9" t="s">
        <v>2292</v>
      </c>
      <c r="D443" s="9" t="s">
        <v>2268</v>
      </c>
      <c r="E443" s="17" t="s">
        <v>49</v>
      </c>
      <c r="F443" s="9" t="s">
        <v>69</v>
      </c>
      <c r="G443" s="9" t="s">
        <v>70</v>
      </c>
      <c r="H443" s="9" t="s">
        <v>2350</v>
      </c>
      <c r="I443" s="9" t="s">
        <v>72</v>
      </c>
      <c r="J443" s="10">
        <v>44336</v>
      </c>
      <c r="K443" s="10">
        <v>44384</v>
      </c>
      <c r="L443" s="10"/>
      <c r="M443" s="10">
        <v>44384</v>
      </c>
      <c r="N443" s="9">
        <v>2021</v>
      </c>
      <c r="O443" s="9" t="s">
        <v>2345</v>
      </c>
      <c r="P443" s="9" t="s">
        <v>83</v>
      </c>
      <c r="Q443" s="9" t="s">
        <v>53</v>
      </c>
      <c r="R443" s="9" t="s">
        <v>2385</v>
      </c>
      <c r="T443" s="9"/>
      <c r="V443" s="9"/>
      <c r="W443" s="11">
        <f>IFERROR(VLOOKUP(B443, PlumX_snapshot!$A:$B, 2, FALSE), " ")</f>
        <v>2</v>
      </c>
      <c r="X443" s="11">
        <f>IFERROR(VLOOKUP(B443, PlumX_snapshot!$A:$C, 3, FALSE), " ")</f>
        <v>2</v>
      </c>
      <c r="Y443" s="12">
        <f>IFERROR(VLOOKUP(B443, PlumX_snapshot!$A:$D, 4, FALSE), " ")</f>
        <v>4</v>
      </c>
      <c r="Z443" s="12">
        <f>IFERROR(VLOOKUP(B443, PlumX_snapshot!$A:$E, 5, FALSE), " ")</f>
        <v>0</v>
      </c>
      <c r="AA443" s="12">
        <f>IFERROR(VLOOKUP(B443, PlumX_snapshot!$A:$F, 6, FALSE), " ")</f>
        <v>0</v>
      </c>
      <c r="AB443" s="13">
        <v>44978</v>
      </c>
      <c r="AH443" s="9">
        <v>1242</v>
      </c>
      <c r="AI443" s="9" t="s">
        <v>2288</v>
      </c>
      <c r="AJ443" s="9" t="s">
        <v>301</v>
      </c>
      <c r="AK443" s="11" t="str">
        <f t="shared" si="2"/>
        <v>2021GBP</v>
      </c>
      <c r="AL443" s="11">
        <f>VLOOKUP(AK443, Exchange_rates!$C:$D, 2, FALSE)</f>
        <v>1</v>
      </c>
      <c r="AM443" s="14">
        <f t="shared" si="3"/>
        <v>1490.3999999999999</v>
      </c>
      <c r="AN443" s="9"/>
      <c r="AO443" s="9"/>
      <c r="AP443" s="17"/>
      <c r="AQ443" s="15" t="s">
        <v>49</v>
      </c>
      <c r="AR443" t="s">
        <v>2294</v>
      </c>
      <c r="AS443" s="16"/>
    </row>
    <row r="444" spans="1:45" ht="14.5">
      <c r="A444" s="9" t="s">
        <v>2386</v>
      </c>
      <c r="B444" s="9" t="s">
        <v>2387</v>
      </c>
      <c r="C444" s="9" t="s">
        <v>2388</v>
      </c>
      <c r="D444" s="9" t="s">
        <v>2268</v>
      </c>
      <c r="E444" s="17" t="s">
        <v>49</v>
      </c>
      <c r="F444" s="9" t="s">
        <v>69</v>
      </c>
      <c r="G444" s="9" t="s">
        <v>70</v>
      </c>
      <c r="H444" s="9" t="s">
        <v>2350</v>
      </c>
      <c r="I444" s="9" t="s">
        <v>72</v>
      </c>
      <c r="J444" s="10">
        <v>44386</v>
      </c>
      <c r="K444" s="10">
        <v>44435</v>
      </c>
      <c r="L444" s="10"/>
      <c r="N444" s="9">
        <v>2021</v>
      </c>
      <c r="O444" s="9" t="s">
        <v>2345</v>
      </c>
      <c r="P444" s="9" t="s">
        <v>53</v>
      </c>
      <c r="Q444" s="9" t="s">
        <v>53</v>
      </c>
      <c r="R444" s="9" t="s">
        <v>2389</v>
      </c>
      <c r="T444" s="9"/>
      <c r="V444" s="9"/>
      <c r="W444" s="11">
        <f>IFERROR(VLOOKUP(B444, PlumX_snapshot!$A:$B, 2, FALSE), " ")</f>
        <v>17</v>
      </c>
      <c r="X444" s="11">
        <f>IFERROR(VLOOKUP(B444, PlumX_snapshot!$A:$C, 3, FALSE), " ")</f>
        <v>3</v>
      </c>
      <c r="Y444" s="12">
        <f>IFERROR(VLOOKUP(B444, PlumX_snapshot!$A:$D, 4, FALSE), " ")</f>
        <v>8</v>
      </c>
      <c r="Z444" s="12">
        <f>IFERROR(VLOOKUP(B444, PlumX_snapshot!$A:$E, 5, FALSE), " ")</f>
        <v>0</v>
      </c>
      <c r="AA444" s="12">
        <f>IFERROR(VLOOKUP(B444, PlumX_snapshot!$A:$F, 6, FALSE), " ")</f>
        <v>0</v>
      </c>
      <c r="AB444" s="13">
        <v>44978</v>
      </c>
      <c r="AH444" s="9">
        <v>1242</v>
      </c>
      <c r="AI444" s="9" t="s">
        <v>2288</v>
      </c>
      <c r="AJ444" s="9" t="s">
        <v>301</v>
      </c>
      <c r="AK444" s="11" t="str">
        <f t="shared" si="2"/>
        <v>2021GBP</v>
      </c>
      <c r="AL444" s="11">
        <f>VLOOKUP(AK444, Exchange_rates!$C:$D, 2, FALSE)</f>
        <v>1</v>
      </c>
      <c r="AM444" s="14">
        <f t="shared" si="3"/>
        <v>1490.3999999999999</v>
      </c>
      <c r="AN444" s="9"/>
      <c r="AO444" s="9"/>
      <c r="AP444" s="17"/>
      <c r="AQ444" s="15" t="s">
        <v>49</v>
      </c>
      <c r="AR444" t="s">
        <v>2277</v>
      </c>
      <c r="AS444" s="16" t="s">
        <v>2390</v>
      </c>
    </row>
    <row r="445" spans="1:45" ht="14.5">
      <c r="A445" s="9" t="s">
        <v>2391</v>
      </c>
      <c r="B445" s="9" t="s">
        <v>2392</v>
      </c>
      <c r="C445" s="9" t="s">
        <v>2356</v>
      </c>
      <c r="D445" s="9" t="s">
        <v>2268</v>
      </c>
      <c r="E445" s="17" t="s">
        <v>49</v>
      </c>
      <c r="F445" s="9" t="s">
        <v>69</v>
      </c>
      <c r="G445" s="9" t="s">
        <v>70</v>
      </c>
      <c r="H445" s="9" t="s">
        <v>2286</v>
      </c>
      <c r="I445" s="9" t="s">
        <v>238</v>
      </c>
      <c r="J445" s="10">
        <v>44081</v>
      </c>
      <c r="K445" s="10">
        <v>44158</v>
      </c>
      <c r="L445" s="10"/>
      <c r="M445" s="10">
        <v>44203</v>
      </c>
      <c r="N445" s="9">
        <v>2020</v>
      </c>
      <c r="O445" s="9" t="s">
        <v>2393</v>
      </c>
      <c r="P445" s="9" t="s">
        <v>53</v>
      </c>
      <c r="Q445" s="9" t="s">
        <v>53</v>
      </c>
      <c r="R445" s="9" t="s">
        <v>2394</v>
      </c>
      <c r="T445" s="9"/>
      <c r="U445" s="9" t="s">
        <v>2395</v>
      </c>
      <c r="V445" s="9"/>
      <c r="W445" s="11">
        <f>IFERROR(VLOOKUP(B445, PlumX_snapshot!$A:$B, 2, FALSE), " ")</f>
        <v>24</v>
      </c>
      <c r="X445" s="11">
        <f>IFERROR(VLOOKUP(B445, PlumX_snapshot!$A:$C, 3, FALSE), " ")</f>
        <v>6</v>
      </c>
      <c r="Y445" s="12">
        <f>IFERROR(VLOOKUP(B445, PlumX_snapshot!$A:$D, 4, FALSE), " ")</f>
        <v>6</v>
      </c>
      <c r="Z445" s="12">
        <f>IFERROR(VLOOKUP(B445, PlumX_snapshot!$A:$E, 5, FALSE), " ")</f>
        <v>0</v>
      </c>
      <c r="AA445" s="12">
        <f>IFERROR(VLOOKUP(B445, PlumX_snapshot!$A:$F, 6, FALSE), " ")</f>
        <v>0</v>
      </c>
      <c r="AB445" s="13">
        <v>44978</v>
      </c>
      <c r="AH445" s="9">
        <v>1242</v>
      </c>
      <c r="AI445" s="9" t="s">
        <v>2288</v>
      </c>
      <c r="AJ445" s="9" t="s">
        <v>301</v>
      </c>
      <c r="AK445" s="11" t="str">
        <f t="shared" si="2"/>
        <v>2020GBP</v>
      </c>
      <c r="AL445" s="11">
        <f>VLOOKUP(AK445, Exchange_rates!$C:$D, 2, FALSE)</f>
        <v>1</v>
      </c>
      <c r="AM445" s="14">
        <f t="shared" si="3"/>
        <v>1490.3999999999999</v>
      </c>
      <c r="AN445" s="9"/>
      <c r="AO445" s="9"/>
      <c r="AP445" s="17"/>
      <c r="AQ445" s="15" t="s">
        <v>49</v>
      </c>
      <c r="AR445" t="s">
        <v>2358</v>
      </c>
      <c r="AS445" s="16"/>
    </row>
    <row r="446" spans="1:45" ht="14.5">
      <c r="A446" s="9" t="s">
        <v>2396</v>
      </c>
      <c r="B446" s="9" t="s">
        <v>2397</v>
      </c>
      <c r="C446" s="9" t="s">
        <v>2398</v>
      </c>
      <c r="D446" s="9" t="s">
        <v>2268</v>
      </c>
      <c r="E446" s="17" t="s">
        <v>49</v>
      </c>
      <c r="F446" s="9" t="s">
        <v>69</v>
      </c>
      <c r="G446" s="9" t="s">
        <v>70</v>
      </c>
      <c r="H446" s="9" t="s">
        <v>2286</v>
      </c>
      <c r="I446" s="9" t="s">
        <v>72</v>
      </c>
      <c r="J446" s="10">
        <v>44109</v>
      </c>
      <c r="K446" s="10">
        <v>44176</v>
      </c>
      <c r="L446" s="10"/>
      <c r="M446" s="10">
        <v>44203</v>
      </c>
      <c r="N446" s="9">
        <v>2020</v>
      </c>
      <c r="O446" s="9" t="s">
        <v>2393</v>
      </c>
      <c r="P446" s="9" t="s">
        <v>83</v>
      </c>
      <c r="Q446" s="9" t="s">
        <v>53</v>
      </c>
      <c r="R446" s="9" t="s">
        <v>2399</v>
      </c>
      <c r="S446" s="9" t="s">
        <v>2400</v>
      </c>
      <c r="T446" s="9"/>
      <c r="V446" s="9"/>
      <c r="W446" s="11">
        <f>IFERROR(VLOOKUP(B446, PlumX_snapshot!$A:$B, 2, FALSE), " ")</f>
        <v>25</v>
      </c>
      <c r="X446" s="11">
        <f>IFERROR(VLOOKUP(B446, PlumX_snapshot!$A:$C, 3, FALSE), " ")</f>
        <v>4</v>
      </c>
      <c r="Y446" s="12">
        <f>IFERROR(VLOOKUP(B446, PlumX_snapshot!$A:$D, 4, FALSE), " ")</f>
        <v>1</v>
      </c>
      <c r="Z446" s="12">
        <f>IFERROR(VLOOKUP(B446, PlumX_snapshot!$A:$E, 5, FALSE), " ")</f>
        <v>0</v>
      </c>
      <c r="AA446" s="12">
        <f>IFERROR(VLOOKUP(B446, PlumX_snapshot!$A:$F, 6, FALSE), " ")</f>
        <v>0</v>
      </c>
      <c r="AB446" s="13">
        <v>44978</v>
      </c>
      <c r="AI446" s="9"/>
      <c r="AJ446" s="9"/>
      <c r="AK446" s="11" t="str">
        <f t="shared" si="2"/>
        <v>2020</v>
      </c>
      <c r="AL446" s="11" t="e">
        <f>VLOOKUP(AK446, Exchange_rates!$C:$D, 2, FALSE)</f>
        <v>#N/A</v>
      </c>
      <c r="AM446" s="14" t="str">
        <f t="shared" si="3"/>
        <v/>
      </c>
      <c r="AN446" s="9"/>
      <c r="AO446" s="9"/>
      <c r="AP446" s="17"/>
      <c r="AQ446" s="15" t="s">
        <v>49</v>
      </c>
      <c r="AR446" t="s">
        <v>2401</v>
      </c>
      <c r="AS446" s="16"/>
    </row>
    <row r="447" spans="1:45" ht="14.5">
      <c r="A447" s="9" t="s">
        <v>2402</v>
      </c>
      <c r="B447" s="9" t="s">
        <v>2403</v>
      </c>
      <c r="C447" s="9" t="s">
        <v>2356</v>
      </c>
      <c r="D447" s="9" t="s">
        <v>2268</v>
      </c>
      <c r="E447" s="17" t="s">
        <v>49</v>
      </c>
      <c r="F447" s="9" t="s">
        <v>69</v>
      </c>
      <c r="G447" s="9" t="s">
        <v>70</v>
      </c>
      <c r="H447" s="9" t="s">
        <v>2286</v>
      </c>
      <c r="I447" s="9" t="s">
        <v>238</v>
      </c>
      <c r="J447" s="10">
        <v>44119</v>
      </c>
      <c r="K447" s="10">
        <v>44168</v>
      </c>
      <c r="L447" s="10"/>
      <c r="M447" s="10">
        <v>44172</v>
      </c>
      <c r="N447" s="9">
        <v>2020</v>
      </c>
      <c r="O447" s="9" t="s">
        <v>2393</v>
      </c>
      <c r="P447" s="9" t="s">
        <v>53</v>
      </c>
      <c r="Q447" s="9" t="s">
        <v>53</v>
      </c>
      <c r="R447" s="9" t="s">
        <v>2404</v>
      </c>
      <c r="T447" s="9"/>
      <c r="U447" s="9" t="s">
        <v>2395</v>
      </c>
      <c r="V447" s="9"/>
      <c r="W447" s="11">
        <f>IFERROR(VLOOKUP(B447, PlumX_snapshot!$A:$B, 2, FALSE), " ")</f>
        <v>88</v>
      </c>
      <c r="X447" s="11">
        <f>IFERROR(VLOOKUP(B447, PlumX_snapshot!$A:$C, 3, FALSE), " ")</f>
        <v>156</v>
      </c>
      <c r="Y447" s="12">
        <f>IFERROR(VLOOKUP(B447, PlumX_snapshot!$A:$D, 4, FALSE), " ")</f>
        <v>1</v>
      </c>
      <c r="Z447" s="12">
        <f>IFERROR(VLOOKUP(B447, PlumX_snapshot!$A:$E, 5, FALSE), " ")</f>
        <v>0</v>
      </c>
      <c r="AA447" s="12">
        <f>IFERROR(VLOOKUP(B447, PlumX_snapshot!$A:$F, 6, FALSE), " ")</f>
        <v>0</v>
      </c>
      <c r="AB447" s="13">
        <v>44978</v>
      </c>
      <c r="AH447" s="9">
        <v>1242</v>
      </c>
      <c r="AI447" s="9" t="s">
        <v>2288</v>
      </c>
      <c r="AJ447" s="9" t="s">
        <v>301</v>
      </c>
      <c r="AK447" s="11" t="str">
        <f t="shared" si="2"/>
        <v>2020GBP</v>
      </c>
      <c r="AL447" s="11">
        <f>VLOOKUP(AK447, Exchange_rates!$C:$D, 2, FALSE)</f>
        <v>1</v>
      </c>
      <c r="AM447" s="14">
        <f t="shared" si="3"/>
        <v>1490.3999999999999</v>
      </c>
      <c r="AN447" s="9"/>
      <c r="AO447" s="9"/>
      <c r="AP447" s="17"/>
      <c r="AQ447" s="15" t="s">
        <v>49</v>
      </c>
      <c r="AR447" t="s">
        <v>2358</v>
      </c>
      <c r="AS447" s="16"/>
    </row>
    <row r="448" spans="1:45" ht="14.5">
      <c r="A448" s="9" t="s">
        <v>2405</v>
      </c>
      <c r="B448" s="9" t="s">
        <v>2406</v>
      </c>
      <c r="C448" s="9" t="s">
        <v>2267</v>
      </c>
      <c r="D448" s="9" t="s">
        <v>2268</v>
      </c>
      <c r="E448" s="17" t="s">
        <v>49</v>
      </c>
      <c r="F448" s="9" t="s">
        <v>69</v>
      </c>
      <c r="G448" s="9" t="s">
        <v>70</v>
      </c>
      <c r="H448" s="9" t="s">
        <v>2286</v>
      </c>
      <c r="I448" s="9" t="s">
        <v>72</v>
      </c>
      <c r="J448" s="10">
        <v>44120</v>
      </c>
      <c r="K448" s="10">
        <v>44180</v>
      </c>
      <c r="L448" s="10"/>
      <c r="M448" s="28">
        <v>44180</v>
      </c>
      <c r="N448" s="9">
        <v>2020</v>
      </c>
      <c r="O448" s="9" t="s">
        <v>2393</v>
      </c>
      <c r="P448" s="9" t="s">
        <v>53</v>
      </c>
      <c r="Q448" s="9" t="s">
        <v>53</v>
      </c>
      <c r="R448" s="9" t="s">
        <v>2335</v>
      </c>
      <c r="T448" s="9"/>
      <c r="U448" s="9" t="s">
        <v>2395</v>
      </c>
      <c r="V448" s="9"/>
      <c r="W448" s="11">
        <f>IFERROR(VLOOKUP(B448, PlumX_snapshot!$A:$B, 2, FALSE), " ")</f>
        <v>7</v>
      </c>
      <c r="X448" s="11">
        <f>IFERROR(VLOOKUP(B448, PlumX_snapshot!$A:$C, 3, FALSE), " ")</f>
        <v>5</v>
      </c>
      <c r="Y448" s="12">
        <f>IFERROR(VLOOKUP(B448, PlumX_snapshot!$A:$D, 4, FALSE), " ")</f>
        <v>0</v>
      </c>
      <c r="Z448" s="12">
        <f>IFERROR(VLOOKUP(B448, PlumX_snapshot!$A:$E, 5, FALSE), " ")</f>
        <v>0</v>
      </c>
      <c r="AA448" s="12">
        <f>IFERROR(VLOOKUP(B448, PlumX_snapshot!$A:$F, 6, FALSE), " ")</f>
        <v>0</v>
      </c>
      <c r="AB448" s="13">
        <v>44978</v>
      </c>
      <c r="AH448" s="9">
        <v>1242</v>
      </c>
      <c r="AI448" s="9" t="s">
        <v>2288</v>
      </c>
      <c r="AJ448" s="9" t="s">
        <v>301</v>
      </c>
      <c r="AK448" s="11" t="str">
        <f t="shared" si="2"/>
        <v>2020GBP</v>
      </c>
      <c r="AL448" s="11">
        <f>VLOOKUP(AK448, Exchange_rates!$C:$D, 2, FALSE)</f>
        <v>1</v>
      </c>
      <c r="AM448" s="14">
        <f t="shared" si="3"/>
        <v>1490.3999999999999</v>
      </c>
      <c r="AN448" s="9"/>
      <c r="AO448" s="9"/>
      <c r="AP448" s="17"/>
      <c r="AQ448" s="15" t="s">
        <v>49</v>
      </c>
      <c r="AR448" t="s">
        <v>2272</v>
      </c>
      <c r="AS448" s="16"/>
    </row>
    <row r="449" spans="1:45" ht="14.5">
      <c r="A449" s="9" t="s">
        <v>2407</v>
      </c>
      <c r="B449" s="9" t="s">
        <v>2408</v>
      </c>
      <c r="C449" s="9" t="s">
        <v>2366</v>
      </c>
      <c r="D449" s="9" t="s">
        <v>2268</v>
      </c>
      <c r="E449" s="17" t="s">
        <v>49</v>
      </c>
      <c r="F449" s="9" t="s">
        <v>69</v>
      </c>
      <c r="G449" s="9" t="s">
        <v>51</v>
      </c>
      <c r="H449" s="9"/>
      <c r="I449" s="9" t="s">
        <v>72</v>
      </c>
      <c r="J449" s="10">
        <v>44116</v>
      </c>
      <c r="K449" s="10">
        <v>44169</v>
      </c>
      <c r="L449" s="10"/>
      <c r="M449" s="28">
        <v>44175</v>
      </c>
      <c r="N449" s="9">
        <v>2020</v>
      </c>
      <c r="O449" s="9" t="s">
        <v>2393</v>
      </c>
      <c r="P449" s="9" t="s">
        <v>83</v>
      </c>
      <c r="Q449" s="9" t="s">
        <v>53</v>
      </c>
      <c r="R449" s="9" t="s">
        <v>2409</v>
      </c>
      <c r="T449" s="9" t="s">
        <v>723</v>
      </c>
      <c r="U449" s="9" t="s">
        <v>2410</v>
      </c>
      <c r="V449" s="9"/>
      <c r="W449" s="11">
        <f>IFERROR(VLOOKUP(B449, PlumX_snapshot!$A:$B, 2, FALSE), " ")</f>
        <v>11</v>
      </c>
      <c r="X449" s="11">
        <f>IFERROR(VLOOKUP(B449, PlumX_snapshot!$A:$C, 3, FALSE), " ")</f>
        <v>8</v>
      </c>
      <c r="Y449" s="12">
        <f>IFERROR(VLOOKUP(B449, PlumX_snapshot!$A:$D, 4, FALSE), " ")</f>
        <v>0</v>
      </c>
      <c r="Z449" s="12">
        <f>IFERROR(VLOOKUP(B449, PlumX_snapshot!$A:$E, 5, FALSE), " ")</f>
        <v>0</v>
      </c>
      <c r="AA449" s="12">
        <f>IFERROR(VLOOKUP(B449, PlumX_snapshot!$A:$F, 6, FALSE), " ")</f>
        <v>0</v>
      </c>
      <c r="AB449" s="13">
        <v>44978</v>
      </c>
      <c r="AI449" s="9"/>
      <c r="AJ449" s="9"/>
      <c r="AK449" s="11" t="str">
        <f t="shared" si="2"/>
        <v>2020</v>
      </c>
      <c r="AL449" s="11" t="e">
        <f>VLOOKUP(AK449, Exchange_rates!$C:$D, 2, FALSE)</f>
        <v>#N/A</v>
      </c>
      <c r="AM449" s="14" t="str">
        <f t="shared" si="3"/>
        <v/>
      </c>
      <c r="AN449" s="9"/>
      <c r="AO449" s="9"/>
      <c r="AP449" s="17"/>
      <c r="AQ449" s="15" t="s">
        <v>49</v>
      </c>
      <c r="AR449" t="s">
        <v>2368</v>
      </c>
      <c r="AS449" s="16"/>
    </row>
    <row r="450" spans="1:45" ht="14.5">
      <c r="A450" s="9" t="s">
        <v>2411</v>
      </c>
      <c r="B450" s="9" t="s">
        <v>2412</v>
      </c>
      <c r="C450" s="9" t="s">
        <v>2356</v>
      </c>
      <c r="D450" s="9" t="s">
        <v>2268</v>
      </c>
      <c r="E450" s="17" t="s">
        <v>49</v>
      </c>
      <c r="F450" s="9" t="s">
        <v>69</v>
      </c>
      <c r="G450" s="9" t="s">
        <v>70</v>
      </c>
      <c r="H450" s="9" t="s">
        <v>2350</v>
      </c>
      <c r="I450" s="9" t="s">
        <v>72</v>
      </c>
      <c r="J450" s="10">
        <v>44372</v>
      </c>
      <c r="K450" s="10"/>
      <c r="L450" s="10"/>
      <c r="M450" s="31">
        <v>44466</v>
      </c>
      <c r="N450" s="9">
        <v>2021</v>
      </c>
      <c r="O450" s="9" t="s">
        <v>2413</v>
      </c>
      <c r="P450" s="9" t="s">
        <v>53</v>
      </c>
      <c r="Q450" s="9" t="s">
        <v>53</v>
      </c>
      <c r="R450" s="9" t="s">
        <v>2414</v>
      </c>
      <c r="T450" s="9"/>
      <c r="V450" s="9"/>
      <c r="W450" s="11">
        <f>IFERROR(VLOOKUP(B450, PlumX_snapshot!$A:$B, 2, FALSE), " ")</f>
        <v>14</v>
      </c>
      <c r="X450" s="11">
        <f>IFERROR(VLOOKUP(B450, PlumX_snapshot!$A:$C, 3, FALSE), " ")</f>
        <v>3</v>
      </c>
      <c r="Y450" s="12">
        <f>IFERROR(VLOOKUP(B450, PlumX_snapshot!$A:$D, 4, FALSE), " ")</f>
        <v>5</v>
      </c>
      <c r="Z450" s="12">
        <f>IFERROR(VLOOKUP(B450, PlumX_snapshot!$A:$E, 5, FALSE), " ")</f>
        <v>0</v>
      </c>
      <c r="AA450" s="12">
        <f>IFERROR(VLOOKUP(B450, PlumX_snapshot!$A:$F, 6, FALSE), " ")</f>
        <v>0</v>
      </c>
      <c r="AB450" s="13">
        <v>44978</v>
      </c>
      <c r="AH450" s="9">
        <v>1242</v>
      </c>
      <c r="AI450" s="9" t="s">
        <v>2288</v>
      </c>
      <c r="AJ450" s="9" t="s">
        <v>301</v>
      </c>
      <c r="AK450" s="11" t="str">
        <f t="shared" si="2"/>
        <v>2021GBP</v>
      </c>
      <c r="AL450" s="11">
        <f>VLOOKUP(AK450, Exchange_rates!$C:$D, 2, FALSE)</f>
        <v>1</v>
      </c>
      <c r="AM450" s="14">
        <f t="shared" si="3"/>
        <v>1490.3999999999999</v>
      </c>
      <c r="AN450" s="9"/>
      <c r="AO450" s="9"/>
      <c r="AP450" s="17"/>
      <c r="AQ450" s="15" t="s">
        <v>49</v>
      </c>
      <c r="AR450" t="s">
        <v>2358</v>
      </c>
      <c r="AS450" s="16"/>
    </row>
    <row r="451" spans="1:45" ht="14.5">
      <c r="A451" s="9" t="s">
        <v>2415</v>
      </c>
      <c r="B451" s="9" t="s">
        <v>2416</v>
      </c>
      <c r="C451" s="9" t="s">
        <v>2292</v>
      </c>
      <c r="D451" s="9" t="s">
        <v>2268</v>
      </c>
      <c r="E451" s="17" t="s">
        <v>49</v>
      </c>
      <c r="F451" s="9" t="s">
        <v>69</v>
      </c>
      <c r="G451" s="9" t="s">
        <v>70</v>
      </c>
      <c r="H451" s="9" t="s">
        <v>2350</v>
      </c>
      <c r="I451" s="9" t="s">
        <v>238</v>
      </c>
      <c r="J451" s="10">
        <v>44463</v>
      </c>
      <c r="K451" s="10"/>
      <c r="L451" s="10"/>
      <c r="M451" s="32">
        <v>44497</v>
      </c>
      <c r="N451" s="9">
        <v>2021</v>
      </c>
      <c r="O451" s="9" t="s">
        <v>2413</v>
      </c>
      <c r="P451" s="9" t="s">
        <v>53</v>
      </c>
      <c r="Q451" s="9" t="s">
        <v>53</v>
      </c>
      <c r="R451" s="9" t="s">
        <v>178</v>
      </c>
      <c r="T451" s="9"/>
      <c r="V451" s="9"/>
      <c r="W451" s="11">
        <f>IFERROR(VLOOKUP(B451, PlumX_snapshot!$A:$B, 2, FALSE), " ")</f>
        <v>2</v>
      </c>
      <c r="X451" s="11">
        <f>IFERROR(VLOOKUP(B451, PlumX_snapshot!$A:$C, 3, FALSE), " ")</f>
        <v>2</v>
      </c>
      <c r="Y451" s="12">
        <f>IFERROR(VLOOKUP(B451, PlumX_snapshot!$A:$D, 4, FALSE), " ")</f>
        <v>1</v>
      </c>
      <c r="Z451" s="12">
        <f>IFERROR(VLOOKUP(B451, PlumX_snapshot!$A:$E, 5, FALSE), " ")</f>
        <v>0</v>
      </c>
      <c r="AA451" s="12">
        <f>IFERROR(VLOOKUP(B451, PlumX_snapshot!$A:$F, 6, FALSE), " ")</f>
        <v>0</v>
      </c>
      <c r="AB451" s="13">
        <v>44978</v>
      </c>
      <c r="AH451" s="9">
        <v>1242</v>
      </c>
      <c r="AI451" s="9" t="s">
        <v>2288</v>
      </c>
      <c r="AJ451" s="9" t="s">
        <v>301</v>
      </c>
      <c r="AK451" s="11" t="str">
        <f t="shared" si="2"/>
        <v>2021GBP</v>
      </c>
      <c r="AL451" s="11">
        <f>VLOOKUP(AK451, Exchange_rates!$C:$D, 2, FALSE)</f>
        <v>1</v>
      </c>
      <c r="AM451" s="14">
        <f t="shared" si="3"/>
        <v>1490.3999999999999</v>
      </c>
      <c r="AN451" s="9"/>
      <c r="AO451" s="9"/>
      <c r="AP451" s="17"/>
      <c r="AQ451" s="15" t="s">
        <v>49</v>
      </c>
      <c r="AR451" t="s">
        <v>2294</v>
      </c>
      <c r="AS451" s="16"/>
    </row>
    <row r="452" spans="1:45" ht="14.5">
      <c r="A452" s="9" t="s">
        <v>2417</v>
      </c>
      <c r="B452" s="9" t="s">
        <v>2418</v>
      </c>
      <c r="C452" s="9" t="s">
        <v>2330</v>
      </c>
      <c r="D452" s="9" t="s">
        <v>2268</v>
      </c>
      <c r="E452" s="17" t="s">
        <v>49</v>
      </c>
      <c r="F452" s="9" t="s">
        <v>69</v>
      </c>
      <c r="G452" s="9" t="s">
        <v>70</v>
      </c>
      <c r="H452" s="9" t="s">
        <v>2350</v>
      </c>
      <c r="I452" s="9" t="s">
        <v>238</v>
      </c>
      <c r="J452" s="10"/>
      <c r="K452" s="10"/>
      <c r="L452" s="10"/>
      <c r="M452" s="10">
        <v>44504</v>
      </c>
      <c r="N452" s="9">
        <v>2021</v>
      </c>
      <c r="O452" s="9" t="s">
        <v>2419</v>
      </c>
      <c r="P452" s="9" t="s">
        <v>53</v>
      </c>
      <c r="Q452" s="9" t="s">
        <v>53</v>
      </c>
      <c r="R452" s="9" t="s">
        <v>2420</v>
      </c>
      <c r="T452" s="9"/>
      <c r="V452" s="9"/>
      <c r="W452" s="11">
        <f>IFERROR(VLOOKUP(B452, PlumX_snapshot!$A:$B, 2, FALSE), " ")</f>
        <v>11</v>
      </c>
      <c r="X452" s="11">
        <f>IFERROR(VLOOKUP(B452, PlumX_snapshot!$A:$C, 3, FALSE), " ")</f>
        <v>3</v>
      </c>
      <c r="Y452" s="12">
        <f>IFERROR(VLOOKUP(B452, PlumX_snapshot!$A:$D, 4, FALSE), " ")</f>
        <v>0</v>
      </c>
      <c r="Z452" s="12">
        <f>IFERROR(VLOOKUP(B452, PlumX_snapshot!$A:$E, 5, FALSE), " ")</f>
        <v>0</v>
      </c>
      <c r="AA452" s="12">
        <f>IFERROR(VLOOKUP(B452, PlumX_snapshot!$A:$F, 6, FALSE), " ")</f>
        <v>0</v>
      </c>
      <c r="AB452" s="13">
        <v>44978</v>
      </c>
      <c r="AH452" s="9">
        <v>1242</v>
      </c>
      <c r="AI452" s="9" t="s">
        <v>2288</v>
      </c>
      <c r="AJ452" s="9" t="s">
        <v>301</v>
      </c>
      <c r="AK452" s="11" t="str">
        <f t="shared" si="2"/>
        <v>2021GBP</v>
      </c>
      <c r="AL452" s="11">
        <f>VLOOKUP(AK452, Exchange_rates!$C:$D, 2, FALSE)</f>
        <v>1</v>
      </c>
      <c r="AM452" s="14">
        <f t="shared" si="3"/>
        <v>1490.3999999999999</v>
      </c>
      <c r="AN452" s="9"/>
      <c r="AO452" s="9"/>
      <c r="AP452" s="17"/>
      <c r="AQ452" s="15" t="s">
        <v>49</v>
      </c>
      <c r="AR452" t="s">
        <v>2332</v>
      </c>
      <c r="AS452" s="16"/>
    </row>
    <row r="453" spans="1:45" ht="14.5">
      <c r="A453" s="9" t="s">
        <v>2421</v>
      </c>
      <c r="B453" s="9" t="s">
        <v>2422</v>
      </c>
      <c r="C453" s="9" t="s">
        <v>2307</v>
      </c>
      <c r="D453" s="9" t="s">
        <v>2268</v>
      </c>
      <c r="E453" s="17" t="s">
        <v>49</v>
      </c>
      <c r="F453" s="9" t="s">
        <v>69</v>
      </c>
      <c r="G453" s="9" t="s">
        <v>70</v>
      </c>
      <c r="H453" s="9" t="s">
        <v>2350</v>
      </c>
      <c r="I453" s="9" t="s">
        <v>72</v>
      </c>
      <c r="J453" s="10"/>
      <c r="K453" s="10"/>
      <c r="L453" s="10"/>
      <c r="M453" s="28">
        <v>44518</v>
      </c>
      <c r="N453" s="9">
        <v>2021</v>
      </c>
      <c r="O453" s="9" t="s">
        <v>2419</v>
      </c>
      <c r="P453" s="9" t="s">
        <v>83</v>
      </c>
      <c r="Q453" s="9" t="s">
        <v>53</v>
      </c>
      <c r="R453" s="9" t="s">
        <v>2423</v>
      </c>
      <c r="T453" s="9"/>
      <c r="V453" s="9"/>
      <c r="W453" s="11">
        <f>IFERROR(VLOOKUP(B453, PlumX_snapshot!$A:$B, 2, FALSE), " ")</f>
        <v>6</v>
      </c>
      <c r="X453" s="11">
        <f>IFERROR(VLOOKUP(B453, PlumX_snapshot!$A:$C, 3, FALSE), " ")</f>
        <v>3</v>
      </c>
      <c r="Y453" s="12">
        <f>IFERROR(VLOOKUP(B453, PlumX_snapshot!$A:$D, 4, FALSE), " ")</f>
        <v>0</v>
      </c>
      <c r="Z453" s="12">
        <f>IFERROR(VLOOKUP(B453, PlumX_snapshot!$A:$E, 5, FALSE), " ")</f>
        <v>0</v>
      </c>
      <c r="AA453" s="12">
        <f>IFERROR(VLOOKUP(B453, PlumX_snapshot!$A:$F, 6, FALSE), " ")</f>
        <v>0</v>
      </c>
      <c r="AB453" s="13">
        <v>44978</v>
      </c>
      <c r="AH453" s="9">
        <v>1242</v>
      </c>
      <c r="AI453" s="9" t="s">
        <v>2288</v>
      </c>
      <c r="AJ453" s="9" t="s">
        <v>301</v>
      </c>
      <c r="AK453" s="11" t="str">
        <f t="shared" si="2"/>
        <v>2021GBP</v>
      </c>
      <c r="AL453" s="11">
        <f>VLOOKUP(AK453, Exchange_rates!$C:$D, 2, FALSE)</f>
        <v>1</v>
      </c>
      <c r="AM453" s="14">
        <f t="shared" si="3"/>
        <v>1490.3999999999999</v>
      </c>
      <c r="AN453" s="9"/>
      <c r="AO453" s="9"/>
      <c r="AP453" s="17"/>
      <c r="AQ453" s="15" t="s">
        <v>49</v>
      </c>
      <c r="AR453" t="s">
        <v>2310</v>
      </c>
      <c r="AS453" s="16"/>
    </row>
    <row r="454" spans="1:45" ht="14.5">
      <c r="A454" s="9" t="s">
        <v>2424</v>
      </c>
      <c r="B454" s="9" t="s">
        <v>2425</v>
      </c>
      <c r="C454" s="9" t="s">
        <v>2285</v>
      </c>
      <c r="D454" s="9" t="s">
        <v>2268</v>
      </c>
      <c r="E454" s="17" t="s">
        <v>49</v>
      </c>
      <c r="F454" s="9" t="s">
        <v>69</v>
      </c>
      <c r="G454" s="9" t="s">
        <v>70</v>
      </c>
      <c r="H454" s="9" t="s">
        <v>2350</v>
      </c>
      <c r="I454" s="9" t="s">
        <v>72</v>
      </c>
      <c r="J454" s="10"/>
      <c r="K454" s="10"/>
      <c r="L454" s="10"/>
      <c r="M454" s="10">
        <v>44572</v>
      </c>
      <c r="N454" s="9">
        <v>2021</v>
      </c>
      <c r="O454" s="9" t="s">
        <v>2419</v>
      </c>
      <c r="P454" s="9" t="s">
        <v>83</v>
      </c>
      <c r="Q454" s="9" t="s">
        <v>53</v>
      </c>
      <c r="R454" s="9" t="s">
        <v>2426</v>
      </c>
      <c r="T454" s="9"/>
      <c r="V454" s="9"/>
      <c r="W454" s="11">
        <f>IFERROR(VLOOKUP(B454, PlumX_snapshot!$A:$B, 2, FALSE), " ")</f>
        <v>9</v>
      </c>
      <c r="X454" s="11">
        <f>IFERROR(VLOOKUP(B454, PlumX_snapshot!$A:$C, 3, FALSE), " ")</f>
        <v>2</v>
      </c>
      <c r="Y454" s="12">
        <f>IFERROR(VLOOKUP(B454, PlumX_snapshot!$A:$D, 4, FALSE), " ")</f>
        <v>0</v>
      </c>
      <c r="Z454" s="12">
        <f>IFERROR(VLOOKUP(B454, PlumX_snapshot!$A:$E, 5, FALSE), " ")</f>
        <v>0</v>
      </c>
      <c r="AA454" s="12">
        <f>IFERROR(VLOOKUP(B454, PlumX_snapshot!$A:$F, 6, FALSE), " ")</f>
        <v>0</v>
      </c>
      <c r="AB454" s="13">
        <v>44978</v>
      </c>
      <c r="AH454" s="9">
        <v>1242</v>
      </c>
      <c r="AI454" s="9" t="s">
        <v>2288</v>
      </c>
      <c r="AJ454" s="9" t="s">
        <v>301</v>
      </c>
      <c r="AK454" s="11" t="str">
        <f t="shared" si="2"/>
        <v>2021GBP</v>
      </c>
      <c r="AL454" s="11">
        <f>VLOOKUP(AK454, Exchange_rates!$C:$D, 2, FALSE)</f>
        <v>1</v>
      </c>
      <c r="AM454" s="14">
        <f t="shared" si="3"/>
        <v>1490.3999999999999</v>
      </c>
      <c r="AN454" s="9"/>
      <c r="AO454" s="9"/>
      <c r="AP454" s="17"/>
      <c r="AQ454" s="15" t="s">
        <v>49</v>
      </c>
      <c r="AR454" t="s">
        <v>2289</v>
      </c>
      <c r="AS454" s="16"/>
    </row>
    <row r="455" spans="1:45" ht="14.5">
      <c r="A455" s="9" t="s">
        <v>2427</v>
      </c>
      <c r="B455" s="9" t="s">
        <v>2428</v>
      </c>
      <c r="C455" s="9" t="s">
        <v>2356</v>
      </c>
      <c r="D455" s="9" t="s">
        <v>2268</v>
      </c>
      <c r="E455" s="17" t="s">
        <v>49</v>
      </c>
      <c r="F455" s="9" t="s">
        <v>69</v>
      </c>
      <c r="G455" s="9" t="s">
        <v>70</v>
      </c>
      <c r="H455" s="9" t="s">
        <v>2429</v>
      </c>
      <c r="I455" s="9" t="s">
        <v>72</v>
      </c>
      <c r="J455" s="10">
        <v>44496</v>
      </c>
      <c r="K455" s="10">
        <v>44573</v>
      </c>
      <c r="L455" s="10"/>
      <c r="M455" s="10">
        <v>44573</v>
      </c>
      <c r="N455" s="9">
        <v>2022</v>
      </c>
      <c r="O455" s="9" t="s">
        <v>2430</v>
      </c>
      <c r="P455" s="9" t="s">
        <v>53</v>
      </c>
      <c r="Q455" s="9" t="s">
        <v>53</v>
      </c>
      <c r="R455" s="9" t="s">
        <v>2431</v>
      </c>
      <c r="T455" s="9"/>
      <c r="V455" s="9"/>
      <c r="W455" s="11">
        <f>IFERROR(VLOOKUP(B455, PlumX_snapshot!$A:$B, 2, FALSE), " ")</f>
        <v>5</v>
      </c>
      <c r="X455" s="11">
        <f>IFERROR(VLOOKUP(B455, PlumX_snapshot!$A:$C, 3, FALSE), " ")</f>
        <v>7</v>
      </c>
      <c r="Y455" s="12">
        <f>IFERROR(VLOOKUP(B455, PlumX_snapshot!$A:$D, 4, FALSE), " ")</f>
        <v>5</v>
      </c>
      <c r="Z455" s="12">
        <f>IFERROR(VLOOKUP(B455, PlumX_snapshot!$A:$E, 5, FALSE), " ")</f>
        <v>0</v>
      </c>
      <c r="AA455" s="12">
        <f>IFERROR(VLOOKUP(B455, PlumX_snapshot!$A:$F, 6, FALSE), " ")</f>
        <v>0</v>
      </c>
      <c r="AB455" s="13">
        <v>44978</v>
      </c>
      <c r="AH455" s="9">
        <v>2500</v>
      </c>
      <c r="AI455" s="9" t="s">
        <v>875</v>
      </c>
      <c r="AJ455" s="9" t="s">
        <v>301</v>
      </c>
      <c r="AK455" s="11" t="str">
        <f t="shared" si="2"/>
        <v>2022GBP</v>
      </c>
      <c r="AL455" s="11">
        <f>VLOOKUP(AK455, Exchange_rates!$C:$D, 2, FALSE)</f>
        <v>1</v>
      </c>
      <c r="AM455" s="14">
        <f t="shared" si="3"/>
        <v>3000</v>
      </c>
      <c r="AN455" s="9"/>
      <c r="AO455" s="9"/>
      <c r="AP455" s="17"/>
      <c r="AQ455" s="15" t="s">
        <v>49</v>
      </c>
      <c r="AR455" t="s">
        <v>2358</v>
      </c>
      <c r="AS455" s="16"/>
    </row>
    <row r="456" spans="1:45" ht="14.5">
      <c r="A456" s="9" t="s">
        <v>2432</v>
      </c>
      <c r="B456" s="9" t="s">
        <v>2433</v>
      </c>
      <c r="C456" s="9" t="s">
        <v>2285</v>
      </c>
      <c r="D456" s="9" t="s">
        <v>2268</v>
      </c>
      <c r="E456" s="17" t="s">
        <v>49</v>
      </c>
      <c r="F456" s="9" t="s">
        <v>69</v>
      </c>
      <c r="G456" s="9" t="s">
        <v>70</v>
      </c>
      <c r="H456" s="9" t="s">
        <v>2429</v>
      </c>
      <c r="I456" s="9" t="s">
        <v>72</v>
      </c>
      <c r="J456" s="10">
        <v>44566</v>
      </c>
      <c r="K456" s="10">
        <v>44574</v>
      </c>
      <c r="L456" s="10"/>
      <c r="M456" s="10">
        <v>44574</v>
      </c>
      <c r="N456" s="9">
        <v>2022</v>
      </c>
      <c r="O456" s="9" t="s">
        <v>2430</v>
      </c>
      <c r="P456" s="9" t="s">
        <v>83</v>
      </c>
      <c r="Q456" s="9" t="s">
        <v>53</v>
      </c>
      <c r="R456" s="9" t="s">
        <v>2434</v>
      </c>
      <c r="T456" s="9"/>
      <c r="V456" s="9"/>
      <c r="W456" s="11">
        <f>IFERROR(VLOOKUP(B456, PlumX_snapshot!$A:$B, 2, FALSE), " ")</f>
        <v>5</v>
      </c>
      <c r="X456" s="11">
        <f>IFERROR(VLOOKUP(B456, PlumX_snapshot!$A:$C, 3, FALSE), " ")</f>
        <v>2</v>
      </c>
      <c r="Y456" s="12">
        <f>IFERROR(VLOOKUP(B456, PlumX_snapshot!$A:$D, 4, FALSE), " ")</f>
        <v>5</v>
      </c>
      <c r="Z456" s="12">
        <f>IFERROR(VLOOKUP(B456, PlumX_snapshot!$A:$E, 5, FALSE), " ")</f>
        <v>0</v>
      </c>
      <c r="AA456" s="12">
        <f>IFERROR(VLOOKUP(B456, PlumX_snapshot!$A:$F, 6, FALSE), " ")</f>
        <v>1</v>
      </c>
      <c r="AB456" s="13">
        <v>44978</v>
      </c>
      <c r="AH456" s="9">
        <v>2500</v>
      </c>
      <c r="AI456" s="9" t="s">
        <v>875</v>
      </c>
      <c r="AJ456" s="9" t="s">
        <v>301</v>
      </c>
      <c r="AK456" s="11" t="str">
        <f t="shared" si="2"/>
        <v>2022GBP</v>
      </c>
      <c r="AL456" s="11">
        <f>VLOOKUP(AK456, Exchange_rates!$C:$D, 2, FALSE)</f>
        <v>1</v>
      </c>
      <c r="AM456" s="14">
        <f t="shared" si="3"/>
        <v>3000</v>
      </c>
      <c r="AN456" s="9"/>
      <c r="AO456" s="9"/>
      <c r="AP456" s="17"/>
      <c r="AQ456" s="15" t="s">
        <v>49</v>
      </c>
      <c r="AR456" t="s">
        <v>2289</v>
      </c>
      <c r="AS456" s="16"/>
    </row>
    <row r="457" spans="1:45" ht="14.5">
      <c r="A457" s="9" t="s">
        <v>2435</v>
      </c>
      <c r="B457" s="9" t="s">
        <v>2436</v>
      </c>
      <c r="C457" s="9" t="s">
        <v>2437</v>
      </c>
      <c r="D457" s="9" t="s">
        <v>2268</v>
      </c>
      <c r="E457" s="17" t="s">
        <v>49</v>
      </c>
      <c r="F457" s="9" t="s">
        <v>50</v>
      </c>
      <c r="G457" s="9" t="s">
        <v>51</v>
      </c>
      <c r="H457" s="9"/>
      <c r="J457" s="10">
        <v>44440</v>
      </c>
      <c r="K457" s="10">
        <v>44571</v>
      </c>
      <c r="L457" s="10"/>
      <c r="M457" s="10">
        <v>44588</v>
      </c>
      <c r="N457" s="9">
        <v>2022</v>
      </c>
      <c r="O457" s="9" t="s">
        <v>2430</v>
      </c>
      <c r="P457" s="9" t="s">
        <v>53</v>
      </c>
      <c r="Q457" s="9" t="s">
        <v>53</v>
      </c>
      <c r="R457" s="9" t="s">
        <v>92</v>
      </c>
      <c r="T457" s="9" t="s">
        <v>723</v>
      </c>
      <c r="U457" s="9" t="s">
        <v>2438</v>
      </c>
      <c r="V457" s="9"/>
      <c r="W457" s="11">
        <f>IFERROR(VLOOKUP(B457, PlumX_snapshot!$A:$B, 2, FALSE), " ")</f>
        <v>6</v>
      </c>
      <c r="X457" s="11">
        <f>IFERROR(VLOOKUP(B457, PlumX_snapshot!$A:$C, 3, FALSE), " ")</f>
        <v>1</v>
      </c>
      <c r="Y457" s="12">
        <f>IFERROR(VLOOKUP(B457, PlumX_snapshot!$A:$D, 4, FALSE), " ")</f>
        <v>5</v>
      </c>
      <c r="Z457" s="12">
        <f>IFERROR(VLOOKUP(B457, PlumX_snapshot!$A:$E, 5, FALSE), " ")</f>
        <v>0</v>
      </c>
      <c r="AA457" s="12">
        <f>IFERROR(VLOOKUP(B457, PlumX_snapshot!$A:$F, 6, FALSE), " ")</f>
        <v>0</v>
      </c>
      <c r="AB457" s="13">
        <v>44978</v>
      </c>
      <c r="AI457" s="9"/>
      <c r="AJ457" s="9"/>
      <c r="AK457" s="11" t="str">
        <f t="shared" si="2"/>
        <v>2022</v>
      </c>
      <c r="AL457" s="11" t="e">
        <f>VLOOKUP(AK457, Exchange_rates!$C:$D, 2, FALSE)</f>
        <v>#N/A</v>
      </c>
      <c r="AM457" s="14" t="str">
        <f t="shared" si="3"/>
        <v/>
      </c>
      <c r="AN457" s="9"/>
      <c r="AO457" s="9"/>
      <c r="AP457" s="17"/>
      <c r="AQ457" s="15" t="s">
        <v>49</v>
      </c>
      <c r="AR457" t="s">
        <v>2439</v>
      </c>
      <c r="AS457" s="16"/>
    </row>
    <row r="458" spans="1:45" ht="14.5">
      <c r="A458" s="9" t="s">
        <v>2440</v>
      </c>
      <c r="B458" s="9" t="s">
        <v>2441</v>
      </c>
      <c r="C458" s="9" t="s">
        <v>2356</v>
      </c>
      <c r="D458" s="9" t="s">
        <v>2268</v>
      </c>
      <c r="E458" s="17" t="s">
        <v>49</v>
      </c>
      <c r="F458" s="9" t="s">
        <v>69</v>
      </c>
      <c r="G458" s="9" t="s">
        <v>70</v>
      </c>
      <c r="H458" s="9" t="s">
        <v>2429</v>
      </c>
      <c r="I458" s="9" t="s">
        <v>238</v>
      </c>
      <c r="J458" s="10">
        <v>44477</v>
      </c>
      <c r="K458" s="10">
        <v>44588</v>
      </c>
      <c r="L458" s="10"/>
      <c r="M458" s="10">
        <v>44589</v>
      </c>
      <c r="N458" s="9">
        <v>2022</v>
      </c>
      <c r="O458" s="9" t="s">
        <v>2430</v>
      </c>
      <c r="P458" s="9" t="s">
        <v>53</v>
      </c>
      <c r="Q458" s="9" t="s">
        <v>53</v>
      </c>
      <c r="R458" s="9" t="s">
        <v>2442</v>
      </c>
      <c r="T458" s="9"/>
      <c r="V458" s="9"/>
      <c r="W458" s="11">
        <f>IFERROR(VLOOKUP(B458, PlumX_snapshot!$A:$B, 2, FALSE), " ")</f>
        <v>7</v>
      </c>
      <c r="X458" s="11">
        <f>IFERROR(VLOOKUP(B458, PlumX_snapshot!$A:$C, 3, FALSE), " ")</f>
        <v>2</v>
      </c>
      <c r="Y458" s="12">
        <f>IFERROR(VLOOKUP(B458, PlumX_snapshot!$A:$D, 4, FALSE), " ")</f>
        <v>3</v>
      </c>
      <c r="Z458" s="12">
        <f>IFERROR(VLOOKUP(B458, PlumX_snapshot!$A:$E, 5, FALSE), " ")</f>
        <v>0</v>
      </c>
      <c r="AA458" s="12">
        <f>IFERROR(VLOOKUP(B458, PlumX_snapshot!$A:$F, 6, FALSE), " ")</f>
        <v>0</v>
      </c>
      <c r="AB458" s="13">
        <v>44978</v>
      </c>
      <c r="AH458" s="9">
        <v>2500</v>
      </c>
      <c r="AI458" s="9" t="s">
        <v>875</v>
      </c>
      <c r="AJ458" s="9" t="s">
        <v>301</v>
      </c>
      <c r="AK458" s="11" t="str">
        <f t="shared" si="2"/>
        <v>2022GBP</v>
      </c>
      <c r="AL458" s="11">
        <f>VLOOKUP(AK458, Exchange_rates!$C:$D, 2, FALSE)</f>
        <v>1</v>
      </c>
      <c r="AM458" s="14">
        <f t="shared" si="3"/>
        <v>3000</v>
      </c>
      <c r="AN458" s="9"/>
      <c r="AO458" s="9"/>
      <c r="AP458" s="17"/>
      <c r="AQ458" s="15" t="s">
        <v>49</v>
      </c>
      <c r="AR458" t="s">
        <v>2358</v>
      </c>
      <c r="AS458" s="16"/>
    </row>
    <row r="459" spans="1:45" ht="14.5">
      <c r="A459" s="9" t="s">
        <v>2443</v>
      </c>
      <c r="B459" s="9" t="s">
        <v>2444</v>
      </c>
      <c r="C459" s="9" t="s">
        <v>2366</v>
      </c>
      <c r="D459" s="9" t="s">
        <v>2268</v>
      </c>
      <c r="E459" s="17" t="s">
        <v>49</v>
      </c>
      <c r="F459" s="9" t="s">
        <v>69</v>
      </c>
      <c r="G459" s="9" t="s">
        <v>51</v>
      </c>
      <c r="H459" s="9"/>
      <c r="I459" s="9" t="s">
        <v>72</v>
      </c>
      <c r="J459" s="10">
        <v>44543</v>
      </c>
      <c r="K459" s="10">
        <v>44608</v>
      </c>
      <c r="L459" s="10"/>
      <c r="M459" s="10">
        <v>44641</v>
      </c>
      <c r="N459" s="9">
        <v>2022</v>
      </c>
      <c r="O459" s="9" t="s">
        <v>2430</v>
      </c>
      <c r="P459" s="9" t="s">
        <v>83</v>
      </c>
      <c r="Q459" s="9" t="s">
        <v>53</v>
      </c>
      <c r="R459" s="9" t="s">
        <v>2445</v>
      </c>
      <c r="T459" s="9" t="s">
        <v>723</v>
      </c>
      <c r="U459" s="9" t="s">
        <v>2446</v>
      </c>
      <c r="V459" s="9"/>
      <c r="W459" s="11">
        <f>IFERROR(VLOOKUP(B459, PlumX_snapshot!$A:$B, 2, FALSE), " ")</f>
        <v>1</v>
      </c>
      <c r="X459" s="11">
        <f>IFERROR(VLOOKUP(B459, PlumX_snapshot!$A:$C, 3, FALSE), " ")</f>
        <v>1</v>
      </c>
      <c r="Y459" s="12">
        <f>IFERROR(VLOOKUP(B459, PlumX_snapshot!$A:$D, 4, FALSE), " ")</f>
        <v>0</v>
      </c>
      <c r="Z459" s="12">
        <f>IFERROR(VLOOKUP(B459, PlumX_snapshot!$A:$E, 5, FALSE), " ")</f>
        <v>0</v>
      </c>
      <c r="AA459" s="12">
        <f>IFERROR(VLOOKUP(B459, PlumX_snapshot!$A:$F, 6, FALSE), " ")</f>
        <v>0</v>
      </c>
      <c r="AB459" s="13">
        <v>44978</v>
      </c>
      <c r="AI459" s="9"/>
      <c r="AJ459" s="9"/>
      <c r="AK459" s="11" t="str">
        <f t="shared" si="2"/>
        <v>2022</v>
      </c>
      <c r="AL459" s="11" t="e">
        <f>VLOOKUP(AK459, Exchange_rates!$C:$D, 2, FALSE)</f>
        <v>#N/A</v>
      </c>
      <c r="AM459" s="14" t="str">
        <f t="shared" si="3"/>
        <v/>
      </c>
      <c r="AN459" s="9"/>
      <c r="AO459" s="9"/>
      <c r="AP459" s="17"/>
      <c r="AQ459" s="15" t="s">
        <v>49</v>
      </c>
      <c r="AR459" t="s">
        <v>2368</v>
      </c>
      <c r="AS459" s="16"/>
    </row>
    <row r="460" spans="1:45" ht="14.5">
      <c r="A460" s="9" t="s">
        <v>2447</v>
      </c>
      <c r="B460" s="9" t="s">
        <v>2448</v>
      </c>
      <c r="C460" s="9" t="s">
        <v>2267</v>
      </c>
      <c r="D460" s="9" t="s">
        <v>2268</v>
      </c>
      <c r="E460" s="17" t="s">
        <v>49</v>
      </c>
      <c r="F460" s="9" t="s">
        <v>69</v>
      </c>
      <c r="G460" s="9" t="s">
        <v>51</v>
      </c>
      <c r="H460" s="9"/>
      <c r="I460" s="9" t="s">
        <v>72</v>
      </c>
      <c r="J460" s="10">
        <v>44594</v>
      </c>
      <c r="K460" s="10">
        <v>44595</v>
      </c>
      <c r="L460" s="10"/>
      <c r="M460" s="10">
        <v>44562</v>
      </c>
      <c r="N460" s="9">
        <v>2022</v>
      </c>
      <c r="O460" s="9" t="s">
        <v>2430</v>
      </c>
      <c r="P460" s="9" t="s">
        <v>83</v>
      </c>
      <c r="Q460" s="9" t="s">
        <v>83</v>
      </c>
      <c r="R460" s="9" t="s">
        <v>2449</v>
      </c>
      <c r="T460" s="9" t="s">
        <v>723</v>
      </c>
      <c r="U460" s="9" t="s">
        <v>2446</v>
      </c>
      <c r="V460" s="9"/>
      <c r="W460" s="11">
        <f>IFERROR(VLOOKUP(B460, PlumX_snapshot!$A:$B, 2, FALSE), " ")</f>
        <v>6</v>
      </c>
      <c r="X460" s="11">
        <f>IFERROR(VLOOKUP(B460, PlumX_snapshot!$A:$C, 3, FALSE), " ")</f>
        <v>7</v>
      </c>
      <c r="Y460" s="12">
        <f>IFERROR(VLOOKUP(B460, PlumX_snapshot!$A:$D, 4, FALSE), " ")</f>
        <v>20</v>
      </c>
      <c r="Z460" s="12">
        <f>IFERROR(VLOOKUP(B460, PlumX_snapshot!$A:$E, 5, FALSE), " ")</f>
        <v>0</v>
      </c>
      <c r="AA460" s="12">
        <f>IFERROR(VLOOKUP(B460, PlumX_snapshot!$A:$F, 6, FALSE), " ")</f>
        <v>0</v>
      </c>
      <c r="AB460" s="13">
        <v>44978</v>
      </c>
      <c r="AI460" s="9"/>
      <c r="AJ460" s="9"/>
      <c r="AK460" s="11" t="str">
        <f t="shared" si="2"/>
        <v>2022</v>
      </c>
      <c r="AL460" s="11" t="e">
        <f>VLOOKUP(AK460, Exchange_rates!$C:$D, 2, FALSE)</f>
        <v>#N/A</v>
      </c>
      <c r="AM460" s="14" t="str">
        <f t="shared" si="3"/>
        <v/>
      </c>
      <c r="AN460" s="9"/>
      <c r="AO460" s="9"/>
      <c r="AP460" s="17"/>
      <c r="AQ460" s="15" t="s">
        <v>49</v>
      </c>
      <c r="AR460" t="s">
        <v>2272</v>
      </c>
      <c r="AS460" s="16"/>
    </row>
    <row r="461" spans="1:45" ht="14.5">
      <c r="A461" s="9" t="s">
        <v>2450</v>
      </c>
      <c r="B461" s="9" t="s">
        <v>2451</v>
      </c>
      <c r="C461" s="9" t="s">
        <v>2388</v>
      </c>
      <c r="D461" s="9" t="s">
        <v>2268</v>
      </c>
      <c r="E461" s="17" t="s">
        <v>49</v>
      </c>
      <c r="F461" s="9" t="s">
        <v>69</v>
      </c>
      <c r="G461" s="9" t="s">
        <v>70</v>
      </c>
      <c r="H461" s="9" t="s">
        <v>2429</v>
      </c>
      <c r="I461" s="9" t="s">
        <v>72</v>
      </c>
      <c r="J461" s="10">
        <v>44539</v>
      </c>
      <c r="K461" s="10">
        <v>44621</v>
      </c>
      <c r="L461" s="10"/>
      <c r="M461" s="31">
        <v>44624</v>
      </c>
      <c r="N461" s="9">
        <v>2022</v>
      </c>
      <c r="O461" s="9" t="s">
        <v>2452</v>
      </c>
      <c r="P461" s="9" t="s">
        <v>53</v>
      </c>
      <c r="Q461" s="9" t="s">
        <v>53</v>
      </c>
      <c r="T461" s="9"/>
      <c r="V461" s="9"/>
      <c r="W461" s="11">
        <f>IFERROR(VLOOKUP(B461, PlumX_snapshot!$A:$B, 2, FALSE), " ")</f>
        <v>3</v>
      </c>
      <c r="X461" s="11">
        <f>IFERROR(VLOOKUP(B461, PlumX_snapshot!$A:$C, 3, FALSE), " ")</f>
        <v>2</v>
      </c>
      <c r="Y461" s="12">
        <f>IFERROR(VLOOKUP(B461, PlumX_snapshot!$A:$D, 4, FALSE), " ")</f>
        <v>19</v>
      </c>
      <c r="Z461" s="12">
        <f>IFERROR(VLOOKUP(B461, PlumX_snapshot!$A:$E, 5, FALSE), " ")</f>
        <v>0</v>
      </c>
      <c r="AA461" s="12">
        <f>IFERROR(VLOOKUP(B461, PlumX_snapshot!$A:$F, 6, FALSE), " ")</f>
        <v>0</v>
      </c>
      <c r="AB461" s="13">
        <v>44978</v>
      </c>
      <c r="AH461" s="9">
        <v>2500</v>
      </c>
      <c r="AI461" s="9" t="s">
        <v>875</v>
      </c>
      <c r="AJ461" s="9" t="s">
        <v>301</v>
      </c>
      <c r="AK461" s="11" t="str">
        <f t="shared" si="2"/>
        <v>2022GBP</v>
      </c>
      <c r="AL461" s="11">
        <f>VLOOKUP(AK461, Exchange_rates!$C:$D, 2, FALSE)</f>
        <v>1</v>
      </c>
      <c r="AM461" s="14">
        <f t="shared" si="3"/>
        <v>3000</v>
      </c>
      <c r="AN461" s="9"/>
      <c r="AO461" s="9"/>
      <c r="AP461" s="17"/>
      <c r="AQ461" s="15" t="s">
        <v>49</v>
      </c>
      <c r="AR461" t="s">
        <v>2277</v>
      </c>
      <c r="AS461" s="16" t="s">
        <v>2390</v>
      </c>
    </row>
    <row r="462" spans="1:45" ht="14.5">
      <c r="A462" s="9" t="s">
        <v>2453</v>
      </c>
      <c r="B462" s="9" t="s">
        <v>2454</v>
      </c>
      <c r="C462" s="9" t="s">
        <v>2313</v>
      </c>
      <c r="D462" s="9" t="s">
        <v>2268</v>
      </c>
      <c r="E462" s="17" t="s">
        <v>49</v>
      </c>
      <c r="F462" s="9" t="s">
        <v>69</v>
      </c>
      <c r="G462" s="9" t="s">
        <v>70</v>
      </c>
      <c r="H462" s="9" t="s">
        <v>2429</v>
      </c>
      <c r="I462" s="9" t="s">
        <v>72</v>
      </c>
      <c r="J462" s="10">
        <v>44586</v>
      </c>
      <c r="K462" s="10">
        <v>44663</v>
      </c>
      <c r="L462" s="10"/>
      <c r="M462" s="31">
        <v>44671</v>
      </c>
      <c r="N462" s="9">
        <v>2022</v>
      </c>
      <c r="O462" s="9" t="s">
        <v>2452</v>
      </c>
      <c r="P462" s="9" t="s">
        <v>83</v>
      </c>
      <c r="Q462" s="9" t="s">
        <v>53</v>
      </c>
      <c r="R462" s="9" t="s">
        <v>2455</v>
      </c>
      <c r="T462" s="9"/>
      <c r="V462" s="9"/>
      <c r="W462" s="11">
        <f>IFERROR(VLOOKUP(B462, PlumX_snapshot!$A:$B, 2, FALSE), " ")</f>
        <v>38</v>
      </c>
      <c r="X462" s="11">
        <f>IFERROR(VLOOKUP(B462, PlumX_snapshot!$A:$C, 3, FALSE), " ")</f>
        <v>7</v>
      </c>
      <c r="Y462" s="12">
        <f>IFERROR(VLOOKUP(B462, PlumX_snapshot!$A:$D, 4, FALSE), " ")</f>
        <v>39</v>
      </c>
      <c r="Z462" s="12">
        <f>IFERROR(VLOOKUP(B462, PlumX_snapshot!$A:$E, 5, FALSE), " ")</f>
        <v>0</v>
      </c>
      <c r="AA462" s="12">
        <f>IFERROR(VLOOKUP(B462, PlumX_snapshot!$A:$F, 6, FALSE), " ")</f>
        <v>0</v>
      </c>
      <c r="AB462" s="13">
        <v>44978</v>
      </c>
      <c r="AH462" s="9">
        <v>2500</v>
      </c>
      <c r="AI462" s="9" t="s">
        <v>875</v>
      </c>
      <c r="AJ462" s="9" t="s">
        <v>301</v>
      </c>
      <c r="AK462" s="11" t="str">
        <f t="shared" si="2"/>
        <v>2022GBP</v>
      </c>
      <c r="AL462" s="11">
        <f>VLOOKUP(AK462, Exchange_rates!$C:$D, 2, FALSE)</f>
        <v>1</v>
      </c>
      <c r="AM462" s="14">
        <f t="shared" si="3"/>
        <v>3000</v>
      </c>
      <c r="AN462" s="9"/>
      <c r="AO462" s="9"/>
      <c r="AP462" s="17"/>
      <c r="AQ462" s="15" t="s">
        <v>49</v>
      </c>
      <c r="AR462" t="s">
        <v>2315</v>
      </c>
      <c r="AS462" s="16"/>
    </row>
    <row r="463" spans="1:45" ht="14.5">
      <c r="A463" s="9" t="s">
        <v>2456</v>
      </c>
      <c r="B463" s="9" t="s">
        <v>2457</v>
      </c>
      <c r="C463" s="9" t="s">
        <v>2458</v>
      </c>
      <c r="D463" s="9" t="s">
        <v>2268</v>
      </c>
      <c r="E463" s="17" t="s">
        <v>49</v>
      </c>
      <c r="F463" s="9" t="s">
        <v>69</v>
      </c>
      <c r="G463" s="9" t="s">
        <v>70</v>
      </c>
      <c r="H463" s="9" t="s">
        <v>2429</v>
      </c>
      <c r="I463" s="9" t="s">
        <v>238</v>
      </c>
      <c r="J463" s="10">
        <v>44572</v>
      </c>
      <c r="K463" s="10">
        <v>44675</v>
      </c>
      <c r="L463" s="10"/>
      <c r="M463" s="31">
        <v>44680</v>
      </c>
      <c r="N463" s="9">
        <v>2022</v>
      </c>
      <c r="O463" s="9" t="s">
        <v>2452</v>
      </c>
      <c r="P463" s="9" t="s">
        <v>53</v>
      </c>
      <c r="Q463" s="9" t="s">
        <v>53</v>
      </c>
      <c r="T463" s="9"/>
      <c r="V463" s="9"/>
      <c r="W463" s="11">
        <f>IFERROR(VLOOKUP(B463, PlumX_snapshot!$A:$B, 2, FALSE), " ")</f>
        <v>6</v>
      </c>
      <c r="X463" s="11">
        <f>IFERROR(VLOOKUP(B463, PlumX_snapshot!$A:$C, 3, FALSE), " ")</f>
        <v>0</v>
      </c>
      <c r="Y463" s="12">
        <f>IFERROR(VLOOKUP(B463, PlumX_snapshot!$A:$D, 4, FALSE), " ")</f>
        <v>0</v>
      </c>
      <c r="Z463" s="12">
        <f>IFERROR(VLOOKUP(B463, PlumX_snapshot!$A:$E, 5, FALSE), " ")</f>
        <v>0</v>
      </c>
      <c r="AA463" s="12">
        <f>IFERROR(VLOOKUP(B463, PlumX_snapshot!$A:$F, 6, FALSE), " ")</f>
        <v>0</v>
      </c>
      <c r="AB463" s="13">
        <v>44978</v>
      </c>
      <c r="AH463" s="9">
        <v>2500</v>
      </c>
      <c r="AI463" s="9" t="s">
        <v>875</v>
      </c>
      <c r="AJ463" s="9" t="s">
        <v>301</v>
      </c>
      <c r="AK463" s="11" t="str">
        <f t="shared" si="2"/>
        <v>2022GBP</v>
      </c>
      <c r="AL463" s="11">
        <f>VLOOKUP(AK463, Exchange_rates!$C:$D, 2, FALSE)</f>
        <v>1</v>
      </c>
      <c r="AM463" s="14">
        <f t="shared" si="3"/>
        <v>3000</v>
      </c>
      <c r="AN463" s="9"/>
      <c r="AO463" s="9"/>
      <c r="AP463" s="17"/>
      <c r="AQ463" s="15" t="s">
        <v>49</v>
      </c>
      <c r="AR463" t="s">
        <v>2459</v>
      </c>
      <c r="AS463" s="16"/>
    </row>
    <row r="464" spans="1:45" ht="14.5">
      <c r="A464" s="9" t="s">
        <v>2460</v>
      </c>
      <c r="B464" s="9" t="s">
        <v>2461</v>
      </c>
      <c r="C464" s="9" t="s">
        <v>2356</v>
      </c>
      <c r="D464" s="9" t="s">
        <v>2268</v>
      </c>
      <c r="E464" s="17" t="s">
        <v>49</v>
      </c>
      <c r="F464" s="9" t="s">
        <v>69</v>
      </c>
      <c r="G464" s="9" t="s">
        <v>70</v>
      </c>
      <c r="H464" s="9" t="s">
        <v>2429</v>
      </c>
      <c r="I464" s="9" t="s">
        <v>72</v>
      </c>
      <c r="J464" s="10">
        <v>44533</v>
      </c>
      <c r="K464" s="10">
        <v>44688</v>
      </c>
      <c r="L464" s="10"/>
      <c r="M464" s="31">
        <v>44718</v>
      </c>
      <c r="N464" s="9">
        <v>2022</v>
      </c>
      <c r="O464" s="9" t="s">
        <v>2452</v>
      </c>
      <c r="P464" s="9" t="s">
        <v>83</v>
      </c>
      <c r="Q464" s="9" t="s">
        <v>53</v>
      </c>
      <c r="R464" s="9" t="s">
        <v>2462</v>
      </c>
      <c r="T464" s="9"/>
      <c r="V464" s="9"/>
      <c r="W464" s="11">
        <f>IFERROR(VLOOKUP(B464, PlumX_snapshot!$A:$B, 2, FALSE), " ")</f>
        <v>14</v>
      </c>
      <c r="X464" s="11">
        <f>IFERROR(VLOOKUP(B464, PlumX_snapshot!$A:$C, 3, FALSE), " ")</f>
        <v>1</v>
      </c>
      <c r="Y464" s="12">
        <f>IFERROR(VLOOKUP(B464, PlumX_snapshot!$A:$D, 4, FALSE), " ")</f>
        <v>9</v>
      </c>
      <c r="Z464" s="12">
        <f>IFERROR(VLOOKUP(B464, PlumX_snapshot!$A:$E, 5, FALSE), " ")</f>
        <v>0</v>
      </c>
      <c r="AA464" s="12">
        <f>IFERROR(VLOOKUP(B464, PlumX_snapshot!$A:$F, 6, FALSE), " ")</f>
        <v>0</v>
      </c>
      <c r="AB464" s="13">
        <v>44978</v>
      </c>
      <c r="AH464" s="9">
        <v>2500</v>
      </c>
      <c r="AI464" s="9" t="s">
        <v>875</v>
      </c>
      <c r="AJ464" s="9" t="s">
        <v>301</v>
      </c>
      <c r="AK464" s="11" t="str">
        <f t="shared" si="2"/>
        <v>2022GBP</v>
      </c>
      <c r="AL464" s="11">
        <f>VLOOKUP(AK464, Exchange_rates!$C:$D, 2, FALSE)</f>
        <v>1</v>
      </c>
      <c r="AM464" s="14">
        <f t="shared" si="3"/>
        <v>3000</v>
      </c>
      <c r="AN464" s="9"/>
      <c r="AO464" s="9"/>
      <c r="AP464" s="17"/>
      <c r="AQ464" s="15" t="s">
        <v>49</v>
      </c>
      <c r="AR464" t="s">
        <v>2358</v>
      </c>
      <c r="AS464" s="16"/>
    </row>
    <row r="465" spans="1:45" ht="14.5">
      <c r="A465" s="9" t="s">
        <v>2463</v>
      </c>
      <c r="B465" s="9" t="s">
        <v>2464</v>
      </c>
      <c r="C465" s="9" t="s">
        <v>2465</v>
      </c>
      <c r="D465" s="9" t="s">
        <v>2268</v>
      </c>
      <c r="E465" s="17" t="s">
        <v>49</v>
      </c>
      <c r="F465" s="9" t="s">
        <v>69</v>
      </c>
      <c r="G465" s="9" t="s">
        <v>70</v>
      </c>
      <c r="H465" s="9" t="s">
        <v>2429</v>
      </c>
      <c r="I465" s="9" t="s">
        <v>238</v>
      </c>
      <c r="J465" s="10">
        <v>44645</v>
      </c>
      <c r="K465" s="10">
        <v>44704</v>
      </c>
      <c r="L465" s="10"/>
      <c r="M465" s="31">
        <v>44728</v>
      </c>
      <c r="N465" s="9">
        <v>2022</v>
      </c>
      <c r="O465" s="9" t="s">
        <v>2452</v>
      </c>
      <c r="P465" s="9" t="s">
        <v>53</v>
      </c>
      <c r="Q465" s="9" t="s">
        <v>53</v>
      </c>
      <c r="T465" s="9"/>
      <c r="V465" s="9"/>
      <c r="W465" s="11">
        <f>IFERROR(VLOOKUP(B465, PlumX_snapshot!$A:$B, 2, FALSE), " ")</f>
        <v>24</v>
      </c>
      <c r="X465" s="11">
        <f>IFERROR(VLOOKUP(B465, PlumX_snapshot!$A:$C, 3, FALSE), " ")</f>
        <v>3</v>
      </c>
      <c r="Y465" s="12">
        <f>IFERROR(VLOOKUP(B465, PlumX_snapshot!$A:$D, 4, FALSE), " ")</f>
        <v>32</v>
      </c>
      <c r="Z465" s="12">
        <f>IFERROR(VLOOKUP(B465, PlumX_snapshot!$A:$E, 5, FALSE), " ")</f>
        <v>0</v>
      </c>
      <c r="AA465" s="12">
        <f>IFERROR(VLOOKUP(B465, PlumX_snapshot!$A:$F, 6, FALSE), " ")</f>
        <v>0</v>
      </c>
      <c r="AB465" s="13">
        <v>44978</v>
      </c>
      <c r="AH465" s="9">
        <v>2500</v>
      </c>
      <c r="AI465" s="9" t="s">
        <v>875</v>
      </c>
      <c r="AJ465" s="9" t="s">
        <v>301</v>
      </c>
      <c r="AK465" s="11" t="str">
        <f t="shared" si="2"/>
        <v>2022GBP</v>
      </c>
      <c r="AL465" s="11">
        <f>VLOOKUP(AK465, Exchange_rates!$C:$D, 2, FALSE)</f>
        <v>1</v>
      </c>
      <c r="AM465" s="14">
        <f t="shared" si="3"/>
        <v>3000</v>
      </c>
      <c r="AN465" s="9"/>
      <c r="AO465" s="9"/>
      <c r="AP465" s="17"/>
      <c r="AQ465" s="15" t="s">
        <v>49</v>
      </c>
      <c r="AR465" t="s">
        <v>2466</v>
      </c>
      <c r="AS465" s="16"/>
    </row>
    <row r="466" spans="1:45" ht="14.5">
      <c r="A466" s="9" t="s">
        <v>2467</v>
      </c>
      <c r="B466" s="9" t="s">
        <v>2468</v>
      </c>
      <c r="C466" s="9" t="s">
        <v>2292</v>
      </c>
      <c r="D466" s="9" t="s">
        <v>2268</v>
      </c>
      <c r="E466" s="17" t="s">
        <v>49</v>
      </c>
      <c r="F466" s="9" t="s">
        <v>69</v>
      </c>
      <c r="G466" s="9" t="s">
        <v>70</v>
      </c>
      <c r="H466" s="9" t="s">
        <v>2429</v>
      </c>
      <c r="I466" s="9" t="s">
        <v>72</v>
      </c>
      <c r="J466" s="10">
        <v>44657</v>
      </c>
      <c r="K466" s="10">
        <v>44738</v>
      </c>
      <c r="L466" s="10"/>
      <c r="M466" s="31">
        <v>44748</v>
      </c>
      <c r="N466" s="9">
        <v>2022</v>
      </c>
      <c r="O466" s="9" t="s">
        <v>2452</v>
      </c>
      <c r="P466" s="9" t="s">
        <v>83</v>
      </c>
      <c r="Q466" s="9" t="s">
        <v>53</v>
      </c>
      <c r="R466" s="9" t="s">
        <v>2469</v>
      </c>
      <c r="T466" s="9"/>
      <c r="V466" s="9"/>
      <c r="W466" s="11">
        <f>IFERROR(VLOOKUP(B466, PlumX_snapshot!$A:$B, 2, FALSE), " ")</f>
        <v>2</v>
      </c>
      <c r="X466" s="11">
        <f>IFERROR(VLOOKUP(B466, PlumX_snapshot!$A:$C, 3, FALSE), " ")</f>
        <v>1</v>
      </c>
      <c r="Y466" s="12">
        <f>IFERROR(VLOOKUP(B466, PlumX_snapshot!$A:$D, 4, FALSE), " ")</f>
        <v>8</v>
      </c>
      <c r="Z466" s="12">
        <f>IFERROR(VLOOKUP(B466, PlumX_snapshot!$A:$E, 5, FALSE), " ")</f>
        <v>0</v>
      </c>
      <c r="AA466" s="12">
        <f>IFERROR(VLOOKUP(B466, PlumX_snapshot!$A:$F, 6, FALSE), " ")</f>
        <v>0</v>
      </c>
      <c r="AB466" s="13">
        <v>44978</v>
      </c>
      <c r="AH466" s="9">
        <v>2500</v>
      </c>
      <c r="AI466" s="9" t="s">
        <v>875</v>
      </c>
      <c r="AJ466" s="9" t="s">
        <v>301</v>
      </c>
      <c r="AK466" s="11" t="str">
        <f t="shared" si="2"/>
        <v>2022GBP</v>
      </c>
      <c r="AL466" s="11">
        <f>VLOOKUP(AK466, Exchange_rates!$C:$D, 2, FALSE)</f>
        <v>1</v>
      </c>
      <c r="AM466" s="14">
        <f t="shared" si="3"/>
        <v>3000</v>
      </c>
      <c r="AN466" s="9"/>
      <c r="AO466" s="9"/>
      <c r="AP466" s="17"/>
      <c r="AQ466" s="15" t="s">
        <v>49</v>
      </c>
      <c r="AR466" t="s">
        <v>2294</v>
      </c>
      <c r="AS466" s="16"/>
    </row>
    <row r="467" spans="1:45" ht="14.5">
      <c r="A467" s="9" t="s">
        <v>2470</v>
      </c>
      <c r="B467" s="9" t="s">
        <v>2471</v>
      </c>
      <c r="C467" s="9" t="s">
        <v>2292</v>
      </c>
      <c r="D467" s="9" t="s">
        <v>2268</v>
      </c>
      <c r="E467" s="17" t="s">
        <v>49</v>
      </c>
      <c r="F467" s="9" t="s">
        <v>69</v>
      </c>
      <c r="G467" s="9" t="s">
        <v>70</v>
      </c>
      <c r="H467" s="9" t="s">
        <v>2429</v>
      </c>
      <c r="I467" s="9" t="s">
        <v>72</v>
      </c>
      <c r="J467" s="10">
        <v>44652</v>
      </c>
      <c r="K467" s="10">
        <v>44727</v>
      </c>
      <c r="L467" s="10"/>
      <c r="M467" s="31">
        <v>44740</v>
      </c>
      <c r="N467" s="9">
        <v>2022</v>
      </c>
      <c r="O467" s="9" t="s">
        <v>2452</v>
      </c>
      <c r="P467" s="9" t="s">
        <v>83</v>
      </c>
      <c r="Q467" s="9" t="s">
        <v>53</v>
      </c>
      <c r="R467" s="9" t="s">
        <v>2472</v>
      </c>
      <c r="T467" s="9"/>
      <c r="V467" s="9"/>
      <c r="W467" s="11">
        <f>IFERROR(VLOOKUP(B467, PlumX_snapshot!$A:$B, 2, FALSE), " ")</f>
        <v>5</v>
      </c>
      <c r="X467" s="11">
        <f>IFERROR(VLOOKUP(B467, PlumX_snapshot!$A:$C, 3, FALSE), " ")</f>
        <v>2</v>
      </c>
      <c r="Y467" s="12">
        <f>IFERROR(VLOOKUP(B467, PlumX_snapshot!$A:$D, 4, FALSE), " ")</f>
        <v>0</v>
      </c>
      <c r="Z467" s="12">
        <f>IFERROR(VLOOKUP(B467, PlumX_snapshot!$A:$E, 5, FALSE), " ")</f>
        <v>0</v>
      </c>
      <c r="AA467" s="12">
        <f>IFERROR(VLOOKUP(B467, PlumX_snapshot!$A:$F, 6, FALSE), " ")</f>
        <v>0</v>
      </c>
      <c r="AB467" s="13">
        <v>44978</v>
      </c>
      <c r="AH467" s="9">
        <v>2500</v>
      </c>
      <c r="AI467" s="9" t="s">
        <v>875</v>
      </c>
      <c r="AJ467" s="9" t="s">
        <v>301</v>
      </c>
      <c r="AK467" s="11" t="str">
        <f t="shared" si="2"/>
        <v>2022GBP</v>
      </c>
      <c r="AL467" s="11">
        <f>VLOOKUP(AK467, Exchange_rates!$C:$D, 2, FALSE)</f>
        <v>1</v>
      </c>
      <c r="AM467" s="14">
        <f t="shared" si="3"/>
        <v>3000</v>
      </c>
      <c r="AN467" s="9"/>
      <c r="AO467" s="9"/>
      <c r="AP467" s="17"/>
      <c r="AQ467" s="15" t="s">
        <v>49</v>
      </c>
      <c r="AR467" t="s">
        <v>2294</v>
      </c>
      <c r="AS467" s="16"/>
    </row>
    <row r="468" spans="1:45" ht="14.5">
      <c r="A468" s="9" t="s">
        <v>2473</v>
      </c>
      <c r="B468" s="9" t="s">
        <v>2474</v>
      </c>
      <c r="C468" s="9" t="s">
        <v>2356</v>
      </c>
      <c r="D468" s="9" t="s">
        <v>2268</v>
      </c>
      <c r="E468" s="17" t="s">
        <v>49</v>
      </c>
      <c r="F468" s="9" t="s">
        <v>69</v>
      </c>
      <c r="G468" s="9" t="s">
        <v>70</v>
      </c>
      <c r="H468" s="9" t="s">
        <v>2429</v>
      </c>
      <c r="I468" s="9" t="s">
        <v>238</v>
      </c>
      <c r="J468" s="10">
        <v>44687</v>
      </c>
      <c r="K468" s="10">
        <v>44772</v>
      </c>
      <c r="L468" s="10"/>
      <c r="M468" s="31">
        <v>44782</v>
      </c>
      <c r="N468" s="9">
        <v>2022</v>
      </c>
      <c r="O468" s="9" t="s">
        <v>2452</v>
      </c>
      <c r="P468" s="9" t="s">
        <v>53</v>
      </c>
      <c r="Q468" s="9" t="s">
        <v>53</v>
      </c>
      <c r="R468" s="9" t="s">
        <v>2475</v>
      </c>
      <c r="T468" s="9"/>
      <c r="V468" s="9"/>
      <c r="W468" s="11">
        <f>IFERROR(VLOOKUP(B468, PlumX_snapshot!$A:$B, 2, FALSE), " ")</f>
        <v>4</v>
      </c>
      <c r="X468" s="11">
        <f>IFERROR(VLOOKUP(B468, PlumX_snapshot!$A:$C, 3, FALSE), " ")</f>
        <v>0</v>
      </c>
      <c r="Y468" s="12">
        <f>IFERROR(VLOOKUP(B468, PlumX_snapshot!$A:$D, 4, FALSE), " ")</f>
        <v>0</v>
      </c>
      <c r="Z468" s="12">
        <f>IFERROR(VLOOKUP(B468, PlumX_snapshot!$A:$E, 5, FALSE), " ")</f>
        <v>0</v>
      </c>
      <c r="AA468" s="12">
        <f>IFERROR(VLOOKUP(B468, PlumX_snapshot!$A:$F, 6, FALSE), " ")</f>
        <v>0</v>
      </c>
      <c r="AB468" s="13">
        <v>44978</v>
      </c>
      <c r="AH468" s="9">
        <v>2500</v>
      </c>
      <c r="AI468" s="9" t="s">
        <v>875</v>
      </c>
      <c r="AJ468" s="9" t="s">
        <v>301</v>
      </c>
      <c r="AK468" s="11" t="str">
        <f t="shared" si="2"/>
        <v>2022GBP</v>
      </c>
      <c r="AL468" s="11">
        <f>VLOOKUP(AK468, Exchange_rates!$C:$D, 2, FALSE)</f>
        <v>1</v>
      </c>
      <c r="AM468" s="14">
        <f t="shared" si="3"/>
        <v>3000</v>
      </c>
      <c r="AN468" s="9"/>
      <c r="AO468" s="9"/>
      <c r="AP468" s="17"/>
      <c r="AQ468" s="15" t="s">
        <v>49</v>
      </c>
      <c r="AR468" t="s">
        <v>2358</v>
      </c>
      <c r="AS468" s="16"/>
    </row>
    <row r="469" spans="1:45" ht="14.5">
      <c r="A469" s="9" t="s">
        <v>2476</v>
      </c>
      <c r="B469" s="9" t="s">
        <v>2477</v>
      </c>
      <c r="C469" s="9" t="s">
        <v>2478</v>
      </c>
      <c r="D469" s="9" t="s">
        <v>2479</v>
      </c>
      <c r="E469" s="17" t="s">
        <v>49</v>
      </c>
      <c r="F469" s="9" t="s">
        <v>50</v>
      </c>
      <c r="G469" s="9" t="s">
        <v>51</v>
      </c>
      <c r="H469" s="9"/>
      <c r="J469" s="29"/>
      <c r="K469" s="29"/>
      <c r="L469" s="29"/>
      <c r="M469" s="10">
        <v>43929</v>
      </c>
      <c r="N469" s="9">
        <v>2020</v>
      </c>
      <c r="O469" s="9" t="s">
        <v>247</v>
      </c>
      <c r="P469" s="9" t="s">
        <v>53</v>
      </c>
      <c r="Q469" s="9" t="s">
        <v>53</v>
      </c>
      <c r="T469" s="9" t="s">
        <v>723</v>
      </c>
      <c r="U469" s="9" t="s">
        <v>2480</v>
      </c>
      <c r="V469" s="9"/>
      <c r="W469" s="11">
        <f>IFERROR(VLOOKUP(B469, PlumX_snapshot!$A:$B, 2, FALSE), " ")</f>
        <v>0</v>
      </c>
      <c r="X469" s="11">
        <f>IFERROR(VLOOKUP(B469, PlumX_snapshot!$A:$C, 3, FALSE), " ")</f>
        <v>0</v>
      </c>
      <c r="Y469" s="12">
        <f>IFERROR(VLOOKUP(B469, PlumX_snapshot!$A:$D, 4, FALSE), " ")</f>
        <v>0</v>
      </c>
      <c r="Z469" s="12">
        <f>IFERROR(VLOOKUP(B469, PlumX_snapshot!$A:$E, 5, FALSE), " ")</f>
        <v>0</v>
      </c>
      <c r="AA469" s="12">
        <f>IFERROR(VLOOKUP(B469, PlumX_snapshot!$A:$F, 6, FALSE), " ")</f>
        <v>0</v>
      </c>
      <c r="AB469" s="13">
        <v>44978</v>
      </c>
      <c r="AH469" s="9">
        <v>2200</v>
      </c>
      <c r="AI469" s="9" t="s">
        <v>77</v>
      </c>
      <c r="AJ469" s="9" t="s">
        <v>301</v>
      </c>
      <c r="AK469" s="11" t="str">
        <f t="shared" si="2"/>
        <v>2020GBP</v>
      </c>
      <c r="AL469" s="11">
        <f>VLOOKUP(AK469, Exchange_rates!$C:$D, 2, FALSE)</f>
        <v>1</v>
      </c>
      <c r="AM469" s="14">
        <f t="shared" si="3"/>
        <v>2640</v>
      </c>
      <c r="AN469" s="9"/>
      <c r="AO469" s="9"/>
      <c r="AP469" s="17"/>
      <c r="AQ469" s="15" t="s">
        <v>49</v>
      </c>
      <c r="AR469" t="s">
        <v>2481</v>
      </c>
      <c r="AS469" s="16" t="s">
        <v>2482</v>
      </c>
    </row>
    <row r="470" spans="1:45" ht="14.5">
      <c r="A470" s="9" t="s">
        <v>2483</v>
      </c>
      <c r="B470" s="9" t="s">
        <v>2484</v>
      </c>
      <c r="C470" s="9" t="s">
        <v>2478</v>
      </c>
      <c r="D470" s="9" t="s">
        <v>2479</v>
      </c>
      <c r="E470" s="17" t="s">
        <v>49</v>
      </c>
      <c r="F470" s="9" t="s">
        <v>69</v>
      </c>
      <c r="G470" s="9" t="s">
        <v>70</v>
      </c>
      <c r="H470" s="9" t="s">
        <v>2485</v>
      </c>
      <c r="I470" s="9" t="s">
        <v>238</v>
      </c>
      <c r="J470" s="29"/>
      <c r="K470" s="29"/>
      <c r="L470" s="29"/>
      <c r="M470" s="10">
        <v>44124</v>
      </c>
      <c r="N470" s="9">
        <v>2020</v>
      </c>
      <c r="O470" s="9" t="s">
        <v>247</v>
      </c>
      <c r="P470" s="9" t="s">
        <v>53</v>
      </c>
      <c r="Q470" s="9" t="s">
        <v>53</v>
      </c>
      <c r="T470" s="9"/>
      <c r="U470" s="9" t="s">
        <v>474</v>
      </c>
      <c r="V470" s="9"/>
      <c r="W470" s="11">
        <f>IFERROR(VLOOKUP(B470, PlumX_snapshot!$A:$B, 2, FALSE), " ")</f>
        <v>1</v>
      </c>
      <c r="X470" s="11">
        <f>IFERROR(VLOOKUP(B470, PlumX_snapshot!$A:$C, 3, FALSE), " ")</f>
        <v>0</v>
      </c>
      <c r="Y470" s="12">
        <f>IFERROR(VLOOKUP(B470, PlumX_snapshot!$A:$D, 4, FALSE), " ")</f>
        <v>2</v>
      </c>
      <c r="Z470" s="12">
        <f>IFERROR(VLOOKUP(B470, PlumX_snapshot!$A:$E, 5, FALSE), " ")</f>
        <v>0</v>
      </c>
      <c r="AA470" s="12">
        <f>IFERROR(VLOOKUP(B470, PlumX_snapshot!$A:$F, 6, FALSE), " ")</f>
        <v>0</v>
      </c>
      <c r="AB470" s="13">
        <v>44978</v>
      </c>
      <c r="AH470" s="9">
        <v>2200</v>
      </c>
      <c r="AI470" s="9" t="s">
        <v>77</v>
      </c>
      <c r="AJ470" s="9" t="s">
        <v>301</v>
      </c>
      <c r="AK470" s="11" t="str">
        <f t="shared" si="2"/>
        <v>2020GBP</v>
      </c>
      <c r="AL470" s="11">
        <f>VLOOKUP(AK470, Exchange_rates!$C:$D, 2, FALSE)</f>
        <v>1</v>
      </c>
      <c r="AM470" s="14">
        <f t="shared" si="3"/>
        <v>2640</v>
      </c>
      <c r="AN470" s="9"/>
      <c r="AO470" s="9"/>
      <c r="AP470" s="17"/>
      <c r="AQ470" s="15" t="s">
        <v>49</v>
      </c>
      <c r="AR470" t="s">
        <v>2481</v>
      </c>
      <c r="AS470" s="16" t="s">
        <v>2482</v>
      </c>
    </row>
    <row r="471" spans="1:45" ht="14.5">
      <c r="A471" s="9" t="s">
        <v>2486</v>
      </c>
      <c r="B471" s="9" t="s">
        <v>2487</v>
      </c>
      <c r="C471" s="9" t="s">
        <v>2478</v>
      </c>
      <c r="D471" s="9" t="s">
        <v>2479</v>
      </c>
      <c r="E471" s="17" t="s">
        <v>49</v>
      </c>
      <c r="F471" s="9" t="s">
        <v>69</v>
      </c>
      <c r="G471" s="9" t="s">
        <v>70</v>
      </c>
      <c r="H471" s="9" t="s">
        <v>2485</v>
      </c>
      <c r="I471" s="9" t="s">
        <v>238</v>
      </c>
      <c r="J471" s="29"/>
      <c r="K471" s="29"/>
      <c r="L471" s="29"/>
      <c r="M471" s="10">
        <v>44126</v>
      </c>
      <c r="N471" s="9">
        <v>2020</v>
      </c>
      <c r="O471" s="9" t="s">
        <v>247</v>
      </c>
      <c r="P471" s="9" t="s">
        <v>53</v>
      </c>
      <c r="Q471" s="9" t="s">
        <v>53</v>
      </c>
      <c r="T471" s="9"/>
      <c r="U471" s="9" t="s">
        <v>474</v>
      </c>
      <c r="V471" s="9"/>
      <c r="W471" s="11">
        <f>IFERROR(VLOOKUP(B471, PlumX_snapshot!$A:$B, 2, FALSE), " ")</f>
        <v>2</v>
      </c>
      <c r="X471" s="11">
        <f>IFERROR(VLOOKUP(B471, PlumX_snapshot!$A:$C, 3, FALSE), " ")</f>
        <v>0</v>
      </c>
      <c r="Y471" s="12">
        <f>IFERROR(VLOOKUP(B471, PlumX_snapshot!$A:$D, 4, FALSE), " ")</f>
        <v>0</v>
      </c>
      <c r="Z471" s="12">
        <f>IFERROR(VLOOKUP(B471, PlumX_snapshot!$A:$E, 5, FALSE), " ")</f>
        <v>0</v>
      </c>
      <c r="AA471" s="12">
        <f>IFERROR(VLOOKUP(B471, PlumX_snapshot!$A:$F, 6, FALSE), " ")</f>
        <v>0</v>
      </c>
      <c r="AB471" s="13">
        <v>44978</v>
      </c>
      <c r="AH471" s="9">
        <v>2200</v>
      </c>
      <c r="AI471" s="9" t="s">
        <v>77</v>
      </c>
      <c r="AJ471" s="9" t="s">
        <v>301</v>
      </c>
      <c r="AK471" s="11" t="str">
        <f t="shared" si="2"/>
        <v>2020GBP</v>
      </c>
      <c r="AL471" s="11">
        <f>VLOOKUP(AK471, Exchange_rates!$C:$D, 2, FALSE)</f>
        <v>1</v>
      </c>
      <c r="AM471" s="14">
        <f t="shared" si="3"/>
        <v>2640</v>
      </c>
      <c r="AN471" s="9"/>
      <c r="AO471" s="9"/>
      <c r="AP471" s="17"/>
      <c r="AQ471" s="15" t="s">
        <v>49</v>
      </c>
      <c r="AR471" t="s">
        <v>2481</v>
      </c>
      <c r="AS471" s="16" t="s">
        <v>2482</v>
      </c>
    </row>
    <row r="472" spans="1:45" ht="14.5">
      <c r="A472" s="9" t="s">
        <v>2488</v>
      </c>
      <c r="B472" s="9" t="s">
        <v>2489</v>
      </c>
      <c r="C472" s="9" t="s">
        <v>2490</v>
      </c>
      <c r="D472" s="9" t="s">
        <v>2479</v>
      </c>
      <c r="E472" s="17" t="s">
        <v>49</v>
      </c>
      <c r="F472" s="9" t="s">
        <v>69</v>
      </c>
      <c r="G472" s="9" t="s">
        <v>70</v>
      </c>
      <c r="H472" s="9" t="s">
        <v>2491</v>
      </c>
      <c r="I472" s="9" t="s">
        <v>72</v>
      </c>
      <c r="J472" s="29"/>
      <c r="K472" s="29"/>
      <c r="L472" s="29"/>
      <c r="M472" s="10">
        <v>44315</v>
      </c>
      <c r="N472" s="9">
        <v>2021</v>
      </c>
      <c r="O472" s="9" t="s">
        <v>247</v>
      </c>
      <c r="P472" s="9" t="s">
        <v>53</v>
      </c>
      <c r="Q472" s="9" t="s">
        <v>53</v>
      </c>
      <c r="R472" s="9" t="s">
        <v>2492</v>
      </c>
      <c r="T472" s="9"/>
      <c r="V472" s="9"/>
      <c r="W472" s="11">
        <f>IFERROR(VLOOKUP(B472, PlumX_snapshot!$A:$B, 2, FALSE), " ")</f>
        <v>8</v>
      </c>
      <c r="X472" s="11">
        <f>IFERROR(VLOOKUP(B472, PlumX_snapshot!$A:$C, 3, FALSE), " ")</f>
        <v>2</v>
      </c>
      <c r="Y472" s="12">
        <f>IFERROR(VLOOKUP(B472, PlumX_snapshot!$A:$D, 4, FALSE), " ")</f>
        <v>49</v>
      </c>
      <c r="Z472" s="12">
        <f>IFERROR(VLOOKUP(B472, PlumX_snapshot!$A:$E, 5, FALSE), " ")</f>
        <v>0</v>
      </c>
      <c r="AA472" s="12">
        <f>IFERROR(VLOOKUP(B472, PlumX_snapshot!$A:$F, 6, FALSE), " ")</f>
        <v>0</v>
      </c>
      <c r="AB472" s="13">
        <v>44978</v>
      </c>
      <c r="AH472" s="9">
        <v>2200</v>
      </c>
      <c r="AI472" s="9" t="s">
        <v>77</v>
      </c>
      <c r="AJ472" s="9" t="s">
        <v>301</v>
      </c>
      <c r="AK472" s="11" t="str">
        <f t="shared" si="2"/>
        <v>2021GBP</v>
      </c>
      <c r="AL472" s="11">
        <f>VLOOKUP(AK472, Exchange_rates!$C:$D, 2, FALSE)</f>
        <v>1</v>
      </c>
      <c r="AM472" s="14">
        <f t="shared" si="3"/>
        <v>2640</v>
      </c>
      <c r="AN472" s="9"/>
      <c r="AO472" s="9"/>
      <c r="AP472" s="17"/>
      <c r="AQ472" s="15" t="s">
        <v>49</v>
      </c>
      <c r="AR472" t="s">
        <v>2493</v>
      </c>
      <c r="AS472" s="16" t="s">
        <v>2494</v>
      </c>
    </row>
    <row r="473" spans="1:45" ht="14.5">
      <c r="A473" s="9" t="s">
        <v>2495</v>
      </c>
      <c r="B473" s="9" t="s">
        <v>2496</v>
      </c>
      <c r="C473" s="9" t="s">
        <v>2497</v>
      </c>
      <c r="D473" s="9" t="s">
        <v>2479</v>
      </c>
      <c r="E473" s="17" t="s">
        <v>49</v>
      </c>
      <c r="F473" s="9" t="s">
        <v>69</v>
      </c>
      <c r="G473" s="9" t="s">
        <v>70</v>
      </c>
      <c r="H473" s="9" t="s">
        <v>2485</v>
      </c>
      <c r="I473" s="9" t="s">
        <v>72</v>
      </c>
      <c r="J473" s="29"/>
      <c r="K473" s="29"/>
      <c r="L473" s="29"/>
      <c r="M473" s="10">
        <v>44056</v>
      </c>
      <c r="N473" s="9">
        <v>2020</v>
      </c>
      <c r="O473" s="9" t="s">
        <v>247</v>
      </c>
      <c r="P473" s="9" t="s">
        <v>83</v>
      </c>
      <c r="Q473" s="9" t="s">
        <v>53</v>
      </c>
      <c r="R473" s="9" t="s">
        <v>2498</v>
      </c>
      <c r="T473" s="9"/>
      <c r="V473" s="9"/>
      <c r="W473" s="11">
        <f>IFERROR(VLOOKUP(B473, PlumX_snapshot!$A:$B, 2, FALSE), " ")</f>
        <v>42</v>
      </c>
      <c r="X473" s="11">
        <f>IFERROR(VLOOKUP(B473, PlumX_snapshot!$A:$C, 3, FALSE), " ")</f>
        <v>12</v>
      </c>
      <c r="Y473" s="12">
        <f>IFERROR(VLOOKUP(B473, PlumX_snapshot!$A:$D, 4, FALSE), " ")</f>
        <v>68</v>
      </c>
      <c r="Z473" s="12">
        <f>IFERROR(VLOOKUP(B473, PlumX_snapshot!$A:$E, 5, FALSE), " ")</f>
        <v>0</v>
      </c>
      <c r="AA473" s="12">
        <f>IFERROR(VLOOKUP(B473, PlumX_snapshot!$A:$F, 6, FALSE), " ")</f>
        <v>4</v>
      </c>
      <c r="AB473" s="13">
        <v>44978</v>
      </c>
      <c r="AH473" s="9">
        <v>2200</v>
      </c>
      <c r="AI473" s="9" t="s">
        <v>77</v>
      </c>
      <c r="AJ473" s="9" t="s">
        <v>301</v>
      </c>
      <c r="AK473" s="11" t="str">
        <f t="shared" si="2"/>
        <v>2020GBP</v>
      </c>
      <c r="AL473" s="11">
        <f>VLOOKUP(AK473, Exchange_rates!$C:$D, 2, FALSE)</f>
        <v>1</v>
      </c>
      <c r="AM473" s="14">
        <f t="shared" si="3"/>
        <v>2640</v>
      </c>
      <c r="AN473" s="9"/>
      <c r="AO473" s="9"/>
      <c r="AP473" s="17"/>
      <c r="AQ473" s="15" t="s">
        <v>49</v>
      </c>
      <c r="AR473" t="s">
        <v>2499</v>
      </c>
      <c r="AS473" s="16"/>
    </row>
    <row r="474" spans="1:45" ht="14.5">
      <c r="A474" s="9" t="s">
        <v>2500</v>
      </c>
      <c r="B474" s="9" t="s">
        <v>2501</v>
      </c>
      <c r="C474" s="9" t="s">
        <v>2497</v>
      </c>
      <c r="D474" s="9" t="s">
        <v>2479</v>
      </c>
      <c r="E474" s="17" t="s">
        <v>49</v>
      </c>
      <c r="F474" s="9" t="s">
        <v>69</v>
      </c>
      <c r="G474" s="9" t="s">
        <v>70</v>
      </c>
      <c r="H474" s="9" t="s">
        <v>2485</v>
      </c>
      <c r="I474" s="9" t="s">
        <v>72</v>
      </c>
      <c r="J474" s="29"/>
      <c r="K474" s="29"/>
      <c r="L474" s="29"/>
      <c r="M474" s="10">
        <v>44068</v>
      </c>
      <c r="N474" s="9">
        <v>2020</v>
      </c>
      <c r="O474" s="9" t="s">
        <v>247</v>
      </c>
      <c r="P474" s="9" t="s">
        <v>83</v>
      </c>
      <c r="Q474" s="9" t="s">
        <v>53</v>
      </c>
      <c r="R474" s="9" t="s">
        <v>2502</v>
      </c>
      <c r="T474" s="9"/>
      <c r="V474" s="9"/>
      <c r="W474" s="11">
        <f>IFERROR(VLOOKUP(B474, PlumX_snapshot!$A:$B, 2, FALSE), " ")</f>
        <v>13</v>
      </c>
      <c r="X474" s="11">
        <f>IFERROR(VLOOKUP(B474, PlumX_snapshot!$A:$C, 3, FALSE), " ")</f>
        <v>2</v>
      </c>
      <c r="Y474" s="12">
        <f>IFERROR(VLOOKUP(B474, PlumX_snapshot!$A:$D, 4, FALSE), " ")</f>
        <v>8</v>
      </c>
      <c r="Z474" s="12">
        <f>IFERROR(VLOOKUP(B474, PlumX_snapshot!$A:$E, 5, FALSE), " ")</f>
        <v>0</v>
      </c>
      <c r="AA474" s="12">
        <f>IFERROR(VLOOKUP(B474, PlumX_snapshot!$A:$F, 6, FALSE), " ")</f>
        <v>0</v>
      </c>
      <c r="AB474" s="13">
        <v>44978</v>
      </c>
      <c r="AH474" s="9">
        <v>2200</v>
      </c>
      <c r="AI474" s="9" t="s">
        <v>77</v>
      </c>
      <c r="AJ474" s="9" t="s">
        <v>301</v>
      </c>
      <c r="AK474" s="11" t="str">
        <f t="shared" si="2"/>
        <v>2020GBP</v>
      </c>
      <c r="AL474" s="11">
        <f>VLOOKUP(AK474, Exchange_rates!$C:$D, 2, FALSE)</f>
        <v>1</v>
      </c>
      <c r="AM474" s="14">
        <f t="shared" si="3"/>
        <v>2640</v>
      </c>
      <c r="AN474" s="9"/>
      <c r="AO474" s="9"/>
      <c r="AP474" s="17"/>
      <c r="AQ474" s="15" t="s">
        <v>49</v>
      </c>
      <c r="AR474" t="s">
        <v>2499</v>
      </c>
      <c r="AS474" s="16"/>
    </row>
    <row r="475" spans="1:45" ht="14.5">
      <c r="A475" s="9" t="s">
        <v>2503</v>
      </c>
      <c r="B475" s="9" t="s">
        <v>2504</v>
      </c>
      <c r="C475" s="9" t="s">
        <v>2497</v>
      </c>
      <c r="D475" s="9" t="s">
        <v>2479</v>
      </c>
      <c r="E475" s="17" t="s">
        <v>49</v>
      </c>
      <c r="F475" s="9" t="s">
        <v>69</v>
      </c>
      <c r="G475" s="9" t="s">
        <v>70</v>
      </c>
      <c r="H475" s="9" t="s">
        <v>2491</v>
      </c>
      <c r="I475" s="9" t="s">
        <v>72</v>
      </c>
      <c r="J475" s="29"/>
      <c r="K475" s="29"/>
      <c r="L475" s="29"/>
      <c r="M475" s="10">
        <v>44236</v>
      </c>
      <c r="N475" s="9">
        <v>2021</v>
      </c>
      <c r="O475" s="9" t="s">
        <v>247</v>
      </c>
      <c r="P475" s="9" t="s">
        <v>53</v>
      </c>
      <c r="Q475" s="9" t="s">
        <v>53</v>
      </c>
      <c r="R475" s="9" t="s">
        <v>2505</v>
      </c>
      <c r="T475" s="9"/>
      <c r="V475" s="9"/>
      <c r="W475" s="11">
        <f>IFERROR(VLOOKUP(B475, PlumX_snapshot!$A:$B, 2, FALSE), " ")</f>
        <v>12</v>
      </c>
      <c r="X475" s="11">
        <f>IFERROR(VLOOKUP(B475, PlumX_snapshot!$A:$C, 3, FALSE), " ")</f>
        <v>0</v>
      </c>
      <c r="Y475" s="12">
        <f>IFERROR(VLOOKUP(B475, PlumX_snapshot!$A:$D, 4, FALSE), " ")</f>
        <v>3</v>
      </c>
      <c r="Z475" s="12">
        <f>IFERROR(VLOOKUP(B475, PlumX_snapshot!$A:$E, 5, FALSE), " ")</f>
        <v>0</v>
      </c>
      <c r="AA475" s="12">
        <f>IFERROR(VLOOKUP(B475, PlumX_snapshot!$A:$F, 6, FALSE), " ")</f>
        <v>0</v>
      </c>
      <c r="AB475" s="13">
        <v>44978</v>
      </c>
      <c r="AH475" s="9">
        <v>2200</v>
      </c>
      <c r="AI475" s="9" t="s">
        <v>77</v>
      </c>
      <c r="AJ475" s="9" t="s">
        <v>301</v>
      </c>
      <c r="AK475" s="11" t="str">
        <f t="shared" si="2"/>
        <v>2021GBP</v>
      </c>
      <c r="AL475" s="11">
        <f>VLOOKUP(AK475, Exchange_rates!$C:$D, 2, FALSE)</f>
        <v>1</v>
      </c>
      <c r="AM475" s="14">
        <f t="shared" si="3"/>
        <v>2640</v>
      </c>
      <c r="AN475" s="9"/>
      <c r="AO475" s="9"/>
      <c r="AP475" s="17"/>
      <c r="AQ475" s="15" t="s">
        <v>49</v>
      </c>
      <c r="AR475" t="s">
        <v>2499</v>
      </c>
      <c r="AS475" s="16"/>
    </row>
    <row r="476" spans="1:45" ht="14.5">
      <c r="A476" s="9" t="s">
        <v>2506</v>
      </c>
      <c r="B476" s="9" t="s">
        <v>2507</v>
      </c>
      <c r="C476" s="9" t="s">
        <v>2508</v>
      </c>
      <c r="D476" s="9" t="s">
        <v>2479</v>
      </c>
      <c r="E476" s="17" t="s">
        <v>49</v>
      </c>
      <c r="F476" s="9" t="s">
        <v>69</v>
      </c>
      <c r="G476" s="9" t="s">
        <v>70</v>
      </c>
      <c r="H476" s="9" t="s">
        <v>2491</v>
      </c>
      <c r="I476" s="9" t="s">
        <v>72</v>
      </c>
      <c r="J476" s="29"/>
      <c r="K476" s="29"/>
      <c r="L476" s="29"/>
      <c r="M476" s="10">
        <v>44358</v>
      </c>
      <c r="N476" s="9">
        <v>2021</v>
      </c>
      <c r="O476" s="9" t="s">
        <v>247</v>
      </c>
      <c r="P476" s="9" t="s">
        <v>53</v>
      </c>
      <c r="Q476" s="9" t="s">
        <v>53</v>
      </c>
      <c r="R476" s="9" t="s">
        <v>2509</v>
      </c>
      <c r="T476" s="9"/>
      <c r="V476" s="9"/>
      <c r="W476" s="11">
        <f>IFERROR(VLOOKUP(B476, PlumX_snapshot!$A:$B, 2, FALSE), " ")</f>
        <v>9</v>
      </c>
      <c r="X476" s="11">
        <f>IFERROR(VLOOKUP(B476, PlumX_snapshot!$A:$C, 3, FALSE), " ")</f>
        <v>0</v>
      </c>
      <c r="Y476" s="12">
        <f>IFERROR(VLOOKUP(B476, PlumX_snapshot!$A:$D, 4, FALSE), " ")</f>
        <v>15</v>
      </c>
      <c r="Z476" s="12">
        <f>IFERROR(VLOOKUP(B476, PlumX_snapshot!$A:$E, 5, FALSE), " ")</f>
        <v>0</v>
      </c>
      <c r="AA476" s="12">
        <f>IFERROR(VLOOKUP(B476, PlumX_snapshot!$A:$F, 6, FALSE), " ")</f>
        <v>0</v>
      </c>
      <c r="AB476" s="13">
        <v>44978</v>
      </c>
      <c r="AH476" s="9">
        <v>2200</v>
      </c>
      <c r="AI476" s="9" t="s">
        <v>77</v>
      </c>
      <c r="AJ476" s="9" t="s">
        <v>301</v>
      </c>
      <c r="AK476" s="11" t="str">
        <f t="shared" si="2"/>
        <v>2021GBP</v>
      </c>
      <c r="AL476" s="11">
        <f>VLOOKUP(AK476, Exchange_rates!$C:$D, 2, FALSE)</f>
        <v>1</v>
      </c>
      <c r="AM476" s="14">
        <f t="shared" si="3"/>
        <v>2640</v>
      </c>
      <c r="AN476" s="9"/>
      <c r="AO476" s="9"/>
      <c r="AP476" s="17"/>
      <c r="AQ476" s="15" t="s">
        <v>49</v>
      </c>
      <c r="AR476" t="s">
        <v>2510</v>
      </c>
      <c r="AS476" s="16" t="s">
        <v>2511</v>
      </c>
    </row>
    <row r="477" spans="1:45" ht="14.5">
      <c r="A477" s="9" t="s">
        <v>2512</v>
      </c>
      <c r="B477" s="9" t="s">
        <v>2513</v>
      </c>
      <c r="C477" s="9" t="s">
        <v>2514</v>
      </c>
      <c r="D477" s="9" t="s">
        <v>2479</v>
      </c>
      <c r="E477" s="17" t="s">
        <v>49</v>
      </c>
      <c r="F477" s="9" t="s">
        <v>69</v>
      </c>
      <c r="G477" s="9" t="s">
        <v>70</v>
      </c>
      <c r="H477" s="9" t="s">
        <v>2485</v>
      </c>
      <c r="I477" s="9" t="s">
        <v>72</v>
      </c>
      <c r="J477" s="29"/>
      <c r="K477" s="29"/>
      <c r="L477" s="29"/>
      <c r="M477" s="10">
        <v>44057</v>
      </c>
      <c r="N477" s="9">
        <v>2020</v>
      </c>
      <c r="O477" s="9" t="s">
        <v>247</v>
      </c>
      <c r="P477" s="9" t="s">
        <v>53</v>
      </c>
      <c r="Q477" s="9" t="s">
        <v>53</v>
      </c>
      <c r="R477" s="9" t="s">
        <v>2492</v>
      </c>
      <c r="T477" s="9"/>
      <c r="V477" s="9"/>
      <c r="W477" s="11">
        <f>IFERROR(VLOOKUP(B477, PlumX_snapshot!$A:$B, 2, FALSE), " ")</f>
        <v>14</v>
      </c>
      <c r="X477" s="11">
        <f>IFERROR(VLOOKUP(B477, PlumX_snapshot!$A:$C, 3, FALSE), " ")</f>
        <v>4</v>
      </c>
      <c r="Y477" s="12">
        <f>IFERROR(VLOOKUP(B477, PlumX_snapshot!$A:$D, 4, FALSE), " ")</f>
        <v>8</v>
      </c>
      <c r="Z477" s="12">
        <f>IFERROR(VLOOKUP(B477, PlumX_snapshot!$A:$E, 5, FALSE), " ")</f>
        <v>0</v>
      </c>
      <c r="AA477" s="12">
        <f>IFERROR(VLOOKUP(B477, PlumX_snapshot!$A:$F, 6, FALSE), " ")</f>
        <v>0</v>
      </c>
      <c r="AB477" s="13">
        <v>44978</v>
      </c>
      <c r="AH477" s="9">
        <v>2200</v>
      </c>
      <c r="AI477" s="9" t="s">
        <v>77</v>
      </c>
      <c r="AJ477" s="9" t="s">
        <v>301</v>
      </c>
      <c r="AK477" s="11" t="str">
        <f t="shared" si="2"/>
        <v>2020GBP</v>
      </c>
      <c r="AL477" s="11">
        <f>VLOOKUP(AK477, Exchange_rates!$C:$D, 2, FALSE)</f>
        <v>1</v>
      </c>
      <c r="AM477" s="14">
        <f t="shared" si="3"/>
        <v>2640</v>
      </c>
      <c r="AN477" s="9"/>
      <c r="AO477" s="9"/>
      <c r="AP477" s="17"/>
      <c r="AQ477" s="15" t="s">
        <v>49</v>
      </c>
      <c r="AR477" t="s">
        <v>2515</v>
      </c>
      <c r="AS477" s="16" t="s">
        <v>2516</v>
      </c>
    </row>
    <row r="478" spans="1:45" ht="14.5">
      <c r="A478" s="9" t="s">
        <v>2517</v>
      </c>
      <c r="B478" s="9" t="s">
        <v>2518</v>
      </c>
      <c r="C478" s="9" t="s">
        <v>2519</v>
      </c>
      <c r="D478" s="9" t="s">
        <v>2479</v>
      </c>
      <c r="E478" s="17" t="s">
        <v>49</v>
      </c>
      <c r="F478" s="9" t="s">
        <v>69</v>
      </c>
      <c r="G478" s="9" t="s">
        <v>70</v>
      </c>
      <c r="H478" s="9" t="s">
        <v>2485</v>
      </c>
      <c r="I478" s="9" t="s">
        <v>72</v>
      </c>
      <c r="J478" s="29"/>
      <c r="K478" s="29"/>
      <c r="L478" s="29"/>
      <c r="M478" s="10">
        <v>44102</v>
      </c>
      <c r="N478" s="9">
        <v>2020</v>
      </c>
      <c r="O478" s="9" t="s">
        <v>247</v>
      </c>
      <c r="P478" s="9" t="s">
        <v>53</v>
      </c>
      <c r="Q478" s="9" t="s">
        <v>53</v>
      </c>
      <c r="R478" s="9" t="s">
        <v>2520</v>
      </c>
      <c r="T478" s="9"/>
      <c r="V478" s="9"/>
      <c r="W478" s="11">
        <f>IFERROR(VLOOKUP(B478, PlumX_snapshot!$A:$B, 2, FALSE), " ")</f>
        <v>9</v>
      </c>
      <c r="X478" s="11">
        <f>IFERROR(VLOOKUP(B478, PlumX_snapshot!$A:$C, 3, FALSE), " ")</f>
        <v>0</v>
      </c>
      <c r="Y478" s="12">
        <f>IFERROR(VLOOKUP(B478, PlumX_snapshot!$A:$D, 4, FALSE), " ")</f>
        <v>5</v>
      </c>
      <c r="Z478" s="12">
        <f>IFERROR(VLOOKUP(B478, PlumX_snapshot!$A:$E, 5, FALSE), " ")</f>
        <v>0</v>
      </c>
      <c r="AA478" s="12">
        <f>IFERROR(VLOOKUP(B478, PlumX_snapshot!$A:$F, 6, FALSE), " ")</f>
        <v>1</v>
      </c>
      <c r="AB478" s="13">
        <v>44978</v>
      </c>
      <c r="AH478" s="9">
        <v>2200</v>
      </c>
      <c r="AI478" s="9" t="s">
        <v>77</v>
      </c>
      <c r="AJ478" s="9" t="s">
        <v>301</v>
      </c>
      <c r="AK478" s="11" t="str">
        <f t="shared" si="2"/>
        <v>2020GBP</v>
      </c>
      <c r="AL478" s="11">
        <f>VLOOKUP(AK478, Exchange_rates!$C:$D, 2, FALSE)</f>
        <v>1</v>
      </c>
      <c r="AM478" s="14">
        <f t="shared" si="3"/>
        <v>2640</v>
      </c>
      <c r="AN478" s="9"/>
      <c r="AO478" s="9"/>
      <c r="AP478" s="17"/>
      <c r="AQ478" s="15" t="s">
        <v>49</v>
      </c>
      <c r="AR478" t="s">
        <v>2521</v>
      </c>
      <c r="AS478" s="16" t="s">
        <v>2522</v>
      </c>
    </row>
    <row r="479" spans="1:45" ht="14.5">
      <c r="A479" s="9" t="s">
        <v>2523</v>
      </c>
      <c r="B479" s="9" t="s">
        <v>2524</v>
      </c>
      <c r="C479" s="9" t="s">
        <v>2525</v>
      </c>
      <c r="D479" s="9" t="s">
        <v>2479</v>
      </c>
      <c r="E479" s="17" t="s">
        <v>49</v>
      </c>
      <c r="F479" s="9" t="s">
        <v>69</v>
      </c>
      <c r="G479" s="9" t="s">
        <v>70</v>
      </c>
      <c r="H479" s="9" t="s">
        <v>2485</v>
      </c>
      <c r="I479" s="9" t="s">
        <v>72</v>
      </c>
      <c r="J479" s="29"/>
      <c r="K479" s="29"/>
      <c r="L479" s="29"/>
      <c r="M479" s="10">
        <v>44196</v>
      </c>
      <c r="N479" s="9">
        <v>2020</v>
      </c>
      <c r="O479" s="9" t="s">
        <v>247</v>
      </c>
      <c r="P479" s="9" t="s">
        <v>83</v>
      </c>
      <c r="Q479" s="9" t="s">
        <v>53</v>
      </c>
      <c r="R479" s="9" t="s">
        <v>2526</v>
      </c>
      <c r="T479" s="9"/>
      <c r="V479" s="9"/>
      <c r="W479" s="11">
        <f>IFERROR(VLOOKUP(B479, PlumX_snapshot!$A:$B, 2, FALSE), " ")</f>
        <v>17</v>
      </c>
      <c r="X479" s="11">
        <f>IFERROR(VLOOKUP(B479, PlumX_snapshot!$A:$C, 3, FALSE), " ")</f>
        <v>11</v>
      </c>
      <c r="Y479" s="12">
        <f>IFERROR(VLOOKUP(B479, PlumX_snapshot!$A:$D, 4, FALSE), " ")</f>
        <v>19</v>
      </c>
      <c r="Z479" s="12">
        <f>IFERROR(VLOOKUP(B479, PlumX_snapshot!$A:$E, 5, FALSE), " ")</f>
        <v>0</v>
      </c>
      <c r="AA479" s="12">
        <f>IFERROR(VLOOKUP(B479, PlumX_snapshot!$A:$F, 6, FALSE), " ")</f>
        <v>0</v>
      </c>
      <c r="AB479" s="13">
        <v>44978</v>
      </c>
      <c r="AH479" s="9">
        <v>2200</v>
      </c>
      <c r="AI479" s="9" t="s">
        <v>77</v>
      </c>
      <c r="AJ479" s="9" t="s">
        <v>301</v>
      </c>
      <c r="AK479" s="11" t="str">
        <f t="shared" si="2"/>
        <v>2020GBP</v>
      </c>
      <c r="AL479" s="11">
        <f>VLOOKUP(AK479, Exchange_rates!$C:$D, 2, FALSE)</f>
        <v>1</v>
      </c>
      <c r="AM479" s="14">
        <f t="shared" si="3"/>
        <v>2640</v>
      </c>
      <c r="AN479" s="9"/>
      <c r="AO479" s="9"/>
      <c r="AP479" s="17"/>
      <c r="AQ479" s="15" t="s">
        <v>49</v>
      </c>
      <c r="AR479" t="s">
        <v>2527</v>
      </c>
      <c r="AS479" s="16" t="s">
        <v>2528</v>
      </c>
    </row>
    <row r="480" spans="1:45" ht="14.5">
      <c r="A480" s="9" t="s">
        <v>2529</v>
      </c>
      <c r="B480" s="9" t="s">
        <v>2530</v>
      </c>
      <c r="C480" s="9" t="s">
        <v>2531</v>
      </c>
      <c r="D480" s="9" t="s">
        <v>2479</v>
      </c>
      <c r="E480" s="17" t="s">
        <v>49</v>
      </c>
      <c r="F480" s="9" t="s">
        <v>69</v>
      </c>
      <c r="G480" s="9" t="s">
        <v>70</v>
      </c>
      <c r="H480" s="9" t="s">
        <v>2491</v>
      </c>
      <c r="I480" s="9" t="s">
        <v>72</v>
      </c>
      <c r="J480" s="29"/>
      <c r="K480" s="29"/>
      <c r="L480" s="29"/>
      <c r="M480" s="10">
        <v>44264</v>
      </c>
      <c r="N480" s="9">
        <v>2021</v>
      </c>
      <c r="O480" s="9" t="s">
        <v>247</v>
      </c>
      <c r="P480" s="9" t="s">
        <v>53</v>
      </c>
      <c r="Q480" s="9" t="s">
        <v>53</v>
      </c>
      <c r="R480" s="9" t="s">
        <v>2532</v>
      </c>
      <c r="T480" s="9"/>
      <c r="V480" s="9"/>
      <c r="W480" s="11">
        <f>IFERROR(VLOOKUP(B480, PlumX_snapshot!$A:$B, 2, FALSE), " ")</f>
        <v>20</v>
      </c>
      <c r="X480" s="11">
        <f>IFERROR(VLOOKUP(B480, PlumX_snapshot!$A:$C, 3, FALSE), " ")</f>
        <v>1</v>
      </c>
      <c r="Y480" s="12">
        <f>IFERROR(VLOOKUP(B480, PlumX_snapshot!$A:$D, 4, FALSE), " ")</f>
        <v>27</v>
      </c>
      <c r="Z480" s="12">
        <f>IFERROR(VLOOKUP(B480, PlumX_snapshot!$A:$E, 5, FALSE), " ")</f>
        <v>0</v>
      </c>
      <c r="AA480" s="12">
        <f>IFERROR(VLOOKUP(B480, PlumX_snapshot!$A:$F, 6, FALSE), " ")</f>
        <v>0</v>
      </c>
      <c r="AB480" s="13">
        <v>44978</v>
      </c>
      <c r="AH480" s="9">
        <v>2200</v>
      </c>
      <c r="AI480" s="9" t="s">
        <v>77</v>
      </c>
      <c r="AJ480" s="9" t="s">
        <v>301</v>
      </c>
      <c r="AK480" s="11" t="str">
        <f t="shared" si="2"/>
        <v>2021GBP</v>
      </c>
      <c r="AL480" s="11">
        <f>VLOOKUP(AK480, Exchange_rates!$C:$D, 2, FALSE)</f>
        <v>1</v>
      </c>
      <c r="AM480" s="14">
        <f t="shared" si="3"/>
        <v>2640</v>
      </c>
      <c r="AN480" s="9"/>
      <c r="AO480" s="9"/>
      <c r="AP480" s="17"/>
      <c r="AQ480" s="15" t="s">
        <v>49</v>
      </c>
      <c r="AR480" t="s">
        <v>2533</v>
      </c>
      <c r="AS480" s="16" t="s">
        <v>2534</v>
      </c>
    </row>
    <row r="481" spans="1:45" ht="14.5">
      <c r="A481" s="9" t="s">
        <v>2535</v>
      </c>
      <c r="B481" s="9" t="s">
        <v>2536</v>
      </c>
      <c r="C481" s="9" t="s">
        <v>2537</v>
      </c>
      <c r="D481" s="9" t="s">
        <v>2479</v>
      </c>
      <c r="E481" s="17" t="s">
        <v>49</v>
      </c>
      <c r="F481" s="9" t="s">
        <v>50</v>
      </c>
      <c r="G481" s="9" t="s">
        <v>51</v>
      </c>
      <c r="H481" s="9"/>
      <c r="J481" s="29"/>
      <c r="K481" s="29"/>
      <c r="L481" s="29"/>
      <c r="M481" s="10">
        <v>44111</v>
      </c>
      <c r="N481" s="9">
        <v>2020</v>
      </c>
      <c r="O481" s="9" t="s">
        <v>247</v>
      </c>
      <c r="P481" s="9" t="s">
        <v>53</v>
      </c>
      <c r="Q481" s="9" t="s">
        <v>53</v>
      </c>
      <c r="S481" s="9" t="s">
        <v>2538</v>
      </c>
      <c r="T481" s="9" t="s">
        <v>1912</v>
      </c>
      <c r="U481" s="9" t="s">
        <v>2539</v>
      </c>
      <c r="V481" s="9"/>
      <c r="W481" s="11">
        <f>IFERROR(VLOOKUP(B481, PlumX_snapshot!$A:$B, 2, FALSE), " ")</f>
        <v>6</v>
      </c>
      <c r="X481" s="11">
        <f>IFERROR(VLOOKUP(B481, PlumX_snapshot!$A:$C, 3, FALSE), " ")</f>
        <v>0</v>
      </c>
      <c r="Y481" s="12">
        <f>IFERROR(VLOOKUP(B481, PlumX_snapshot!$A:$D, 4, FALSE), " ")</f>
        <v>32</v>
      </c>
      <c r="Z481" s="12">
        <f>IFERROR(VLOOKUP(B481, PlumX_snapshot!$A:$E, 5, FALSE), " ")</f>
        <v>0</v>
      </c>
      <c r="AA481" s="12">
        <f>IFERROR(VLOOKUP(B481, PlumX_snapshot!$A:$F, 6, FALSE), " ")</f>
        <v>0</v>
      </c>
      <c r="AB481" s="13">
        <v>44978</v>
      </c>
      <c r="AH481" s="9">
        <v>2200</v>
      </c>
      <c r="AI481" s="9" t="s">
        <v>77</v>
      </c>
      <c r="AJ481" s="9" t="s">
        <v>301</v>
      </c>
      <c r="AK481" s="11" t="str">
        <f t="shared" si="2"/>
        <v>2020GBP</v>
      </c>
      <c r="AL481" s="11">
        <f>VLOOKUP(AK481, Exchange_rates!$C:$D, 2, FALSE)</f>
        <v>1</v>
      </c>
      <c r="AM481" s="14">
        <f t="shared" si="3"/>
        <v>2640</v>
      </c>
      <c r="AN481" s="9"/>
      <c r="AO481" s="9"/>
      <c r="AP481" s="17"/>
      <c r="AQ481" s="15" t="s">
        <v>49</v>
      </c>
      <c r="AR481" t="s">
        <v>2540</v>
      </c>
      <c r="AS481" s="16" t="s">
        <v>2541</v>
      </c>
    </row>
    <row r="482" spans="1:45" ht="14.5">
      <c r="A482" s="9" t="s">
        <v>2542</v>
      </c>
      <c r="B482" s="9" t="s">
        <v>2543</v>
      </c>
      <c r="C482" s="9" t="s">
        <v>2544</v>
      </c>
      <c r="D482" s="9" t="s">
        <v>2479</v>
      </c>
      <c r="E482" s="17" t="s">
        <v>49</v>
      </c>
      <c r="F482" s="9" t="s">
        <v>69</v>
      </c>
      <c r="G482" s="9" t="s">
        <v>70</v>
      </c>
      <c r="H482" s="9" t="s">
        <v>2485</v>
      </c>
      <c r="I482" s="9" t="s">
        <v>72</v>
      </c>
      <c r="J482" s="29"/>
      <c r="K482" s="29"/>
      <c r="L482" s="29"/>
      <c r="M482" s="10">
        <v>44119</v>
      </c>
      <c r="N482" s="9">
        <v>2020</v>
      </c>
      <c r="O482" s="9" t="s">
        <v>247</v>
      </c>
      <c r="P482" s="9" t="s">
        <v>83</v>
      </c>
      <c r="Q482" s="9" t="s">
        <v>53</v>
      </c>
      <c r="R482" s="9" t="s">
        <v>2545</v>
      </c>
      <c r="T482" s="9"/>
      <c r="V482" s="9"/>
      <c r="W482" s="11">
        <f>IFERROR(VLOOKUP(B482, PlumX_snapshot!$A:$B, 2, FALSE), " ")</f>
        <v>40</v>
      </c>
      <c r="X482" s="11">
        <f>IFERROR(VLOOKUP(B482, PlumX_snapshot!$A:$C, 3, FALSE), " ")</f>
        <v>7</v>
      </c>
      <c r="Y482" s="12">
        <f>IFERROR(VLOOKUP(B482, PlumX_snapshot!$A:$D, 4, FALSE), " ")</f>
        <v>14</v>
      </c>
      <c r="Z482" s="12">
        <f>IFERROR(VLOOKUP(B482, PlumX_snapshot!$A:$E, 5, FALSE), " ")</f>
        <v>0</v>
      </c>
      <c r="AA482" s="12">
        <f>IFERROR(VLOOKUP(B482, PlumX_snapshot!$A:$F, 6, FALSE), " ")</f>
        <v>1</v>
      </c>
      <c r="AB482" s="13">
        <v>44978</v>
      </c>
      <c r="AH482" s="9">
        <v>2200</v>
      </c>
      <c r="AI482" s="9" t="s">
        <v>77</v>
      </c>
      <c r="AJ482" s="9" t="s">
        <v>301</v>
      </c>
      <c r="AK482" s="11" t="str">
        <f t="shared" si="2"/>
        <v>2020GBP</v>
      </c>
      <c r="AL482" s="11">
        <f>VLOOKUP(AK482, Exchange_rates!$C:$D, 2, FALSE)</f>
        <v>1</v>
      </c>
      <c r="AM482" s="14">
        <f t="shared" si="3"/>
        <v>2640</v>
      </c>
      <c r="AN482" s="9"/>
      <c r="AO482" s="9"/>
      <c r="AP482" s="17"/>
      <c r="AQ482" s="15" t="s">
        <v>49</v>
      </c>
      <c r="AR482" t="s">
        <v>2546</v>
      </c>
      <c r="AS482" s="16" t="s">
        <v>2547</v>
      </c>
    </row>
    <row r="483" spans="1:45" ht="14.5">
      <c r="A483" s="9" t="s">
        <v>2548</v>
      </c>
      <c r="B483" s="9" t="s">
        <v>2549</v>
      </c>
      <c r="C483" s="9" t="s">
        <v>2550</v>
      </c>
      <c r="D483" s="9" t="s">
        <v>2479</v>
      </c>
      <c r="E483" s="17" t="s">
        <v>49</v>
      </c>
      <c r="F483" s="9" t="s">
        <v>69</v>
      </c>
      <c r="G483" s="9" t="s">
        <v>70</v>
      </c>
      <c r="H483" s="9" t="s">
        <v>2485</v>
      </c>
      <c r="I483" s="9" t="s">
        <v>238</v>
      </c>
      <c r="J483" s="29"/>
      <c r="K483" s="29"/>
      <c r="L483" s="29"/>
      <c r="M483" s="10">
        <v>43953</v>
      </c>
      <c r="N483" s="9">
        <v>2020</v>
      </c>
      <c r="O483" s="9" t="s">
        <v>247</v>
      </c>
      <c r="P483" s="9" t="s">
        <v>53</v>
      </c>
      <c r="Q483" s="9" t="s">
        <v>83</v>
      </c>
      <c r="R483" s="9" t="s">
        <v>2551</v>
      </c>
      <c r="T483" s="9"/>
      <c r="V483" s="9"/>
      <c r="W483" s="11">
        <f>IFERROR(VLOOKUP(B483, PlumX_snapshot!$A:$B, 2, FALSE), " ")</f>
        <v>125</v>
      </c>
      <c r="X483" s="11">
        <f>IFERROR(VLOOKUP(B483, PlumX_snapshot!$A:$C, 3, FALSE), " ")</f>
        <v>25</v>
      </c>
      <c r="Y483" s="12">
        <f>IFERROR(VLOOKUP(B483, PlumX_snapshot!$A:$D, 4, FALSE), " ")</f>
        <v>49</v>
      </c>
      <c r="Z483" s="12">
        <f>IFERROR(VLOOKUP(B483, PlumX_snapshot!$A:$E, 5, FALSE), " ")</f>
        <v>0</v>
      </c>
      <c r="AA483" s="12">
        <f>IFERROR(VLOOKUP(B483, PlumX_snapshot!$A:$F, 6, FALSE), " ")</f>
        <v>0</v>
      </c>
      <c r="AB483" s="13">
        <v>44978</v>
      </c>
      <c r="AH483" s="9">
        <v>2208</v>
      </c>
      <c r="AI483" s="9" t="s">
        <v>1999</v>
      </c>
      <c r="AJ483" s="9" t="s">
        <v>301</v>
      </c>
      <c r="AK483" s="11" t="str">
        <f t="shared" si="2"/>
        <v>2020GBP</v>
      </c>
      <c r="AL483" s="11">
        <f>VLOOKUP(AK483, Exchange_rates!$C:$D, 2, FALSE)</f>
        <v>1</v>
      </c>
      <c r="AM483" s="14">
        <f t="shared" si="3"/>
        <v>2649.6</v>
      </c>
      <c r="AN483" s="9"/>
      <c r="AO483" s="9"/>
      <c r="AP483" s="17"/>
      <c r="AQ483" s="15" t="s">
        <v>49</v>
      </c>
      <c r="AR483" t="s">
        <v>2552</v>
      </c>
      <c r="AS483" s="16" t="s">
        <v>2553</v>
      </c>
    </row>
    <row r="484" spans="1:45" ht="14.5">
      <c r="A484" s="9" t="s">
        <v>2554</v>
      </c>
      <c r="B484" s="9" t="s">
        <v>2555</v>
      </c>
      <c r="C484" s="9" t="s">
        <v>2550</v>
      </c>
      <c r="D484" s="9" t="s">
        <v>2479</v>
      </c>
      <c r="E484" s="17" t="s">
        <v>49</v>
      </c>
      <c r="F484" s="9" t="s">
        <v>69</v>
      </c>
      <c r="G484" s="9" t="s">
        <v>70</v>
      </c>
      <c r="H484" s="9" t="s">
        <v>2485</v>
      </c>
      <c r="I484" s="9" t="s">
        <v>72</v>
      </c>
      <c r="J484" s="29"/>
      <c r="K484" s="29"/>
      <c r="L484" s="29"/>
      <c r="M484" s="10">
        <v>44068</v>
      </c>
      <c r="N484" s="9">
        <v>2020</v>
      </c>
      <c r="O484" s="9" t="s">
        <v>247</v>
      </c>
      <c r="P484" s="9" t="s">
        <v>53</v>
      </c>
      <c r="Q484" s="9" t="s">
        <v>53</v>
      </c>
      <c r="R484" s="9" t="s">
        <v>2556</v>
      </c>
      <c r="T484" s="9"/>
      <c r="V484" s="9"/>
      <c r="W484" s="11">
        <f>IFERROR(VLOOKUP(B484, PlumX_snapshot!$A:$B, 2, FALSE), " ")</f>
        <v>82</v>
      </c>
      <c r="X484" s="11">
        <f>IFERROR(VLOOKUP(B484, PlumX_snapshot!$A:$C, 3, FALSE), " ")</f>
        <v>12</v>
      </c>
      <c r="Y484" s="12">
        <f>IFERROR(VLOOKUP(B484, PlumX_snapshot!$A:$D, 4, FALSE), " ")</f>
        <v>49</v>
      </c>
      <c r="Z484" s="12">
        <f>IFERROR(VLOOKUP(B484, PlumX_snapshot!$A:$E, 5, FALSE), " ")</f>
        <v>0</v>
      </c>
      <c r="AA484" s="12">
        <f>IFERROR(VLOOKUP(B484, PlumX_snapshot!$A:$F, 6, FALSE), " ")</f>
        <v>0</v>
      </c>
      <c r="AB484" s="13">
        <v>44978</v>
      </c>
      <c r="AH484" s="9">
        <v>2200</v>
      </c>
      <c r="AI484" s="9" t="s">
        <v>77</v>
      </c>
      <c r="AJ484" s="9" t="s">
        <v>301</v>
      </c>
      <c r="AK484" s="11" t="str">
        <f t="shared" si="2"/>
        <v>2020GBP</v>
      </c>
      <c r="AL484" s="11">
        <f>VLOOKUP(AK484, Exchange_rates!$C:$D, 2, FALSE)</f>
        <v>1</v>
      </c>
      <c r="AM484" s="14">
        <f t="shared" si="3"/>
        <v>2640</v>
      </c>
      <c r="AN484" s="9"/>
      <c r="AO484" s="9"/>
      <c r="AP484" s="17"/>
      <c r="AQ484" s="15" t="s">
        <v>49</v>
      </c>
      <c r="AR484" t="s">
        <v>2552</v>
      </c>
      <c r="AS484" s="16" t="s">
        <v>2553</v>
      </c>
    </row>
    <row r="485" spans="1:45" ht="14.5">
      <c r="A485" s="9" t="s">
        <v>2557</v>
      </c>
      <c r="B485" s="9" t="s">
        <v>2558</v>
      </c>
      <c r="C485" s="9" t="s">
        <v>2550</v>
      </c>
      <c r="D485" s="9" t="s">
        <v>2479</v>
      </c>
      <c r="E485" s="17" t="s">
        <v>49</v>
      </c>
      <c r="F485" s="9" t="s">
        <v>69</v>
      </c>
      <c r="G485" s="9" t="s">
        <v>70</v>
      </c>
      <c r="H485" s="9" t="s">
        <v>2485</v>
      </c>
      <c r="I485" s="9" t="s">
        <v>238</v>
      </c>
      <c r="J485" s="29"/>
      <c r="K485" s="29"/>
      <c r="L485" s="29"/>
      <c r="M485" s="10">
        <v>44181</v>
      </c>
      <c r="N485" s="9">
        <v>2020</v>
      </c>
      <c r="O485" s="9" t="s">
        <v>247</v>
      </c>
      <c r="P485" s="9" t="s">
        <v>53</v>
      </c>
      <c r="Q485" s="9" t="s">
        <v>53</v>
      </c>
      <c r="R485" s="9" t="s">
        <v>2559</v>
      </c>
      <c r="T485" s="9"/>
      <c r="V485" s="9"/>
      <c r="W485" s="11">
        <f>IFERROR(VLOOKUP(B485, PlumX_snapshot!$A:$B, 2, FALSE), " ")</f>
        <v>32</v>
      </c>
      <c r="X485" s="11">
        <f>IFERROR(VLOOKUP(B485, PlumX_snapshot!$A:$C, 3, FALSE), " ")</f>
        <v>25</v>
      </c>
      <c r="Y485" s="12">
        <f>IFERROR(VLOOKUP(B485, PlumX_snapshot!$A:$D, 4, FALSE), " ")</f>
        <v>29</v>
      </c>
      <c r="Z485" s="12">
        <f>IFERROR(VLOOKUP(B485, PlumX_snapshot!$A:$E, 5, FALSE), " ")</f>
        <v>0</v>
      </c>
      <c r="AA485" s="12">
        <f>IFERROR(VLOOKUP(B485, PlumX_snapshot!$A:$F, 6, FALSE), " ")</f>
        <v>0</v>
      </c>
      <c r="AB485" s="13">
        <v>44978</v>
      </c>
      <c r="AH485" s="9">
        <v>2200</v>
      </c>
      <c r="AI485" s="9" t="s">
        <v>77</v>
      </c>
      <c r="AJ485" s="9" t="s">
        <v>301</v>
      </c>
      <c r="AK485" s="11" t="str">
        <f t="shared" si="2"/>
        <v>2020GBP</v>
      </c>
      <c r="AL485" s="11">
        <f>VLOOKUP(AK485, Exchange_rates!$C:$D, 2, FALSE)</f>
        <v>1</v>
      </c>
      <c r="AM485" s="14">
        <f t="shared" si="3"/>
        <v>2640</v>
      </c>
      <c r="AN485" s="9"/>
      <c r="AO485" s="9"/>
      <c r="AP485" s="17"/>
      <c r="AQ485" s="15" t="s">
        <v>49</v>
      </c>
      <c r="AR485" t="s">
        <v>2552</v>
      </c>
      <c r="AS485" s="16" t="s">
        <v>2553</v>
      </c>
    </row>
    <row r="486" spans="1:45" ht="14.5">
      <c r="A486" s="9" t="s">
        <v>2560</v>
      </c>
      <c r="B486" s="9" t="s">
        <v>2561</v>
      </c>
      <c r="C486" s="9" t="s">
        <v>2550</v>
      </c>
      <c r="D486" s="9" t="s">
        <v>2479</v>
      </c>
      <c r="E486" s="17" t="s">
        <v>49</v>
      </c>
      <c r="F486" s="9" t="s">
        <v>69</v>
      </c>
      <c r="G486" s="9" t="s">
        <v>70</v>
      </c>
      <c r="H486" s="9" t="s">
        <v>2491</v>
      </c>
      <c r="I486" s="9" t="s">
        <v>238</v>
      </c>
      <c r="J486" s="29"/>
      <c r="K486" s="29"/>
      <c r="L486" s="29"/>
      <c r="M486" s="10">
        <v>44207</v>
      </c>
      <c r="N486" s="9">
        <v>2021</v>
      </c>
      <c r="O486" s="9" t="s">
        <v>247</v>
      </c>
      <c r="P486" s="9" t="s">
        <v>53</v>
      </c>
      <c r="Q486" s="9" t="s">
        <v>53</v>
      </c>
      <c r="R486" s="9" t="s">
        <v>2562</v>
      </c>
      <c r="T486" s="9"/>
      <c r="V486" s="9"/>
      <c r="W486" s="11">
        <f>IFERROR(VLOOKUP(B486, PlumX_snapshot!$A:$B, 2, FALSE), " ")</f>
        <v>27</v>
      </c>
      <c r="X486" s="11">
        <f>IFERROR(VLOOKUP(B486, PlumX_snapshot!$A:$C, 3, FALSE), " ")</f>
        <v>2</v>
      </c>
      <c r="Y486" s="12">
        <f>IFERROR(VLOOKUP(B486, PlumX_snapshot!$A:$D, 4, FALSE), " ")</f>
        <v>11</v>
      </c>
      <c r="Z486" s="12">
        <f>IFERROR(VLOOKUP(B486, PlumX_snapshot!$A:$E, 5, FALSE), " ")</f>
        <v>0</v>
      </c>
      <c r="AA486" s="12">
        <f>IFERROR(VLOOKUP(B486, PlumX_snapshot!$A:$F, 6, FALSE), " ")</f>
        <v>0</v>
      </c>
      <c r="AB486" s="13">
        <v>44978</v>
      </c>
      <c r="AH486" s="9">
        <v>2200</v>
      </c>
      <c r="AI486" s="9" t="s">
        <v>77</v>
      </c>
      <c r="AJ486" s="9" t="s">
        <v>301</v>
      </c>
      <c r="AK486" s="11" t="str">
        <f t="shared" si="2"/>
        <v>2021GBP</v>
      </c>
      <c r="AL486" s="11">
        <f>VLOOKUP(AK486, Exchange_rates!$C:$D, 2, FALSE)</f>
        <v>1</v>
      </c>
      <c r="AM486" s="14">
        <f t="shared" si="3"/>
        <v>2640</v>
      </c>
      <c r="AN486" s="9"/>
      <c r="AO486" s="9"/>
      <c r="AP486" s="17"/>
      <c r="AQ486" s="15" t="s">
        <v>49</v>
      </c>
      <c r="AR486" t="s">
        <v>2552</v>
      </c>
      <c r="AS486" s="16" t="s">
        <v>2553</v>
      </c>
    </row>
    <row r="487" spans="1:45" ht="14.5">
      <c r="A487" s="9" t="s">
        <v>2563</v>
      </c>
      <c r="B487" s="9" t="s">
        <v>2564</v>
      </c>
      <c r="C487" s="9" t="s">
        <v>2550</v>
      </c>
      <c r="D487" s="9" t="s">
        <v>2479</v>
      </c>
      <c r="E487" s="17" t="s">
        <v>49</v>
      </c>
      <c r="F487" s="9" t="s">
        <v>69</v>
      </c>
      <c r="G487" s="9" t="s">
        <v>70</v>
      </c>
      <c r="H487" s="9" t="s">
        <v>2491</v>
      </c>
      <c r="I487" s="9" t="s">
        <v>238</v>
      </c>
      <c r="J487" s="29"/>
      <c r="K487" s="29"/>
      <c r="L487" s="29"/>
      <c r="M487" s="10">
        <v>44286</v>
      </c>
      <c r="N487" s="9">
        <v>2021</v>
      </c>
      <c r="O487" s="9" t="s">
        <v>247</v>
      </c>
      <c r="P487" s="9" t="s">
        <v>53</v>
      </c>
      <c r="Q487" s="9" t="s">
        <v>53</v>
      </c>
      <c r="R487" s="9" t="s">
        <v>2565</v>
      </c>
      <c r="T487" s="9"/>
      <c r="V487" s="9"/>
      <c r="W487" s="11">
        <f>IFERROR(VLOOKUP(B487, PlumX_snapshot!$A:$B, 2, FALSE), " ")</f>
        <v>60</v>
      </c>
      <c r="X487" s="11">
        <f>IFERROR(VLOOKUP(B487, PlumX_snapshot!$A:$C, 3, FALSE), " ")</f>
        <v>66</v>
      </c>
      <c r="Y487" s="12">
        <f>IFERROR(VLOOKUP(B487, PlumX_snapshot!$A:$D, 4, FALSE), " ")</f>
        <v>87</v>
      </c>
      <c r="Z487" s="12">
        <f>IFERROR(VLOOKUP(B487, PlumX_snapshot!$A:$E, 5, FALSE), " ")</f>
        <v>1</v>
      </c>
      <c r="AA487" s="12">
        <f>IFERROR(VLOOKUP(B487, PlumX_snapshot!$A:$F, 6, FALSE), " ")</f>
        <v>0</v>
      </c>
      <c r="AB487" s="13">
        <v>44978</v>
      </c>
      <c r="AH487" s="9">
        <v>2200</v>
      </c>
      <c r="AI487" s="9" t="s">
        <v>77</v>
      </c>
      <c r="AJ487" s="9" t="s">
        <v>301</v>
      </c>
      <c r="AK487" s="11" t="str">
        <f t="shared" si="2"/>
        <v>2021GBP</v>
      </c>
      <c r="AL487" s="11">
        <f>VLOOKUP(AK487, Exchange_rates!$C:$D, 2, FALSE)</f>
        <v>1</v>
      </c>
      <c r="AM487" s="14">
        <f t="shared" si="3"/>
        <v>2640</v>
      </c>
      <c r="AN487" s="9"/>
      <c r="AO487" s="9"/>
      <c r="AP487" s="17"/>
      <c r="AQ487" s="15" t="s">
        <v>49</v>
      </c>
      <c r="AR487" t="s">
        <v>2552</v>
      </c>
      <c r="AS487" s="16" t="s">
        <v>2553</v>
      </c>
    </row>
    <row r="488" spans="1:45" ht="14.5">
      <c r="A488" s="9" t="s">
        <v>2566</v>
      </c>
      <c r="B488" s="9" t="s">
        <v>2567</v>
      </c>
      <c r="C488" s="9" t="s">
        <v>2568</v>
      </c>
      <c r="D488" s="9" t="s">
        <v>2479</v>
      </c>
      <c r="E488" s="17" t="s">
        <v>49</v>
      </c>
      <c r="F488" s="9" t="s">
        <v>69</v>
      </c>
      <c r="G488" s="9" t="s">
        <v>70</v>
      </c>
      <c r="H488" s="9" t="s">
        <v>2485</v>
      </c>
      <c r="I488" s="9" t="s">
        <v>72</v>
      </c>
      <c r="J488" s="29"/>
      <c r="K488" s="29"/>
      <c r="L488" s="29"/>
      <c r="M488" s="10">
        <v>44063</v>
      </c>
      <c r="N488" s="9">
        <v>2020</v>
      </c>
      <c r="O488" s="9" t="s">
        <v>247</v>
      </c>
      <c r="P488" s="9" t="s">
        <v>53</v>
      </c>
      <c r="Q488" s="9" t="s">
        <v>53</v>
      </c>
      <c r="R488" s="9" t="s">
        <v>2569</v>
      </c>
      <c r="T488" s="9"/>
      <c r="V488" s="9"/>
      <c r="W488" s="11">
        <f>IFERROR(VLOOKUP(B488, PlumX_snapshot!$A:$B, 2, FALSE), " ")</f>
        <v>43</v>
      </c>
      <c r="X488" s="11">
        <f>IFERROR(VLOOKUP(B488, PlumX_snapshot!$A:$C, 3, FALSE), " ")</f>
        <v>39</v>
      </c>
      <c r="Y488" s="12">
        <f>IFERROR(VLOOKUP(B488, PlumX_snapshot!$A:$D, 4, FALSE), " ")</f>
        <v>48</v>
      </c>
      <c r="Z488" s="12">
        <f>IFERROR(VLOOKUP(B488, PlumX_snapshot!$A:$E, 5, FALSE), " ")</f>
        <v>0</v>
      </c>
      <c r="AA488" s="12">
        <f>IFERROR(VLOOKUP(B488, PlumX_snapshot!$A:$F, 6, FALSE), " ")</f>
        <v>1</v>
      </c>
      <c r="AB488" s="13">
        <v>44978</v>
      </c>
      <c r="AH488" s="9">
        <v>1100</v>
      </c>
      <c r="AI488" s="9" t="s">
        <v>77</v>
      </c>
      <c r="AJ488" s="9" t="s">
        <v>301</v>
      </c>
      <c r="AK488" s="11" t="str">
        <f t="shared" si="2"/>
        <v>2020GBP</v>
      </c>
      <c r="AL488" s="11">
        <f>VLOOKUP(AK488, Exchange_rates!$C:$D, 2, FALSE)</f>
        <v>1</v>
      </c>
      <c r="AM488" s="14">
        <f t="shared" si="3"/>
        <v>1320</v>
      </c>
      <c r="AN488" s="9"/>
      <c r="AO488" s="9"/>
      <c r="AP488" s="17"/>
      <c r="AQ488" s="15" t="s">
        <v>49</v>
      </c>
      <c r="AR488" t="s">
        <v>2570</v>
      </c>
      <c r="AS488" s="16" t="s">
        <v>2571</v>
      </c>
    </row>
    <row r="489" spans="1:45" ht="14.5">
      <c r="A489" s="9" t="s">
        <v>2572</v>
      </c>
      <c r="B489" s="9" t="s">
        <v>2573</v>
      </c>
      <c r="C489" s="9" t="s">
        <v>2568</v>
      </c>
      <c r="D489" s="9" t="s">
        <v>2479</v>
      </c>
      <c r="E489" s="17" t="s">
        <v>49</v>
      </c>
      <c r="F489" s="9" t="s">
        <v>69</v>
      </c>
      <c r="G489" s="9" t="s">
        <v>70</v>
      </c>
      <c r="H489" s="9" t="s">
        <v>2485</v>
      </c>
      <c r="I489" s="9" t="s">
        <v>72</v>
      </c>
      <c r="J489" s="29"/>
      <c r="K489" s="29"/>
      <c r="L489" s="29"/>
      <c r="M489" s="10">
        <v>44138</v>
      </c>
      <c r="N489" s="9">
        <v>2020</v>
      </c>
      <c r="O489" s="9" t="s">
        <v>247</v>
      </c>
      <c r="P489" s="9" t="s">
        <v>53</v>
      </c>
      <c r="Q489" s="9" t="s">
        <v>53</v>
      </c>
      <c r="R489" s="9" t="s">
        <v>2574</v>
      </c>
      <c r="T489" s="9"/>
      <c r="V489" s="9"/>
      <c r="W489" s="11">
        <f>IFERROR(VLOOKUP(B489, PlumX_snapshot!$A:$B, 2, FALSE), " ")</f>
        <v>22</v>
      </c>
      <c r="X489" s="11">
        <f>IFERROR(VLOOKUP(B489, PlumX_snapshot!$A:$C, 3, FALSE), " ")</f>
        <v>36</v>
      </c>
      <c r="Y489" s="12">
        <f>IFERROR(VLOOKUP(B489, PlumX_snapshot!$A:$D, 4, FALSE), " ")</f>
        <v>11</v>
      </c>
      <c r="Z489" s="12">
        <f>IFERROR(VLOOKUP(B489, PlumX_snapshot!$A:$E, 5, FALSE), " ")</f>
        <v>0</v>
      </c>
      <c r="AA489" s="12">
        <f>IFERROR(VLOOKUP(B489, PlumX_snapshot!$A:$F, 6, FALSE), " ")</f>
        <v>1</v>
      </c>
      <c r="AB489" s="13">
        <v>44978</v>
      </c>
      <c r="AH489" s="9">
        <v>1100</v>
      </c>
      <c r="AI489" s="9" t="s">
        <v>77</v>
      </c>
      <c r="AJ489" s="9" t="s">
        <v>301</v>
      </c>
      <c r="AK489" s="11" t="str">
        <f t="shared" si="2"/>
        <v>2020GBP</v>
      </c>
      <c r="AL489" s="11">
        <f>VLOOKUP(AK489, Exchange_rates!$C:$D, 2, FALSE)</f>
        <v>1</v>
      </c>
      <c r="AM489" s="14">
        <f t="shared" si="3"/>
        <v>1320</v>
      </c>
      <c r="AN489" s="9"/>
      <c r="AO489" s="9"/>
      <c r="AP489" s="17"/>
      <c r="AQ489" s="15" t="s">
        <v>49</v>
      </c>
      <c r="AR489" t="s">
        <v>2570</v>
      </c>
      <c r="AS489" s="16" t="s">
        <v>2571</v>
      </c>
    </row>
    <row r="490" spans="1:45" ht="14.5">
      <c r="A490" s="9" t="s">
        <v>2575</v>
      </c>
      <c r="B490" s="9" t="s">
        <v>2576</v>
      </c>
      <c r="C490" s="9" t="s">
        <v>2568</v>
      </c>
      <c r="D490" s="9" t="s">
        <v>2479</v>
      </c>
      <c r="E490" s="17" t="s">
        <v>49</v>
      </c>
      <c r="F490" s="9" t="s">
        <v>69</v>
      </c>
      <c r="G490" s="9" t="s">
        <v>70</v>
      </c>
      <c r="H490" s="9" t="s">
        <v>2485</v>
      </c>
      <c r="I490" s="9" t="s">
        <v>238</v>
      </c>
      <c r="J490" s="29"/>
      <c r="K490" s="29"/>
      <c r="L490" s="29"/>
      <c r="M490" s="10">
        <v>44009</v>
      </c>
      <c r="N490" s="9">
        <v>2020</v>
      </c>
      <c r="O490" s="9" t="s">
        <v>247</v>
      </c>
      <c r="P490" s="9" t="s">
        <v>53</v>
      </c>
      <c r="Q490" s="9" t="s">
        <v>53</v>
      </c>
      <c r="R490" s="9" t="s">
        <v>2577</v>
      </c>
      <c r="T490" s="9"/>
      <c r="V490" s="9"/>
      <c r="W490" s="11">
        <f>IFERROR(VLOOKUP(B490, PlumX_snapshot!$A:$B, 2, FALSE), " ")</f>
        <v>36</v>
      </c>
      <c r="X490" s="11">
        <f>IFERROR(VLOOKUP(B490, PlumX_snapshot!$A:$C, 3, FALSE), " ")</f>
        <v>49</v>
      </c>
      <c r="Y490" s="12">
        <f>IFERROR(VLOOKUP(B490, PlumX_snapshot!$A:$D, 4, FALSE), " ")</f>
        <v>13</v>
      </c>
      <c r="Z490" s="12">
        <f>IFERROR(VLOOKUP(B490, PlumX_snapshot!$A:$E, 5, FALSE), " ")</f>
        <v>0</v>
      </c>
      <c r="AA490" s="12">
        <f>IFERROR(VLOOKUP(B490, PlumX_snapshot!$A:$F, 6, FALSE), " ")</f>
        <v>0</v>
      </c>
      <c r="AB490" s="13">
        <v>44978</v>
      </c>
      <c r="AH490" s="9">
        <v>2208</v>
      </c>
      <c r="AI490" s="9" t="s">
        <v>1999</v>
      </c>
      <c r="AJ490" s="9" t="s">
        <v>301</v>
      </c>
      <c r="AK490" s="11" t="str">
        <f t="shared" si="2"/>
        <v>2020GBP</v>
      </c>
      <c r="AL490" s="11">
        <f>VLOOKUP(AK490, Exchange_rates!$C:$D, 2, FALSE)</f>
        <v>1</v>
      </c>
      <c r="AM490" s="14">
        <f t="shared" si="3"/>
        <v>2649.6</v>
      </c>
      <c r="AN490" s="9"/>
      <c r="AO490" s="9"/>
      <c r="AP490" s="17"/>
      <c r="AQ490" s="15" t="s">
        <v>49</v>
      </c>
      <c r="AR490" t="s">
        <v>2570</v>
      </c>
      <c r="AS490" s="16" t="s">
        <v>2571</v>
      </c>
    </row>
    <row r="491" spans="1:45" ht="14.5">
      <c r="A491" s="9" t="s">
        <v>2578</v>
      </c>
      <c r="B491" s="9" t="s">
        <v>2579</v>
      </c>
      <c r="C491" s="9" t="s">
        <v>2568</v>
      </c>
      <c r="D491" s="9" t="s">
        <v>2479</v>
      </c>
      <c r="E491" s="17" t="s">
        <v>49</v>
      </c>
      <c r="F491" s="9" t="s">
        <v>69</v>
      </c>
      <c r="G491" s="9" t="s">
        <v>70</v>
      </c>
      <c r="H491" s="9" t="s">
        <v>2485</v>
      </c>
      <c r="I491" s="9" t="s">
        <v>238</v>
      </c>
      <c r="J491" s="29"/>
      <c r="K491" s="29"/>
      <c r="L491" s="29"/>
      <c r="M491" s="10">
        <v>44088</v>
      </c>
      <c r="N491" s="9">
        <v>2020</v>
      </c>
      <c r="O491" s="9" t="s">
        <v>247</v>
      </c>
      <c r="P491" s="9" t="s">
        <v>53</v>
      </c>
      <c r="Q491" s="9" t="s">
        <v>53</v>
      </c>
      <c r="R491" s="9" t="s">
        <v>2580</v>
      </c>
      <c r="T491" s="9"/>
      <c r="V491" s="9"/>
      <c r="W491" s="11">
        <f>IFERROR(VLOOKUP(B491, PlumX_snapshot!$A:$B, 2, FALSE), " ")</f>
        <v>25</v>
      </c>
      <c r="X491" s="11">
        <f>IFERROR(VLOOKUP(B491, PlumX_snapshot!$A:$C, 3, FALSE), " ")</f>
        <v>31</v>
      </c>
      <c r="Y491" s="12">
        <f>IFERROR(VLOOKUP(B491, PlumX_snapshot!$A:$D, 4, FALSE), " ")</f>
        <v>14</v>
      </c>
      <c r="Z491" s="12">
        <f>IFERROR(VLOOKUP(B491, PlumX_snapshot!$A:$E, 5, FALSE), " ")</f>
        <v>0</v>
      </c>
      <c r="AA491" s="12">
        <f>IFERROR(VLOOKUP(B491, PlumX_snapshot!$A:$F, 6, FALSE), " ")</f>
        <v>1</v>
      </c>
      <c r="AB491" s="13">
        <v>44978</v>
      </c>
      <c r="AH491" s="9">
        <v>1100</v>
      </c>
      <c r="AI491" s="9" t="s">
        <v>77</v>
      </c>
      <c r="AJ491" s="9" t="s">
        <v>301</v>
      </c>
      <c r="AK491" s="11" t="str">
        <f t="shared" si="2"/>
        <v>2020GBP</v>
      </c>
      <c r="AL491" s="11">
        <f>VLOOKUP(AK491, Exchange_rates!$C:$D, 2, FALSE)</f>
        <v>1</v>
      </c>
      <c r="AM491" s="14">
        <f t="shared" si="3"/>
        <v>1320</v>
      </c>
      <c r="AN491" s="9"/>
      <c r="AO491" s="9"/>
      <c r="AP491" s="17"/>
      <c r="AQ491" s="15" t="s">
        <v>49</v>
      </c>
      <c r="AR491" t="s">
        <v>2570</v>
      </c>
      <c r="AS491" s="16" t="s">
        <v>2571</v>
      </c>
    </row>
    <row r="492" spans="1:45" ht="14.5">
      <c r="A492" s="9" t="s">
        <v>2581</v>
      </c>
      <c r="B492" s="9" t="s">
        <v>2582</v>
      </c>
      <c r="C492" s="9" t="s">
        <v>2568</v>
      </c>
      <c r="D492" s="9" t="s">
        <v>2479</v>
      </c>
      <c r="E492" s="17" t="s">
        <v>49</v>
      </c>
      <c r="F492" s="9" t="s">
        <v>69</v>
      </c>
      <c r="G492" s="9" t="s">
        <v>70</v>
      </c>
      <c r="H492" s="9" t="s">
        <v>2491</v>
      </c>
      <c r="I492" s="9" t="s">
        <v>238</v>
      </c>
      <c r="J492" s="29"/>
      <c r="K492" s="29"/>
      <c r="L492" s="29"/>
      <c r="M492" s="10">
        <v>44209</v>
      </c>
      <c r="N492" s="9">
        <v>2021</v>
      </c>
      <c r="O492" s="9" t="s">
        <v>247</v>
      </c>
      <c r="P492" s="9" t="s">
        <v>53</v>
      </c>
      <c r="Q492" s="9" t="s">
        <v>53</v>
      </c>
      <c r="R492" s="9" t="s">
        <v>2583</v>
      </c>
      <c r="T492" s="9"/>
      <c r="V492" s="9"/>
      <c r="W492" s="11">
        <f>IFERROR(VLOOKUP(B492, PlumX_snapshot!$A:$B, 2, FALSE), " ")</f>
        <v>15</v>
      </c>
      <c r="X492" s="11">
        <f>IFERROR(VLOOKUP(B492, PlumX_snapshot!$A:$C, 3, FALSE), " ")</f>
        <v>50</v>
      </c>
      <c r="Y492" s="12">
        <f>IFERROR(VLOOKUP(B492, PlumX_snapshot!$A:$D, 4, FALSE), " ")</f>
        <v>11</v>
      </c>
      <c r="Z492" s="12">
        <f>IFERROR(VLOOKUP(B492, PlumX_snapshot!$A:$E, 5, FALSE), " ")</f>
        <v>0</v>
      </c>
      <c r="AA492" s="12">
        <f>IFERROR(VLOOKUP(B492, PlumX_snapshot!$A:$F, 6, FALSE), " ")</f>
        <v>1</v>
      </c>
      <c r="AB492" s="13">
        <v>44978</v>
      </c>
      <c r="AH492" s="9">
        <v>1100</v>
      </c>
      <c r="AI492" s="9" t="s">
        <v>77</v>
      </c>
      <c r="AJ492" s="9" t="s">
        <v>301</v>
      </c>
      <c r="AK492" s="11" t="str">
        <f t="shared" si="2"/>
        <v>2021GBP</v>
      </c>
      <c r="AL492" s="11">
        <f>VLOOKUP(AK492, Exchange_rates!$C:$D, 2, FALSE)</f>
        <v>1</v>
      </c>
      <c r="AM492" s="14">
        <f t="shared" si="3"/>
        <v>1320</v>
      </c>
      <c r="AN492" s="9"/>
      <c r="AO492" s="9"/>
      <c r="AP492" s="17"/>
      <c r="AQ492" s="15" t="s">
        <v>49</v>
      </c>
      <c r="AR492" t="s">
        <v>2570</v>
      </c>
      <c r="AS492" s="16" t="s">
        <v>2571</v>
      </c>
    </row>
    <row r="493" spans="1:45" ht="14.5">
      <c r="A493" s="9" t="s">
        <v>2584</v>
      </c>
      <c r="B493" s="9" t="s">
        <v>2585</v>
      </c>
      <c r="C493" s="9" t="s">
        <v>2568</v>
      </c>
      <c r="D493" s="9" t="s">
        <v>2479</v>
      </c>
      <c r="E493" s="17" t="s">
        <v>49</v>
      </c>
      <c r="F493" s="9" t="s">
        <v>69</v>
      </c>
      <c r="G493" s="9" t="s">
        <v>70</v>
      </c>
      <c r="H493" s="9" t="s">
        <v>2491</v>
      </c>
      <c r="I493" s="9" t="s">
        <v>72</v>
      </c>
      <c r="J493" s="29"/>
      <c r="K493" s="29"/>
      <c r="L493" s="29"/>
      <c r="M493" s="10">
        <v>44355</v>
      </c>
      <c r="N493" s="9">
        <v>2021</v>
      </c>
      <c r="O493" s="9" t="s">
        <v>247</v>
      </c>
      <c r="P493" s="9" t="s">
        <v>53</v>
      </c>
      <c r="Q493" s="9" t="s">
        <v>53</v>
      </c>
      <c r="R493" s="9" t="s">
        <v>2586</v>
      </c>
      <c r="T493" s="9"/>
      <c r="V493" s="9"/>
      <c r="W493" s="11">
        <f>IFERROR(VLOOKUP(B493, PlumX_snapshot!$A:$B, 2, FALSE), " ")</f>
        <v>13</v>
      </c>
      <c r="X493" s="11">
        <f>IFERROR(VLOOKUP(B493, PlumX_snapshot!$A:$C, 3, FALSE), " ")</f>
        <v>36</v>
      </c>
      <c r="Y493" s="12">
        <f>IFERROR(VLOOKUP(B493, PlumX_snapshot!$A:$D, 4, FALSE), " ")</f>
        <v>17</v>
      </c>
      <c r="Z493" s="12">
        <f>IFERROR(VLOOKUP(B493, PlumX_snapshot!$A:$E, 5, FALSE), " ")</f>
        <v>0</v>
      </c>
      <c r="AA493" s="12">
        <f>IFERROR(VLOOKUP(B493, PlumX_snapshot!$A:$F, 6, FALSE), " ")</f>
        <v>0</v>
      </c>
      <c r="AB493" s="13">
        <v>44978</v>
      </c>
      <c r="AH493" s="9">
        <v>1100</v>
      </c>
      <c r="AI493" s="9" t="s">
        <v>77</v>
      </c>
      <c r="AJ493" s="9" t="s">
        <v>301</v>
      </c>
      <c r="AK493" s="11" t="str">
        <f t="shared" si="2"/>
        <v>2021GBP</v>
      </c>
      <c r="AL493" s="11">
        <f>VLOOKUP(AK493, Exchange_rates!$C:$D, 2, FALSE)</f>
        <v>1</v>
      </c>
      <c r="AM493" s="14">
        <f t="shared" si="3"/>
        <v>1320</v>
      </c>
      <c r="AN493" s="9"/>
      <c r="AO493" s="9"/>
      <c r="AP493" s="17"/>
      <c r="AQ493" s="15" t="s">
        <v>49</v>
      </c>
      <c r="AR493" t="s">
        <v>2570</v>
      </c>
      <c r="AS493" s="16" t="s">
        <v>2571</v>
      </c>
    </row>
    <row r="494" spans="1:45" ht="14.5">
      <c r="A494" s="9" t="s">
        <v>2587</v>
      </c>
      <c r="B494" s="9" t="s">
        <v>2588</v>
      </c>
      <c r="C494" s="9" t="s">
        <v>2589</v>
      </c>
      <c r="D494" s="9" t="s">
        <v>2479</v>
      </c>
      <c r="E494" s="17" t="s">
        <v>49</v>
      </c>
      <c r="F494" s="9" t="s">
        <v>69</v>
      </c>
      <c r="G494" s="9" t="s">
        <v>70</v>
      </c>
      <c r="H494" s="9" t="s">
        <v>2485</v>
      </c>
      <c r="I494" s="9" t="s">
        <v>72</v>
      </c>
      <c r="J494" s="29"/>
      <c r="K494" s="29"/>
      <c r="L494" s="29"/>
      <c r="M494" s="10">
        <v>44061</v>
      </c>
      <c r="N494" s="9">
        <v>2020</v>
      </c>
      <c r="O494" s="9" t="s">
        <v>247</v>
      </c>
      <c r="P494" s="9" t="s">
        <v>53</v>
      </c>
      <c r="Q494" s="9" t="s">
        <v>53</v>
      </c>
      <c r="R494" s="9" t="s">
        <v>2492</v>
      </c>
      <c r="T494" s="9"/>
      <c r="V494" s="9"/>
      <c r="W494" s="11">
        <f>IFERROR(VLOOKUP(B494, PlumX_snapshot!$A:$B, 2, FALSE), " ")</f>
        <v>9</v>
      </c>
      <c r="X494" s="11">
        <f>IFERROR(VLOOKUP(B494, PlumX_snapshot!$A:$C, 3, FALSE), " ")</f>
        <v>0</v>
      </c>
      <c r="Y494" s="12">
        <f>IFERROR(VLOOKUP(B494, PlumX_snapshot!$A:$D, 4, FALSE), " ")</f>
        <v>122</v>
      </c>
      <c r="Z494" s="12">
        <f>IFERROR(VLOOKUP(B494, PlumX_snapshot!$A:$E, 5, FALSE), " ")</f>
        <v>0</v>
      </c>
      <c r="AA494" s="12">
        <f>IFERROR(VLOOKUP(B494, PlumX_snapshot!$A:$F, 6, FALSE), " ")</f>
        <v>0</v>
      </c>
      <c r="AB494" s="13">
        <v>44978</v>
      </c>
      <c r="AH494" s="9">
        <v>2200</v>
      </c>
      <c r="AI494" s="9" t="s">
        <v>77</v>
      </c>
      <c r="AJ494" s="9" t="s">
        <v>301</v>
      </c>
      <c r="AK494" s="11" t="str">
        <f t="shared" si="2"/>
        <v>2020GBP</v>
      </c>
      <c r="AL494" s="11">
        <f>VLOOKUP(AK494, Exchange_rates!$C:$D, 2, FALSE)</f>
        <v>1</v>
      </c>
      <c r="AM494" s="14">
        <f t="shared" si="3"/>
        <v>2640</v>
      </c>
      <c r="AN494" s="9"/>
      <c r="AO494" s="9"/>
      <c r="AP494" s="17"/>
      <c r="AQ494" s="15" t="s">
        <v>49</v>
      </c>
      <c r="AR494" t="s">
        <v>2590</v>
      </c>
      <c r="AS494" s="16" t="s">
        <v>2591</v>
      </c>
    </row>
    <row r="495" spans="1:45" ht="14.5">
      <c r="A495" s="9" t="s">
        <v>2592</v>
      </c>
      <c r="B495" s="9" t="s">
        <v>2593</v>
      </c>
      <c r="C495" s="9" t="s">
        <v>2594</v>
      </c>
      <c r="D495" s="9" t="s">
        <v>2479</v>
      </c>
      <c r="E495" s="17" t="s">
        <v>49</v>
      </c>
      <c r="F495" s="9" t="s">
        <v>69</v>
      </c>
      <c r="G495" s="9" t="s">
        <v>70</v>
      </c>
      <c r="H495" s="9" t="s">
        <v>2485</v>
      </c>
      <c r="I495" s="9" t="s">
        <v>238</v>
      </c>
      <c r="J495" s="29"/>
      <c r="K495" s="29"/>
      <c r="L495" s="29"/>
      <c r="M495" s="10">
        <v>44060</v>
      </c>
      <c r="N495" s="9">
        <v>2020</v>
      </c>
      <c r="O495" s="9" t="s">
        <v>247</v>
      </c>
      <c r="P495" s="9" t="s">
        <v>53</v>
      </c>
      <c r="Q495" s="9" t="s">
        <v>53</v>
      </c>
      <c r="R495" s="9" t="s">
        <v>2492</v>
      </c>
      <c r="T495" s="9"/>
      <c r="V495" s="9"/>
      <c r="W495" s="11">
        <f>IFERROR(VLOOKUP(B495, PlumX_snapshot!$A:$B, 2, FALSE), " ")</f>
        <v>14</v>
      </c>
      <c r="X495" s="11">
        <f>IFERROR(VLOOKUP(B495, PlumX_snapshot!$A:$C, 3, FALSE), " ")</f>
        <v>0</v>
      </c>
      <c r="Y495" s="12">
        <f>IFERROR(VLOOKUP(B495, PlumX_snapshot!$A:$D, 4, FALSE), " ")</f>
        <v>6</v>
      </c>
      <c r="Z495" s="12">
        <f>IFERROR(VLOOKUP(B495, PlumX_snapshot!$A:$E, 5, FALSE), " ")</f>
        <v>0</v>
      </c>
      <c r="AA495" s="12">
        <f>IFERROR(VLOOKUP(B495, PlumX_snapshot!$A:$F, 6, FALSE), " ")</f>
        <v>0</v>
      </c>
      <c r="AB495" s="13">
        <v>44978</v>
      </c>
      <c r="AH495" s="9">
        <v>2200</v>
      </c>
      <c r="AI495" s="9" t="s">
        <v>77</v>
      </c>
      <c r="AJ495" s="9" t="s">
        <v>301</v>
      </c>
      <c r="AK495" s="11" t="str">
        <f t="shared" si="2"/>
        <v>2020GBP</v>
      </c>
      <c r="AL495" s="11">
        <f>VLOOKUP(AK495, Exchange_rates!$C:$D, 2, FALSE)</f>
        <v>1</v>
      </c>
      <c r="AM495" s="14">
        <f t="shared" si="3"/>
        <v>2640</v>
      </c>
      <c r="AN495" s="9"/>
      <c r="AO495" s="9"/>
      <c r="AP495" s="17"/>
      <c r="AQ495" s="15" t="s">
        <v>49</v>
      </c>
      <c r="AR495" t="s">
        <v>2595</v>
      </c>
      <c r="AS495" s="16" t="s">
        <v>2596</v>
      </c>
    </row>
    <row r="496" spans="1:45" ht="14.5">
      <c r="A496" s="9" t="s">
        <v>2597</v>
      </c>
      <c r="B496" s="9" t="s">
        <v>2598</v>
      </c>
      <c r="C496" s="9" t="s">
        <v>2594</v>
      </c>
      <c r="D496" s="9" t="s">
        <v>2479</v>
      </c>
      <c r="E496" s="17" t="s">
        <v>49</v>
      </c>
      <c r="F496" s="9" t="s">
        <v>69</v>
      </c>
      <c r="G496" s="9" t="s">
        <v>70</v>
      </c>
      <c r="H496" s="9" t="s">
        <v>2491</v>
      </c>
      <c r="I496" s="9" t="s">
        <v>238</v>
      </c>
      <c r="J496" s="29"/>
      <c r="K496" s="29"/>
      <c r="L496" s="29"/>
      <c r="M496" s="10">
        <v>44287</v>
      </c>
      <c r="N496" s="9">
        <v>2021</v>
      </c>
      <c r="O496" s="9" t="s">
        <v>247</v>
      </c>
      <c r="P496" s="9" t="s">
        <v>53</v>
      </c>
      <c r="Q496" s="9" t="s">
        <v>53</v>
      </c>
      <c r="R496" s="9" t="s">
        <v>2599</v>
      </c>
      <c r="T496" s="9"/>
      <c r="V496" s="9"/>
      <c r="W496" s="11">
        <f>IFERROR(VLOOKUP(B496, PlumX_snapshot!$A:$B, 2, FALSE), " ")</f>
        <v>13</v>
      </c>
      <c r="X496" s="11">
        <f>IFERROR(VLOOKUP(B496, PlumX_snapshot!$A:$C, 3, FALSE), " ")</f>
        <v>1</v>
      </c>
      <c r="Y496" s="12">
        <f>IFERROR(VLOOKUP(B496, PlumX_snapshot!$A:$D, 4, FALSE), " ")</f>
        <v>2</v>
      </c>
      <c r="Z496" s="12">
        <f>IFERROR(VLOOKUP(B496, PlumX_snapshot!$A:$E, 5, FALSE), " ")</f>
        <v>0</v>
      </c>
      <c r="AA496" s="12">
        <f>IFERROR(VLOOKUP(B496, PlumX_snapshot!$A:$F, 6, FALSE), " ")</f>
        <v>0</v>
      </c>
      <c r="AB496" s="13">
        <v>44978</v>
      </c>
      <c r="AH496" s="9">
        <v>2200</v>
      </c>
      <c r="AI496" s="9" t="s">
        <v>77</v>
      </c>
      <c r="AJ496" s="9" t="s">
        <v>301</v>
      </c>
      <c r="AK496" s="11" t="str">
        <f t="shared" si="2"/>
        <v>2021GBP</v>
      </c>
      <c r="AL496" s="11">
        <f>VLOOKUP(AK496, Exchange_rates!$C:$D, 2, FALSE)</f>
        <v>1</v>
      </c>
      <c r="AM496" s="14">
        <f t="shared" si="3"/>
        <v>2640</v>
      </c>
      <c r="AN496" s="9"/>
      <c r="AO496" s="9"/>
      <c r="AP496" s="17"/>
      <c r="AQ496" s="15" t="s">
        <v>49</v>
      </c>
      <c r="AR496" t="s">
        <v>2595</v>
      </c>
      <c r="AS496" s="16" t="s">
        <v>2596</v>
      </c>
    </row>
    <row r="497" spans="1:45" ht="14.5">
      <c r="A497" s="9" t="s">
        <v>2600</v>
      </c>
      <c r="B497" s="9" t="s">
        <v>2601</v>
      </c>
      <c r="C497" s="9" t="s">
        <v>2602</v>
      </c>
      <c r="D497" s="9" t="s">
        <v>2479</v>
      </c>
      <c r="E497" s="17" t="s">
        <v>49</v>
      </c>
      <c r="F497" s="9" t="s">
        <v>69</v>
      </c>
      <c r="G497" s="9" t="s">
        <v>70</v>
      </c>
      <c r="H497" s="9" t="s">
        <v>2485</v>
      </c>
      <c r="I497" s="9" t="s">
        <v>72</v>
      </c>
      <c r="J497" s="29"/>
      <c r="K497" s="29"/>
      <c r="L497" s="29"/>
      <c r="M497" s="10">
        <v>44103</v>
      </c>
      <c r="N497" s="9">
        <v>2020</v>
      </c>
      <c r="O497" s="9" t="s">
        <v>247</v>
      </c>
      <c r="P497" s="9" t="s">
        <v>53</v>
      </c>
      <c r="Q497" s="9" t="s">
        <v>53</v>
      </c>
      <c r="R497" s="9" t="s">
        <v>2492</v>
      </c>
      <c r="T497" s="9"/>
      <c r="V497" s="9"/>
      <c r="W497" s="11">
        <f>IFERROR(VLOOKUP(B497, PlumX_snapshot!$A:$B, 2, FALSE), " ")</f>
        <v>18</v>
      </c>
      <c r="X497" s="11">
        <f>IFERROR(VLOOKUP(B497, PlumX_snapshot!$A:$C, 3, FALSE), " ")</f>
        <v>3</v>
      </c>
      <c r="Y497" s="12">
        <f>IFERROR(VLOOKUP(B497, PlumX_snapshot!$A:$D, 4, FALSE), " ")</f>
        <v>95</v>
      </c>
      <c r="Z497" s="12">
        <f>IFERROR(VLOOKUP(B497, PlumX_snapshot!$A:$E, 5, FALSE), " ")</f>
        <v>0</v>
      </c>
      <c r="AA497" s="12">
        <f>IFERROR(VLOOKUP(B497, PlumX_snapshot!$A:$F, 6, FALSE), " ")</f>
        <v>2</v>
      </c>
      <c r="AB497" s="13">
        <v>44978</v>
      </c>
      <c r="AH497" s="9">
        <v>2200</v>
      </c>
      <c r="AI497" s="9" t="s">
        <v>77</v>
      </c>
      <c r="AJ497" s="9" t="s">
        <v>301</v>
      </c>
      <c r="AK497" s="11" t="str">
        <f t="shared" si="2"/>
        <v>2020GBP</v>
      </c>
      <c r="AL497" s="11">
        <f>VLOOKUP(AK497, Exchange_rates!$C:$D, 2, FALSE)</f>
        <v>1</v>
      </c>
      <c r="AM497" s="14">
        <f t="shared" si="3"/>
        <v>2640</v>
      </c>
      <c r="AN497" s="9"/>
      <c r="AO497" s="9"/>
      <c r="AP497" s="17"/>
      <c r="AQ497" s="15" t="s">
        <v>49</v>
      </c>
      <c r="AR497" t="s">
        <v>2603</v>
      </c>
      <c r="AS497" s="16" t="s">
        <v>2604</v>
      </c>
    </row>
    <row r="498" spans="1:45" ht="14.5">
      <c r="A498" s="9" t="s">
        <v>2605</v>
      </c>
      <c r="B498" s="9" t="s">
        <v>2606</v>
      </c>
      <c r="C498" s="9" t="s">
        <v>2607</v>
      </c>
      <c r="D498" s="9" t="s">
        <v>2479</v>
      </c>
      <c r="E498" s="17" t="s">
        <v>49</v>
      </c>
      <c r="F498" s="9" t="s">
        <v>50</v>
      </c>
      <c r="G498" s="9" t="s">
        <v>51</v>
      </c>
      <c r="H498" s="9"/>
      <c r="I498" s="9"/>
      <c r="J498" s="29"/>
      <c r="K498" s="29"/>
      <c r="L498" s="29"/>
      <c r="M498" s="10">
        <v>43892</v>
      </c>
      <c r="N498" s="9">
        <v>2020</v>
      </c>
      <c r="O498" s="9" t="s">
        <v>247</v>
      </c>
      <c r="P498" s="9" t="s">
        <v>83</v>
      </c>
      <c r="Q498" s="9" t="s">
        <v>53</v>
      </c>
      <c r="R498" s="9" t="s">
        <v>2608</v>
      </c>
      <c r="T498" s="9" t="s">
        <v>723</v>
      </c>
      <c r="U498" s="9" t="s">
        <v>2609</v>
      </c>
      <c r="V498" s="9"/>
      <c r="W498" s="11">
        <f>IFERROR(VLOOKUP(B498, PlumX_snapshot!$A:$B, 2, FALSE), " ")</f>
        <v>14</v>
      </c>
      <c r="X498" s="11">
        <f>IFERROR(VLOOKUP(B498, PlumX_snapshot!$A:$C, 3, FALSE), " ")</f>
        <v>3</v>
      </c>
      <c r="Y498" s="12">
        <f>IFERROR(VLOOKUP(B498, PlumX_snapshot!$A:$D, 4, FALSE), " ")</f>
        <v>2</v>
      </c>
      <c r="Z498" s="12">
        <f>IFERROR(VLOOKUP(B498, PlumX_snapshot!$A:$E, 5, FALSE), " ")</f>
        <v>0</v>
      </c>
      <c r="AA498" s="12">
        <f>IFERROR(VLOOKUP(B498, PlumX_snapshot!$A:$F, 6, FALSE), " ")</f>
        <v>0</v>
      </c>
      <c r="AB498" s="13">
        <v>44978</v>
      </c>
      <c r="AH498" s="9">
        <v>2200</v>
      </c>
      <c r="AI498" s="9" t="s">
        <v>77</v>
      </c>
      <c r="AJ498" s="9" t="s">
        <v>301</v>
      </c>
      <c r="AK498" s="11" t="str">
        <f t="shared" si="2"/>
        <v>2020GBP</v>
      </c>
      <c r="AL498" s="11">
        <f>VLOOKUP(AK498, Exchange_rates!$C:$D, 2, FALSE)</f>
        <v>1</v>
      </c>
      <c r="AM498" s="14">
        <f t="shared" si="3"/>
        <v>2640</v>
      </c>
      <c r="AN498" s="9"/>
      <c r="AO498" s="9"/>
      <c r="AP498" s="17"/>
      <c r="AQ498" s="15" t="s">
        <v>49</v>
      </c>
      <c r="AR498" t="s">
        <v>2610</v>
      </c>
      <c r="AS498" s="16" t="s">
        <v>2611</v>
      </c>
    </row>
    <row r="499" spans="1:45" ht="14.5">
      <c r="A499" s="9" t="s">
        <v>2612</v>
      </c>
      <c r="B499" s="9" t="s">
        <v>2613</v>
      </c>
      <c r="C499" s="9" t="s">
        <v>2614</v>
      </c>
      <c r="D499" s="9" t="s">
        <v>2479</v>
      </c>
      <c r="E499" s="17" t="s">
        <v>49</v>
      </c>
      <c r="F499" s="9" t="s">
        <v>69</v>
      </c>
      <c r="G499" s="9" t="s">
        <v>70</v>
      </c>
      <c r="H499" s="9" t="s">
        <v>2485</v>
      </c>
      <c r="I499" s="9" t="s">
        <v>238</v>
      </c>
      <c r="J499" s="29"/>
      <c r="K499" s="29"/>
      <c r="L499" s="29"/>
      <c r="M499" s="10">
        <v>44188</v>
      </c>
      <c r="N499" s="9">
        <v>2020</v>
      </c>
      <c r="O499" s="9" t="s">
        <v>247</v>
      </c>
      <c r="P499" s="9" t="s">
        <v>53</v>
      </c>
      <c r="Q499" s="9" t="s">
        <v>53</v>
      </c>
      <c r="R499" s="9" t="s">
        <v>2509</v>
      </c>
      <c r="T499" s="9"/>
      <c r="V499" s="9"/>
      <c r="W499" s="11">
        <f>IFERROR(VLOOKUP(B499, PlumX_snapshot!$A:$B, 2, FALSE), " ")</f>
        <v>30</v>
      </c>
      <c r="X499" s="11">
        <f>IFERROR(VLOOKUP(B499, PlumX_snapshot!$A:$C, 3, FALSE), " ")</f>
        <v>7</v>
      </c>
      <c r="Y499" s="12">
        <f>IFERROR(VLOOKUP(B499, PlumX_snapshot!$A:$D, 4, FALSE), " ")</f>
        <v>16</v>
      </c>
      <c r="Z499" s="12">
        <f>IFERROR(VLOOKUP(B499, PlumX_snapshot!$A:$E, 5, FALSE), " ")</f>
        <v>0</v>
      </c>
      <c r="AA499" s="12">
        <f>IFERROR(VLOOKUP(B499, PlumX_snapshot!$A:$F, 6, FALSE), " ")</f>
        <v>0</v>
      </c>
      <c r="AB499" s="13">
        <v>44978</v>
      </c>
      <c r="AH499" s="9">
        <v>2208</v>
      </c>
      <c r="AI499" s="9" t="s">
        <v>1999</v>
      </c>
      <c r="AJ499" s="9" t="s">
        <v>301</v>
      </c>
      <c r="AK499" s="11" t="str">
        <f t="shared" si="2"/>
        <v>2020GBP</v>
      </c>
      <c r="AL499" s="11">
        <f>VLOOKUP(AK499, Exchange_rates!$C:$D, 2, FALSE)</f>
        <v>1</v>
      </c>
      <c r="AM499" s="14">
        <f t="shared" si="3"/>
        <v>2649.6</v>
      </c>
      <c r="AN499" s="9"/>
      <c r="AO499" s="9"/>
      <c r="AP499" s="17"/>
      <c r="AQ499" s="15" t="s">
        <v>49</v>
      </c>
      <c r="AR499" t="s">
        <v>2615</v>
      </c>
      <c r="AS499" s="16" t="s">
        <v>2616</v>
      </c>
    </row>
    <row r="500" spans="1:45" ht="14.5">
      <c r="A500" s="9" t="s">
        <v>2617</v>
      </c>
      <c r="B500" s="9" t="s">
        <v>2618</v>
      </c>
      <c r="C500" s="9" t="s">
        <v>2614</v>
      </c>
      <c r="D500" s="9" t="s">
        <v>2479</v>
      </c>
      <c r="E500" s="17" t="s">
        <v>49</v>
      </c>
      <c r="F500" s="9" t="s">
        <v>69</v>
      </c>
      <c r="G500" s="9" t="s">
        <v>70</v>
      </c>
      <c r="H500" s="9" t="s">
        <v>2485</v>
      </c>
      <c r="I500" s="9" t="s">
        <v>238</v>
      </c>
      <c r="J500" s="29"/>
      <c r="K500" s="29"/>
      <c r="L500" s="29"/>
      <c r="M500" s="10">
        <v>44183</v>
      </c>
      <c r="N500" s="9">
        <v>2020</v>
      </c>
      <c r="O500" s="9" t="s">
        <v>247</v>
      </c>
      <c r="P500" s="9" t="s">
        <v>53</v>
      </c>
      <c r="Q500" s="9" t="s">
        <v>53</v>
      </c>
      <c r="R500" s="9" t="s">
        <v>2619</v>
      </c>
      <c r="T500" s="9"/>
      <c r="V500" s="9"/>
      <c r="W500" s="11">
        <f>IFERROR(VLOOKUP(B500, PlumX_snapshot!$A:$B, 2, FALSE), " ")</f>
        <v>11</v>
      </c>
      <c r="X500" s="11">
        <f>IFERROR(VLOOKUP(B500, PlumX_snapshot!$A:$C, 3, FALSE), " ")</f>
        <v>2</v>
      </c>
      <c r="Y500" s="12">
        <f>IFERROR(VLOOKUP(B500, PlumX_snapshot!$A:$D, 4, FALSE), " ")</f>
        <v>16</v>
      </c>
      <c r="Z500" s="12">
        <f>IFERROR(VLOOKUP(B500, PlumX_snapshot!$A:$E, 5, FALSE), " ")</f>
        <v>0</v>
      </c>
      <c r="AA500" s="12">
        <f>IFERROR(VLOOKUP(B500, PlumX_snapshot!$A:$F, 6, FALSE), " ")</f>
        <v>0</v>
      </c>
      <c r="AB500" s="13">
        <v>44978</v>
      </c>
      <c r="AH500" s="9">
        <v>2200</v>
      </c>
      <c r="AI500" s="9" t="s">
        <v>77</v>
      </c>
      <c r="AJ500" s="9" t="s">
        <v>301</v>
      </c>
      <c r="AK500" s="11" t="str">
        <f t="shared" si="2"/>
        <v>2020GBP</v>
      </c>
      <c r="AL500" s="11">
        <f>VLOOKUP(AK500, Exchange_rates!$C:$D, 2, FALSE)</f>
        <v>1</v>
      </c>
      <c r="AM500" s="14">
        <f t="shared" si="3"/>
        <v>2640</v>
      </c>
      <c r="AN500" s="9"/>
      <c r="AO500" s="9"/>
      <c r="AP500" s="17"/>
      <c r="AQ500" s="15" t="s">
        <v>49</v>
      </c>
      <c r="AR500" t="s">
        <v>2615</v>
      </c>
      <c r="AS500" s="16" t="s">
        <v>2616</v>
      </c>
    </row>
    <row r="501" spans="1:45" ht="14.5">
      <c r="A501" s="9" t="s">
        <v>2620</v>
      </c>
      <c r="B501" s="9" t="s">
        <v>2621</v>
      </c>
      <c r="C501" s="9" t="s">
        <v>2622</v>
      </c>
      <c r="D501" s="9" t="s">
        <v>2479</v>
      </c>
      <c r="E501" s="17" t="s">
        <v>49</v>
      </c>
      <c r="F501" s="9" t="s">
        <v>50</v>
      </c>
      <c r="G501" s="9" t="s">
        <v>51</v>
      </c>
      <c r="H501" s="9"/>
      <c r="J501" s="29"/>
      <c r="K501" s="29"/>
      <c r="L501" s="29"/>
      <c r="M501" s="10">
        <v>44123</v>
      </c>
      <c r="N501" s="9">
        <v>2020</v>
      </c>
      <c r="O501" s="9" t="s">
        <v>247</v>
      </c>
      <c r="P501" s="9" t="s">
        <v>53</v>
      </c>
      <c r="Q501" s="9" t="s">
        <v>53</v>
      </c>
      <c r="R501" s="9" t="s">
        <v>2619</v>
      </c>
      <c r="T501" s="9" t="s">
        <v>1912</v>
      </c>
      <c r="U501" s="9" t="s">
        <v>2623</v>
      </c>
      <c r="V501" s="9"/>
      <c r="W501" s="11">
        <f>IFERROR(VLOOKUP(B501, PlumX_snapshot!$A:$B, 2, FALSE), " ")</f>
        <v>4</v>
      </c>
      <c r="X501" s="11">
        <f>IFERROR(VLOOKUP(B501, PlumX_snapshot!$A:$C, 3, FALSE), " ")</f>
        <v>0</v>
      </c>
      <c r="Y501" s="12">
        <f>IFERROR(VLOOKUP(B501, PlumX_snapshot!$A:$D, 4, FALSE), " ")</f>
        <v>10</v>
      </c>
      <c r="Z501" s="12">
        <f>IFERROR(VLOOKUP(B501, PlumX_snapshot!$A:$E, 5, FALSE), " ")</f>
        <v>0</v>
      </c>
      <c r="AA501" s="12">
        <f>IFERROR(VLOOKUP(B501, PlumX_snapshot!$A:$F, 6, FALSE), " ")</f>
        <v>0</v>
      </c>
      <c r="AB501" s="13">
        <v>44978</v>
      </c>
      <c r="AH501" s="9">
        <v>2200</v>
      </c>
      <c r="AI501" s="9" t="s">
        <v>77</v>
      </c>
      <c r="AJ501" s="9" t="s">
        <v>301</v>
      </c>
      <c r="AK501" s="11" t="str">
        <f t="shared" si="2"/>
        <v>2020GBP</v>
      </c>
      <c r="AL501" s="11">
        <f>VLOOKUP(AK501, Exchange_rates!$C:$D, 2, FALSE)</f>
        <v>1</v>
      </c>
      <c r="AM501" s="14">
        <f t="shared" si="3"/>
        <v>2640</v>
      </c>
      <c r="AN501" s="9"/>
      <c r="AO501" s="9"/>
      <c r="AP501" s="17"/>
      <c r="AQ501" s="15" t="s">
        <v>49</v>
      </c>
      <c r="AR501" t="s">
        <v>2624</v>
      </c>
      <c r="AS501" s="16" t="s">
        <v>2625</v>
      </c>
    </row>
    <row r="502" spans="1:45" ht="14.5">
      <c r="A502" s="9" t="s">
        <v>2626</v>
      </c>
      <c r="B502" s="9" t="s">
        <v>2627</v>
      </c>
      <c r="C502" s="9" t="s">
        <v>2628</v>
      </c>
      <c r="D502" s="9" t="s">
        <v>2479</v>
      </c>
      <c r="E502" s="17" t="s">
        <v>49</v>
      </c>
      <c r="F502" s="9" t="s">
        <v>50</v>
      </c>
      <c r="G502" s="9" t="s">
        <v>51</v>
      </c>
      <c r="H502" s="9"/>
      <c r="J502" s="29"/>
      <c r="K502" s="29"/>
      <c r="L502" s="29"/>
      <c r="M502" s="10">
        <v>44040</v>
      </c>
      <c r="N502" s="9">
        <v>2020</v>
      </c>
      <c r="O502" s="9" t="s">
        <v>247</v>
      </c>
      <c r="P502" s="9" t="s">
        <v>53</v>
      </c>
      <c r="Q502" s="9" t="s">
        <v>53</v>
      </c>
      <c r="R502" s="9" t="s">
        <v>2629</v>
      </c>
      <c r="T502" s="9" t="s">
        <v>723</v>
      </c>
      <c r="U502" s="9" t="s">
        <v>2630</v>
      </c>
      <c r="V502" s="9"/>
      <c r="W502" s="11">
        <f>IFERROR(VLOOKUP(B502, PlumX_snapshot!$A:$B, 2, FALSE), " ")</f>
        <v>1</v>
      </c>
      <c r="X502" s="11">
        <f>IFERROR(VLOOKUP(B502, PlumX_snapshot!$A:$C, 3, FALSE), " ")</f>
        <v>0</v>
      </c>
      <c r="Y502" s="12">
        <f>IFERROR(VLOOKUP(B502, PlumX_snapshot!$A:$D, 4, FALSE), " ")</f>
        <v>0</v>
      </c>
      <c r="Z502" s="12">
        <f>IFERROR(VLOOKUP(B502, PlumX_snapshot!$A:$E, 5, FALSE), " ")</f>
        <v>0</v>
      </c>
      <c r="AA502" s="12">
        <f>IFERROR(VLOOKUP(B502, PlumX_snapshot!$A:$F, 6, FALSE), " ")</f>
        <v>0</v>
      </c>
      <c r="AB502" s="13">
        <v>44978</v>
      </c>
      <c r="AH502" s="9">
        <v>3000</v>
      </c>
      <c r="AI502" s="9" t="s">
        <v>77</v>
      </c>
      <c r="AJ502" s="9" t="s">
        <v>301</v>
      </c>
      <c r="AK502" s="11" t="str">
        <f t="shared" si="2"/>
        <v>2020GBP</v>
      </c>
      <c r="AL502" s="11">
        <f>VLOOKUP(AK502, Exchange_rates!$C:$D, 2, FALSE)</f>
        <v>1</v>
      </c>
      <c r="AM502" s="14">
        <f t="shared" si="3"/>
        <v>3600</v>
      </c>
      <c r="AN502" s="9"/>
      <c r="AO502" s="9"/>
      <c r="AP502" s="17"/>
      <c r="AQ502" s="15" t="s">
        <v>49</v>
      </c>
      <c r="AR502" t="s">
        <v>2631</v>
      </c>
      <c r="AS502" s="16" t="s">
        <v>2632</v>
      </c>
    </row>
    <row r="503" spans="1:45" ht="14.5">
      <c r="A503" s="9" t="s">
        <v>2633</v>
      </c>
      <c r="B503" s="9" t="s">
        <v>2634</v>
      </c>
      <c r="C503" s="9" t="s">
        <v>2635</v>
      </c>
      <c r="D503" s="9" t="s">
        <v>2479</v>
      </c>
      <c r="E503" s="17" t="s">
        <v>49</v>
      </c>
      <c r="F503" s="9" t="s">
        <v>69</v>
      </c>
      <c r="G503" s="9" t="s">
        <v>70</v>
      </c>
      <c r="H503" s="9" t="s">
        <v>2485</v>
      </c>
      <c r="I503" s="9" t="s">
        <v>238</v>
      </c>
      <c r="J503" s="29"/>
      <c r="K503" s="29"/>
      <c r="L503" s="29"/>
      <c r="M503" s="10">
        <v>44082</v>
      </c>
      <c r="N503" s="9">
        <v>2020</v>
      </c>
      <c r="O503" s="9" t="s">
        <v>247</v>
      </c>
      <c r="P503" s="9" t="s">
        <v>53</v>
      </c>
      <c r="Q503" s="9" t="s">
        <v>53</v>
      </c>
      <c r="R503" s="9" t="s">
        <v>2619</v>
      </c>
      <c r="T503" s="9"/>
      <c r="V503" s="9"/>
      <c r="W503" s="11">
        <f>IFERROR(VLOOKUP(B503, PlumX_snapshot!$A:$B, 2, FALSE), " ")</f>
        <v>13</v>
      </c>
      <c r="X503" s="11">
        <f>IFERROR(VLOOKUP(B503, PlumX_snapshot!$A:$C, 3, FALSE), " ")</f>
        <v>3</v>
      </c>
      <c r="Y503" s="12">
        <f>IFERROR(VLOOKUP(B503, PlumX_snapshot!$A:$D, 4, FALSE), " ")</f>
        <v>0</v>
      </c>
      <c r="Z503" s="12">
        <f>IFERROR(VLOOKUP(B503, PlumX_snapshot!$A:$E, 5, FALSE), " ")</f>
        <v>0</v>
      </c>
      <c r="AA503" s="12">
        <f>IFERROR(VLOOKUP(B503, PlumX_snapshot!$A:$F, 6, FALSE), " ")</f>
        <v>0</v>
      </c>
      <c r="AB503" s="13">
        <v>44978</v>
      </c>
      <c r="AH503" s="9">
        <v>2200</v>
      </c>
      <c r="AI503" s="9" t="s">
        <v>77</v>
      </c>
      <c r="AJ503" s="9" t="s">
        <v>301</v>
      </c>
      <c r="AK503" s="11" t="str">
        <f t="shared" si="2"/>
        <v>2020GBP</v>
      </c>
      <c r="AL503" s="11">
        <f>VLOOKUP(AK503, Exchange_rates!$C:$D, 2, FALSE)</f>
        <v>1</v>
      </c>
      <c r="AM503" s="14">
        <f t="shared" si="3"/>
        <v>2640</v>
      </c>
      <c r="AN503" s="9"/>
      <c r="AO503" s="9"/>
      <c r="AP503" s="17"/>
      <c r="AQ503" s="15" t="s">
        <v>49</v>
      </c>
      <c r="AR503" t="s">
        <v>2636</v>
      </c>
      <c r="AS503" s="16" t="s">
        <v>2637</v>
      </c>
    </row>
    <row r="504" spans="1:45" ht="14.5">
      <c r="A504" s="9" t="s">
        <v>2638</v>
      </c>
      <c r="B504" s="9" t="s">
        <v>2639</v>
      </c>
      <c r="C504" s="9" t="s">
        <v>2640</v>
      </c>
      <c r="D504" s="9" t="s">
        <v>2479</v>
      </c>
      <c r="E504" s="17" t="s">
        <v>49</v>
      </c>
      <c r="F504" s="9" t="s">
        <v>69</v>
      </c>
      <c r="G504" s="9" t="s">
        <v>70</v>
      </c>
      <c r="H504" s="9" t="s">
        <v>2485</v>
      </c>
      <c r="I504" s="9" t="s">
        <v>72</v>
      </c>
      <c r="J504" s="29"/>
      <c r="K504" s="29"/>
      <c r="L504" s="29"/>
      <c r="M504" s="10">
        <v>44120</v>
      </c>
      <c r="N504" s="9">
        <v>2020</v>
      </c>
      <c r="O504" s="9" t="s">
        <v>247</v>
      </c>
      <c r="P504" s="9" t="s">
        <v>53</v>
      </c>
      <c r="Q504" s="9" t="s">
        <v>53</v>
      </c>
      <c r="T504" s="9"/>
      <c r="U504" s="9" t="s">
        <v>474</v>
      </c>
      <c r="V504" s="9"/>
      <c r="W504" s="11">
        <f>IFERROR(VLOOKUP(B504, PlumX_snapshot!$A:$B, 2, FALSE), " ")</f>
        <v>0</v>
      </c>
      <c r="X504" s="11">
        <f>IFERROR(VLOOKUP(B504, PlumX_snapshot!$A:$C, 3, FALSE), " ")</f>
        <v>0</v>
      </c>
      <c r="Y504" s="12">
        <f>IFERROR(VLOOKUP(B504, PlumX_snapshot!$A:$D, 4, FALSE), " ")</f>
        <v>0</v>
      </c>
      <c r="Z504" s="12">
        <f>IFERROR(VLOOKUP(B504, PlumX_snapshot!$A:$E, 5, FALSE), " ")</f>
        <v>0</v>
      </c>
      <c r="AA504" s="12">
        <f>IFERROR(VLOOKUP(B504, PlumX_snapshot!$A:$F, 6, FALSE), " ")</f>
        <v>0</v>
      </c>
      <c r="AB504" s="13">
        <v>44978</v>
      </c>
      <c r="AH504" s="9">
        <v>2200</v>
      </c>
      <c r="AI504" s="9" t="s">
        <v>77</v>
      </c>
      <c r="AJ504" s="9" t="s">
        <v>301</v>
      </c>
      <c r="AK504" s="11" t="str">
        <f t="shared" si="2"/>
        <v>2020GBP</v>
      </c>
      <c r="AL504" s="11">
        <f>VLOOKUP(AK504, Exchange_rates!$C:$D, 2, FALSE)</f>
        <v>1</v>
      </c>
      <c r="AM504" s="14">
        <f t="shared" si="3"/>
        <v>2640</v>
      </c>
      <c r="AN504" s="9"/>
      <c r="AO504" s="9"/>
      <c r="AP504" s="17"/>
      <c r="AQ504" s="15" t="s">
        <v>49</v>
      </c>
      <c r="AR504" t="s">
        <v>2641</v>
      </c>
      <c r="AS504" s="16" t="s">
        <v>2642</v>
      </c>
    </row>
    <row r="505" spans="1:45" ht="14.5">
      <c r="A505" s="9" t="s">
        <v>2643</v>
      </c>
      <c r="B505" s="9" t="s">
        <v>2644</v>
      </c>
      <c r="C505" s="9" t="s">
        <v>2645</v>
      </c>
      <c r="D505" s="9" t="s">
        <v>2479</v>
      </c>
      <c r="E505" s="17" t="s">
        <v>49</v>
      </c>
      <c r="F505" s="9" t="s">
        <v>69</v>
      </c>
      <c r="G505" s="9" t="s">
        <v>70</v>
      </c>
      <c r="H505" s="9" t="s">
        <v>2485</v>
      </c>
      <c r="I505" s="9" t="s">
        <v>72</v>
      </c>
      <c r="J505" s="29"/>
      <c r="K505" s="29"/>
      <c r="L505" s="29"/>
      <c r="M505" s="10">
        <v>44076</v>
      </c>
      <c r="N505" s="9">
        <v>2020</v>
      </c>
      <c r="O505" s="9" t="s">
        <v>247</v>
      </c>
      <c r="P505" s="9" t="s">
        <v>53</v>
      </c>
      <c r="Q505" s="9" t="s">
        <v>53</v>
      </c>
      <c r="R505" s="9" t="s">
        <v>2492</v>
      </c>
      <c r="T505" s="9"/>
      <c r="V505" s="9"/>
      <c r="W505" s="11">
        <f>IFERROR(VLOOKUP(B505, PlumX_snapshot!$A:$B, 2, FALSE), " ")</f>
        <v>70</v>
      </c>
      <c r="X505" s="11">
        <f>IFERROR(VLOOKUP(B505, PlumX_snapshot!$A:$C, 3, FALSE), " ")</f>
        <v>13</v>
      </c>
      <c r="Y505" s="12">
        <f>IFERROR(VLOOKUP(B505, PlumX_snapshot!$A:$D, 4, FALSE), " ")</f>
        <v>43</v>
      </c>
      <c r="Z505" s="12">
        <f>IFERROR(VLOOKUP(B505, PlumX_snapshot!$A:$E, 5, FALSE), " ")</f>
        <v>0</v>
      </c>
      <c r="AA505" s="12">
        <f>IFERROR(VLOOKUP(B505, PlumX_snapshot!$A:$F, 6, FALSE), " ")</f>
        <v>0</v>
      </c>
      <c r="AB505" s="13">
        <v>44978</v>
      </c>
      <c r="AH505" s="9">
        <v>2200</v>
      </c>
      <c r="AI505" s="9" t="s">
        <v>77</v>
      </c>
      <c r="AJ505" s="9" t="s">
        <v>301</v>
      </c>
      <c r="AK505" s="11" t="str">
        <f t="shared" si="2"/>
        <v>2020GBP</v>
      </c>
      <c r="AL505" s="11">
        <f>VLOOKUP(AK505, Exchange_rates!$C:$D, 2, FALSE)</f>
        <v>1</v>
      </c>
      <c r="AM505" s="14">
        <f t="shared" si="3"/>
        <v>2640</v>
      </c>
      <c r="AN505" s="9"/>
      <c r="AO505" s="9"/>
      <c r="AP505" s="17"/>
      <c r="AQ505" s="15" t="s">
        <v>49</v>
      </c>
      <c r="AR505" t="s">
        <v>2646</v>
      </c>
      <c r="AS505" s="16" t="s">
        <v>2647</v>
      </c>
    </row>
    <row r="506" spans="1:45" ht="14.5">
      <c r="A506" s="9" t="s">
        <v>2648</v>
      </c>
      <c r="B506" s="9" t="s">
        <v>2649</v>
      </c>
      <c r="C506" s="9" t="s">
        <v>2650</v>
      </c>
      <c r="D506" s="9" t="s">
        <v>2479</v>
      </c>
      <c r="E506" s="17" t="s">
        <v>49</v>
      </c>
      <c r="F506" s="9" t="s">
        <v>69</v>
      </c>
      <c r="G506" s="9" t="s">
        <v>70</v>
      </c>
      <c r="H506" s="9" t="s">
        <v>2485</v>
      </c>
      <c r="I506" s="9" t="s">
        <v>72</v>
      </c>
      <c r="J506" s="29"/>
      <c r="K506" s="29"/>
      <c r="L506" s="29"/>
      <c r="M506" s="10">
        <v>44187</v>
      </c>
      <c r="N506" s="9">
        <v>2020</v>
      </c>
      <c r="O506" s="9" t="s">
        <v>247</v>
      </c>
      <c r="P506" s="9" t="s">
        <v>53</v>
      </c>
      <c r="Q506" s="9" t="s">
        <v>53</v>
      </c>
      <c r="R506" s="9" t="s">
        <v>2492</v>
      </c>
      <c r="T506" s="9"/>
      <c r="V506" s="9"/>
      <c r="W506" s="11">
        <f>IFERROR(VLOOKUP(B506, PlumX_snapshot!$A:$B, 2, FALSE), " ")</f>
        <v>17</v>
      </c>
      <c r="X506" s="11">
        <f>IFERROR(VLOOKUP(B506, PlumX_snapshot!$A:$C, 3, FALSE), " ")</f>
        <v>4</v>
      </c>
      <c r="Y506" s="12">
        <f>IFERROR(VLOOKUP(B506, PlumX_snapshot!$A:$D, 4, FALSE), " ")</f>
        <v>13</v>
      </c>
      <c r="Z506" s="12">
        <f>IFERROR(VLOOKUP(B506, PlumX_snapshot!$A:$E, 5, FALSE), " ")</f>
        <v>0</v>
      </c>
      <c r="AA506" s="12">
        <f>IFERROR(VLOOKUP(B506, PlumX_snapshot!$A:$F, 6, FALSE), " ")</f>
        <v>0</v>
      </c>
      <c r="AB506" s="13">
        <v>44978</v>
      </c>
      <c r="AH506" s="9">
        <v>2200</v>
      </c>
      <c r="AI506" s="9" t="s">
        <v>77</v>
      </c>
      <c r="AJ506" s="9" t="s">
        <v>301</v>
      </c>
      <c r="AK506" s="11" t="str">
        <f t="shared" si="2"/>
        <v>2020GBP</v>
      </c>
      <c r="AL506" s="11">
        <f>VLOOKUP(AK506, Exchange_rates!$C:$D, 2, FALSE)</f>
        <v>1</v>
      </c>
      <c r="AM506" s="14">
        <f t="shared" si="3"/>
        <v>2640</v>
      </c>
      <c r="AN506" s="9"/>
      <c r="AO506" s="9"/>
      <c r="AP506" s="17"/>
      <c r="AQ506" s="15" t="s">
        <v>49</v>
      </c>
      <c r="AR506" t="s">
        <v>2651</v>
      </c>
      <c r="AS506" s="16" t="s">
        <v>2652</v>
      </c>
    </row>
    <row r="507" spans="1:45" ht="14.5">
      <c r="A507" s="9" t="s">
        <v>2653</v>
      </c>
      <c r="B507" s="9" t="s">
        <v>2654</v>
      </c>
      <c r="C507" s="9" t="s">
        <v>2655</v>
      </c>
      <c r="D507" s="9" t="s">
        <v>2479</v>
      </c>
      <c r="E507" s="17" t="s">
        <v>49</v>
      </c>
      <c r="F507" s="9" t="s">
        <v>69</v>
      </c>
      <c r="G507" s="9" t="s">
        <v>70</v>
      </c>
      <c r="H507" s="9" t="s">
        <v>2485</v>
      </c>
      <c r="I507" s="9" t="s">
        <v>238</v>
      </c>
      <c r="J507" s="29"/>
      <c r="K507" s="29"/>
      <c r="L507" s="29"/>
      <c r="M507" s="10">
        <v>44061</v>
      </c>
      <c r="N507" s="9">
        <v>2020</v>
      </c>
      <c r="O507" s="9" t="s">
        <v>247</v>
      </c>
      <c r="P507" s="9" t="s">
        <v>53</v>
      </c>
      <c r="Q507" s="9" t="s">
        <v>53</v>
      </c>
      <c r="R507" s="9" t="s">
        <v>2492</v>
      </c>
      <c r="T507" s="9"/>
      <c r="V507" s="9"/>
      <c r="W507" s="11">
        <f>IFERROR(VLOOKUP(B507, PlumX_snapshot!$A:$B, 2, FALSE), " ")</f>
        <v>69</v>
      </c>
      <c r="X507" s="11">
        <f>IFERROR(VLOOKUP(B507, PlumX_snapshot!$A:$C, 3, FALSE), " ")</f>
        <v>30</v>
      </c>
      <c r="Y507" s="12">
        <f>IFERROR(VLOOKUP(B507, PlumX_snapshot!$A:$D, 4, FALSE), " ")</f>
        <v>158</v>
      </c>
      <c r="Z507" s="12">
        <f>IFERROR(VLOOKUP(B507, PlumX_snapshot!$A:$E, 5, FALSE), " ")</f>
        <v>0</v>
      </c>
      <c r="AA507" s="12">
        <f>IFERROR(VLOOKUP(B507, PlumX_snapshot!$A:$F, 6, FALSE), " ")</f>
        <v>0</v>
      </c>
      <c r="AB507" s="13">
        <v>44978</v>
      </c>
      <c r="AH507" s="9">
        <v>2200</v>
      </c>
      <c r="AI507" s="9" t="s">
        <v>77</v>
      </c>
      <c r="AJ507" s="9" t="s">
        <v>301</v>
      </c>
      <c r="AK507" s="11" t="str">
        <f t="shared" si="2"/>
        <v>2020GBP</v>
      </c>
      <c r="AL507" s="11">
        <f>VLOOKUP(AK507, Exchange_rates!$C:$D, 2, FALSE)</f>
        <v>1</v>
      </c>
      <c r="AM507" s="14">
        <f t="shared" si="3"/>
        <v>2640</v>
      </c>
      <c r="AN507" s="9"/>
      <c r="AO507" s="9"/>
      <c r="AP507" s="17"/>
      <c r="AQ507" s="15" t="s">
        <v>49</v>
      </c>
      <c r="AR507" t="s">
        <v>2656</v>
      </c>
      <c r="AS507" s="16" t="s">
        <v>2657</v>
      </c>
    </row>
    <row r="508" spans="1:45" ht="14.5">
      <c r="A508" s="9" t="s">
        <v>2658</v>
      </c>
      <c r="B508" s="9" t="s">
        <v>2659</v>
      </c>
      <c r="C508" s="9" t="s">
        <v>2660</v>
      </c>
      <c r="D508" s="9" t="s">
        <v>2479</v>
      </c>
      <c r="E508" s="17" t="s">
        <v>49</v>
      </c>
      <c r="F508" s="9" t="s">
        <v>50</v>
      </c>
      <c r="G508" s="9" t="s">
        <v>51</v>
      </c>
      <c r="H508" s="9"/>
      <c r="J508" s="29"/>
      <c r="K508" s="29"/>
      <c r="L508" s="29"/>
      <c r="M508" s="10">
        <v>43887</v>
      </c>
      <c r="N508" s="9">
        <v>2020</v>
      </c>
      <c r="O508" s="9" t="s">
        <v>247</v>
      </c>
      <c r="P508" s="9" t="s">
        <v>53</v>
      </c>
      <c r="Q508" s="9" t="s">
        <v>53</v>
      </c>
      <c r="T508" s="9" t="s">
        <v>723</v>
      </c>
      <c r="U508" s="9" t="s">
        <v>2630</v>
      </c>
      <c r="V508" s="9"/>
      <c r="W508" s="11">
        <f>IFERROR(VLOOKUP(B508, PlumX_snapshot!$A:$B, 2, FALSE), " ")</f>
        <v>14</v>
      </c>
      <c r="X508" s="11">
        <f>IFERROR(VLOOKUP(B508, PlumX_snapshot!$A:$C, 3, FALSE), " ")</f>
        <v>2</v>
      </c>
      <c r="Y508" s="12">
        <f>IFERROR(VLOOKUP(B508, PlumX_snapshot!$A:$D, 4, FALSE), " ")</f>
        <v>14</v>
      </c>
      <c r="Z508" s="12">
        <f>IFERROR(VLOOKUP(B508, PlumX_snapshot!$A:$E, 5, FALSE), " ")</f>
        <v>0</v>
      </c>
      <c r="AA508" s="12">
        <f>IFERROR(VLOOKUP(B508, PlumX_snapshot!$A:$F, 6, FALSE), " ")</f>
        <v>0</v>
      </c>
      <c r="AB508" s="13">
        <v>44978</v>
      </c>
      <c r="AH508" s="9">
        <v>2200</v>
      </c>
      <c r="AI508" s="9" t="s">
        <v>77</v>
      </c>
      <c r="AJ508" s="9" t="s">
        <v>301</v>
      </c>
      <c r="AK508" s="11" t="str">
        <f t="shared" si="2"/>
        <v>2020GBP</v>
      </c>
      <c r="AL508" s="11">
        <f>VLOOKUP(AK508, Exchange_rates!$C:$D, 2, FALSE)</f>
        <v>1</v>
      </c>
      <c r="AM508" s="14">
        <f t="shared" si="3"/>
        <v>2640</v>
      </c>
      <c r="AN508" s="9"/>
      <c r="AO508" s="9"/>
      <c r="AP508" s="17"/>
      <c r="AQ508" s="15" t="s">
        <v>49</v>
      </c>
      <c r="AR508" t="s">
        <v>2661</v>
      </c>
      <c r="AS508" s="16" t="s">
        <v>2662</v>
      </c>
    </row>
    <row r="509" spans="1:45" ht="14.5">
      <c r="A509" s="9" t="s">
        <v>2663</v>
      </c>
      <c r="B509" s="9" t="s">
        <v>2664</v>
      </c>
      <c r="C509" s="9" t="s">
        <v>2665</v>
      </c>
      <c r="D509" s="9" t="s">
        <v>2479</v>
      </c>
      <c r="E509" s="17" t="s">
        <v>49</v>
      </c>
      <c r="F509" s="9" t="s">
        <v>69</v>
      </c>
      <c r="G509" s="9" t="s">
        <v>70</v>
      </c>
      <c r="H509" s="9" t="s">
        <v>2485</v>
      </c>
      <c r="I509" s="9" t="s">
        <v>238</v>
      </c>
      <c r="J509" s="29"/>
      <c r="K509" s="29"/>
      <c r="L509" s="29"/>
      <c r="M509" s="10">
        <v>44014</v>
      </c>
      <c r="N509" s="9">
        <v>2020</v>
      </c>
      <c r="O509" s="9" t="s">
        <v>247</v>
      </c>
      <c r="P509" s="9" t="s">
        <v>53</v>
      </c>
      <c r="Q509" s="9" t="s">
        <v>53</v>
      </c>
      <c r="R509" s="9" t="s">
        <v>2666</v>
      </c>
      <c r="T509" s="9"/>
      <c r="V509" s="9"/>
      <c r="W509" s="11">
        <f>IFERROR(VLOOKUP(B509, PlumX_snapshot!$A:$B, 2, FALSE), " ")</f>
        <v>30</v>
      </c>
      <c r="X509" s="11">
        <f>IFERROR(VLOOKUP(B509, PlumX_snapshot!$A:$C, 3, FALSE), " ")</f>
        <v>4</v>
      </c>
      <c r="Y509" s="12">
        <f>IFERROR(VLOOKUP(B509, PlumX_snapshot!$A:$D, 4, FALSE), " ")</f>
        <v>21</v>
      </c>
      <c r="Z509" s="12">
        <f>IFERROR(VLOOKUP(B509, PlumX_snapshot!$A:$E, 5, FALSE), " ")</f>
        <v>0</v>
      </c>
      <c r="AA509" s="12">
        <f>IFERROR(VLOOKUP(B509, PlumX_snapshot!$A:$F, 6, FALSE), " ")</f>
        <v>0</v>
      </c>
      <c r="AB509" s="13">
        <v>44978</v>
      </c>
      <c r="AH509" s="9">
        <v>2208</v>
      </c>
      <c r="AI509" s="9" t="s">
        <v>1999</v>
      </c>
      <c r="AJ509" s="9" t="s">
        <v>301</v>
      </c>
      <c r="AK509" s="11" t="str">
        <f t="shared" si="2"/>
        <v>2020GBP</v>
      </c>
      <c r="AL509" s="11">
        <f>VLOOKUP(AK509, Exchange_rates!$C:$D, 2, FALSE)</f>
        <v>1</v>
      </c>
      <c r="AM509" s="14">
        <f t="shared" si="3"/>
        <v>2649.6</v>
      </c>
      <c r="AN509" s="9"/>
      <c r="AO509" s="9"/>
      <c r="AP509" s="17"/>
      <c r="AQ509" s="15" t="s">
        <v>49</v>
      </c>
      <c r="AR509" t="s">
        <v>2667</v>
      </c>
      <c r="AS509" s="16" t="s">
        <v>2668</v>
      </c>
    </row>
    <row r="510" spans="1:45" ht="14.5">
      <c r="A510" s="9" t="s">
        <v>2669</v>
      </c>
      <c r="B510" s="9" t="s">
        <v>2670</v>
      </c>
      <c r="C510" s="9" t="s">
        <v>2671</v>
      </c>
      <c r="D510" s="9" t="s">
        <v>2479</v>
      </c>
      <c r="E510" s="17" t="s">
        <v>49</v>
      </c>
      <c r="F510" s="9" t="s">
        <v>69</v>
      </c>
      <c r="G510" s="9" t="s">
        <v>70</v>
      </c>
      <c r="H510" s="9" t="s">
        <v>2485</v>
      </c>
      <c r="I510" s="9" t="s">
        <v>72</v>
      </c>
      <c r="J510" s="29"/>
      <c r="K510" s="29"/>
      <c r="L510" s="29"/>
      <c r="M510" s="10">
        <v>44152</v>
      </c>
      <c r="N510" s="9">
        <v>2020</v>
      </c>
      <c r="O510" s="9" t="s">
        <v>247</v>
      </c>
      <c r="P510" s="9" t="s">
        <v>83</v>
      </c>
      <c r="Q510" s="9" t="s">
        <v>53</v>
      </c>
      <c r="R510" s="9" t="s">
        <v>2672</v>
      </c>
      <c r="T510" s="9"/>
      <c r="V510" s="9"/>
      <c r="W510" s="11">
        <f>IFERROR(VLOOKUP(B510, PlumX_snapshot!$A:$B, 2, FALSE), " ")</f>
        <v>19</v>
      </c>
      <c r="X510" s="11">
        <f>IFERROR(VLOOKUP(B510, PlumX_snapshot!$A:$C, 3, FALSE), " ")</f>
        <v>0</v>
      </c>
      <c r="Y510" s="12">
        <f>IFERROR(VLOOKUP(B510, PlumX_snapshot!$A:$D, 4, FALSE), " ")</f>
        <v>20</v>
      </c>
      <c r="Z510" s="12">
        <f>IFERROR(VLOOKUP(B510, PlumX_snapshot!$A:$E, 5, FALSE), " ")</f>
        <v>0</v>
      </c>
      <c r="AA510" s="12">
        <f>IFERROR(VLOOKUP(B510, PlumX_snapshot!$A:$F, 6, FALSE), " ")</f>
        <v>0</v>
      </c>
      <c r="AB510" s="13">
        <v>44978</v>
      </c>
      <c r="AH510" s="9">
        <v>2200</v>
      </c>
      <c r="AI510" s="9" t="s">
        <v>77</v>
      </c>
      <c r="AJ510" s="9" t="s">
        <v>301</v>
      </c>
      <c r="AK510" s="11" t="str">
        <f t="shared" si="2"/>
        <v>2020GBP</v>
      </c>
      <c r="AL510" s="11">
        <f>VLOOKUP(AK510, Exchange_rates!$C:$D, 2, FALSE)</f>
        <v>1</v>
      </c>
      <c r="AM510" s="14">
        <f t="shared" si="3"/>
        <v>2640</v>
      </c>
      <c r="AN510" s="9"/>
      <c r="AO510" s="9"/>
      <c r="AP510" s="17"/>
      <c r="AQ510" s="15" t="s">
        <v>49</v>
      </c>
      <c r="AR510" t="s">
        <v>2673</v>
      </c>
      <c r="AS510" s="16" t="s">
        <v>2674</v>
      </c>
    </row>
    <row r="511" spans="1:45" ht="14.5">
      <c r="A511" s="9" t="s">
        <v>2675</v>
      </c>
      <c r="B511" s="9" t="s">
        <v>2676</v>
      </c>
      <c r="C511" s="9" t="s">
        <v>2677</v>
      </c>
      <c r="D511" s="9" t="s">
        <v>2479</v>
      </c>
      <c r="E511" s="17" t="s">
        <v>49</v>
      </c>
      <c r="F511" s="9" t="s">
        <v>69</v>
      </c>
      <c r="G511" s="9" t="s">
        <v>70</v>
      </c>
      <c r="H511" s="9" t="s">
        <v>2485</v>
      </c>
      <c r="I511" s="9" t="s">
        <v>72</v>
      </c>
      <c r="J511" s="29"/>
      <c r="K511" s="29"/>
      <c r="L511" s="29"/>
      <c r="M511" s="10">
        <v>44060</v>
      </c>
      <c r="N511" s="9">
        <v>2020</v>
      </c>
      <c r="O511" s="9" t="s">
        <v>247</v>
      </c>
      <c r="P511" s="9" t="s">
        <v>53</v>
      </c>
      <c r="Q511" s="9" t="s">
        <v>53</v>
      </c>
      <c r="R511" s="9" t="s">
        <v>2678</v>
      </c>
      <c r="T511" s="9"/>
      <c r="V511" s="9"/>
      <c r="W511" s="11">
        <f>IFERROR(VLOOKUP(B511, PlumX_snapshot!$A:$B, 2, FALSE), " ")</f>
        <v>71</v>
      </c>
      <c r="X511" s="11">
        <f>IFERROR(VLOOKUP(B511, PlumX_snapshot!$A:$C, 3, FALSE), " ")</f>
        <v>10</v>
      </c>
      <c r="Y511" s="12">
        <f>IFERROR(VLOOKUP(B511, PlumX_snapshot!$A:$D, 4, FALSE), " ")</f>
        <v>17</v>
      </c>
      <c r="Z511" s="12">
        <f>IFERROR(VLOOKUP(B511, PlumX_snapshot!$A:$E, 5, FALSE), " ")</f>
        <v>0</v>
      </c>
      <c r="AA511" s="12">
        <f>IFERROR(VLOOKUP(B511, PlumX_snapshot!$A:$F, 6, FALSE), " ")</f>
        <v>1</v>
      </c>
      <c r="AB511" s="13">
        <v>44978</v>
      </c>
      <c r="AH511" s="9">
        <v>2200</v>
      </c>
      <c r="AI511" s="9" t="s">
        <v>77</v>
      </c>
      <c r="AJ511" s="9" t="s">
        <v>301</v>
      </c>
      <c r="AK511" s="11" t="str">
        <f t="shared" si="2"/>
        <v>2020GBP</v>
      </c>
      <c r="AL511" s="11">
        <f>VLOOKUP(AK511, Exchange_rates!$C:$D, 2, FALSE)</f>
        <v>1</v>
      </c>
      <c r="AM511" s="14">
        <f t="shared" si="3"/>
        <v>2640</v>
      </c>
      <c r="AN511" s="9"/>
      <c r="AO511" s="9"/>
      <c r="AP511" s="17"/>
      <c r="AQ511" s="15" t="s">
        <v>49</v>
      </c>
      <c r="AR511" t="s">
        <v>2679</v>
      </c>
      <c r="AS511" s="16" t="s">
        <v>2680</v>
      </c>
    </row>
    <row r="512" spans="1:45" ht="14.5">
      <c r="A512" s="9" t="s">
        <v>2681</v>
      </c>
      <c r="B512" s="9" t="s">
        <v>2682</v>
      </c>
      <c r="C512" s="9" t="s">
        <v>2683</v>
      </c>
      <c r="D512" s="9" t="s">
        <v>2479</v>
      </c>
      <c r="E512" s="17" t="s">
        <v>49</v>
      </c>
      <c r="F512" s="9" t="s">
        <v>69</v>
      </c>
      <c r="G512" s="9" t="s">
        <v>70</v>
      </c>
      <c r="H512" s="9" t="s">
        <v>2485</v>
      </c>
      <c r="I512" s="9" t="s">
        <v>72</v>
      </c>
      <c r="J512" s="29"/>
      <c r="K512" s="29"/>
      <c r="L512" s="29"/>
      <c r="M512" s="10">
        <v>44061</v>
      </c>
      <c r="N512" s="9">
        <v>2020</v>
      </c>
      <c r="O512" s="9" t="s">
        <v>247</v>
      </c>
      <c r="P512" s="9" t="s">
        <v>83</v>
      </c>
      <c r="Q512" s="9" t="s">
        <v>53</v>
      </c>
      <c r="R512" s="9" t="s">
        <v>2684</v>
      </c>
      <c r="T512" s="9"/>
      <c r="V512" s="9"/>
      <c r="W512" s="11">
        <f>IFERROR(VLOOKUP(B512, PlumX_snapshot!$A:$B, 2, FALSE), " ")</f>
        <v>5</v>
      </c>
      <c r="X512" s="11">
        <f>IFERROR(VLOOKUP(B512, PlumX_snapshot!$A:$C, 3, FALSE), " ")</f>
        <v>5</v>
      </c>
      <c r="Y512" s="12">
        <f>IFERROR(VLOOKUP(B512, PlumX_snapshot!$A:$D, 4, FALSE), " ")</f>
        <v>15</v>
      </c>
      <c r="Z512" s="12">
        <f>IFERROR(VLOOKUP(B512, PlumX_snapshot!$A:$E, 5, FALSE), " ")</f>
        <v>0</v>
      </c>
      <c r="AA512" s="12">
        <f>IFERROR(VLOOKUP(B512, PlumX_snapshot!$A:$F, 6, FALSE), " ")</f>
        <v>0</v>
      </c>
      <c r="AB512" s="13">
        <v>44978</v>
      </c>
      <c r="AH512" s="9">
        <v>2200</v>
      </c>
      <c r="AI512" s="9" t="s">
        <v>77</v>
      </c>
      <c r="AJ512" s="9" t="s">
        <v>301</v>
      </c>
      <c r="AK512" s="11" t="str">
        <f t="shared" ref="AK512:AK766" si="4">CONCATENATE(N512,AJ512)</f>
        <v>2020GBP</v>
      </c>
      <c r="AL512" s="11">
        <f>VLOOKUP(AK512, Exchange_rates!$C:$D, 2, FALSE)</f>
        <v>1</v>
      </c>
      <c r="AM512" s="14">
        <f t="shared" ref="AM512:AM766" si="5">IFERROR(((AH512*AL512)*1.2), "")</f>
        <v>2640</v>
      </c>
      <c r="AN512" s="9"/>
      <c r="AO512" s="9"/>
      <c r="AP512" s="17"/>
      <c r="AQ512" s="15" t="s">
        <v>49</v>
      </c>
      <c r="AR512" t="s">
        <v>2685</v>
      </c>
      <c r="AS512" s="16" t="s">
        <v>2685</v>
      </c>
    </row>
    <row r="513" spans="1:60" ht="14.5">
      <c r="A513" s="20" t="s">
        <v>2686</v>
      </c>
      <c r="B513" s="20" t="s">
        <v>2687</v>
      </c>
      <c r="C513" s="20" t="s">
        <v>2688</v>
      </c>
      <c r="D513" s="20" t="s">
        <v>2479</v>
      </c>
      <c r="E513" s="21" t="s">
        <v>49</v>
      </c>
      <c r="F513" s="20" t="s">
        <v>50</v>
      </c>
      <c r="G513" s="20" t="s">
        <v>51</v>
      </c>
      <c r="H513" s="20"/>
      <c r="I513" s="20"/>
      <c r="J513" s="33"/>
      <c r="K513" s="33"/>
      <c r="L513" s="33"/>
      <c r="M513" s="22">
        <v>44301</v>
      </c>
      <c r="N513" s="20">
        <v>2021</v>
      </c>
      <c r="O513" s="20" t="s">
        <v>247</v>
      </c>
      <c r="P513" s="20" t="s">
        <v>53</v>
      </c>
      <c r="Q513" s="20" t="s">
        <v>53</v>
      </c>
      <c r="R513" s="20" t="s">
        <v>2492</v>
      </c>
      <c r="S513" s="20"/>
      <c r="T513" s="20" t="s">
        <v>723</v>
      </c>
      <c r="U513" s="20" t="s">
        <v>2630</v>
      </c>
      <c r="V513" s="20"/>
      <c r="W513" s="23">
        <f>IFERROR(VLOOKUP(B513, PlumX_snapshot!$A:$B, 2, FALSE), " ")</f>
        <v>38</v>
      </c>
      <c r="X513" s="23">
        <f>IFERROR(VLOOKUP(B513, PlumX_snapshot!$A:$C, 3, FALSE), " ")</f>
        <v>2</v>
      </c>
      <c r="Y513" s="24">
        <f>IFERROR(VLOOKUP(B513, PlumX_snapshot!$A:$D, 4, FALSE), " ")</f>
        <v>0</v>
      </c>
      <c r="Z513" s="24">
        <f>IFERROR(VLOOKUP(B513, PlumX_snapshot!$A:$E, 5, FALSE), " ")</f>
        <v>0</v>
      </c>
      <c r="AA513" s="24">
        <f>IFERROR(VLOOKUP(B513, PlumX_snapshot!$A:$F, 6, FALSE), " ")</f>
        <v>0</v>
      </c>
      <c r="AB513" s="25">
        <v>44978</v>
      </c>
      <c r="AC513" s="20"/>
      <c r="AD513" s="20"/>
      <c r="AE513" s="20"/>
      <c r="AF513" s="20"/>
      <c r="AG513" s="20"/>
      <c r="AH513" s="20">
        <v>2200</v>
      </c>
      <c r="AI513" s="20" t="s">
        <v>77</v>
      </c>
      <c r="AJ513" s="20" t="s">
        <v>301</v>
      </c>
      <c r="AK513" s="23" t="str">
        <f t="shared" si="4"/>
        <v>2021GBP</v>
      </c>
      <c r="AL513" s="23">
        <f>VLOOKUP(AK513, Exchange_rates!$C:$D, 2, FALSE)</f>
        <v>1</v>
      </c>
      <c r="AM513" s="26">
        <f t="shared" si="5"/>
        <v>2640</v>
      </c>
      <c r="AN513" s="20"/>
      <c r="AO513" s="20"/>
      <c r="AP513" s="21"/>
      <c r="AQ513" s="27" t="s">
        <v>49</v>
      </c>
      <c r="AR513" t="s">
        <v>2689</v>
      </c>
      <c r="AS513" s="16" t="s">
        <v>2690</v>
      </c>
      <c r="AT513" s="20"/>
      <c r="AU513" s="20"/>
      <c r="AV513" s="20"/>
      <c r="AW513" s="20"/>
      <c r="AX513" s="20"/>
      <c r="AY513" s="20"/>
      <c r="AZ513" s="20"/>
      <c r="BA513" s="20"/>
      <c r="BB513" s="20"/>
      <c r="BC513" s="20"/>
      <c r="BD513" s="20"/>
      <c r="BE513" s="20"/>
      <c r="BF513" s="20"/>
      <c r="BG513" s="20"/>
      <c r="BH513" s="20"/>
    </row>
    <row r="514" spans="1:60" ht="14.5">
      <c r="A514" s="9" t="s">
        <v>2691</v>
      </c>
      <c r="B514" s="9" t="s">
        <v>2692</v>
      </c>
      <c r="C514" s="9" t="s">
        <v>2693</v>
      </c>
      <c r="D514" s="9" t="s">
        <v>2479</v>
      </c>
      <c r="E514" s="17" t="s">
        <v>49</v>
      </c>
      <c r="F514" s="9" t="s">
        <v>69</v>
      </c>
      <c r="G514" s="9" t="s">
        <v>70</v>
      </c>
      <c r="H514" s="9" t="s">
        <v>2485</v>
      </c>
      <c r="I514" s="9" t="s">
        <v>72</v>
      </c>
      <c r="J514" s="29"/>
      <c r="K514" s="29"/>
      <c r="L514" s="29"/>
      <c r="M514" s="10">
        <v>44056</v>
      </c>
      <c r="N514" s="9">
        <v>2020</v>
      </c>
      <c r="O514" s="9" t="s">
        <v>247</v>
      </c>
      <c r="P514" s="9" t="s">
        <v>53</v>
      </c>
      <c r="Q514" s="9" t="s">
        <v>53</v>
      </c>
      <c r="R514" s="9" t="s">
        <v>2492</v>
      </c>
      <c r="T514" s="9"/>
      <c r="V514" s="9"/>
      <c r="W514" s="11">
        <f>IFERROR(VLOOKUP(B514, PlumX_snapshot!$A:$B, 2, FALSE), " ")</f>
        <v>61</v>
      </c>
      <c r="X514" s="11">
        <f>IFERROR(VLOOKUP(B514, PlumX_snapshot!$A:$C, 3, FALSE), " ")</f>
        <v>5</v>
      </c>
      <c r="Y514" s="12">
        <f>IFERROR(VLOOKUP(B514, PlumX_snapshot!$A:$D, 4, FALSE), " ")</f>
        <v>6</v>
      </c>
      <c r="Z514" s="12">
        <f>IFERROR(VLOOKUP(B514, PlumX_snapshot!$A:$E, 5, FALSE), " ")</f>
        <v>0</v>
      </c>
      <c r="AA514" s="12">
        <f>IFERROR(VLOOKUP(B514, PlumX_snapshot!$A:$F, 6, FALSE), " ")</f>
        <v>1</v>
      </c>
      <c r="AB514" s="13">
        <v>44978</v>
      </c>
      <c r="AH514" s="9">
        <v>2200</v>
      </c>
      <c r="AI514" s="9" t="s">
        <v>77</v>
      </c>
      <c r="AJ514" s="9" t="s">
        <v>301</v>
      </c>
      <c r="AK514" s="11" t="str">
        <f t="shared" si="4"/>
        <v>2020GBP</v>
      </c>
      <c r="AL514" s="11">
        <f>VLOOKUP(AK514, Exchange_rates!$C:$D, 2, FALSE)</f>
        <v>1</v>
      </c>
      <c r="AM514" s="14">
        <f t="shared" si="5"/>
        <v>2640</v>
      </c>
      <c r="AN514" s="9"/>
      <c r="AO514" s="9"/>
      <c r="AP514" s="17"/>
      <c r="AQ514" s="15" t="s">
        <v>49</v>
      </c>
      <c r="AR514" t="s">
        <v>2694</v>
      </c>
      <c r="AS514" s="16" t="s">
        <v>2695</v>
      </c>
    </row>
    <row r="515" spans="1:60" ht="14.5">
      <c r="A515" s="9" t="s">
        <v>2696</v>
      </c>
      <c r="B515" s="9" t="s">
        <v>2697</v>
      </c>
      <c r="C515" s="9" t="s">
        <v>2693</v>
      </c>
      <c r="D515" s="9" t="s">
        <v>2479</v>
      </c>
      <c r="E515" s="17" t="s">
        <v>49</v>
      </c>
      <c r="F515" s="9" t="s">
        <v>69</v>
      </c>
      <c r="G515" s="9" t="s">
        <v>70</v>
      </c>
      <c r="H515" s="9" t="s">
        <v>2491</v>
      </c>
      <c r="I515" s="9" t="s">
        <v>72</v>
      </c>
      <c r="J515" s="29"/>
      <c r="K515" s="29"/>
      <c r="L515" s="29"/>
      <c r="M515" s="10">
        <v>44218</v>
      </c>
      <c r="N515" s="9">
        <v>2021</v>
      </c>
      <c r="O515" s="9" t="s">
        <v>247</v>
      </c>
      <c r="P515" s="9" t="s">
        <v>53</v>
      </c>
      <c r="Q515" s="9" t="s">
        <v>53</v>
      </c>
      <c r="R515" s="9" t="s">
        <v>2698</v>
      </c>
      <c r="T515" s="9"/>
      <c r="V515" s="9"/>
      <c r="W515" s="11">
        <f>IFERROR(VLOOKUP(B515, PlumX_snapshot!$A:$B, 2, FALSE), " ")</f>
        <v>108</v>
      </c>
      <c r="X515" s="11">
        <f>IFERROR(VLOOKUP(B515, PlumX_snapshot!$A:$C, 3, FALSE), " ")</f>
        <v>75</v>
      </c>
      <c r="Y515" s="12">
        <f>IFERROR(VLOOKUP(B515, PlumX_snapshot!$A:$D, 4, FALSE), " ")</f>
        <v>106</v>
      </c>
      <c r="Z515" s="12">
        <f>IFERROR(VLOOKUP(B515, PlumX_snapshot!$A:$E, 5, FALSE), " ")</f>
        <v>0</v>
      </c>
      <c r="AA515" s="12">
        <f>IFERROR(VLOOKUP(B515, PlumX_snapshot!$A:$F, 6, FALSE), " ")</f>
        <v>1</v>
      </c>
      <c r="AB515" s="13">
        <v>44978</v>
      </c>
      <c r="AH515" s="9">
        <v>2200</v>
      </c>
      <c r="AI515" s="9" t="s">
        <v>77</v>
      </c>
      <c r="AJ515" s="9" t="s">
        <v>301</v>
      </c>
      <c r="AK515" s="11" t="str">
        <f t="shared" si="4"/>
        <v>2021GBP</v>
      </c>
      <c r="AL515" s="11">
        <f>VLOOKUP(AK515, Exchange_rates!$C:$D, 2, FALSE)</f>
        <v>1</v>
      </c>
      <c r="AM515" s="14">
        <f t="shared" si="5"/>
        <v>2640</v>
      </c>
      <c r="AN515" s="9"/>
      <c r="AO515" s="9"/>
      <c r="AP515" s="17"/>
      <c r="AQ515" s="15" t="s">
        <v>49</v>
      </c>
      <c r="AR515" t="s">
        <v>2694</v>
      </c>
      <c r="AS515" s="16" t="s">
        <v>2695</v>
      </c>
    </row>
    <row r="516" spans="1:60" ht="14.5">
      <c r="A516" s="9" t="s">
        <v>2699</v>
      </c>
      <c r="B516" s="9" t="s">
        <v>2700</v>
      </c>
      <c r="C516" s="9" t="s">
        <v>2701</v>
      </c>
      <c r="D516" s="9" t="s">
        <v>2479</v>
      </c>
      <c r="E516" s="17" t="s">
        <v>49</v>
      </c>
      <c r="F516" s="9" t="s">
        <v>69</v>
      </c>
      <c r="G516" s="9" t="s">
        <v>70</v>
      </c>
      <c r="H516" s="9" t="s">
        <v>2485</v>
      </c>
      <c r="I516" s="9" t="s">
        <v>72</v>
      </c>
      <c r="J516" s="29"/>
      <c r="K516" s="29"/>
      <c r="L516" s="29"/>
      <c r="M516" s="10">
        <v>44049</v>
      </c>
      <c r="N516" s="9">
        <v>2020</v>
      </c>
      <c r="O516" s="9" t="s">
        <v>247</v>
      </c>
      <c r="P516" s="9" t="s">
        <v>53</v>
      </c>
      <c r="Q516" s="9" t="s">
        <v>53</v>
      </c>
      <c r="R516" s="9" t="s">
        <v>2702</v>
      </c>
      <c r="T516" s="9"/>
      <c r="V516" s="9"/>
      <c r="W516" s="11">
        <f>IFERROR(VLOOKUP(B516, PlumX_snapshot!$A:$B, 2, FALSE), " ")</f>
        <v>20</v>
      </c>
      <c r="X516" s="11">
        <f>IFERROR(VLOOKUP(B516, PlumX_snapshot!$A:$C, 3, FALSE), " ")</f>
        <v>2</v>
      </c>
      <c r="Y516" s="12">
        <f>IFERROR(VLOOKUP(B516, PlumX_snapshot!$A:$D, 4, FALSE), " ")</f>
        <v>0</v>
      </c>
      <c r="Z516" s="12">
        <f>IFERROR(VLOOKUP(B516, PlumX_snapshot!$A:$E, 5, FALSE), " ")</f>
        <v>0</v>
      </c>
      <c r="AA516" s="12">
        <f>IFERROR(VLOOKUP(B516, PlumX_snapshot!$A:$F, 6, FALSE), " ")</f>
        <v>0</v>
      </c>
      <c r="AB516" s="13">
        <v>44978</v>
      </c>
      <c r="AH516" s="9">
        <v>2208</v>
      </c>
      <c r="AI516" s="9" t="s">
        <v>1999</v>
      </c>
      <c r="AJ516" s="9" t="s">
        <v>301</v>
      </c>
      <c r="AK516" s="11" t="str">
        <f t="shared" si="4"/>
        <v>2020GBP</v>
      </c>
      <c r="AL516" s="11">
        <f>VLOOKUP(AK516, Exchange_rates!$C:$D, 2, FALSE)</f>
        <v>1</v>
      </c>
      <c r="AM516" s="14">
        <f t="shared" si="5"/>
        <v>2649.6</v>
      </c>
      <c r="AN516" s="9"/>
      <c r="AO516" s="9"/>
      <c r="AP516" s="17"/>
      <c r="AQ516" s="15" t="s">
        <v>49</v>
      </c>
      <c r="AR516" t="s">
        <v>2703</v>
      </c>
      <c r="AS516" s="16" t="s">
        <v>2704</v>
      </c>
    </row>
    <row r="517" spans="1:60" ht="14.5">
      <c r="A517" s="9" t="s">
        <v>2705</v>
      </c>
      <c r="B517" s="9" t="s">
        <v>2706</v>
      </c>
      <c r="C517" s="9" t="s">
        <v>2707</v>
      </c>
      <c r="D517" s="9" t="s">
        <v>2479</v>
      </c>
      <c r="E517" s="17" t="s">
        <v>49</v>
      </c>
      <c r="F517" s="9" t="s">
        <v>69</v>
      </c>
      <c r="G517" s="9" t="s">
        <v>70</v>
      </c>
      <c r="H517" s="9" t="s">
        <v>2491</v>
      </c>
      <c r="I517" s="9" t="s">
        <v>238</v>
      </c>
      <c r="J517" s="29"/>
      <c r="K517" s="29"/>
      <c r="L517" s="29"/>
      <c r="M517" s="10">
        <v>44245</v>
      </c>
      <c r="N517" s="9">
        <v>2021</v>
      </c>
      <c r="O517" s="9" t="s">
        <v>247</v>
      </c>
      <c r="P517" s="9" t="s">
        <v>53</v>
      </c>
      <c r="Q517" s="9" t="s">
        <v>53</v>
      </c>
      <c r="R517" s="9" t="s">
        <v>2708</v>
      </c>
      <c r="T517" s="9"/>
      <c r="V517" s="9"/>
      <c r="W517" s="11">
        <f>IFERROR(VLOOKUP(B517, PlumX_snapshot!$A:$B, 2, FALSE), " ")</f>
        <v>7</v>
      </c>
      <c r="X517" s="11">
        <f>IFERROR(VLOOKUP(B517, PlumX_snapshot!$A:$C, 3, FALSE), " ")</f>
        <v>0</v>
      </c>
      <c r="Y517" s="12">
        <f>IFERROR(VLOOKUP(B517, PlumX_snapshot!$A:$D, 4, FALSE), " ")</f>
        <v>9</v>
      </c>
      <c r="Z517" s="12">
        <f>IFERROR(VLOOKUP(B517, PlumX_snapshot!$A:$E, 5, FALSE), " ")</f>
        <v>0</v>
      </c>
      <c r="AA517" s="12">
        <f>IFERROR(VLOOKUP(B517, PlumX_snapshot!$A:$F, 6, FALSE), " ")</f>
        <v>0</v>
      </c>
      <c r="AB517" s="13">
        <v>44978</v>
      </c>
      <c r="AH517" s="9">
        <v>2200</v>
      </c>
      <c r="AI517" s="9" t="s">
        <v>77</v>
      </c>
      <c r="AJ517" s="9" t="s">
        <v>301</v>
      </c>
      <c r="AK517" s="11" t="str">
        <f t="shared" si="4"/>
        <v>2021GBP</v>
      </c>
      <c r="AL517" s="11">
        <f>VLOOKUP(AK517, Exchange_rates!$C:$D, 2, FALSE)</f>
        <v>1</v>
      </c>
      <c r="AM517" s="14">
        <f t="shared" si="5"/>
        <v>2640</v>
      </c>
      <c r="AN517" s="9"/>
      <c r="AO517" s="9"/>
      <c r="AP517" s="17"/>
      <c r="AQ517" s="15" t="s">
        <v>49</v>
      </c>
      <c r="AR517" t="s">
        <v>2709</v>
      </c>
      <c r="AS517" s="16" t="s">
        <v>2710</v>
      </c>
    </row>
    <row r="518" spans="1:60" ht="14.5">
      <c r="A518" s="20" t="s">
        <v>2711</v>
      </c>
      <c r="B518" s="20" t="s">
        <v>2712</v>
      </c>
      <c r="C518" s="20" t="s">
        <v>2713</v>
      </c>
      <c r="D518" s="20" t="s">
        <v>2479</v>
      </c>
      <c r="E518" s="21" t="s">
        <v>49</v>
      </c>
      <c r="F518" s="20" t="s">
        <v>50</v>
      </c>
      <c r="G518" s="20" t="s">
        <v>51</v>
      </c>
      <c r="H518" s="20"/>
      <c r="I518" s="20"/>
      <c r="J518" s="33"/>
      <c r="K518" s="33"/>
      <c r="L518" s="33"/>
      <c r="M518" s="22">
        <v>44136</v>
      </c>
      <c r="N518" s="20">
        <v>2020</v>
      </c>
      <c r="O518" s="20" t="s">
        <v>247</v>
      </c>
      <c r="P518" s="20" t="s">
        <v>53</v>
      </c>
      <c r="Q518" s="20" t="s">
        <v>53</v>
      </c>
      <c r="R518" s="20" t="s">
        <v>2678</v>
      </c>
      <c r="S518" s="20"/>
      <c r="T518" s="20" t="s">
        <v>723</v>
      </c>
      <c r="U518" s="20" t="s">
        <v>2630</v>
      </c>
      <c r="V518" s="20"/>
      <c r="W518" s="23">
        <f>IFERROR(VLOOKUP(B518, PlumX_snapshot!$A:$B, 2, FALSE), " ")</f>
        <v>25</v>
      </c>
      <c r="X518" s="23">
        <f>IFERROR(VLOOKUP(B518, PlumX_snapshot!$A:$C, 3, FALSE), " ")</f>
        <v>4</v>
      </c>
      <c r="Y518" s="24">
        <f>IFERROR(VLOOKUP(B518, PlumX_snapshot!$A:$D, 4, FALSE), " ")</f>
        <v>0</v>
      </c>
      <c r="Z518" s="24">
        <f>IFERROR(VLOOKUP(B518, PlumX_snapshot!$A:$E, 5, FALSE), " ")</f>
        <v>0</v>
      </c>
      <c r="AA518" s="24">
        <f>IFERROR(VLOOKUP(B518, PlumX_snapshot!$A:$F, 6, FALSE), " ")</f>
        <v>0</v>
      </c>
      <c r="AB518" s="25">
        <v>44978</v>
      </c>
      <c r="AC518" s="20"/>
      <c r="AD518" s="20"/>
      <c r="AE518" s="20"/>
      <c r="AF518" s="20"/>
      <c r="AG518" s="20"/>
      <c r="AH518" s="20">
        <v>2200</v>
      </c>
      <c r="AI518" s="20" t="s">
        <v>77</v>
      </c>
      <c r="AJ518" s="20" t="s">
        <v>301</v>
      </c>
      <c r="AK518" s="23" t="str">
        <f t="shared" si="4"/>
        <v>2020GBP</v>
      </c>
      <c r="AL518" s="23">
        <f>VLOOKUP(AK518, Exchange_rates!$C:$D, 2, FALSE)</f>
        <v>1</v>
      </c>
      <c r="AM518" s="26">
        <f t="shared" si="5"/>
        <v>2640</v>
      </c>
      <c r="AN518" s="20"/>
      <c r="AO518" s="20"/>
      <c r="AP518" s="21"/>
      <c r="AQ518" s="27" t="s">
        <v>49</v>
      </c>
      <c r="AR518" t="s">
        <v>2714</v>
      </c>
      <c r="AS518" s="16" t="s">
        <v>2715</v>
      </c>
      <c r="AT518" s="20"/>
      <c r="AU518" s="20"/>
      <c r="AV518" s="20"/>
      <c r="AW518" s="20"/>
      <c r="AX518" s="20"/>
      <c r="AY518" s="20"/>
      <c r="AZ518" s="20"/>
      <c r="BA518" s="20"/>
      <c r="BB518" s="20"/>
      <c r="BC518" s="20"/>
      <c r="BD518" s="20"/>
      <c r="BE518" s="20"/>
      <c r="BF518" s="20"/>
      <c r="BG518" s="20"/>
      <c r="BH518" s="20"/>
    </row>
    <row r="519" spans="1:60" ht="14.5">
      <c r="A519" s="9" t="s">
        <v>2716</v>
      </c>
      <c r="B519" s="9" t="s">
        <v>2717</v>
      </c>
      <c r="C519" s="9" t="s">
        <v>2713</v>
      </c>
      <c r="D519" s="9" t="s">
        <v>2479</v>
      </c>
      <c r="E519" s="17" t="s">
        <v>49</v>
      </c>
      <c r="F519" s="9" t="s">
        <v>69</v>
      </c>
      <c r="G519" s="9" t="s">
        <v>70</v>
      </c>
      <c r="H519" s="9" t="s">
        <v>2491</v>
      </c>
      <c r="I519" s="9" t="s">
        <v>72</v>
      </c>
      <c r="J519" s="29"/>
      <c r="K519" s="29"/>
      <c r="L519" s="29"/>
      <c r="M519" s="10">
        <v>44206</v>
      </c>
      <c r="N519" s="9">
        <v>2021</v>
      </c>
      <c r="O519" s="9" t="s">
        <v>247</v>
      </c>
      <c r="P519" s="9" t="s">
        <v>53</v>
      </c>
      <c r="Q519" s="9" t="s">
        <v>53</v>
      </c>
      <c r="R519" s="9" t="s">
        <v>2678</v>
      </c>
      <c r="T519" s="9"/>
      <c r="V519" s="9"/>
      <c r="W519" s="11">
        <f>IFERROR(VLOOKUP(B519, PlumX_snapshot!$A:$B, 2, FALSE), " ")</f>
        <v>7</v>
      </c>
      <c r="X519" s="11">
        <f>IFERROR(VLOOKUP(B519, PlumX_snapshot!$A:$C, 3, FALSE), " ")</f>
        <v>5</v>
      </c>
      <c r="Y519" s="12">
        <f>IFERROR(VLOOKUP(B519, PlumX_snapshot!$A:$D, 4, FALSE), " ")</f>
        <v>9</v>
      </c>
      <c r="Z519" s="12">
        <f>IFERROR(VLOOKUP(B519, PlumX_snapshot!$A:$E, 5, FALSE), " ")</f>
        <v>0</v>
      </c>
      <c r="AA519" s="12">
        <f>IFERROR(VLOOKUP(B519, PlumX_snapshot!$A:$F, 6, FALSE), " ")</f>
        <v>0</v>
      </c>
      <c r="AB519" s="13">
        <v>44978</v>
      </c>
      <c r="AH519" s="9">
        <v>2200</v>
      </c>
      <c r="AI519" s="9" t="s">
        <v>77</v>
      </c>
      <c r="AJ519" s="9" t="s">
        <v>301</v>
      </c>
      <c r="AK519" s="11" t="str">
        <f t="shared" si="4"/>
        <v>2021GBP</v>
      </c>
      <c r="AL519" s="11">
        <f>VLOOKUP(AK519, Exchange_rates!$C:$D, 2, FALSE)</f>
        <v>1</v>
      </c>
      <c r="AM519" s="14">
        <f t="shared" si="5"/>
        <v>2640</v>
      </c>
      <c r="AN519" s="9"/>
      <c r="AO519" s="9"/>
      <c r="AP519" s="17"/>
      <c r="AQ519" s="15" t="s">
        <v>49</v>
      </c>
      <c r="AR519" t="s">
        <v>2714</v>
      </c>
      <c r="AS519" s="16" t="s">
        <v>2715</v>
      </c>
    </row>
    <row r="520" spans="1:60" ht="14.5">
      <c r="A520" s="9" t="s">
        <v>2718</v>
      </c>
      <c r="B520" s="9" t="s">
        <v>2719</v>
      </c>
      <c r="C520" s="9" t="s">
        <v>2713</v>
      </c>
      <c r="D520" s="9" t="s">
        <v>2479</v>
      </c>
      <c r="E520" s="17" t="s">
        <v>49</v>
      </c>
      <c r="F520" s="9" t="s">
        <v>69</v>
      </c>
      <c r="G520" s="9" t="s">
        <v>70</v>
      </c>
      <c r="H520" s="9" t="s">
        <v>2491</v>
      </c>
      <c r="I520" s="9" t="s">
        <v>238</v>
      </c>
      <c r="J520" s="29"/>
      <c r="K520" s="29"/>
      <c r="L520" s="29"/>
      <c r="M520" s="10">
        <v>44238</v>
      </c>
      <c r="N520" s="9">
        <v>2021</v>
      </c>
      <c r="O520" s="9" t="s">
        <v>247</v>
      </c>
      <c r="P520" s="9" t="s">
        <v>53</v>
      </c>
      <c r="Q520" s="9" t="s">
        <v>53</v>
      </c>
      <c r="R520" s="9" t="s">
        <v>2678</v>
      </c>
      <c r="T520" s="9"/>
      <c r="V520" s="9"/>
      <c r="W520" s="11">
        <f>IFERROR(VLOOKUP(B520, PlumX_snapshot!$A:$B, 2, FALSE), " ")</f>
        <v>11</v>
      </c>
      <c r="X520" s="11">
        <f>IFERROR(VLOOKUP(B520, PlumX_snapshot!$A:$C, 3, FALSE), " ")</f>
        <v>3</v>
      </c>
      <c r="Y520" s="12">
        <f>IFERROR(VLOOKUP(B520, PlumX_snapshot!$A:$D, 4, FALSE), " ")</f>
        <v>9</v>
      </c>
      <c r="Z520" s="12">
        <f>IFERROR(VLOOKUP(B520, PlumX_snapshot!$A:$E, 5, FALSE), " ")</f>
        <v>0</v>
      </c>
      <c r="AA520" s="12">
        <f>IFERROR(VLOOKUP(B520, PlumX_snapshot!$A:$F, 6, FALSE), " ")</f>
        <v>0</v>
      </c>
      <c r="AB520" s="13">
        <v>44978</v>
      </c>
      <c r="AH520" s="9">
        <v>2200</v>
      </c>
      <c r="AI520" s="9" t="s">
        <v>77</v>
      </c>
      <c r="AJ520" s="9" t="s">
        <v>301</v>
      </c>
      <c r="AK520" s="11" t="str">
        <f t="shared" si="4"/>
        <v>2021GBP</v>
      </c>
      <c r="AL520" s="11">
        <f>VLOOKUP(AK520, Exchange_rates!$C:$D, 2, FALSE)</f>
        <v>1</v>
      </c>
      <c r="AM520" s="14">
        <f t="shared" si="5"/>
        <v>2640</v>
      </c>
      <c r="AN520" s="9"/>
      <c r="AO520" s="9"/>
      <c r="AP520" s="17"/>
      <c r="AQ520" s="15" t="s">
        <v>49</v>
      </c>
      <c r="AR520" t="s">
        <v>2714</v>
      </c>
      <c r="AS520" s="16" t="s">
        <v>2715</v>
      </c>
    </row>
    <row r="521" spans="1:60" ht="14.5">
      <c r="A521" s="9" t="s">
        <v>2720</v>
      </c>
      <c r="B521" s="9" t="s">
        <v>2721</v>
      </c>
      <c r="C521" s="9" t="s">
        <v>2722</v>
      </c>
      <c r="D521" s="9" t="s">
        <v>2479</v>
      </c>
      <c r="E521" s="17" t="s">
        <v>49</v>
      </c>
      <c r="F521" s="9" t="s">
        <v>69</v>
      </c>
      <c r="G521" s="9" t="s">
        <v>70</v>
      </c>
      <c r="H521" s="9" t="s">
        <v>2485</v>
      </c>
      <c r="I521" s="9" t="s">
        <v>72</v>
      </c>
      <c r="J521" s="29"/>
      <c r="K521" s="29"/>
      <c r="L521" s="29"/>
      <c r="M521" s="10">
        <v>44067</v>
      </c>
      <c r="N521" s="9">
        <v>2020</v>
      </c>
      <c r="O521" s="9" t="s">
        <v>247</v>
      </c>
      <c r="P521" s="9" t="s">
        <v>53</v>
      </c>
      <c r="Q521" s="9" t="s">
        <v>53</v>
      </c>
      <c r="R521" s="9" t="s">
        <v>2678</v>
      </c>
      <c r="T521" s="9"/>
      <c r="V521" s="9"/>
      <c r="W521" s="11">
        <f>IFERROR(VLOOKUP(B521, PlumX_snapshot!$A:$B, 2, FALSE), " ")</f>
        <v>9</v>
      </c>
      <c r="X521" s="11">
        <f>IFERROR(VLOOKUP(B521, PlumX_snapshot!$A:$C, 3, FALSE), " ")</f>
        <v>4</v>
      </c>
      <c r="Y521" s="12">
        <f>IFERROR(VLOOKUP(B521, PlumX_snapshot!$A:$D, 4, FALSE), " ")</f>
        <v>0</v>
      </c>
      <c r="Z521" s="12">
        <f>IFERROR(VLOOKUP(B521, PlumX_snapshot!$A:$E, 5, FALSE), " ")</f>
        <v>0</v>
      </c>
      <c r="AA521" s="12">
        <f>IFERROR(VLOOKUP(B521, PlumX_snapshot!$A:$F, 6, FALSE), " ")</f>
        <v>1</v>
      </c>
      <c r="AB521" s="13">
        <v>44978</v>
      </c>
      <c r="AH521" s="9">
        <v>2200</v>
      </c>
      <c r="AI521" s="9" t="s">
        <v>77</v>
      </c>
      <c r="AJ521" s="9" t="s">
        <v>301</v>
      </c>
      <c r="AK521" s="11" t="str">
        <f t="shared" si="4"/>
        <v>2020GBP</v>
      </c>
      <c r="AL521" s="11">
        <f>VLOOKUP(AK521, Exchange_rates!$C:$D, 2, FALSE)</f>
        <v>1</v>
      </c>
      <c r="AM521" s="14">
        <f t="shared" si="5"/>
        <v>2640</v>
      </c>
      <c r="AN521" s="9"/>
      <c r="AO521" s="9"/>
      <c r="AP521" s="17"/>
      <c r="AQ521" s="15" t="s">
        <v>49</v>
      </c>
      <c r="AR521" t="s">
        <v>2723</v>
      </c>
      <c r="AS521" s="16" t="s">
        <v>2724</v>
      </c>
    </row>
    <row r="522" spans="1:60" ht="14.5">
      <c r="A522" s="9" t="s">
        <v>2725</v>
      </c>
      <c r="B522" s="9" t="s">
        <v>2726</v>
      </c>
      <c r="C522" s="9" t="s">
        <v>2727</v>
      </c>
      <c r="D522" s="9" t="s">
        <v>2479</v>
      </c>
      <c r="E522" s="17" t="s">
        <v>49</v>
      </c>
      <c r="F522" s="9" t="s">
        <v>69</v>
      </c>
      <c r="G522" s="9" t="s">
        <v>70</v>
      </c>
      <c r="H522" s="9" t="s">
        <v>2485</v>
      </c>
      <c r="I522" s="9" t="s">
        <v>238</v>
      </c>
      <c r="J522" s="29"/>
      <c r="K522" s="29"/>
      <c r="L522" s="29"/>
      <c r="M522" s="10">
        <v>43945</v>
      </c>
      <c r="N522" s="9">
        <v>2020</v>
      </c>
      <c r="O522" s="9" t="s">
        <v>247</v>
      </c>
      <c r="P522" s="9" t="s">
        <v>83</v>
      </c>
      <c r="Q522" s="9" t="s">
        <v>53</v>
      </c>
      <c r="R522" s="9" t="s">
        <v>2728</v>
      </c>
      <c r="T522" s="9"/>
      <c r="U522" s="9" t="s">
        <v>2729</v>
      </c>
      <c r="V522" s="9"/>
      <c r="W522" s="11">
        <f>IFERROR(VLOOKUP(B522, PlumX_snapshot!$A:$B, 2, FALSE), " ")</f>
        <v>35</v>
      </c>
      <c r="X522" s="11">
        <f>IFERROR(VLOOKUP(B522, PlumX_snapshot!$A:$C, 3, FALSE), " ")</f>
        <v>4</v>
      </c>
      <c r="Y522" s="12">
        <f>IFERROR(VLOOKUP(B522, PlumX_snapshot!$A:$D, 4, FALSE), " ")</f>
        <v>50</v>
      </c>
      <c r="Z522" s="12">
        <f>IFERROR(VLOOKUP(B522, PlumX_snapshot!$A:$E, 5, FALSE), " ")</f>
        <v>0</v>
      </c>
      <c r="AA522" s="12">
        <f>IFERROR(VLOOKUP(B522, PlumX_snapshot!$A:$F, 6, FALSE), " ")</f>
        <v>0</v>
      </c>
      <c r="AB522" s="13">
        <v>44978</v>
      </c>
      <c r="AH522" s="9">
        <v>2208</v>
      </c>
      <c r="AI522" s="9" t="s">
        <v>1999</v>
      </c>
      <c r="AJ522" s="9" t="s">
        <v>301</v>
      </c>
      <c r="AK522" s="11" t="str">
        <f t="shared" si="4"/>
        <v>2020GBP</v>
      </c>
      <c r="AL522" s="11">
        <f>VLOOKUP(AK522, Exchange_rates!$C:$D, 2, FALSE)</f>
        <v>1</v>
      </c>
      <c r="AM522" s="14">
        <f t="shared" si="5"/>
        <v>2649.6</v>
      </c>
      <c r="AN522" s="9"/>
      <c r="AO522" s="9"/>
      <c r="AP522" s="17"/>
      <c r="AQ522" s="15" t="s">
        <v>49</v>
      </c>
      <c r="AR522" t="s">
        <v>2730</v>
      </c>
      <c r="AS522" s="16" t="s">
        <v>2731</v>
      </c>
    </row>
    <row r="523" spans="1:60" ht="14.5">
      <c r="A523" s="20" t="s">
        <v>2732</v>
      </c>
      <c r="B523" s="20" t="s">
        <v>2733</v>
      </c>
      <c r="C523" s="20" t="s">
        <v>2734</v>
      </c>
      <c r="D523" s="20" t="s">
        <v>2479</v>
      </c>
      <c r="E523" s="21" t="s">
        <v>49</v>
      </c>
      <c r="F523" s="20" t="s">
        <v>50</v>
      </c>
      <c r="G523" s="20" t="s">
        <v>51</v>
      </c>
      <c r="H523" s="20"/>
      <c r="I523" s="20"/>
      <c r="J523" s="33"/>
      <c r="K523" s="33"/>
      <c r="L523" s="33"/>
      <c r="M523" s="22">
        <v>43983</v>
      </c>
      <c r="N523" s="20">
        <v>2020</v>
      </c>
      <c r="O523" s="20" t="s">
        <v>247</v>
      </c>
      <c r="P523" s="20" t="s">
        <v>53</v>
      </c>
      <c r="Q523" s="20" t="s">
        <v>53</v>
      </c>
      <c r="R523" s="20" t="s">
        <v>2735</v>
      </c>
      <c r="S523" s="20"/>
      <c r="T523" s="20" t="s">
        <v>723</v>
      </c>
      <c r="U523" s="20" t="s">
        <v>2630</v>
      </c>
      <c r="V523" s="20"/>
      <c r="W523" s="23">
        <f>IFERROR(VLOOKUP(B523, PlumX_snapshot!$A:$B, 2, FALSE), " ")</f>
        <v>1</v>
      </c>
      <c r="X523" s="23">
        <f>IFERROR(VLOOKUP(B523, PlumX_snapshot!$A:$C, 3, FALSE), " ")</f>
        <v>0</v>
      </c>
      <c r="Y523" s="24">
        <f>IFERROR(VLOOKUP(B523, PlumX_snapshot!$A:$D, 4, FALSE), " ")</f>
        <v>0</v>
      </c>
      <c r="Z523" s="24">
        <f>IFERROR(VLOOKUP(B523, PlumX_snapshot!$A:$E, 5, FALSE), " ")</f>
        <v>0</v>
      </c>
      <c r="AA523" s="24">
        <f>IFERROR(VLOOKUP(B523, PlumX_snapshot!$A:$F, 6, FALSE), " ")</f>
        <v>0</v>
      </c>
      <c r="AB523" s="25">
        <v>44978</v>
      </c>
      <c r="AC523" s="20"/>
      <c r="AD523" s="20"/>
      <c r="AE523" s="20"/>
      <c r="AF523" s="20"/>
      <c r="AG523" s="20"/>
      <c r="AH523" s="20">
        <v>2200</v>
      </c>
      <c r="AI523" s="20" t="s">
        <v>77</v>
      </c>
      <c r="AJ523" s="20" t="s">
        <v>301</v>
      </c>
      <c r="AK523" s="23" t="str">
        <f t="shared" si="4"/>
        <v>2020GBP</v>
      </c>
      <c r="AL523" s="23">
        <f>VLOOKUP(AK523, Exchange_rates!$C:$D, 2, FALSE)</f>
        <v>1</v>
      </c>
      <c r="AM523" s="26">
        <f t="shared" si="5"/>
        <v>2640</v>
      </c>
      <c r="AN523" s="20"/>
      <c r="AO523" s="20"/>
      <c r="AP523" s="21"/>
      <c r="AQ523" s="27" t="s">
        <v>49</v>
      </c>
      <c r="AR523" t="s">
        <v>2736</v>
      </c>
      <c r="AS523" s="16" t="s">
        <v>2737</v>
      </c>
      <c r="AT523" s="20"/>
      <c r="AU523" s="20"/>
      <c r="AV523" s="20"/>
      <c r="AW523" s="20"/>
      <c r="AX523" s="20"/>
      <c r="AY523" s="20"/>
      <c r="AZ523" s="20"/>
      <c r="BA523" s="20"/>
      <c r="BB523" s="20"/>
      <c r="BC523" s="20"/>
      <c r="BD523" s="20"/>
      <c r="BE523" s="20"/>
      <c r="BF523" s="20"/>
      <c r="BG523" s="20"/>
      <c r="BH523" s="20"/>
    </row>
    <row r="524" spans="1:60" ht="14.5">
      <c r="A524" s="9" t="s">
        <v>2738</v>
      </c>
      <c r="B524" s="9" t="s">
        <v>2739</v>
      </c>
      <c r="C524" s="9" t="s">
        <v>2734</v>
      </c>
      <c r="D524" s="9" t="s">
        <v>2479</v>
      </c>
      <c r="E524" s="17" t="s">
        <v>49</v>
      </c>
      <c r="F524" s="9" t="s">
        <v>69</v>
      </c>
      <c r="G524" s="9" t="s">
        <v>70</v>
      </c>
      <c r="H524" s="9" t="s">
        <v>2485</v>
      </c>
      <c r="I524" s="9" t="s">
        <v>72</v>
      </c>
      <c r="J524" s="29"/>
      <c r="K524" s="29"/>
      <c r="L524" s="29"/>
      <c r="M524" s="10">
        <v>44172</v>
      </c>
      <c r="N524" s="9">
        <v>2020</v>
      </c>
      <c r="O524" s="9" t="s">
        <v>247</v>
      </c>
      <c r="P524" s="9" t="s">
        <v>83</v>
      </c>
      <c r="Q524" s="9" t="s">
        <v>53</v>
      </c>
      <c r="R524" s="9" t="s">
        <v>2740</v>
      </c>
      <c r="T524" s="9"/>
      <c r="V524" s="9"/>
      <c r="W524" s="11">
        <f>IFERROR(VLOOKUP(B524, PlumX_snapshot!$A:$B, 2, FALSE), " ")</f>
        <v>12</v>
      </c>
      <c r="X524" s="11">
        <f>IFERROR(VLOOKUP(B524, PlumX_snapshot!$A:$C, 3, FALSE), " ")</f>
        <v>1</v>
      </c>
      <c r="Y524" s="12">
        <f>IFERROR(VLOOKUP(B524, PlumX_snapshot!$A:$D, 4, FALSE), " ")</f>
        <v>0</v>
      </c>
      <c r="Z524" s="12">
        <f>IFERROR(VLOOKUP(B524, PlumX_snapshot!$A:$E, 5, FALSE), " ")</f>
        <v>0</v>
      </c>
      <c r="AA524" s="12">
        <f>IFERROR(VLOOKUP(B524, PlumX_snapshot!$A:$F, 6, FALSE), " ")</f>
        <v>0</v>
      </c>
      <c r="AB524" s="13">
        <v>44978</v>
      </c>
      <c r="AH524" s="9">
        <v>2200</v>
      </c>
      <c r="AI524" s="9" t="s">
        <v>77</v>
      </c>
      <c r="AJ524" s="9" t="s">
        <v>301</v>
      </c>
      <c r="AK524" s="11" t="str">
        <f t="shared" si="4"/>
        <v>2020GBP</v>
      </c>
      <c r="AL524" s="11">
        <f>VLOOKUP(AK524, Exchange_rates!$C:$D, 2, FALSE)</f>
        <v>1</v>
      </c>
      <c r="AM524" s="14">
        <f t="shared" si="5"/>
        <v>2640</v>
      </c>
      <c r="AN524" s="9"/>
      <c r="AO524" s="9"/>
      <c r="AP524" s="17"/>
      <c r="AQ524" s="15" t="s">
        <v>49</v>
      </c>
      <c r="AR524" t="s">
        <v>2736</v>
      </c>
      <c r="AS524" s="16" t="s">
        <v>2737</v>
      </c>
    </row>
    <row r="525" spans="1:60" ht="14.5">
      <c r="A525" s="9" t="s">
        <v>2741</v>
      </c>
      <c r="B525" s="9" t="s">
        <v>2742</v>
      </c>
      <c r="C525" s="9" t="s">
        <v>2743</v>
      </c>
      <c r="D525" s="9" t="s">
        <v>2479</v>
      </c>
      <c r="E525" s="17" t="s">
        <v>49</v>
      </c>
      <c r="F525" s="9" t="s">
        <v>69</v>
      </c>
      <c r="G525" s="9" t="s">
        <v>70</v>
      </c>
      <c r="H525" s="9" t="s">
        <v>2485</v>
      </c>
      <c r="I525" s="9" t="s">
        <v>72</v>
      </c>
      <c r="J525" s="29"/>
      <c r="K525" s="29"/>
      <c r="L525" s="29"/>
      <c r="M525" s="10">
        <v>44124</v>
      </c>
      <c r="N525" s="9">
        <v>2020</v>
      </c>
      <c r="O525" s="9" t="s">
        <v>247</v>
      </c>
      <c r="P525" s="9" t="s">
        <v>53</v>
      </c>
      <c r="Q525" s="9" t="s">
        <v>53</v>
      </c>
      <c r="R525" s="9" t="s">
        <v>2492</v>
      </c>
      <c r="T525" s="9"/>
      <c r="V525" s="9"/>
      <c r="W525" s="11">
        <f>IFERROR(VLOOKUP(B525, PlumX_snapshot!$A:$B, 2, FALSE), " ")</f>
        <v>64</v>
      </c>
      <c r="X525" s="11">
        <f>IFERROR(VLOOKUP(B525, PlumX_snapshot!$A:$C, 3, FALSE), " ")</f>
        <v>7</v>
      </c>
      <c r="Y525" s="12">
        <f>IFERROR(VLOOKUP(B525, PlumX_snapshot!$A:$D, 4, FALSE), " ")</f>
        <v>4</v>
      </c>
      <c r="Z525" s="12">
        <f>IFERROR(VLOOKUP(B525, PlumX_snapshot!$A:$E, 5, FALSE), " ")</f>
        <v>0</v>
      </c>
      <c r="AA525" s="12">
        <f>IFERROR(VLOOKUP(B525, PlumX_snapshot!$A:$F, 6, FALSE), " ")</f>
        <v>0</v>
      </c>
      <c r="AB525" s="13">
        <v>44978</v>
      </c>
      <c r="AH525" s="9">
        <v>2200</v>
      </c>
      <c r="AI525" s="9" t="s">
        <v>77</v>
      </c>
      <c r="AJ525" s="9" t="s">
        <v>301</v>
      </c>
      <c r="AK525" s="11" t="str">
        <f t="shared" si="4"/>
        <v>2020GBP</v>
      </c>
      <c r="AL525" s="11">
        <f>VLOOKUP(AK525, Exchange_rates!$C:$D, 2, FALSE)</f>
        <v>1</v>
      </c>
      <c r="AM525" s="14">
        <f t="shared" si="5"/>
        <v>2640</v>
      </c>
      <c r="AN525" s="9"/>
      <c r="AO525" s="9"/>
      <c r="AP525" s="17"/>
      <c r="AQ525" s="15" t="s">
        <v>49</v>
      </c>
      <c r="AR525" t="s">
        <v>2744</v>
      </c>
      <c r="AS525" s="16" t="s">
        <v>2745</v>
      </c>
    </row>
    <row r="526" spans="1:60" ht="14.5">
      <c r="A526" s="9" t="s">
        <v>2746</v>
      </c>
      <c r="B526" s="9" t="s">
        <v>2747</v>
      </c>
      <c r="C526" s="9" t="s">
        <v>2748</v>
      </c>
      <c r="D526" s="9" t="s">
        <v>2479</v>
      </c>
      <c r="E526" s="17" t="s">
        <v>49</v>
      </c>
      <c r="F526" s="9" t="s">
        <v>69</v>
      </c>
      <c r="G526" s="9" t="s">
        <v>70</v>
      </c>
      <c r="H526" s="9" t="s">
        <v>2485</v>
      </c>
      <c r="I526" s="9" t="s">
        <v>72</v>
      </c>
      <c r="J526" s="29"/>
      <c r="K526" s="29"/>
      <c r="L526" s="29"/>
      <c r="M526" s="10">
        <v>44151</v>
      </c>
      <c r="N526" s="9">
        <v>2020</v>
      </c>
      <c r="O526" s="9" t="s">
        <v>247</v>
      </c>
      <c r="P526" s="9" t="s">
        <v>53</v>
      </c>
      <c r="Q526" s="9" t="s">
        <v>53</v>
      </c>
      <c r="R526" s="9" t="s">
        <v>2492</v>
      </c>
      <c r="T526" s="9"/>
      <c r="V526" s="9"/>
      <c r="W526" s="11">
        <f>IFERROR(VLOOKUP(B526, PlumX_snapshot!$A:$B, 2, FALSE), " ")</f>
        <v>2</v>
      </c>
      <c r="X526" s="11">
        <f>IFERROR(VLOOKUP(B526, PlumX_snapshot!$A:$C, 3, FALSE), " ")</f>
        <v>1</v>
      </c>
      <c r="Y526" s="12">
        <f>IFERROR(VLOOKUP(B526, PlumX_snapshot!$A:$D, 4, FALSE), " ")</f>
        <v>0</v>
      </c>
      <c r="Z526" s="12">
        <f>IFERROR(VLOOKUP(B526, PlumX_snapshot!$A:$E, 5, FALSE), " ")</f>
        <v>0</v>
      </c>
      <c r="AA526" s="12">
        <f>IFERROR(VLOOKUP(B526, PlumX_snapshot!$A:$F, 6, FALSE), " ")</f>
        <v>0</v>
      </c>
      <c r="AB526" s="13">
        <v>44978</v>
      </c>
      <c r="AH526" s="9">
        <v>2200</v>
      </c>
      <c r="AI526" s="9" t="s">
        <v>77</v>
      </c>
      <c r="AJ526" s="9" t="s">
        <v>301</v>
      </c>
      <c r="AK526" s="11" t="str">
        <f t="shared" si="4"/>
        <v>2020GBP</v>
      </c>
      <c r="AL526" s="11">
        <f>VLOOKUP(AK526, Exchange_rates!$C:$D, 2, FALSE)</f>
        <v>1</v>
      </c>
      <c r="AM526" s="14">
        <f t="shared" si="5"/>
        <v>2640</v>
      </c>
      <c r="AN526" s="9"/>
      <c r="AO526" s="9"/>
      <c r="AP526" s="17"/>
      <c r="AQ526" s="15" t="s">
        <v>49</v>
      </c>
      <c r="AR526" t="s">
        <v>2749</v>
      </c>
      <c r="AS526" s="16" t="s">
        <v>2750</v>
      </c>
    </row>
    <row r="527" spans="1:60" ht="14.5">
      <c r="A527" s="9" t="s">
        <v>2751</v>
      </c>
      <c r="B527" s="9" t="s">
        <v>2752</v>
      </c>
      <c r="C527" s="9" t="s">
        <v>2748</v>
      </c>
      <c r="D527" s="9" t="s">
        <v>2479</v>
      </c>
      <c r="E527" s="17" t="s">
        <v>49</v>
      </c>
      <c r="F527" s="9" t="s">
        <v>69</v>
      </c>
      <c r="G527" s="9" t="s">
        <v>70</v>
      </c>
      <c r="H527" s="9" t="s">
        <v>2485</v>
      </c>
      <c r="I527" s="9" t="s">
        <v>72</v>
      </c>
      <c r="J527" s="29"/>
      <c r="K527" s="29"/>
      <c r="L527" s="29"/>
      <c r="M527" s="10">
        <v>44151</v>
      </c>
      <c r="N527" s="9">
        <v>2020</v>
      </c>
      <c r="O527" s="9" t="s">
        <v>247</v>
      </c>
      <c r="P527" s="9" t="s">
        <v>53</v>
      </c>
      <c r="Q527" s="9" t="s">
        <v>53</v>
      </c>
      <c r="R527" s="9" t="s">
        <v>2492</v>
      </c>
      <c r="T527" s="9"/>
      <c r="V527" s="9"/>
      <c r="W527" s="11">
        <f>IFERROR(VLOOKUP(B527, PlumX_snapshot!$A:$B, 2, FALSE), " ")</f>
        <v>11</v>
      </c>
      <c r="X527" s="11">
        <f>IFERROR(VLOOKUP(B527, PlumX_snapshot!$A:$C, 3, FALSE), " ")</f>
        <v>1</v>
      </c>
      <c r="Y527" s="12">
        <f>IFERROR(VLOOKUP(B527, PlumX_snapshot!$A:$D, 4, FALSE), " ")</f>
        <v>4</v>
      </c>
      <c r="Z527" s="12">
        <f>IFERROR(VLOOKUP(B527, PlumX_snapshot!$A:$E, 5, FALSE), " ")</f>
        <v>0</v>
      </c>
      <c r="AA527" s="12">
        <f>IFERROR(VLOOKUP(B527, PlumX_snapshot!$A:$F, 6, FALSE), " ")</f>
        <v>0</v>
      </c>
      <c r="AB527" s="13">
        <v>44978</v>
      </c>
      <c r="AH527" s="9">
        <v>2200</v>
      </c>
      <c r="AI527" s="9" t="s">
        <v>77</v>
      </c>
      <c r="AJ527" s="9" t="s">
        <v>301</v>
      </c>
      <c r="AK527" s="11" t="str">
        <f t="shared" si="4"/>
        <v>2020GBP</v>
      </c>
      <c r="AL527" s="11">
        <f>VLOOKUP(AK527, Exchange_rates!$C:$D, 2, FALSE)</f>
        <v>1</v>
      </c>
      <c r="AM527" s="14">
        <f t="shared" si="5"/>
        <v>2640</v>
      </c>
      <c r="AN527" s="9"/>
      <c r="AO527" s="9"/>
      <c r="AP527" s="17"/>
      <c r="AQ527" s="15" t="s">
        <v>49</v>
      </c>
      <c r="AR527" t="s">
        <v>2749</v>
      </c>
      <c r="AS527" s="16" t="s">
        <v>2750</v>
      </c>
    </row>
    <row r="528" spans="1:60" ht="14.5">
      <c r="A528" s="9" t="s">
        <v>2753</v>
      </c>
      <c r="B528" s="9" t="s">
        <v>2754</v>
      </c>
      <c r="C528" s="9" t="s">
        <v>2755</v>
      </c>
      <c r="D528" s="9" t="s">
        <v>2479</v>
      </c>
      <c r="E528" s="17" t="s">
        <v>49</v>
      </c>
      <c r="F528" s="9" t="s">
        <v>69</v>
      </c>
      <c r="G528" s="9" t="s">
        <v>70</v>
      </c>
      <c r="H528" s="9" t="s">
        <v>2485</v>
      </c>
      <c r="I528" s="9" t="s">
        <v>238</v>
      </c>
      <c r="J528" s="29"/>
      <c r="K528" s="29"/>
      <c r="L528" s="29"/>
      <c r="M528" s="10">
        <v>44092</v>
      </c>
      <c r="N528" s="9">
        <v>2020</v>
      </c>
      <c r="O528" s="9" t="s">
        <v>247</v>
      </c>
      <c r="P528" s="9" t="s">
        <v>53</v>
      </c>
      <c r="Q528" s="9" t="s">
        <v>53</v>
      </c>
      <c r="R528" s="9" t="s">
        <v>2492</v>
      </c>
      <c r="T528" s="9"/>
      <c r="V528" s="9"/>
      <c r="W528" s="11">
        <f>IFERROR(VLOOKUP(B528, PlumX_snapshot!$A:$B, 2, FALSE), " ")</f>
        <v>22</v>
      </c>
      <c r="X528" s="11">
        <f>IFERROR(VLOOKUP(B528, PlumX_snapshot!$A:$C, 3, FALSE), " ")</f>
        <v>1</v>
      </c>
      <c r="Y528" s="12">
        <f>IFERROR(VLOOKUP(B528, PlumX_snapshot!$A:$D, 4, FALSE), " ")</f>
        <v>22</v>
      </c>
      <c r="Z528" s="12">
        <f>IFERROR(VLOOKUP(B528, PlumX_snapshot!$A:$E, 5, FALSE), " ")</f>
        <v>0</v>
      </c>
      <c r="AA528" s="12">
        <f>IFERROR(VLOOKUP(B528, PlumX_snapshot!$A:$F, 6, FALSE), " ")</f>
        <v>0</v>
      </c>
      <c r="AB528" s="13">
        <v>44978</v>
      </c>
      <c r="AH528" s="9">
        <v>2200</v>
      </c>
      <c r="AI528" s="9" t="s">
        <v>77</v>
      </c>
      <c r="AJ528" s="9" t="s">
        <v>301</v>
      </c>
      <c r="AK528" s="11" t="str">
        <f t="shared" si="4"/>
        <v>2020GBP</v>
      </c>
      <c r="AL528" s="11">
        <f>VLOOKUP(AK528, Exchange_rates!$C:$D, 2, FALSE)</f>
        <v>1</v>
      </c>
      <c r="AM528" s="14">
        <f t="shared" si="5"/>
        <v>2640</v>
      </c>
      <c r="AN528" s="9"/>
      <c r="AO528" s="9"/>
      <c r="AP528" s="17"/>
      <c r="AQ528" s="15" t="s">
        <v>49</v>
      </c>
      <c r="AR528" t="s">
        <v>2756</v>
      </c>
      <c r="AS528" s="16" t="s">
        <v>2757</v>
      </c>
    </row>
    <row r="529" spans="1:45" ht="14.5">
      <c r="A529" s="9" t="s">
        <v>2758</v>
      </c>
      <c r="B529" s="9" t="s">
        <v>2759</v>
      </c>
      <c r="C529" s="9" t="s">
        <v>2755</v>
      </c>
      <c r="D529" s="9" t="s">
        <v>2479</v>
      </c>
      <c r="E529" s="17" t="s">
        <v>49</v>
      </c>
      <c r="F529" s="9" t="s">
        <v>69</v>
      </c>
      <c r="G529" s="9" t="s">
        <v>70</v>
      </c>
      <c r="H529" s="9" t="s">
        <v>2491</v>
      </c>
      <c r="I529" s="9" t="s">
        <v>72</v>
      </c>
      <c r="J529" s="29"/>
      <c r="K529" s="29"/>
      <c r="L529" s="29"/>
      <c r="M529" s="10">
        <v>44314</v>
      </c>
      <c r="N529" s="9">
        <v>2021</v>
      </c>
      <c r="O529" s="9" t="s">
        <v>247</v>
      </c>
      <c r="P529" s="9" t="s">
        <v>53</v>
      </c>
      <c r="Q529" s="9" t="s">
        <v>53</v>
      </c>
      <c r="R529" s="9" t="s">
        <v>2492</v>
      </c>
      <c r="T529" s="9"/>
      <c r="U529" s="9" t="s">
        <v>474</v>
      </c>
      <c r="V529" s="9"/>
      <c r="W529" s="11">
        <f>IFERROR(VLOOKUP(B529, PlumX_snapshot!$A:$B, 2, FALSE), " ")</f>
        <v>0</v>
      </c>
      <c r="X529" s="11">
        <f>IFERROR(VLOOKUP(B529, PlumX_snapshot!$A:$C, 3, FALSE), " ")</f>
        <v>0</v>
      </c>
      <c r="Y529" s="12">
        <f>IFERROR(VLOOKUP(B529, PlumX_snapshot!$A:$D, 4, FALSE), " ")</f>
        <v>13</v>
      </c>
      <c r="Z529" s="12">
        <f>IFERROR(VLOOKUP(B529, PlumX_snapshot!$A:$E, 5, FALSE), " ")</f>
        <v>0</v>
      </c>
      <c r="AA529" s="12">
        <f>IFERROR(VLOOKUP(B529, PlumX_snapshot!$A:$F, 6, FALSE), " ")</f>
        <v>0</v>
      </c>
      <c r="AB529" s="13">
        <v>44978</v>
      </c>
      <c r="AH529" s="9">
        <v>2200</v>
      </c>
      <c r="AI529" s="9" t="s">
        <v>77</v>
      </c>
      <c r="AJ529" s="9" t="s">
        <v>301</v>
      </c>
      <c r="AK529" s="11" t="str">
        <f t="shared" si="4"/>
        <v>2021GBP</v>
      </c>
      <c r="AL529" s="11">
        <f>VLOOKUP(AK529, Exchange_rates!$C:$D, 2, FALSE)</f>
        <v>1</v>
      </c>
      <c r="AM529" s="14">
        <f t="shared" si="5"/>
        <v>2640</v>
      </c>
      <c r="AN529" s="9"/>
      <c r="AO529" s="9"/>
      <c r="AP529" s="17"/>
      <c r="AQ529" s="15" t="s">
        <v>49</v>
      </c>
      <c r="AR529" t="s">
        <v>2756</v>
      </c>
      <c r="AS529" s="16" t="s">
        <v>2757</v>
      </c>
    </row>
    <row r="530" spans="1:45" ht="14.5">
      <c r="A530" s="9" t="s">
        <v>2760</v>
      </c>
      <c r="B530" s="9" t="s">
        <v>2761</v>
      </c>
      <c r="C530" s="9" t="s">
        <v>2762</v>
      </c>
      <c r="D530" s="9" t="s">
        <v>2479</v>
      </c>
      <c r="E530" s="17" t="s">
        <v>49</v>
      </c>
      <c r="F530" s="9" t="s">
        <v>69</v>
      </c>
      <c r="G530" s="9" t="s">
        <v>70</v>
      </c>
      <c r="H530" s="9" t="s">
        <v>2491</v>
      </c>
      <c r="I530" s="9" t="s">
        <v>72</v>
      </c>
      <c r="J530" s="29"/>
      <c r="K530" s="29"/>
      <c r="L530" s="29"/>
      <c r="M530" s="10">
        <v>44253</v>
      </c>
      <c r="N530" s="9">
        <v>2021</v>
      </c>
      <c r="O530" s="9" t="s">
        <v>247</v>
      </c>
      <c r="P530" s="9" t="s">
        <v>53</v>
      </c>
      <c r="Q530" s="9" t="s">
        <v>53</v>
      </c>
      <c r="R530" s="9" t="s">
        <v>2492</v>
      </c>
      <c r="T530" s="9"/>
      <c r="V530" s="9"/>
      <c r="W530" s="11">
        <f>IFERROR(VLOOKUP(B530, PlumX_snapshot!$A:$B, 2, FALSE), " ")</f>
        <v>148</v>
      </c>
      <c r="X530" s="11">
        <f>IFERROR(VLOOKUP(B530, PlumX_snapshot!$A:$C, 3, FALSE), " ")</f>
        <v>39</v>
      </c>
      <c r="Y530" s="12">
        <f>IFERROR(VLOOKUP(B530, PlumX_snapshot!$A:$D, 4, FALSE), " ")</f>
        <v>95</v>
      </c>
      <c r="Z530" s="12">
        <f>IFERROR(VLOOKUP(B530, PlumX_snapshot!$A:$E, 5, FALSE), " ")</f>
        <v>0</v>
      </c>
      <c r="AA530" s="12">
        <f>IFERROR(VLOOKUP(B530, PlumX_snapshot!$A:$F, 6, FALSE), " ")</f>
        <v>0</v>
      </c>
      <c r="AB530" s="13">
        <v>44978</v>
      </c>
      <c r="AH530" s="9">
        <v>740</v>
      </c>
      <c r="AI530" s="9" t="s">
        <v>77</v>
      </c>
      <c r="AJ530" s="9" t="s">
        <v>301</v>
      </c>
      <c r="AK530" s="11" t="str">
        <f t="shared" si="4"/>
        <v>2021GBP</v>
      </c>
      <c r="AL530" s="11">
        <f>VLOOKUP(AK530, Exchange_rates!$C:$D, 2, FALSE)</f>
        <v>1</v>
      </c>
      <c r="AM530" s="14">
        <f t="shared" si="5"/>
        <v>888</v>
      </c>
      <c r="AN530" s="9"/>
      <c r="AO530" s="9"/>
      <c r="AP530" s="17"/>
      <c r="AQ530" s="15" t="s">
        <v>49</v>
      </c>
      <c r="AR530" t="s">
        <v>2763</v>
      </c>
      <c r="AS530" s="16"/>
    </row>
    <row r="531" spans="1:45" ht="14.5">
      <c r="A531" s="9" t="s">
        <v>2764</v>
      </c>
      <c r="B531" s="9" t="s">
        <v>2765</v>
      </c>
      <c r="C531" s="9" t="s">
        <v>2766</v>
      </c>
      <c r="D531" s="9" t="s">
        <v>2479</v>
      </c>
      <c r="E531" s="17" t="s">
        <v>49</v>
      </c>
      <c r="F531" s="9" t="s">
        <v>69</v>
      </c>
      <c r="G531" s="9" t="s">
        <v>70</v>
      </c>
      <c r="H531" s="9" t="s">
        <v>2491</v>
      </c>
      <c r="I531" s="9" t="s">
        <v>238</v>
      </c>
      <c r="J531" s="29"/>
      <c r="K531" s="29"/>
      <c r="L531" s="29"/>
      <c r="M531" s="10">
        <v>44308</v>
      </c>
      <c r="N531" s="9">
        <v>2021</v>
      </c>
      <c r="O531" s="9" t="s">
        <v>247</v>
      </c>
      <c r="P531" s="9" t="s">
        <v>53</v>
      </c>
      <c r="Q531" s="9" t="s">
        <v>53</v>
      </c>
      <c r="R531" s="9" t="s">
        <v>2767</v>
      </c>
      <c r="T531" s="9"/>
      <c r="V531" s="9"/>
      <c r="W531" s="11">
        <f>IFERROR(VLOOKUP(B531, PlumX_snapshot!$A:$B, 2, FALSE), " ")</f>
        <v>18</v>
      </c>
      <c r="X531" s="11">
        <f>IFERROR(VLOOKUP(B531, PlumX_snapshot!$A:$C, 3, FALSE), " ")</f>
        <v>0</v>
      </c>
      <c r="Y531" s="12">
        <f>IFERROR(VLOOKUP(B531, PlumX_snapshot!$A:$D, 4, FALSE), " ")</f>
        <v>18</v>
      </c>
      <c r="Z531" s="12">
        <f>IFERROR(VLOOKUP(B531, PlumX_snapshot!$A:$E, 5, FALSE), " ")</f>
        <v>0</v>
      </c>
      <c r="AA531" s="12">
        <f>IFERROR(VLOOKUP(B531, PlumX_snapshot!$A:$F, 6, FALSE), " ")</f>
        <v>0</v>
      </c>
      <c r="AB531" s="13">
        <v>44978</v>
      </c>
      <c r="AH531" s="9">
        <v>2200</v>
      </c>
      <c r="AI531" s="9" t="s">
        <v>77</v>
      </c>
      <c r="AJ531" s="9" t="s">
        <v>301</v>
      </c>
      <c r="AK531" s="11" t="str">
        <f t="shared" si="4"/>
        <v>2021GBP</v>
      </c>
      <c r="AL531" s="11">
        <f>VLOOKUP(AK531, Exchange_rates!$C:$D, 2, FALSE)</f>
        <v>1</v>
      </c>
      <c r="AM531" s="14">
        <f t="shared" si="5"/>
        <v>2640</v>
      </c>
      <c r="AN531" s="9"/>
      <c r="AO531" s="9"/>
      <c r="AP531" s="17"/>
      <c r="AQ531" s="15" t="s">
        <v>49</v>
      </c>
      <c r="AR531" t="s">
        <v>2768</v>
      </c>
      <c r="AS531" s="16" t="s">
        <v>2769</v>
      </c>
    </row>
    <row r="532" spans="1:45" ht="14.5">
      <c r="A532" s="9" t="s">
        <v>2770</v>
      </c>
      <c r="B532" s="9" t="s">
        <v>2771</v>
      </c>
      <c r="C532" s="9" t="s">
        <v>2772</v>
      </c>
      <c r="D532" s="9" t="s">
        <v>2479</v>
      </c>
      <c r="E532" s="17" t="s">
        <v>49</v>
      </c>
      <c r="F532" s="9" t="s">
        <v>69</v>
      </c>
      <c r="G532" s="9" t="s">
        <v>70</v>
      </c>
      <c r="H532" s="9" t="s">
        <v>2485</v>
      </c>
      <c r="I532" s="9" t="s">
        <v>238</v>
      </c>
      <c r="J532" s="29"/>
      <c r="K532" s="29"/>
      <c r="L532" s="29"/>
      <c r="M532" s="10">
        <v>44056</v>
      </c>
      <c r="N532" s="9">
        <v>2020</v>
      </c>
      <c r="O532" s="9" t="s">
        <v>247</v>
      </c>
      <c r="P532" s="9" t="s">
        <v>53</v>
      </c>
      <c r="Q532" s="9" t="s">
        <v>53</v>
      </c>
      <c r="R532" s="9" t="s">
        <v>2773</v>
      </c>
      <c r="T532" s="9"/>
      <c r="V532" s="9"/>
      <c r="W532" s="11">
        <f>IFERROR(VLOOKUP(B532, PlumX_snapshot!$A:$B, 2, FALSE), " ")</f>
        <v>144</v>
      </c>
      <c r="X532" s="11">
        <f>IFERROR(VLOOKUP(B532, PlumX_snapshot!$A:$C, 3, FALSE), " ")</f>
        <v>30</v>
      </c>
      <c r="Y532" s="12">
        <f>IFERROR(VLOOKUP(B532, PlumX_snapshot!$A:$D, 4, FALSE), " ")</f>
        <v>38</v>
      </c>
      <c r="Z532" s="12">
        <f>IFERROR(VLOOKUP(B532, PlumX_snapshot!$A:$E, 5, FALSE), " ")</f>
        <v>0</v>
      </c>
      <c r="AA532" s="12">
        <f>IFERROR(VLOOKUP(B532, PlumX_snapshot!$A:$F, 6, FALSE), " ")</f>
        <v>0</v>
      </c>
      <c r="AB532" s="13">
        <v>44978</v>
      </c>
      <c r="AH532" s="9">
        <v>2200</v>
      </c>
      <c r="AI532" s="9" t="s">
        <v>77</v>
      </c>
      <c r="AJ532" s="9" t="s">
        <v>301</v>
      </c>
      <c r="AK532" s="11" t="str">
        <f t="shared" si="4"/>
        <v>2020GBP</v>
      </c>
      <c r="AL532" s="11">
        <f>VLOOKUP(AK532, Exchange_rates!$C:$D, 2, FALSE)</f>
        <v>1</v>
      </c>
      <c r="AM532" s="14">
        <f t="shared" si="5"/>
        <v>2640</v>
      </c>
      <c r="AN532" s="9"/>
      <c r="AO532" s="9"/>
      <c r="AP532" s="17"/>
      <c r="AQ532" s="15" t="s">
        <v>49</v>
      </c>
      <c r="AR532" t="s">
        <v>2774</v>
      </c>
      <c r="AS532" s="16" t="s">
        <v>2775</v>
      </c>
    </row>
    <row r="533" spans="1:45" ht="14.5">
      <c r="A533" s="9" t="s">
        <v>2776</v>
      </c>
      <c r="B533" s="9" t="s">
        <v>2777</v>
      </c>
      <c r="C533" s="9" t="s">
        <v>2772</v>
      </c>
      <c r="D533" s="9" t="s">
        <v>2479</v>
      </c>
      <c r="E533" s="17" t="s">
        <v>49</v>
      </c>
      <c r="F533" s="9" t="s">
        <v>69</v>
      </c>
      <c r="G533" s="9" t="s">
        <v>70</v>
      </c>
      <c r="H533" s="9" t="s">
        <v>2485</v>
      </c>
      <c r="I533" s="9" t="s">
        <v>238</v>
      </c>
      <c r="J533" s="29"/>
      <c r="K533" s="29"/>
      <c r="L533" s="29"/>
      <c r="M533" s="10">
        <v>44165</v>
      </c>
      <c r="N533" s="9">
        <v>2020</v>
      </c>
      <c r="O533" s="9" t="s">
        <v>247</v>
      </c>
      <c r="P533" s="9" t="s">
        <v>53</v>
      </c>
      <c r="Q533" s="9" t="s">
        <v>53</v>
      </c>
      <c r="R533" s="9" t="s">
        <v>2778</v>
      </c>
      <c r="T533" s="9"/>
      <c r="V533" s="9"/>
      <c r="W533" s="11">
        <f>IFERROR(VLOOKUP(B533, PlumX_snapshot!$A:$B, 2, FALSE), " ")</f>
        <v>37</v>
      </c>
      <c r="X533" s="11">
        <f>IFERROR(VLOOKUP(B533, PlumX_snapshot!$A:$C, 3, FALSE), " ")</f>
        <v>6</v>
      </c>
      <c r="Y533" s="12">
        <f>IFERROR(VLOOKUP(B533, PlumX_snapshot!$A:$D, 4, FALSE), " ")</f>
        <v>13</v>
      </c>
      <c r="Z533" s="12">
        <f>IFERROR(VLOOKUP(B533, PlumX_snapshot!$A:$E, 5, FALSE), " ")</f>
        <v>0</v>
      </c>
      <c r="AA533" s="12">
        <f>IFERROR(VLOOKUP(B533, PlumX_snapshot!$A:$F, 6, FALSE), " ")</f>
        <v>0</v>
      </c>
      <c r="AB533" s="13">
        <v>44978</v>
      </c>
      <c r="AH533" s="9">
        <v>2200</v>
      </c>
      <c r="AI533" s="9" t="s">
        <v>77</v>
      </c>
      <c r="AJ533" s="9" t="s">
        <v>301</v>
      </c>
      <c r="AK533" s="11" t="str">
        <f t="shared" si="4"/>
        <v>2020GBP</v>
      </c>
      <c r="AL533" s="11">
        <f>VLOOKUP(AK533, Exchange_rates!$C:$D, 2, FALSE)</f>
        <v>1</v>
      </c>
      <c r="AM533" s="14">
        <f t="shared" si="5"/>
        <v>2640</v>
      </c>
      <c r="AN533" s="9"/>
      <c r="AO533" s="9"/>
      <c r="AP533" s="17"/>
      <c r="AQ533" s="15" t="s">
        <v>49</v>
      </c>
      <c r="AR533" t="s">
        <v>2774</v>
      </c>
      <c r="AS533" s="16" t="s">
        <v>2775</v>
      </c>
    </row>
    <row r="534" spans="1:45" ht="14.5">
      <c r="A534" s="9" t="s">
        <v>2779</v>
      </c>
      <c r="B534" s="9" t="s">
        <v>2780</v>
      </c>
      <c r="C534" s="9" t="s">
        <v>2772</v>
      </c>
      <c r="D534" s="9" t="s">
        <v>2479</v>
      </c>
      <c r="E534" s="17" t="s">
        <v>49</v>
      </c>
      <c r="F534" s="9" t="s">
        <v>69</v>
      </c>
      <c r="G534" s="9" t="s">
        <v>70</v>
      </c>
      <c r="H534" s="9" t="s">
        <v>2491</v>
      </c>
      <c r="I534" s="9" t="s">
        <v>72</v>
      </c>
      <c r="J534" s="29"/>
      <c r="K534" s="29"/>
      <c r="L534" s="29"/>
      <c r="M534" s="10">
        <v>44256</v>
      </c>
      <c r="N534" s="9">
        <v>2021</v>
      </c>
      <c r="O534" s="9" t="s">
        <v>247</v>
      </c>
      <c r="P534" s="9" t="s">
        <v>53</v>
      </c>
      <c r="Q534" s="9" t="s">
        <v>53</v>
      </c>
      <c r="R534" s="9" t="s">
        <v>2781</v>
      </c>
      <c r="T534" s="9"/>
      <c r="V534" s="9"/>
      <c r="W534" s="11">
        <f>IFERROR(VLOOKUP(B534, PlumX_snapshot!$A:$B, 2, FALSE), " ")</f>
        <v>32</v>
      </c>
      <c r="X534" s="11">
        <f>IFERROR(VLOOKUP(B534, PlumX_snapshot!$A:$C, 3, FALSE), " ")</f>
        <v>6</v>
      </c>
      <c r="Y534" s="12">
        <f>IFERROR(VLOOKUP(B534, PlumX_snapshot!$A:$D, 4, FALSE), " ")</f>
        <v>51</v>
      </c>
      <c r="Z534" s="12">
        <f>IFERROR(VLOOKUP(B534, PlumX_snapshot!$A:$E, 5, FALSE), " ")</f>
        <v>0</v>
      </c>
      <c r="AA534" s="12">
        <f>IFERROR(VLOOKUP(B534, PlumX_snapshot!$A:$F, 6, FALSE), " ")</f>
        <v>1</v>
      </c>
      <c r="AB534" s="13">
        <v>44978</v>
      </c>
      <c r="AH534" s="9">
        <v>2200</v>
      </c>
      <c r="AI534" s="9" t="s">
        <v>77</v>
      </c>
      <c r="AJ534" s="9" t="s">
        <v>301</v>
      </c>
      <c r="AK534" s="11" t="str">
        <f t="shared" si="4"/>
        <v>2021GBP</v>
      </c>
      <c r="AL534" s="11">
        <f>VLOOKUP(AK534, Exchange_rates!$C:$D, 2, FALSE)</f>
        <v>1</v>
      </c>
      <c r="AM534" s="14">
        <f t="shared" si="5"/>
        <v>2640</v>
      </c>
      <c r="AN534" s="9"/>
      <c r="AO534" s="9"/>
      <c r="AP534" s="17"/>
      <c r="AQ534" s="15" t="s">
        <v>49</v>
      </c>
      <c r="AR534" t="s">
        <v>2774</v>
      </c>
      <c r="AS534" s="16" t="s">
        <v>2775</v>
      </c>
    </row>
    <row r="535" spans="1:45" ht="14.5">
      <c r="A535" s="9" t="s">
        <v>2782</v>
      </c>
      <c r="B535" s="9" t="s">
        <v>2783</v>
      </c>
      <c r="C535" s="9" t="s">
        <v>2784</v>
      </c>
      <c r="D535" s="9" t="s">
        <v>2479</v>
      </c>
      <c r="E535" s="17" t="s">
        <v>49</v>
      </c>
      <c r="F535" s="9" t="s">
        <v>69</v>
      </c>
      <c r="G535" s="9" t="s">
        <v>70</v>
      </c>
      <c r="H535" s="9" t="s">
        <v>2491</v>
      </c>
      <c r="I535" s="9" t="s">
        <v>72</v>
      </c>
      <c r="J535" s="29"/>
      <c r="K535" s="29"/>
      <c r="L535" s="29"/>
      <c r="M535" s="10">
        <v>44303</v>
      </c>
      <c r="N535" s="9">
        <v>2021</v>
      </c>
      <c r="O535" s="9" t="s">
        <v>247</v>
      </c>
      <c r="P535" s="9" t="s">
        <v>53</v>
      </c>
      <c r="Q535" s="9" t="s">
        <v>53</v>
      </c>
      <c r="R535" s="9" t="s">
        <v>2785</v>
      </c>
      <c r="T535" s="9"/>
      <c r="V535" s="9"/>
      <c r="W535" s="11">
        <f>IFERROR(VLOOKUP(B535, PlumX_snapshot!$A:$B, 2, FALSE), " ")</f>
        <v>13</v>
      </c>
      <c r="X535" s="11">
        <f>IFERROR(VLOOKUP(B535, PlumX_snapshot!$A:$C, 3, FALSE), " ")</f>
        <v>0</v>
      </c>
      <c r="Y535" s="12">
        <f>IFERROR(VLOOKUP(B535, PlumX_snapshot!$A:$D, 4, FALSE), " ")</f>
        <v>3</v>
      </c>
      <c r="Z535" s="12">
        <f>IFERROR(VLOOKUP(B535, PlumX_snapshot!$A:$E, 5, FALSE), " ")</f>
        <v>0</v>
      </c>
      <c r="AA535" s="12">
        <f>IFERROR(VLOOKUP(B535, PlumX_snapshot!$A:$F, 6, FALSE), " ")</f>
        <v>0</v>
      </c>
      <c r="AB535" s="13">
        <v>44978</v>
      </c>
      <c r="AH535" s="9">
        <v>2200</v>
      </c>
      <c r="AI535" s="9" t="s">
        <v>77</v>
      </c>
      <c r="AJ535" s="9" t="s">
        <v>301</v>
      </c>
      <c r="AK535" s="11" t="str">
        <f t="shared" si="4"/>
        <v>2021GBP</v>
      </c>
      <c r="AL535" s="11">
        <f>VLOOKUP(AK535, Exchange_rates!$C:$D, 2, FALSE)</f>
        <v>1</v>
      </c>
      <c r="AM535" s="14">
        <f t="shared" si="5"/>
        <v>2640</v>
      </c>
      <c r="AN535" s="9"/>
      <c r="AO535" s="9"/>
      <c r="AP535" s="17"/>
      <c r="AQ535" s="15" t="s">
        <v>49</v>
      </c>
      <c r="AR535" t="s">
        <v>2786</v>
      </c>
      <c r="AS535" s="16" t="s">
        <v>2787</v>
      </c>
    </row>
    <row r="536" spans="1:45" ht="14.5">
      <c r="A536" s="9" t="s">
        <v>2788</v>
      </c>
      <c r="B536" s="9" t="s">
        <v>2789</v>
      </c>
      <c r="C536" s="9" t="s">
        <v>2790</v>
      </c>
      <c r="D536" s="9" t="s">
        <v>2479</v>
      </c>
      <c r="E536" s="17" t="s">
        <v>49</v>
      </c>
      <c r="F536" s="9" t="s">
        <v>69</v>
      </c>
      <c r="G536" s="9" t="s">
        <v>70</v>
      </c>
      <c r="H536" s="9" t="s">
        <v>2485</v>
      </c>
      <c r="I536" s="9" t="s">
        <v>72</v>
      </c>
      <c r="J536" s="29"/>
      <c r="K536" s="29"/>
      <c r="L536" s="29"/>
      <c r="M536" s="10">
        <v>44105</v>
      </c>
      <c r="N536" s="9">
        <v>2020</v>
      </c>
      <c r="O536" s="9" t="s">
        <v>247</v>
      </c>
      <c r="P536" s="9" t="s">
        <v>53</v>
      </c>
      <c r="Q536" s="9" t="s">
        <v>53</v>
      </c>
      <c r="T536" s="9"/>
      <c r="V536" s="9"/>
      <c r="W536" s="11">
        <f>IFERROR(VLOOKUP(B536, PlumX_snapshot!$A:$B, 2, FALSE), " ")</f>
        <v>11</v>
      </c>
      <c r="X536" s="11">
        <f>IFERROR(VLOOKUP(B536, PlumX_snapshot!$A:$C, 3, FALSE), " ")</f>
        <v>1</v>
      </c>
      <c r="Y536" s="12">
        <f>IFERROR(VLOOKUP(B536, PlumX_snapshot!$A:$D, 4, FALSE), " ")</f>
        <v>2</v>
      </c>
      <c r="Z536" s="12">
        <f>IFERROR(VLOOKUP(B536, PlumX_snapshot!$A:$E, 5, FALSE), " ")</f>
        <v>0</v>
      </c>
      <c r="AA536" s="12">
        <f>IFERROR(VLOOKUP(B536, PlumX_snapshot!$A:$F, 6, FALSE), " ")</f>
        <v>1</v>
      </c>
      <c r="AB536" s="13">
        <v>44978</v>
      </c>
      <c r="AH536" s="9">
        <v>2200</v>
      </c>
      <c r="AI536" s="9" t="s">
        <v>77</v>
      </c>
      <c r="AJ536" s="9" t="s">
        <v>301</v>
      </c>
      <c r="AK536" s="11" t="str">
        <f t="shared" si="4"/>
        <v>2020GBP</v>
      </c>
      <c r="AL536" s="11">
        <f>VLOOKUP(AK536, Exchange_rates!$C:$D, 2, FALSE)</f>
        <v>1</v>
      </c>
      <c r="AM536" s="14">
        <f t="shared" si="5"/>
        <v>2640</v>
      </c>
      <c r="AN536" s="9"/>
      <c r="AO536" s="9"/>
      <c r="AP536" s="17"/>
      <c r="AQ536" s="15" t="s">
        <v>49</v>
      </c>
      <c r="AR536" t="s">
        <v>2791</v>
      </c>
      <c r="AS536" s="16" t="s">
        <v>2792</v>
      </c>
    </row>
    <row r="537" spans="1:45" ht="14.5">
      <c r="A537" s="9" t="s">
        <v>2793</v>
      </c>
      <c r="B537" s="9" t="s">
        <v>2794</v>
      </c>
      <c r="C537" s="9" t="s">
        <v>2795</v>
      </c>
      <c r="D537" s="9" t="s">
        <v>2479</v>
      </c>
      <c r="E537" s="17" t="s">
        <v>49</v>
      </c>
      <c r="F537" s="9" t="s">
        <v>69</v>
      </c>
      <c r="G537" s="9" t="s">
        <v>51</v>
      </c>
      <c r="H537" s="9"/>
      <c r="I537" s="9" t="s">
        <v>72</v>
      </c>
      <c r="J537" s="29"/>
      <c r="K537" s="29"/>
      <c r="L537" s="29"/>
      <c r="M537" s="10">
        <v>44197</v>
      </c>
      <c r="N537" s="9">
        <v>2021</v>
      </c>
      <c r="O537" s="9" t="s">
        <v>247</v>
      </c>
      <c r="P537" s="9" t="s">
        <v>83</v>
      </c>
      <c r="Q537" s="9" t="s">
        <v>53</v>
      </c>
      <c r="R537" s="9" t="s">
        <v>2796</v>
      </c>
      <c r="T537" s="9" t="s">
        <v>723</v>
      </c>
      <c r="U537" s="9" t="s">
        <v>2797</v>
      </c>
      <c r="V537" s="9"/>
      <c r="W537" s="11">
        <f>IFERROR(VLOOKUP(B537, PlumX_snapshot!$A:$B, 2, FALSE), " ")</f>
        <v>11</v>
      </c>
      <c r="X537" s="11">
        <f>IFERROR(VLOOKUP(B537, PlumX_snapshot!$A:$C, 3, FALSE), " ")</f>
        <v>3</v>
      </c>
      <c r="Y537" s="12">
        <f>IFERROR(VLOOKUP(B537, PlumX_snapshot!$A:$D, 4, FALSE), " ")</f>
        <v>0</v>
      </c>
      <c r="Z537" s="12">
        <f>IFERROR(VLOOKUP(B537, PlumX_snapshot!$A:$E, 5, FALSE), " ")</f>
        <v>0</v>
      </c>
      <c r="AA537" s="12">
        <f>IFERROR(VLOOKUP(B537, PlumX_snapshot!$A:$F, 6, FALSE), " ")</f>
        <v>1</v>
      </c>
      <c r="AB537" s="13">
        <v>44978</v>
      </c>
      <c r="AH537" s="9">
        <v>1480</v>
      </c>
      <c r="AI537" s="9" t="s">
        <v>77</v>
      </c>
      <c r="AJ537" s="9" t="s">
        <v>301</v>
      </c>
      <c r="AK537" s="11" t="str">
        <f t="shared" si="4"/>
        <v>2021GBP</v>
      </c>
      <c r="AL537" s="11">
        <f>VLOOKUP(AK537, Exchange_rates!$C:$D, 2, FALSE)</f>
        <v>1</v>
      </c>
      <c r="AM537" s="14">
        <f t="shared" si="5"/>
        <v>1776</v>
      </c>
      <c r="AN537" s="9"/>
      <c r="AO537" s="9"/>
      <c r="AP537" s="17"/>
      <c r="AQ537" s="15" t="s">
        <v>49</v>
      </c>
      <c r="AR537" t="s">
        <v>2798</v>
      </c>
      <c r="AS537" s="16"/>
    </row>
    <row r="538" spans="1:45" ht="14.5">
      <c r="A538" s="9" t="s">
        <v>2799</v>
      </c>
      <c r="B538" s="9" t="s">
        <v>2800</v>
      </c>
      <c r="C538" s="9" t="s">
        <v>2801</v>
      </c>
      <c r="D538" s="9" t="s">
        <v>2479</v>
      </c>
      <c r="E538" s="17" t="s">
        <v>49</v>
      </c>
      <c r="F538" s="9" t="s">
        <v>69</v>
      </c>
      <c r="G538" s="9" t="s">
        <v>70</v>
      </c>
      <c r="H538" s="9" t="s">
        <v>2485</v>
      </c>
      <c r="I538" s="9" t="s">
        <v>72</v>
      </c>
      <c r="J538" s="29"/>
      <c r="K538" s="29"/>
      <c r="L538" s="29"/>
      <c r="M538" s="10">
        <v>44064</v>
      </c>
      <c r="N538" s="9">
        <v>2020</v>
      </c>
      <c r="O538" s="9" t="s">
        <v>247</v>
      </c>
      <c r="P538" s="9" t="s">
        <v>53</v>
      </c>
      <c r="Q538" s="9" t="s">
        <v>53</v>
      </c>
      <c r="R538" s="9" t="s">
        <v>2802</v>
      </c>
      <c r="T538" s="9"/>
      <c r="U538" s="9" t="s">
        <v>2803</v>
      </c>
      <c r="V538" s="9"/>
      <c r="W538" s="11">
        <f>IFERROR(VLOOKUP(B538, PlumX_snapshot!$A:$B, 2, FALSE), " ")</f>
        <v>29</v>
      </c>
      <c r="X538" s="11">
        <f>IFERROR(VLOOKUP(B538, PlumX_snapshot!$A:$C, 3, FALSE), " ")</f>
        <v>6</v>
      </c>
      <c r="Y538" s="12">
        <f>IFERROR(VLOOKUP(B538, PlumX_snapshot!$A:$D, 4, FALSE), " ")</f>
        <v>9</v>
      </c>
      <c r="Z538" s="12">
        <f>IFERROR(VLOOKUP(B538, PlumX_snapshot!$A:$E, 5, FALSE), " ")</f>
        <v>0</v>
      </c>
      <c r="AA538" s="12">
        <f>IFERROR(VLOOKUP(B538, PlumX_snapshot!$A:$F, 6, FALSE), " ")</f>
        <v>0</v>
      </c>
      <c r="AB538" s="13">
        <v>44978</v>
      </c>
      <c r="AH538" s="9">
        <v>2200</v>
      </c>
      <c r="AI538" s="9" t="s">
        <v>77</v>
      </c>
      <c r="AJ538" s="9" t="s">
        <v>301</v>
      </c>
      <c r="AK538" s="11" t="str">
        <f t="shared" si="4"/>
        <v>2020GBP</v>
      </c>
      <c r="AL538" s="11">
        <f>VLOOKUP(AK538, Exchange_rates!$C:$D, 2, FALSE)</f>
        <v>1</v>
      </c>
      <c r="AM538" s="14">
        <f t="shared" si="5"/>
        <v>2640</v>
      </c>
      <c r="AN538" s="9"/>
      <c r="AO538" s="9"/>
      <c r="AP538" s="17"/>
      <c r="AQ538" s="15" t="s">
        <v>49</v>
      </c>
      <c r="AR538" t="s">
        <v>2804</v>
      </c>
      <c r="AS538" s="16" t="s">
        <v>2805</v>
      </c>
    </row>
    <row r="539" spans="1:45" ht="14.5">
      <c r="A539" s="9" t="s">
        <v>2806</v>
      </c>
      <c r="B539" s="9" t="s">
        <v>2807</v>
      </c>
      <c r="C539" s="9" t="s">
        <v>2808</v>
      </c>
      <c r="D539" s="9" t="s">
        <v>2479</v>
      </c>
      <c r="E539" s="17" t="s">
        <v>49</v>
      </c>
      <c r="F539" s="9" t="s">
        <v>69</v>
      </c>
      <c r="G539" s="9" t="s">
        <v>70</v>
      </c>
      <c r="H539" s="9" t="s">
        <v>2491</v>
      </c>
      <c r="I539" s="9" t="s">
        <v>72</v>
      </c>
      <c r="J539" s="29"/>
      <c r="K539" s="29"/>
      <c r="L539" s="29"/>
      <c r="M539" s="10">
        <v>44197</v>
      </c>
      <c r="N539" s="9">
        <v>2021</v>
      </c>
      <c r="O539" s="9" t="s">
        <v>247</v>
      </c>
      <c r="P539" s="9" t="s">
        <v>53</v>
      </c>
      <c r="Q539" s="9" t="s">
        <v>53</v>
      </c>
      <c r="R539" s="9" t="s">
        <v>2809</v>
      </c>
      <c r="T539" s="9"/>
      <c r="V539" s="9"/>
      <c r="W539" s="11">
        <f>IFERROR(VLOOKUP(B539, PlumX_snapshot!$A:$B, 2, FALSE), " ")</f>
        <v>18</v>
      </c>
      <c r="X539" s="11">
        <f>IFERROR(VLOOKUP(B539, PlumX_snapshot!$A:$C, 3, FALSE), " ")</f>
        <v>32</v>
      </c>
      <c r="Y539" s="12">
        <f>IFERROR(VLOOKUP(B539, PlumX_snapshot!$A:$D, 4, FALSE), " ")</f>
        <v>12</v>
      </c>
      <c r="Z539" s="12">
        <f>IFERROR(VLOOKUP(B539, PlumX_snapshot!$A:$E, 5, FALSE), " ")</f>
        <v>0</v>
      </c>
      <c r="AA539" s="12">
        <f>IFERROR(VLOOKUP(B539, PlumX_snapshot!$A:$F, 6, FALSE), " ")</f>
        <v>0</v>
      </c>
      <c r="AB539" s="13">
        <v>44978</v>
      </c>
      <c r="AH539" s="9">
        <v>1110</v>
      </c>
      <c r="AI539" s="9" t="s">
        <v>77</v>
      </c>
      <c r="AJ539" s="9" t="s">
        <v>301</v>
      </c>
      <c r="AK539" s="11" t="str">
        <f t="shared" si="4"/>
        <v>2021GBP</v>
      </c>
      <c r="AL539" s="11">
        <f>VLOOKUP(AK539, Exchange_rates!$C:$D, 2, FALSE)</f>
        <v>1</v>
      </c>
      <c r="AM539" s="14">
        <f t="shared" si="5"/>
        <v>1332</v>
      </c>
      <c r="AN539" s="9"/>
      <c r="AO539" s="9"/>
      <c r="AP539" s="17"/>
      <c r="AQ539" s="15" t="s">
        <v>49</v>
      </c>
      <c r="AR539" t="s">
        <v>2810</v>
      </c>
      <c r="AS539" s="16"/>
    </row>
    <row r="540" spans="1:45" ht="14.5">
      <c r="A540" s="9" t="s">
        <v>2811</v>
      </c>
      <c r="B540" s="9" t="s">
        <v>2812</v>
      </c>
      <c r="C540" s="9" t="s">
        <v>2813</v>
      </c>
      <c r="D540" s="9" t="s">
        <v>2479</v>
      </c>
      <c r="E540" s="17" t="s">
        <v>49</v>
      </c>
      <c r="F540" s="9" t="s">
        <v>69</v>
      </c>
      <c r="G540" s="9" t="s">
        <v>70</v>
      </c>
      <c r="H540" s="9" t="s">
        <v>2491</v>
      </c>
      <c r="I540" s="9" t="s">
        <v>72</v>
      </c>
      <c r="J540" s="29"/>
      <c r="K540" s="29"/>
      <c r="L540" s="29"/>
      <c r="M540" s="10">
        <v>44287</v>
      </c>
      <c r="N540" s="9">
        <v>2021</v>
      </c>
      <c r="O540" s="9" t="s">
        <v>247</v>
      </c>
      <c r="P540" s="9" t="s">
        <v>53</v>
      </c>
      <c r="Q540" s="9" t="s">
        <v>53</v>
      </c>
      <c r="R540" s="9" t="s">
        <v>2492</v>
      </c>
      <c r="T540" s="9"/>
      <c r="V540" s="9"/>
      <c r="W540" s="11">
        <f>IFERROR(VLOOKUP(B540, PlumX_snapshot!$A:$B, 2, FALSE), " ")</f>
        <v>47</v>
      </c>
      <c r="X540" s="11">
        <f>IFERROR(VLOOKUP(B540, PlumX_snapshot!$A:$C, 3, FALSE), " ")</f>
        <v>14</v>
      </c>
      <c r="Y540" s="12">
        <f>IFERROR(VLOOKUP(B540, PlumX_snapshot!$A:$D, 4, FALSE), " ")</f>
        <v>48</v>
      </c>
      <c r="Z540" s="12">
        <f>IFERROR(VLOOKUP(B540, PlumX_snapshot!$A:$E, 5, FALSE), " ")</f>
        <v>0</v>
      </c>
      <c r="AA540" s="12">
        <f>IFERROR(VLOOKUP(B540, PlumX_snapshot!$A:$F, 6, FALSE), " ")</f>
        <v>5</v>
      </c>
      <c r="AB540" s="13">
        <v>44978</v>
      </c>
      <c r="AH540" s="9">
        <v>595</v>
      </c>
      <c r="AI540" s="9" t="s">
        <v>77</v>
      </c>
      <c r="AJ540" s="9" t="s">
        <v>301</v>
      </c>
      <c r="AK540" s="11" t="str">
        <f t="shared" si="4"/>
        <v>2021GBP</v>
      </c>
      <c r="AL540" s="11">
        <f>VLOOKUP(AK540, Exchange_rates!$C:$D, 2, FALSE)</f>
        <v>1</v>
      </c>
      <c r="AM540" s="14">
        <f t="shared" si="5"/>
        <v>714</v>
      </c>
      <c r="AN540" s="9"/>
      <c r="AO540" s="9"/>
      <c r="AP540" s="17"/>
      <c r="AQ540" s="15" t="s">
        <v>49</v>
      </c>
      <c r="AR540" t="s">
        <v>2814</v>
      </c>
      <c r="AS540" s="16"/>
    </row>
    <row r="541" spans="1:45" ht="14.5">
      <c r="A541" s="9" t="s">
        <v>2815</v>
      </c>
      <c r="B541" s="9" t="s">
        <v>2816</v>
      </c>
      <c r="C541" s="9" t="s">
        <v>2817</v>
      </c>
      <c r="D541" s="9" t="s">
        <v>2479</v>
      </c>
      <c r="E541" s="17" t="s">
        <v>49</v>
      </c>
      <c r="F541" s="9" t="s">
        <v>69</v>
      </c>
      <c r="G541" s="9" t="s">
        <v>70</v>
      </c>
      <c r="H541" s="9" t="s">
        <v>2485</v>
      </c>
      <c r="I541" s="9" t="s">
        <v>72</v>
      </c>
      <c r="J541" s="29"/>
      <c r="K541" s="29"/>
      <c r="L541" s="29"/>
      <c r="M541" s="10">
        <v>44120</v>
      </c>
      <c r="N541" s="9">
        <v>2020</v>
      </c>
      <c r="O541" s="9" t="s">
        <v>247</v>
      </c>
      <c r="P541" s="9" t="s">
        <v>83</v>
      </c>
      <c r="Q541" s="9" t="s">
        <v>53</v>
      </c>
      <c r="R541" s="9" t="s">
        <v>2818</v>
      </c>
      <c r="T541" s="9"/>
      <c r="V541" s="9"/>
      <c r="W541" s="11">
        <f>IFERROR(VLOOKUP(B541, PlumX_snapshot!$A:$B, 2, FALSE), " ")</f>
        <v>122</v>
      </c>
      <c r="X541" s="11">
        <f>IFERROR(VLOOKUP(B541, PlumX_snapshot!$A:$C, 3, FALSE), " ")</f>
        <v>14</v>
      </c>
      <c r="Y541" s="12">
        <f>IFERROR(VLOOKUP(B541, PlumX_snapshot!$A:$D, 4, FALSE), " ")</f>
        <v>223</v>
      </c>
      <c r="Z541" s="12">
        <f>IFERROR(VLOOKUP(B541, PlumX_snapshot!$A:$E, 5, FALSE), " ")</f>
        <v>0</v>
      </c>
      <c r="AA541" s="12">
        <f>IFERROR(VLOOKUP(B541, PlumX_snapshot!$A:$F, 6, FALSE), " ")</f>
        <v>9</v>
      </c>
      <c r="AB541" s="13">
        <v>44978</v>
      </c>
      <c r="AH541" s="9">
        <v>2200</v>
      </c>
      <c r="AI541" s="9" t="s">
        <v>77</v>
      </c>
      <c r="AJ541" s="9" t="s">
        <v>301</v>
      </c>
      <c r="AK541" s="11" t="str">
        <f t="shared" si="4"/>
        <v>2020GBP</v>
      </c>
      <c r="AL541" s="11">
        <f>VLOOKUP(AK541, Exchange_rates!$C:$D, 2, FALSE)</f>
        <v>1</v>
      </c>
      <c r="AM541" s="14">
        <f t="shared" si="5"/>
        <v>2640</v>
      </c>
      <c r="AN541" s="9"/>
      <c r="AO541" s="9"/>
      <c r="AP541" s="17"/>
      <c r="AQ541" s="15" t="s">
        <v>49</v>
      </c>
      <c r="AR541" t="s">
        <v>2819</v>
      </c>
      <c r="AS541" s="16" t="s">
        <v>2820</v>
      </c>
    </row>
    <row r="542" spans="1:45" ht="14.5">
      <c r="A542" s="9" t="s">
        <v>2821</v>
      </c>
      <c r="B542" s="9" t="s">
        <v>2822</v>
      </c>
      <c r="C542" s="9" t="s">
        <v>2823</v>
      </c>
      <c r="D542" s="9" t="s">
        <v>2479</v>
      </c>
      <c r="E542" s="17" t="s">
        <v>49</v>
      </c>
      <c r="F542" s="9" t="s">
        <v>69</v>
      </c>
      <c r="G542" s="9" t="s">
        <v>70</v>
      </c>
      <c r="H542" s="9" t="s">
        <v>2485</v>
      </c>
      <c r="I542" s="9" t="s">
        <v>72</v>
      </c>
      <c r="J542" s="29"/>
      <c r="K542" s="29"/>
      <c r="L542" s="29"/>
      <c r="M542" s="10">
        <v>44062</v>
      </c>
      <c r="N542" s="9">
        <v>2020</v>
      </c>
      <c r="O542" s="9" t="s">
        <v>247</v>
      </c>
      <c r="P542" s="9" t="s">
        <v>53</v>
      </c>
      <c r="Q542" s="9" t="s">
        <v>53</v>
      </c>
      <c r="R542" s="9" t="s">
        <v>2492</v>
      </c>
      <c r="T542" s="9"/>
      <c r="V542" s="9"/>
      <c r="W542" s="11">
        <f>IFERROR(VLOOKUP(B542, PlumX_snapshot!$A:$B, 2, FALSE), " ")</f>
        <v>1</v>
      </c>
      <c r="X542" s="11">
        <f>IFERROR(VLOOKUP(B542, PlumX_snapshot!$A:$C, 3, FALSE), " ")</f>
        <v>0</v>
      </c>
      <c r="Y542" s="12">
        <f>IFERROR(VLOOKUP(B542, PlumX_snapshot!$A:$D, 4, FALSE), " ")</f>
        <v>0</v>
      </c>
      <c r="Z542" s="12">
        <f>IFERROR(VLOOKUP(B542, PlumX_snapshot!$A:$E, 5, FALSE), " ")</f>
        <v>0</v>
      </c>
      <c r="AA542" s="12">
        <f>IFERROR(VLOOKUP(B542, PlumX_snapshot!$A:$F, 6, FALSE), " ")</f>
        <v>0</v>
      </c>
      <c r="AB542" s="13">
        <v>44978</v>
      </c>
      <c r="AH542" s="9">
        <v>2200</v>
      </c>
      <c r="AI542" s="9" t="s">
        <v>77</v>
      </c>
      <c r="AJ542" s="9" t="s">
        <v>301</v>
      </c>
      <c r="AK542" s="11" t="str">
        <f t="shared" si="4"/>
        <v>2020GBP</v>
      </c>
      <c r="AL542" s="11">
        <f>VLOOKUP(AK542, Exchange_rates!$C:$D, 2, FALSE)</f>
        <v>1</v>
      </c>
      <c r="AM542" s="14">
        <f t="shared" si="5"/>
        <v>2640</v>
      </c>
      <c r="AN542" s="9"/>
      <c r="AO542" s="9"/>
      <c r="AP542" s="17"/>
      <c r="AQ542" s="15" t="s">
        <v>49</v>
      </c>
      <c r="AR542" t="s">
        <v>2824</v>
      </c>
      <c r="AS542" s="16" t="s">
        <v>2824</v>
      </c>
    </row>
    <row r="543" spans="1:45" ht="14.5">
      <c r="A543" s="9" t="s">
        <v>2825</v>
      </c>
      <c r="B543" s="9" t="s">
        <v>2826</v>
      </c>
      <c r="C543" s="9" t="s">
        <v>2823</v>
      </c>
      <c r="D543" s="9" t="s">
        <v>2479</v>
      </c>
      <c r="E543" s="17" t="s">
        <v>49</v>
      </c>
      <c r="F543" s="9" t="s">
        <v>69</v>
      </c>
      <c r="G543" s="9" t="s">
        <v>70</v>
      </c>
      <c r="H543" s="9" t="s">
        <v>2485</v>
      </c>
      <c r="I543" s="9" t="s">
        <v>72</v>
      </c>
      <c r="J543" s="29"/>
      <c r="K543" s="29"/>
      <c r="L543" s="29"/>
      <c r="M543" s="10">
        <v>44090</v>
      </c>
      <c r="N543" s="9">
        <v>2020</v>
      </c>
      <c r="O543" s="9" t="s">
        <v>247</v>
      </c>
      <c r="P543" s="9" t="s">
        <v>53</v>
      </c>
      <c r="Q543" s="9" t="s">
        <v>53</v>
      </c>
      <c r="R543" s="9" t="s">
        <v>2492</v>
      </c>
      <c r="T543" s="9"/>
      <c r="V543" s="9"/>
      <c r="W543" s="11">
        <f>IFERROR(VLOOKUP(B543, PlumX_snapshot!$A:$B, 2, FALSE), " ")</f>
        <v>29</v>
      </c>
      <c r="X543" s="11">
        <f>IFERROR(VLOOKUP(B543, PlumX_snapshot!$A:$C, 3, FALSE), " ")</f>
        <v>0</v>
      </c>
      <c r="Y543" s="12">
        <f>IFERROR(VLOOKUP(B543, PlumX_snapshot!$A:$D, 4, FALSE), " ")</f>
        <v>0</v>
      </c>
      <c r="Z543" s="12">
        <f>IFERROR(VLOOKUP(B543, PlumX_snapshot!$A:$E, 5, FALSE), " ")</f>
        <v>0</v>
      </c>
      <c r="AA543" s="12">
        <f>IFERROR(VLOOKUP(B543, PlumX_snapshot!$A:$F, 6, FALSE), " ")</f>
        <v>0</v>
      </c>
      <c r="AB543" s="13">
        <v>44978</v>
      </c>
      <c r="AH543" s="9">
        <v>2200</v>
      </c>
      <c r="AI543" s="9" t="s">
        <v>77</v>
      </c>
      <c r="AJ543" s="9" t="s">
        <v>301</v>
      </c>
      <c r="AK543" s="11" t="str">
        <f t="shared" si="4"/>
        <v>2020GBP</v>
      </c>
      <c r="AL543" s="11">
        <f>VLOOKUP(AK543, Exchange_rates!$C:$D, 2, FALSE)</f>
        <v>1</v>
      </c>
      <c r="AM543" s="14">
        <f t="shared" si="5"/>
        <v>2640</v>
      </c>
      <c r="AN543" s="9"/>
      <c r="AO543" s="9"/>
      <c r="AP543" s="17"/>
      <c r="AQ543" s="15" t="s">
        <v>49</v>
      </c>
      <c r="AR543" t="s">
        <v>2824</v>
      </c>
      <c r="AS543" s="16" t="s">
        <v>2824</v>
      </c>
    </row>
    <row r="544" spans="1:45" ht="14.5">
      <c r="A544" s="9" t="s">
        <v>2827</v>
      </c>
      <c r="B544" s="9" t="s">
        <v>2828</v>
      </c>
      <c r="C544" s="9" t="s">
        <v>2829</v>
      </c>
      <c r="D544" s="9" t="s">
        <v>2830</v>
      </c>
      <c r="E544" s="9" t="s">
        <v>49</v>
      </c>
      <c r="F544" s="9" t="s">
        <v>69</v>
      </c>
      <c r="G544" s="9" t="s">
        <v>70</v>
      </c>
      <c r="H544" s="9" t="s">
        <v>2831</v>
      </c>
      <c r="I544" s="9" t="s">
        <v>72</v>
      </c>
      <c r="J544" s="10"/>
      <c r="K544" s="10"/>
      <c r="L544" s="10">
        <v>43451.500034722223</v>
      </c>
      <c r="M544" s="10">
        <v>43467</v>
      </c>
      <c r="N544" s="9">
        <v>2018</v>
      </c>
      <c r="O544" s="9" t="s">
        <v>2832</v>
      </c>
      <c r="P544" s="9" t="s">
        <v>53</v>
      </c>
      <c r="Q544" s="9" t="s">
        <v>53</v>
      </c>
      <c r="R544" s="9" t="s">
        <v>1745</v>
      </c>
      <c r="T544" s="9"/>
      <c r="V544" s="9"/>
      <c r="W544" s="11">
        <f>IFERROR(VLOOKUP(B544, PlumX_snapshot!$A:$B, 2, FALSE), " ")</f>
        <v>500</v>
      </c>
      <c r="X544" s="11">
        <f>IFERROR(VLOOKUP(B544, PlumX_snapshot!$A:$C, 3, FALSE), " ")</f>
        <v>106</v>
      </c>
      <c r="Y544" s="12">
        <f>IFERROR(VLOOKUP(B544, PlumX_snapshot!$A:$D, 4, FALSE), " ")</f>
        <v>169</v>
      </c>
      <c r="Z544" s="12">
        <f>IFERROR(VLOOKUP(B544, PlumX_snapshot!$A:$E, 5, FALSE), " ")</f>
        <v>606</v>
      </c>
      <c r="AA544" s="12">
        <f>IFERROR(VLOOKUP(B544, PlumX_snapshot!$A:$F, 6, FALSE), " ")</f>
        <v>0</v>
      </c>
      <c r="AB544" s="13">
        <v>44978</v>
      </c>
      <c r="AH544" s="9"/>
      <c r="AI544" s="9"/>
      <c r="AJ544" s="9"/>
      <c r="AK544" s="11" t="str">
        <f t="shared" si="4"/>
        <v>2018</v>
      </c>
      <c r="AL544" s="11" t="e">
        <f>VLOOKUP(AK544, Exchange_rates!$C:$D, 2, FALSE)</f>
        <v>#N/A</v>
      </c>
      <c r="AM544" s="14" t="str">
        <f t="shared" si="5"/>
        <v/>
      </c>
      <c r="AN544" s="9"/>
      <c r="AO544" s="9"/>
      <c r="AP544" s="9"/>
      <c r="AQ544" s="15" t="s">
        <v>49</v>
      </c>
      <c r="AR544" t="s">
        <v>2833</v>
      </c>
      <c r="AS544" s="16"/>
    </row>
    <row r="545" spans="1:45" ht="14.5">
      <c r="A545" s="9" t="s">
        <v>2834</v>
      </c>
      <c r="B545" s="9" t="s">
        <v>2835</v>
      </c>
      <c r="C545" s="9" t="s">
        <v>2836</v>
      </c>
      <c r="D545" s="9" t="s">
        <v>2830</v>
      </c>
      <c r="E545" s="9" t="s">
        <v>49</v>
      </c>
      <c r="F545" s="9" t="s">
        <v>69</v>
      </c>
      <c r="G545" s="9" t="s">
        <v>70</v>
      </c>
      <c r="H545" s="9" t="s">
        <v>2831</v>
      </c>
      <c r="I545" s="9" t="s">
        <v>72</v>
      </c>
      <c r="J545" s="10">
        <v>43034</v>
      </c>
      <c r="K545" s="10">
        <v>43094</v>
      </c>
      <c r="L545" s="10">
        <v>43103.470462962963</v>
      </c>
      <c r="M545" s="10">
        <v>43133</v>
      </c>
      <c r="N545" s="9">
        <v>2018</v>
      </c>
      <c r="O545" s="9" t="s">
        <v>2832</v>
      </c>
      <c r="P545" s="9" t="s">
        <v>53</v>
      </c>
      <c r="Q545" s="9" t="s">
        <v>53</v>
      </c>
      <c r="T545" s="9"/>
      <c r="V545" s="9"/>
      <c r="W545" s="11">
        <f>IFERROR(VLOOKUP(B545, PlumX_snapshot!$A:$B, 2, FALSE), " ")</f>
        <v>91</v>
      </c>
      <c r="X545" s="11">
        <f>IFERROR(VLOOKUP(B545, PlumX_snapshot!$A:$C, 3, FALSE), " ")</f>
        <v>56</v>
      </c>
      <c r="Y545" s="12">
        <f>IFERROR(VLOOKUP(B545, PlumX_snapshot!$A:$D, 4, FALSE), " ")</f>
        <v>23</v>
      </c>
      <c r="Z545" s="12">
        <f>IFERROR(VLOOKUP(B545, PlumX_snapshot!$A:$E, 5, FALSE), " ")</f>
        <v>35</v>
      </c>
      <c r="AA545" s="12">
        <f>IFERROR(VLOOKUP(B545, PlumX_snapshot!$A:$F, 6, FALSE), " ")</f>
        <v>1</v>
      </c>
      <c r="AB545" s="13">
        <v>44978</v>
      </c>
      <c r="AH545" s="9"/>
      <c r="AI545" s="9"/>
      <c r="AJ545" s="9"/>
      <c r="AK545" s="11" t="str">
        <f t="shared" si="4"/>
        <v>2018</v>
      </c>
      <c r="AL545" s="11" t="e">
        <f>VLOOKUP(AK545, Exchange_rates!$C:$D, 2, FALSE)</f>
        <v>#N/A</v>
      </c>
      <c r="AM545" s="14" t="str">
        <f t="shared" si="5"/>
        <v/>
      </c>
      <c r="AN545" s="9"/>
      <c r="AO545" s="9"/>
      <c r="AP545" s="9"/>
      <c r="AQ545" s="15" t="s">
        <v>49</v>
      </c>
      <c r="AR545" t="s">
        <v>2837</v>
      </c>
      <c r="AS545" s="16"/>
    </row>
    <row r="546" spans="1:45" ht="14.5">
      <c r="A546" s="9" t="s">
        <v>2838</v>
      </c>
      <c r="B546" s="9" t="s">
        <v>2839</v>
      </c>
      <c r="C546" s="9" t="s">
        <v>2840</v>
      </c>
      <c r="D546" s="9" t="s">
        <v>2830</v>
      </c>
      <c r="E546" s="9" t="s">
        <v>49</v>
      </c>
      <c r="F546" s="9" t="s">
        <v>69</v>
      </c>
      <c r="G546" s="9" t="s">
        <v>70</v>
      </c>
      <c r="H546" s="9" t="s">
        <v>2841</v>
      </c>
      <c r="I546" s="9" t="s">
        <v>72</v>
      </c>
      <c r="J546" s="10"/>
      <c r="K546" s="10"/>
      <c r="L546" s="10">
        <v>43487.623900462961</v>
      </c>
      <c r="M546" s="10">
        <v>43518</v>
      </c>
      <c r="N546" s="9">
        <v>2019</v>
      </c>
      <c r="O546" s="9" t="s">
        <v>2832</v>
      </c>
      <c r="P546" s="9" t="s">
        <v>53</v>
      </c>
      <c r="Q546" s="9" t="s">
        <v>53</v>
      </c>
      <c r="R546" s="9" t="s">
        <v>2842</v>
      </c>
      <c r="T546" s="9"/>
      <c r="V546" s="9"/>
      <c r="W546" s="11">
        <f>IFERROR(VLOOKUP(B546, PlumX_snapshot!$A:$B, 2, FALSE), " ")</f>
        <v>90</v>
      </c>
      <c r="X546" s="11">
        <f>IFERROR(VLOOKUP(B546, PlumX_snapshot!$A:$C, 3, FALSE), " ")</f>
        <v>15</v>
      </c>
      <c r="Y546" s="12">
        <f>IFERROR(VLOOKUP(B546, PlumX_snapshot!$A:$D, 4, FALSE), " ")</f>
        <v>0</v>
      </c>
      <c r="Z546" s="12">
        <f>IFERROR(VLOOKUP(B546, PlumX_snapshot!$A:$E, 5, FALSE), " ")</f>
        <v>0</v>
      </c>
      <c r="AA546" s="12">
        <f>IFERROR(VLOOKUP(B546, PlumX_snapshot!$A:$F, 6, FALSE), " ")</f>
        <v>0</v>
      </c>
      <c r="AB546" s="13">
        <v>44978</v>
      </c>
      <c r="AH546" s="9"/>
      <c r="AI546" s="9"/>
      <c r="AJ546" s="9"/>
      <c r="AK546" s="11" t="str">
        <f t="shared" si="4"/>
        <v>2019</v>
      </c>
      <c r="AL546" s="11" t="e">
        <f>VLOOKUP(AK546, Exchange_rates!$C:$D, 2, FALSE)</f>
        <v>#N/A</v>
      </c>
      <c r="AM546" s="14" t="str">
        <f t="shared" si="5"/>
        <v/>
      </c>
      <c r="AN546" s="9"/>
      <c r="AO546" s="9"/>
      <c r="AP546" s="9"/>
      <c r="AQ546" s="15" t="s">
        <v>49</v>
      </c>
      <c r="AR546" t="s">
        <v>2843</v>
      </c>
      <c r="AS546" s="16"/>
    </row>
    <row r="547" spans="1:45" ht="14.5">
      <c r="A547" s="9" t="s">
        <v>2844</v>
      </c>
      <c r="B547" s="9" t="s">
        <v>2845</v>
      </c>
      <c r="C547" s="9" t="s">
        <v>2846</v>
      </c>
      <c r="D547" s="9" t="s">
        <v>2830</v>
      </c>
      <c r="E547" s="9" t="s">
        <v>49</v>
      </c>
      <c r="F547" s="9" t="s">
        <v>69</v>
      </c>
      <c r="G547" s="9" t="s">
        <v>70</v>
      </c>
      <c r="H547" s="9" t="s">
        <v>2841</v>
      </c>
      <c r="I547" s="9" t="s">
        <v>72</v>
      </c>
      <c r="J547" s="10"/>
      <c r="K547" s="10"/>
      <c r="L547" s="10">
        <v>43761.527418981481</v>
      </c>
      <c r="M547" s="28">
        <v>43767</v>
      </c>
      <c r="N547" s="9">
        <v>2019</v>
      </c>
      <c r="O547" s="9" t="s">
        <v>2832</v>
      </c>
      <c r="P547" s="9" t="s">
        <v>53</v>
      </c>
      <c r="Q547" s="9" t="s">
        <v>53</v>
      </c>
      <c r="T547" s="9"/>
      <c r="V547" s="9"/>
      <c r="W547" s="11">
        <f>IFERROR(VLOOKUP(B547, PlumX_snapshot!$A:$B, 2, FALSE), " ")</f>
        <v>9</v>
      </c>
      <c r="X547" s="11">
        <f>IFERROR(VLOOKUP(B547, PlumX_snapshot!$A:$C, 3, FALSE), " ")</f>
        <v>1</v>
      </c>
      <c r="Y547" s="12">
        <f>IFERROR(VLOOKUP(B547, PlumX_snapshot!$A:$D, 4, FALSE), " ")</f>
        <v>4</v>
      </c>
      <c r="Z547" s="12">
        <f>IFERROR(VLOOKUP(B547, PlumX_snapshot!$A:$E, 5, FALSE), " ")</f>
        <v>0</v>
      </c>
      <c r="AA547" s="12">
        <f>IFERROR(VLOOKUP(B547, PlumX_snapshot!$A:$F, 6, FALSE), " ")</f>
        <v>0</v>
      </c>
      <c r="AB547" s="13">
        <v>44978</v>
      </c>
      <c r="AH547" s="9"/>
      <c r="AI547" s="9"/>
      <c r="AJ547" s="9"/>
      <c r="AK547" s="11" t="str">
        <f t="shared" si="4"/>
        <v>2019</v>
      </c>
      <c r="AL547" s="11" t="e">
        <f>VLOOKUP(AK547, Exchange_rates!$C:$D, 2, FALSE)</f>
        <v>#N/A</v>
      </c>
      <c r="AM547" s="14" t="str">
        <f t="shared" si="5"/>
        <v/>
      </c>
      <c r="AN547" s="9"/>
      <c r="AO547" s="9"/>
      <c r="AP547" s="9"/>
      <c r="AQ547" s="15" t="s">
        <v>49</v>
      </c>
      <c r="AR547" t="s">
        <v>2847</v>
      </c>
      <c r="AS547" s="16"/>
    </row>
    <row r="548" spans="1:45" ht="14.5">
      <c r="A548" s="9" t="s">
        <v>2848</v>
      </c>
      <c r="B548" s="9" t="s">
        <v>2849</v>
      </c>
      <c r="C548" s="9" t="s">
        <v>2850</v>
      </c>
      <c r="D548" s="9" t="s">
        <v>2830</v>
      </c>
      <c r="E548" s="9" t="s">
        <v>49</v>
      </c>
      <c r="F548" s="9" t="s">
        <v>69</v>
      </c>
      <c r="G548" s="9" t="s">
        <v>70</v>
      </c>
      <c r="H548" s="9" t="s">
        <v>2831</v>
      </c>
      <c r="I548" s="9" t="s">
        <v>72</v>
      </c>
      <c r="J548" s="10">
        <v>42976</v>
      </c>
      <c r="K548" s="10">
        <v>43116</v>
      </c>
      <c r="L548" s="10">
        <v>43126.357222222221</v>
      </c>
      <c r="M548" s="10">
        <v>43136</v>
      </c>
      <c r="N548" s="9">
        <v>2018</v>
      </c>
      <c r="O548" s="9" t="s">
        <v>2832</v>
      </c>
      <c r="P548" s="9" t="s">
        <v>53</v>
      </c>
      <c r="Q548" s="9" t="s">
        <v>53</v>
      </c>
      <c r="T548" s="9"/>
      <c r="V548" s="9"/>
      <c r="W548" s="11">
        <f>IFERROR(VLOOKUP(B548, PlumX_snapshot!$A:$B, 2, FALSE), " ")</f>
        <v>28</v>
      </c>
      <c r="X548" s="11">
        <f>IFERROR(VLOOKUP(B548, PlumX_snapshot!$A:$C, 3, FALSE), " ")</f>
        <v>31</v>
      </c>
      <c r="Y548" s="12">
        <f>IFERROR(VLOOKUP(B548, PlumX_snapshot!$A:$D, 4, FALSE), " ")</f>
        <v>3</v>
      </c>
      <c r="Z548" s="12">
        <f>IFERROR(VLOOKUP(B548, PlumX_snapshot!$A:$E, 5, FALSE), " ")</f>
        <v>17</v>
      </c>
      <c r="AA548" s="12">
        <f>IFERROR(VLOOKUP(B548, PlumX_snapshot!$A:$F, 6, FALSE), " ")</f>
        <v>0</v>
      </c>
      <c r="AB548" s="13">
        <v>44978</v>
      </c>
      <c r="AH548" s="9"/>
      <c r="AI548" s="9"/>
      <c r="AJ548" s="9"/>
      <c r="AK548" s="11" t="str">
        <f t="shared" si="4"/>
        <v>2018</v>
      </c>
      <c r="AL548" s="11" t="e">
        <f>VLOOKUP(AK548, Exchange_rates!$C:$D, 2, FALSE)</f>
        <v>#N/A</v>
      </c>
      <c r="AM548" s="14" t="str">
        <f t="shared" si="5"/>
        <v/>
      </c>
      <c r="AN548" s="9"/>
      <c r="AO548" s="9"/>
      <c r="AP548" s="9"/>
      <c r="AQ548" s="15" t="s">
        <v>49</v>
      </c>
      <c r="AR548" t="s">
        <v>2851</v>
      </c>
      <c r="AS548" s="16"/>
    </row>
    <row r="549" spans="1:45" ht="14.5">
      <c r="A549" s="9" t="s">
        <v>2852</v>
      </c>
      <c r="B549" s="9" t="s">
        <v>2853</v>
      </c>
      <c r="C549" s="9" t="s">
        <v>2840</v>
      </c>
      <c r="D549" s="9" t="s">
        <v>2830</v>
      </c>
      <c r="E549" s="9" t="s">
        <v>49</v>
      </c>
      <c r="F549" s="9" t="s">
        <v>69</v>
      </c>
      <c r="G549" s="9" t="s">
        <v>70</v>
      </c>
      <c r="H549" s="9" t="s">
        <v>2841</v>
      </c>
      <c r="I549" s="9" t="s">
        <v>72</v>
      </c>
      <c r="J549" s="10"/>
      <c r="K549" s="10"/>
      <c r="L549" s="10">
        <v>43487.626087962963</v>
      </c>
      <c r="M549" s="10">
        <v>43522</v>
      </c>
      <c r="N549" s="9">
        <v>2019</v>
      </c>
      <c r="O549" s="9" t="s">
        <v>2832</v>
      </c>
      <c r="P549" s="9" t="s">
        <v>53</v>
      </c>
      <c r="Q549" s="9" t="s">
        <v>53</v>
      </c>
      <c r="R549" s="9" t="s">
        <v>2842</v>
      </c>
      <c r="T549" s="9"/>
      <c r="V549" s="9"/>
      <c r="W549" s="11">
        <f>IFERROR(VLOOKUP(B549, PlumX_snapshot!$A:$B, 2, FALSE), " ")</f>
        <v>81</v>
      </c>
      <c r="X549" s="11">
        <f>IFERROR(VLOOKUP(B549, PlumX_snapshot!$A:$C, 3, FALSE), " ")</f>
        <v>7</v>
      </c>
      <c r="Y549" s="12">
        <f>IFERROR(VLOOKUP(B549, PlumX_snapshot!$A:$D, 4, FALSE), " ")</f>
        <v>2</v>
      </c>
      <c r="Z549" s="12">
        <f>IFERROR(VLOOKUP(B549, PlumX_snapshot!$A:$E, 5, FALSE), " ")</f>
        <v>108</v>
      </c>
      <c r="AA549" s="12">
        <f>IFERROR(VLOOKUP(B549, PlumX_snapshot!$A:$F, 6, FALSE), " ")</f>
        <v>0</v>
      </c>
      <c r="AB549" s="13">
        <v>44978</v>
      </c>
      <c r="AH549" s="9"/>
      <c r="AI549" s="9"/>
      <c r="AJ549" s="9"/>
      <c r="AK549" s="11" t="str">
        <f t="shared" si="4"/>
        <v>2019</v>
      </c>
      <c r="AL549" s="11" t="e">
        <f>VLOOKUP(AK549, Exchange_rates!$C:$D, 2, FALSE)</f>
        <v>#N/A</v>
      </c>
      <c r="AM549" s="14" t="str">
        <f t="shared" si="5"/>
        <v/>
      </c>
      <c r="AN549" s="9"/>
      <c r="AO549" s="9"/>
      <c r="AP549" s="9"/>
      <c r="AQ549" s="15" t="s">
        <v>49</v>
      </c>
      <c r="AR549" t="s">
        <v>2843</v>
      </c>
      <c r="AS549" s="16"/>
    </row>
    <row r="550" spans="1:45" ht="14.5">
      <c r="A550" s="9" t="s">
        <v>2854</v>
      </c>
      <c r="B550" s="9" t="s">
        <v>2855</v>
      </c>
      <c r="C550" s="9" t="s">
        <v>2856</v>
      </c>
      <c r="D550" s="9" t="s">
        <v>2830</v>
      </c>
      <c r="E550" s="9" t="s">
        <v>49</v>
      </c>
      <c r="F550" s="9" t="s">
        <v>69</v>
      </c>
      <c r="G550" s="9" t="s">
        <v>70</v>
      </c>
      <c r="H550" s="9" t="s">
        <v>2831</v>
      </c>
      <c r="I550" s="9" t="s">
        <v>72</v>
      </c>
      <c r="J550" s="10"/>
      <c r="K550" s="10"/>
      <c r="L550" s="10">
        <v>43292.348993055559</v>
      </c>
      <c r="M550" s="10">
        <v>43299</v>
      </c>
      <c r="N550" s="9">
        <v>2018</v>
      </c>
      <c r="O550" s="9" t="s">
        <v>2832</v>
      </c>
      <c r="P550" s="9" t="s">
        <v>53</v>
      </c>
      <c r="Q550" s="9" t="s">
        <v>53</v>
      </c>
      <c r="T550" s="9"/>
      <c r="V550" s="9"/>
      <c r="W550" s="11">
        <f>IFERROR(VLOOKUP(B550, PlumX_snapshot!$A:$B, 2, FALSE), " ")</f>
        <v>87</v>
      </c>
      <c r="X550" s="11">
        <f>IFERROR(VLOOKUP(B550, PlumX_snapshot!$A:$C, 3, FALSE), " ")</f>
        <v>17</v>
      </c>
      <c r="Y550" s="12">
        <f>IFERROR(VLOOKUP(B550, PlumX_snapshot!$A:$D, 4, FALSE), " ")</f>
        <v>1</v>
      </c>
      <c r="Z550" s="12">
        <f>IFERROR(VLOOKUP(B550, PlumX_snapshot!$A:$E, 5, FALSE), " ")</f>
        <v>646</v>
      </c>
      <c r="AA550" s="12">
        <f>IFERROR(VLOOKUP(B550, PlumX_snapshot!$A:$F, 6, FALSE), " ")</f>
        <v>0</v>
      </c>
      <c r="AB550" s="13">
        <v>44978</v>
      </c>
      <c r="AH550" s="9"/>
      <c r="AI550" s="9"/>
      <c r="AJ550" s="9"/>
      <c r="AK550" s="11" t="str">
        <f t="shared" si="4"/>
        <v>2018</v>
      </c>
      <c r="AL550" s="11" t="e">
        <f>VLOOKUP(AK550, Exchange_rates!$C:$D, 2, FALSE)</f>
        <v>#N/A</v>
      </c>
      <c r="AM550" s="14" t="str">
        <f t="shared" si="5"/>
        <v/>
      </c>
      <c r="AN550" s="9"/>
      <c r="AO550" s="9"/>
      <c r="AP550" s="9"/>
      <c r="AQ550" s="15" t="s">
        <v>49</v>
      </c>
      <c r="AR550" t="s">
        <v>2857</v>
      </c>
      <c r="AS550" s="16"/>
    </row>
    <row r="551" spans="1:45" ht="14.5">
      <c r="A551" s="9" t="s">
        <v>2858</v>
      </c>
      <c r="B551" s="9" t="s">
        <v>2859</v>
      </c>
      <c r="C551" s="9" t="s">
        <v>2860</v>
      </c>
      <c r="D551" s="9" t="s">
        <v>2830</v>
      </c>
      <c r="E551" s="9" t="s">
        <v>49</v>
      </c>
      <c r="F551" s="9" t="s">
        <v>69</v>
      </c>
      <c r="G551" s="9" t="s">
        <v>70</v>
      </c>
      <c r="H551" s="9" t="s">
        <v>2831</v>
      </c>
      <c r="I551" s="9" t="s">
        <v>72</v>
      </c>
      <c r="J551" s="10"/>
      <c r="K551" s="10"/>
      <c r="L551" s="10">
        <v>43383.44258101852</v>
      </c>
      <c r="M551" s="10">
        <v>43501</v>
      </c>
      <c r="N551" s="9">
        <v>2018</v>
      </c>
      <c r="O551" s="9" t="s">
        <v>2832</v>
      </c>
      <c r="P551" s="9" t="s">
        <v>53</v>
      </c>
      <c r="Q551" s="9" t="s">
        <v>53</v>
      </c>
      <c r="T551" s="9"/>
      <c r="V551" s="9"/>
      <c r="W551" s="11">
        <f>IFERROR(VLOOKUP(B551, PlumX_snapshot!$A:$B, 2, FALSE), " ")</f>
        <v>6</v>
      </c>
      <c r="X551" s="11">
        <f>IFERROR(VLOOKUP(B551, PlumX_snapshot!$A:$C, 3, FALSE), " ")</f>
        <v>0</v>
      </c>
      <c r="Y551" s="12">
        <f>IFERROR(VLOOKUP(B551, PlumX_snapshot!$A:$D, 4, FALSE), " ")</f>
        <v>0</v>
      </c>
      <c r="Z551" s="12">
        <f>IFERROR(VLOOKUP(B551, PlumX_snapshot!$A:$E, 5, FALSE), " ")</f>
        <v>109</v>
      </c>
      <c r="AA551" s="12">
        <f>IFERROR(VLOOKUP(B551, PlumX_snapshot!$A:$F, 6, FALSE), " ")</f>
        <v>0</v>
      </c>
      <c r="AB551" s="13">
        <v>44978</v>
      </c>
      <c r="AH551" s="9"/>
      <c r="AI551" s="9"/>
      <c r="AJ551" s="9"/>
      <c r="AK551" s="11" t="str">
        <f t="shared" si="4"/>
        <v>2018</v>
      </c>
      <c r="AL551" s="11" t="e">
        <f>VLOOKUP(AK551, Exchange_rates!$C:$D, 2, FALSE)</f>
        <v>#N/A</v>
      </c>
      <c r="AM551" s="14" t="str">
        <f t="shared" si="5"/>
        <v/>
      </c>
      <c r="AN551" s="9"/>
      <c r="AO551" s="9"/>
      <c r="AP551" s="9"/>
      <c r="AQ551" s="15" t="s">
        <v>49</v>
      </c>
      <c r="AR551" t="s">
        <v>2861</v>
      </c>
      <c r="AS551" s="16"/>
    </row>
    <row r="552" spans="1:45" ht="14.5">
      <c r="A552" s="9" t="s">
        <v>2862</v>
      </c>
      <c r="B552" s="9" t="s">
        <v>2863</v>
      </c>
      <c r="C552" s="9" t="s">
        <v>2864</v>
      </c>
      <c r="D552" s="9" t="s">
        <v>2830</v>
      </c>
      <c r="E552" s="9" t="s">
        <v>49</v>
      </c>
      <c r="F552" s="9" t="s">
        <v>69</v>
      </c>
      <c r="G552" s="9" t="s">
        <v>70</v>
      </c>
      <c r="H552" s="9" t="s">
        <v>2841</v>
      </c>
      <c r="I552" s="9" t="s">
        <v>72</v>
      </c>
      <c r="J552" s="10">
        <v>43307</v>
      </c>
      <c r="K552" s="10">
        <v>43508</v>
      </c>
      <c r="L552" s="10">
        <v>43509.478715277779</v>
      </c>
      <c r="M552" s="10">
        <v>43531</v>
      </c>
      <c r="N552" s="9">
        <v>2019</v>
      </c>
      <c r="O552" s="9" t="s">
        <v>2832</v>
      </c>
      <c r="P552" s="9" t="s">
        <v>83</v>
      </c>
      <c r="Q552" s="9" t="s">
        <v>53</v>
      </c>
      <c r="R552" s="9" t="s">
        <v>1847</v>
      </c>
      <c r="T552" s="9"/>
      <c r="V552" s="9"/>
      <c r="W552" s="11">
        <f>IFERROR(VLOOKUP(B552, PlumX_snapshot!$A:$B, 2, FALSE), " ")</f>
        <v>32</v>
      </c>
      <c r="X552" s="11">
        <f>IFERROR(VLOOKUP(B552, PlumX_snapshot!$A:$C, 3, FALSE), " ")</f>
        <v>21</v>
      </c>
      <c r="Y552" s="12">
        <f>IFERROR(VLOOKUP(B552, PlumX_snapshot!$A:$D, 4, FALSE), " ")</f>
        <v>53</v>
      </c>
      <c r="Z552" s="12">
        <f>IFERROR(VLOOKUP(B552, PlumX_snapshot!$A:$E, 5, FALSE), " ")</f>
        <v>0</v>
      </c>
      <c r="AA552" s="12">
        <f>IFERROR(VLOOKUP(B552, PlumX_snapshot!$A:$F, 6, FALSE), " ")</f>
        <v>0</v>
      </c>
      <c r="AB552" s="13">
        <v>44978</v>
      </c>
      <c r="AH552" s="9"/>
      <c r="AI552" s="9"/>
      <c r="AJ552" s="9"/>
      <c r="AK552" s="11" t="str">
        <f t="shared" si="4"/>
        <v>2019</v>
      </c>
      <c r="AL552" s="11" t="e">
        <f>VLOOKUP(AK552, Exchange_rates!$C:$D, 2, FALSE)</f>
        <v>#N/A</v>
      </c>
      <c r="AM552" s="14" t="str">
        <f t="shared" si="5"/>
        <v/>
      </c>
      <c r="AN552" s="9"/>
      <c r="AO552" s="9"/>
      <c r="AP552" s="9"/>
      <c r="AQ552" s="15" t="s">
        <v>49</v>
      </c>
      <c r="AR552" t="s">
        <v>2865</v>
      </c>
      <c r="AS552" s="16"/>
    </row>
    <row r="553" spans="1:45" ht="14.5">
      <c r="A553" s="9" t="s">
        <v>2866</v>
      </c>
      <c r="B553" s="9" t="s">
        <v>2867</v>
      </c>
      <c r="C553" s="9" t="s">
        <v>2840</v>
      </c>
      <c r="D553" s="9" t="s">
        <v>2830</v>
      </c>
      <c r="E553" s="9" t="s">
        <v>49</v>
      </c>
      <c r="F553" s="9" t="s">
        <v>69</v>
      </c>
      <c r="G553" s="9" t="s">
        <v>70</v>
      </c>
      <c r="H553" s="9" t="s">
        <v>2841</v>
      </c>
      <c r="I553" s="9" t="s">
        <v>72</v>
      </c>
      <c r="J553" s="10"/>
      <c r="K553" s="10"/>
      <c r="L553" s="10">
        <v>43489.604062500002</v>
      </c>
      <c r="M553" s="10">
        <v>43503</v>
      </c>
      <c r="N553" s="9">
        <v>2019</v>
      </c>
      <c r="O553" s="9" t="s">
        <v>2832</v>
      </c>
      <c r="P553" s="9" t="s">
        <v>53</v>
      </c>
      <c r="Q553" s="9" t="s">
        <v>53</v>
      </c>
      <c r="R553" s="9" t="s">
        <v>2842</v>
      </c>
      <c r="T553" s="9"/>
      <c r="V553" s="9"/>
      <c r="W553" s="11">
        <f>IFERROR(VLOOKUP(B553, PlumX_snapshot!$A:$B, 2, FALSE), " ")</f>
        <v>109</v>
      </c>
      <c r="X553" s="11">
        <f>IFERROR(VLOOKUP(B553, PlumX_snapshot!$A:$C, 3, FALSE), " ")</f>
        <v>16</v>
      </c>
      <c r="Y553" s="12">
        <f>IFERROR(VLOOKUP(B553, PlumX_snapshot!$A:$D, 4, FALSE), " ")</f>
        <v>0</v>
      </c>
      <c r="Z553" s="12">
        <f>IFERROR(VLOOKUP(B553, PlumX_snapshot!$A:$E, 5, FALSE), " ")</f>
        <v>295</v>
      </c>
      <c r="AA553" s="12">
        <f>IFERROR(VLOOKUP(B553, PlumX_snapshot!$A:$F, 6, FALSE), " ")</f>
        <v>0</v>
      </c>
      <c r="AB553" s="13">
        <v>44978</v>
      </c>
      <c r="AH553" s="9"/>
      <c r="AI553" s="9"/>
      <c r="AJ553" s="9"/>
      <c r="AK553" s="11" t="str">
        <f t="shared" si="4"/>
        <v>2019</v>
      </c>
      <c r="AL553" s="11" t="e">
        <f>VLOOKUP(AK553, Exchange_rates!$C:$D, 2, FALSE)</f>
        <v>#N/A</v>
      </c>
      <c r="AM553" s="14" t="str">
        <f t="shared" si="5"/>
        <v/>
      </c>
      <c r="AN553" s="9"/>
      <c r="AO553" s="9"/>
      <c r="AP553" s="9"/>
      <c r="AQ553" s="15" t="s">
        <v>49</v>
      </c>
      <c r="AR553" t="s">
        <v>2843</v>
      </c>
      <c r="AS553" s="16"/>
    </row>
    <row r="554" spans="1:45" ht="14.5">
      <c r="A554" s="9" t="s">
        <v>2868</v>
      </c>
      <c r="B554" s="9" t="s">
        <v>2869</v>
      </c>
      <c r="C554" s="9" t="s">
        <v>2870</v>
      </c>
      <c r="D554" s="9" t="s">
        <v>2830</v>
      </c>
      <c r="E554" s="9" t="s">
        <v>49</v>
      </c>
      <c r="F554" s="9" t="s">
        <v>69</v>
      </c>
      <c r="G554" s="9" t="s">
        <v>70</v>
      </c>
      <c r="H554" s="9" t="s">
        <v>2871</v>
      </c>
      <c r="I554" s="9" t="s">
        <v>72</v>
      </c>
      <c r="J554" s="10"/>
      <c r="K554" s="10"/>
      <c r="L554" s="10">
        <v>43833.39266203704</v>
      </c>
      <c r="M554" s="10">
        <v>43845</v>
      </c>
      <c r="N554" s="9">
        <v>2020</v>
      </c>
      <c r="O554" s="9" t="s">
        <v>2832</v>
      </c>
      <c r="P554" s="9" t="s">
        <v>53</v>
      </c>
      <c r="Q554" s="9" t="s">
        <v>53</v>
      </c>
      <c r="T554" s="9"/>
      <c r="V554" s="9"/>
      <c r="W554" s="11">
        <f>IFERROR(VLOOKUP(B554, PlumX_snapshot!$A:$B, 2, FALSE), " ")</f>
        <v>22</v>
      </c>
      <c r="X554" s="11">
        <f>IFERROR(VLOOKUP(B554, PlumX_snapshot!$A:$C, 3, FALSE), " ")</f>
        <v>5</v>
      </c>
      <c r="Y554" s="12">
        <f>IFERROR(VLOOKUP(B554, PlumX_snapshot!$A:$D, 4, FALSE), " ")</f>
        <v>33</v>
      </c>
      <c r="Z554" s="12">
        <f>IFERROR(VLOOKUP(B554, PlumX_snapshot!$A:$E, 5, FALSE), " ")</f>
        <v>0</v>
      </c>
      <c r="AA554" s="12">
        <f>IFERROR(VLOOKUP(B554, PlumX_snapshot!$A:$F, 6, FALSE), " ")</f>
        <v>0</v>
      </c>
      <c r="AB554" s="13">
        <v>44978</v>
      </c>
      <c r="AH554" s="9">
        <v>2244</v>
      </c>
      <c r="AI554" s="9" t="s">
        <v>77</v>
      </c>
      <c r="AJ554" s="9" t="s">
        <v>1823</v>
      </c>
      <c r="AK554" s="11" t="str">
        <f t="shared" si="4"/>
        <v>2020EUR</v>
      </c>
      <c r="AL554" s="11">
        <f>VLOOKUP(AK554, Exchange_rates!$C:$D, 2, FALSE)</f>
        <v>0.88970000000000005</v>
      </c>
      <c r="AM554" s="14">
        <f t="shared" si="5"/>
        <v>2395.7841600000002</v>
      </c>
      <c r="AN554" s="9"/>
      <c r="AO554" s="9"/>
      <c r="AP554" s="9"/>
      <c r="AQ554" s="15" t="s">
        <v>49</v>
      </c>
      <c r="AR554" t="s">
        <v>2872</v>
      </c>
      <c r="AS554" s="16"/>
    </row>
    <row r="555" spans="1:45" ht="14.5">
      <c r="A555" s="9" t="s">
        <v>2873</v>
      </c>
      <c r="B555" s="9" t="s">
        <v>2874</v>
      </c>
      <c r="C555" s="9" t="s">
        <v>2870</v>
      </c>
      <c r="D555" s="9" t="s">
        <v>2830</v>
      </c>
      <c r="E555" s="9" t="s">
        <v>49</v>
      </c>
      <c r="F555" s="9" t="s">
        <v>69</v>
      </c>
      <c r="G555" s="9" t="s">
        <v>70</v>
      </c>
      <c r="H555" s="9" t="s">
        <v>2871</v>
      </c>
      <c r="I555" s="9" t="s">
        <v>72</v>
      </c>
      <c r="J555" s="10"/>
      <c r="K555" s="10"/>
      <c r="L555" s="10">
        <v>43950.643935185188</v>
      </c>
      <c r="M555" s="10">
        <v>43964</v>
      </c>
      <c r="N555" s="9">
        <v>2020</v>
      </c>
      <c r="O555" s="9" t="s">
        <v>2832</v>
      </c>
      <c r="P555" s="9" t="s">
        <v>53</v>
      </c>
      <c r="Q555" s="9" t="s">
        <v>53</v>
      </c>
      <c r="T555" s="9"/>
      <c r="V555" s="9"/>
      <c r="W555" s="11">
        <f>IFERROR(VLOOKUP(B555, PlumX_snapshot!$A:$B, 2, FALSE), " ")</f>
        <v>30</v>
      </c>
      <c r="X555" s="11">
        <f>IFERROR(VLOOKUP(B555, PlumX_snapshot!$A:$C, 3, FALSE), " ")</f>
        <v>9</v>
      </c>
      <c r="Y555" s="12">
        <f>IFERROR(VLOOKUP(B555, PlumX_snapshot!$A:$D, 4, FALSE), " ")</f>
        <v>66</v>
      </c>
      <c r="Z555" s="12">
        <f>IFERROR(VLOOKUP(B555, PlumX_snapshot!$A:$E, 5, FALSE), " ")</f>
        <v>0</v>
      </c>
      <c r="AA555" s="12">
        <f>IFERROR(VLOOKUP(B555, PlumX_snapshot!$A:$F, 6, FALSE), " ")</f>
        <v>0</v>
      </c>
      <c r="AB555" s="13">
        <v>44978</v>
      </c>
      <c r="AH555" s="9">
        <v>2289</v>
      </c>
      <c r="AI555" s="9" t="s">
        <v>77</v>
      </c>
      <c r="AJ555" s="9" t="s">
        <v>1823</v>
      </c>
      <c r="AK555" s="11" t="str">
        <f t="shared" si="4"/>
        <v>2020EUR</v>
      </c>
      <c r="AL555" s="11">
        <f>VLOOKUP(AK555, Exchange_rates!$C:$D, 2, FALSE)</f>
        <v>0.88970000000000005</v>
      </c>
      <c r="AM555" s="14">
        <f t="shared" si="5"/>
        <v>2443.8279600000001</v>
      </c>
      <c r="AN555" s="9"/>
      <c r="AO555" s="9"/>
      <c r="AP555" s="9"/>
      <c r="AQ555" s="15" t="s">
        <v>49</v>
      </c>
      <c r="AR555" t="s">
        <v>2872</v>
      </c>
      <c r="AS555" s="16"/>
    </row>
    <row r="556" spans="1:45" ht="14.5">
      <c r="A556" s="9" t="s">
        <v>2875</v>
      </c>
      <c r="B556" s="9" t="s">
        <v>2876</v>
      </c>
      <c r="C556" s="9" t="s">
        <v>2877</v>
      </c>
      <c r="D556" s="9" t="s">
        <v>2830</v>
      </c>
      <c r="E556" s="9" t="s">
        <v>49</v>
      </c>
      <c r="F556" s="9" t="s">
        <v>69</v>
      </c>
      <c r="G556" s="9" t="s">
        <v>70</v>
      </c>
      <c r="H556" s="9" t="s">
        <v>2878</v>
      </c>
      <c r="I556" s="9" t="s">
        <v>72</v>
      </c>
      <c r="J556" s="10">
        <v>44015</v>
      </c>
      <c r="K556" s="10">
        <v>44235</v>
      </c>
      <c r="L556" s="10">
        <v>44250.583912037036</v>
      </c>
      <c r="M556" s="10">
        <v>44252</v>
      </c>
      <c r="N556" s="9">
        <v>2021</v>
      </c>
      <c r="O556" s="9" t="s">
        <v>2832</v>
      </c>
      <c r="P556" s="9" t="s">
        <v>53</v>
      </c>
      <c r="Q556" s="9" t="s">
        <v>53</v>
      </c>
      <c r="R556" s="9" t="s">
        <v>92</v>
      </c>
      <c r="T556" s="9"/>
      <c r="V556" s="9"/>
      <c r="W556" s="11">
        <f>IFERROR(VLOOKUP(B556, PlumX_snapshot!$A:$B, 2, FALSE), " ")</f>
        <v>33</v>
      </c>
      <c r="X556" s="11">
        <f>IFERROR(VLOOKUP(B556, PlumX_snapshot!$A:$C, 3, FALSE), " ")</f>
        <v>4</v>
      </c>
      <c r="Y556" s="12">
        <f>IFERROR(VLOOKUP(B556, PlumX_snapshot!$A:$D, 4, FALSE), " ")</f>
        <v>179</v>
      </c>
      <c r="Z556" s="12">
        <f>IFERROR(VLOOKUP(B556, PlumX_snapshot!$A:$E, 5, FALSE), " ")</f>
        <v>0</v>
      </c>
      <c r="AA556" s="12">
        <f>IFERROR(VLOOKUP(B556, PlumX_snapshot!$A:$F, 6, FALSE), " ")</f>
        <v>1</v>
      </c>
      <c r="AB556" s="13">
        <v>44978</v>
      </c>
      <c r="AH556" s="9">
        <v>2380</v>
      </c>
      <c r="AI556" s="9" t="s">
        <v>77</v>
      </c>
      <c r="AJ556" s="9" t="s">
        <v>1823</v>
      </c>
      <c r="AK556" s="11" t="str">
        <f t="shared" si="4"/>
        <v>2021EUR</v>
      </c>
      <c r="AL556" s="11">
        <f>VLOOKUP(AK556, Exchange_rates!$C:$D, 2, FALSE)</f>
        <v>0.8599</v>
      </c>
      <c r="AM556" s="14">
        <f t="shared" si="5"/>
        <v>2455.8743999999997</v>
      </c>
      <c r="AN556" s="9"/>
      <c r="AO556" s="9"/>
      <c r="AP556" s="9"/>
      <c r="AQ556" s="15" t="s">
        <v>49</v>
      </c>
      <c r="AR556" t="s">
        <v>2879</v>
      </c>
      <c r="AS556" s="16"/>
    </row>
    <row r="557" spans="1:45" ht="14.5">
      <c r="A557" s="9" t="s">
        <v>2880</v>
      </c>
      <c r="B557" s="9" t="s">
        <v>2881</v>
      </c>
      <c r="C557" s="9" t="s">
        <v>2882</v>
      </c>
      <c r="D557" s="9" t="s">
        <v>2830</v>
      </c>
      <c r="E557" s="9" t="s">
        <v>49</v>
      </c>
      <c r="F557" s="9" t="s">
        <v>69</v>
      </c>
      <c r="G557" s="9" t="s">
        <v>70</v>
      </c>
      <c r="H557" s="9" t="s">
        <v>2831</v>
      </c>
      <c r="I557" s="9" t="s">
        <v>72</v>
      </c>
      <c r="J557" s="10">
        <v>42976</v>
      </c>
      <c r="K557" s="10">
        <v>43154</v>
      </c>
      <c r="L557" s="10">
        <v>43157.485162037039</v>
      </c>
      <c r="M557" s="10">
        <v>43161</v>
      </c>
      <c r="N557" s="9">
        <v>2018</v>
      </c>
      <c r="O557" s="9" t="s">
        <v>2832</v>
      </c>
      <c r="P557" s="9" t="s">
        <v>53</v>
      </c>
      <c r="Q557" s="9" t="s">
        <v>53</v>
      </c>
      <c r="T557" s="9"/>
      <c r="V557" s="9"/>
      <c r="W557" s="11">
        <f>IFERROR(VLOOKUP(B557, PlumX_snapshot!$A:$B, 2, FALSE), " ")</f>
        <v>129</v>
      </c>
      <c r="X557" s="11">
        <f>IFERROR(VLOOKUP(B557, PlumX_snapshot!$A:$C, 3, FALSE), " ")</f>
        <v>17</v>
      </c>
      <c r="Y557" s="12">
        <f>IFERROR(VLOOKUP(B557, PlumX_snapshot!$A:$D, 4, FALSE), " ")</f>
        <v>985</v>
      </c>
      <c r="Z557" s="12">
        <f>IFERROR(VLOOKUP(B557, PlumX_snapshot!$A:$E, 5, FALSE), " ")</f>
        <v>306</v>
      </c>
      <c r="AA557" s="12">
        <f>IFERROR(VLOOKUP(B557, PlumX_snapshot!$A:$F, 6, FALSE), " ")</f>
        <v>47</v>
      </c>
      <c r="AB557" s="13">
        <v>44978</v>
      </c>
      <c r="AH557" s="9"/>
      <c r="AI557" s="9"/>
      <c r="AJ557" s="9"/>
      <c r="AK557" s="11" t="str">
        <f t="shared" si="4"/>
        <v>2018</v>
      </c>
      <c r="AL557" s="11" t="e">
        <f>VLOOKUP(AK557, Exchange_rates!$C:$D, 2, FALSE)</f>
        <v>#N/A</v>
      </c>
      <c r="AM557" s="14" t="str">
        <f t="shared" si="5"/>
        <v/>
      </c>
      <c r="AN557" s="9"/>
      <c r="AO557" s="9"/>
      <c r="AP557" s="9"/>
      <c r="AQ557" s="15" t="s">
        <v>49</v>
      </c>
      <c r="AR557" t="s">
        <v>2883</v>
      </c>
      <c r="AS557" s="16"/>
    </row>
    <row r="558" spans="1:45" ht="14.5">
      <c r="A558" s="9" t="s">
        <v>2884</v>
      </c>
      <c r="B558" s="9" t="s">
        <v>2885</v>
      </c>
      <c r="C558" s="9" t="s">
        <v>2886</v>
      </c>
      <c r="D558" s="9" t="s">
        <v>2830</v>
      </c>
      <c r="E558" s="9" t="s">
        <v>49</v>
      </c>
      <c r="F558" s="9" t="s">
        <v>69</v>
      </c>
      <c r="G558" s="9" t="s">
        <v>70</v>
      </c>
      <c r="H558" s="9" t="s">
        <v>2841</v>
      </c>
      <c r="I558" s="9" t="s">
        <v>72</v>
      </c>
      <c r="J558" s="10">
        <v>43463</v>
      </c>
      <c r="K558" s="10">
        <v>43568</v>
      </c>
      <c r="L558" s="10">
        <v>43572.405833333331</v>
      </c>
      <c r="M558" s="10">
        <v>43580</v>
      </c>
      <c r="N558" s="9">
        <v>2019</v>
      </c>
      <c r="O558" s="9" t="s">
        <v>2832</v>
      </c>
      <c r="P558" s="9" t="s">
        <v>53</v>
      </c>
      <c r="Q558" s="9" t="s">
        <v>53</v>
      </c>
      <c r="T558" s="9"/>
      <c r="V558" s="9"/>
      <c r="W558" s="11">
        <f>IFERROR(VLOOKUP(B558, PlumX_snapshot!$A:$B, 2, FALSE), " ")</f>
        <v>31</v>
      </c>
      <c r="X558" s="11">
        <f>IFERROR(VLOOKUP(B558, PlumX_snapshot!$A:$C, 3, FALSE), " ")</f>
        <v>12</v>
      </c>
      <c r="Y558" s="12">
        <f>IFERROR(VLOOKUP(B558, PlumX_snapshot!$A:$D, 4, FALSE), " ")</f>
        <v>83</v>
      </c>
      <c r="Z558" s="12">
        <f>IFERROR(VLOOKUP(B558, PlumX_snapshot!$A:$E, 5, FALSE), " ")</f>
        <v>0</v>
      </c>
      <c r="AA558" s="12">
        <f>IFERROR(VLOOKUP(B558, PlumX_snapshot!$A:$F, 6, FALSE), " ")</f>
        <v>0</v>
      </c>
      <c r="AB558" s="13">
        <v>44978</v>
      </c>
      <c r="AH558" s="9"/>
      <c r="AI558" s="9"/>
      <c r="AJ558" s="9"/>
      <c r="AK558" s="11" t="str">
        <f t="shared" si="4"/>
        <v>2019</v>
      </c>
      <c r="AL558" s="11" t="e">
        <f>VLOOKUP(AK558, Exchange_rates!$C:$D, 2, FALSE)</f>
        <v>#N/A</v>
      </c>
      <c r="AM558" s="14" t="str">
        <f t="shared" si="5"/>
        <v/>
      </c>
      <c r="AN558" s="9"/>
      <c r="AO558" s="9"/>
      <c r="AP558" s="9"/>
      <c r="AQ558" s="15" t="s">
        <v>49</v>
      </c>
      <c r="AR558" t="s">
        <v>2887</v>
      </c>
      <c r="AS558" s="16"/>
    </row>
    <row r="559" spans="1:45" ht="14.5">
      <c r="A559" s="9" t="s">
        <v>2888</v>
      </c>
      <c r="B559" s="9" t="s">
        <v>2889</v>
      </c>
      <c r="C559" s="9" t="s">
        <v>2890</v>
      </c>
      <c r="D559" s="9" t="s">
        <v>2830</v>
      </c>
      <c r="E559" s="9" t="s">
        <v>49</v>
      </c>
      <c r="F559" s="9" t="s">
        <v>69</v>
      </c>
      <c r="G559" s="9" t="s">
        <v>70</v>
      </c>
      <c r="H559" s="9" t="s">
        <v>2841</v>
      </c>
      <c r="I559" s="9" t="s">
        <v>72</v>
      </c>
      <c r="J559" s="10">
        <v>43114</v>
      </c>
      <c r="K559" s="10">
        <v>43715</v>
      </c>
      <c r="L559" s="10">
        <v>43812.420590277776</v>
      </c>
      <c r="M559" s="10">
        <v>43834</v>
      </c>
      <c r="N559" s="9">
        <v>2019</v>
      </c>
      <c r="O559" s="9" t="s">
        <v>2832</v>
      </c>
      <c r="P559" s="9" t="s">
        <v>53</v>
      </c>
      <c r="Q559" s="9" t="s">
        <v>53</v>
      </c>
      <c r="T559" s="9"/>
      <c r="V559" s="9"/>
      <c r="W559" s="11">
        <f>IFERROR(VLOOKUP(B559, PlumX_snapshot!$A:$B, 2, FALSE), " ")</f>
        <v>6</v>
      </c>
      <c r="X559" s="11">
        <f>IFERROR(VLOOKUP(B559, PlumX_snapshot!$A:$C, 3, FALSE), " ")</f>
        <v>3</v>
      </c>
      <c r="Y559" s="12">
        <f>IFERROR(VLOOKUP(B559, PlumX_snapshot!$A:$D, 4, FALSE), " ")</f>
        <v>1</v>
      </c>
      <c r="Z559" s="12">
        <f>IFERROR(VLOOKUP(B559, PlumX_snapshot!$A:$E, 5, FALSE), " ")</f>
        <v>65</v>
      </c>
      <c r="AA559" s="12">
        <f>IFERROR(VLOOKUP(B559, PlumX_snapshot!$A:$F, 6, FALSE), " ")</f>
        <v>0</v>
      </c>
      <c r="AB559" s="13">
        <v>44978</v>
      </c>
      <c r="AH559" s="9"/>
      <c r="AI559" s="9"/>
      <c r="AJ559" s="9"/>
      <c r="AK559" s="11" t="str">
        <f t="shared" si="4"/>
        <v>2019</v>
      </c>
      <c r="AL559" s="11" t="e">
        <f>VLOOKUP(AK559, Exchange_rates!$C:$D, 2, FALSE)</f>
        <v>#N/A</v>
      </c>
      <c r="AM559" s="14" t="str">
        <f t="shared" si="5"/>
        <v/>
      </c>
      <c r="AN559" s="9"/>
      <c r="AO559" s="9"/>
      <c r="AP559" s="9"/>
      <c r="AQ559" s="15" t="s">
        <v>49</v>
      </c>
      <c r="AR559" t="s">
        <v>2891</v>
      </c>
      <c r="AS559" s="16"/>
    </row>
    <row r="560" spans="1:45" ht="14.5">
      <c r="A560" s="9" t="s">
        <v>2892</v>
      </c>
      <c r="B560" s="9" t="s">
        <v>2893</v>
      </c>
      <c r="C560" s="9" t="s">
        <v>2894</v>
      </c>
      <c r="D560" s="9" t="s">
        <v>2830</v>
      </c>
      <c r="E560" s="9" t="s">
        <v>49</v>
      </c>
      <c r="F560" s="9" t="s">
        <v>69</v>
      </c>
      <c r="G560" s="9" t="s">
        <v>70</v>
      </c>
      <c r="H560" s="9" t="s">
        <v>2871</v>
      </c>
      <c r="I560" s="9" t="s">
        <v>72</v>
      </c>
      <c r="J560" s="10">
        <v>43795</v>
      </c>
      <c r="K560" s="10">
        <v>43986</v>
      </c>
      <c r="L560" s="10">
        <v>43990.442766203705</v>
      </c>
      <c r="M560" s="10">
        <v>44003</v>
      </c>
      <c r="N560" s="9">
        <v>2020</v>
      </c>
      <c r="O560" s="9" t="s">
        <v>2832</v>
      </c>
      <c r="P560" s="9" t="s">
        <v>53</v>
      </c>
      <c r="Q560" s="9" t="s">
        <v>53</v>
      </c>
      <c r="T560" s="9"/>
      <c r="V560" s="9"/>
      <c r="W560" s="11">
        <f>IFERROR(VLOOKUP(B560, PlumX_snapshot!$A:$B, 2, FALSE), " ")</f>
        <v>120</v>
      </c>
      <c r="X560" s="11">
        <f>IFERROR(VLOOKUP(B560, PlumX_snapshot!$A:$C, 3, FALSE), " ")</f>
        <v>30</v>
      </c>
      <c r="Y560" s="12">
        <f>IFERROR(VLOOKUP(B560, PlumX_snapshot!$A:$D, 4, FALSE), " ")</f>
        <v>9</v>
      </c>
      <c r="Z560" s="12">
        <f>IFERROR(VLOOKUP(B560, PlumX_snapshot!$A:$E, 5, FALSE), " ")</f>
        <v>0</v>
      </c>
      <c r="AA560" s="12">
        <f>IFERROR(VLOOKUP(B560, PlumX_snapshot!$A:$F, 6, FALSE), " ")</f>
        <v>0</v>
      </c>
      <c r="AB560" s="13">
        <v>44978</v>
      </c>
      <c r="AH560" s="9">
        <v>2289</v>
      </c>
      <c r="AI560" s="9" t="s">
        <v>77</v>
      </c>
      <c r="AJ560" s="9" t="s">
        <v>1823</v>
      </c>
      <c r="AK560" s="11" t="str">
        <f t="shared" si="4"/>
        <v>2020EUR</v>
      </c>
      <c r="AL560" s="11">
        <f>VLOOKUP(AK560, Exchange_rates!$C:$D, 2, FALSE)</f>
        <v>0.88970000000000005</v>
      </c>
      <c r="AM560" s="14">
        <f t="shared" si="5"/>
        <v>2443.8279600000001</v>
      </c>
      <c r="AN560" s="9"/>
      <c r="AO560" s="9"/>
      <c r="AP560" s="9"/>
      <c r="AQ560" s="15" t="s">
        <v>49</v>
      </c>
      <c r="AR560" t="s">
        <v>2895</v>
      </c>
      <c r="AS560" s="16"/>
    </row>
    <row r="561" spans="1:45" ht="14.5">
      <c r="A561" s="9" t="s">
        <v>2896</v>
      </c>
      <c r="B561" s="9" t="s">
        <v>2897</v>
      </c>
      <c r="C561" s="9" t="s">
        <v>2898</v>
      </c>
      <c r="D561" s="9" t="s">
        <v>2830</v>
      </c>
      <c r="E561" s="9" t="s">
        <v>49</v>
      </c>
      <c r="F561" s="9" t="s">
        <v>69</v>
      </c>
      <c r="G561" s="9" t="s">
        <v>70</v>
      </c>
      <c r="H561" s="9" t="s">
        <v>2899</v>
      </c>
      <c r="I561" s="9" t="s">
        <v>72</v>
      </c>
      <c r="J561" s="10">
        <v>42508</v>
      </c>
      <c r="K561" s="10">
        <v>42583</v>
      </c>
      <c r="L561" s="10">
        <v>42738.668321759258</v>
      </c>
      <c r="M561" s="10">
        <v>42865</v>
      </c>
      <c r="N561" s="9">
        <v>2017</v>
      </c>
      <c r="O561" s="9" t="s">
        <v>2832</v>
      </c>
      <c r="P561" s="9" t="s">
        <v>53</v>
      </c>
      <c r="Q561" s="9" t="s">
        <v>53</v>
      </c>
      <c r="T561" s="9"/>
      <c r="V561" s="9"/>
      <c r="W561" s="11">
        <f>IFERROR(VLOOKUP(B561, PlumX_snapshot!$A:$B, 2, FALSE), " ")</f>
        <v>5</v>
      </c>
      <c r="X561" s="11">
        <f>IFERROR(VLOOKUP(B561, PlumX_snapshot!$A:$C, 3, FALSE), " ")</f>
        <v>1</v>
      </c>
      <c r="Y561" s="12">
        <f>IFERROR(VLOOKUP(B561, PlumX_snapshot!$A:$D, 4, FALSE), " ")</f>
        <v>0</v>
      </c>
      <c r="Z561" s="12">
        <f>IFERROR(VLOOKUP(B561, PlumX_snapshot!$A:$E, 5, FALSE), " ")</f>
        <v>38</v>
      </c>
      <c r="AA561" s="12">
        <f>IFERROR(VLOOKUP(B561, PlumX_snapshot!$A:$F, 6, FALSE), " ")</f>
        <v>0</v>
      </c>
      <c r="AB561" s="13">
        <v>44978</v>
      </c>
      <c r="AH561" s="9"/>
      <c r="AI561" s="9"/>
      <c r="AJ561" s="9"/>
      <c r="AK561" s="11" t="str">
        <f t="shared" si="4"/>
        <v>2017</v>
      </c>
      <c r="AL561" s="11" t="e">
        <f>VLOOKUP(AK561, Exchange_rates!$C:$D, 2, FALSE)</f>
        <v>#N/A</v>
      </c>
      <c r="AM561" s="14" t="str">
        <f t="shared" si="5"/>
        <v/>
      </c>
      <c r="AN561" s="9"/>
      <c r="AO561" s="9"/>
      <c r="AP561" s="9"/>
      <c r="AQ561" s="15" t="s">
        <v>49</v>
      </c>
      <c r="AR561" t="s">
        <v>2900</v>
      </c>
      <c r="AS561" s="16"/>
    </row>
    <row r="562" spans="1:45" ht="14.5">
      <c r="A562" s="9" t="s">
        <v>2901</v>
      </c>
      <c r="B562" s="9" t="s">
        <v>2902</v>
      </c>
      <c r="C562" s="9" t="s">
        <v>2903</v>
      </c>
      <c r="D562" s="9" t="s">
        <v>2830</v>
      </c>
      <c r="E562" s="9" t="s">
        <v>49</v>
      </c>
      <c r="F562" s="9" t="s">
        <v>69</v>
      </c>
      <c r="G562" s="9" t="s">
        <v>70</v>
      </c>
      <c r="H562" s="9" t="s">
        <v>2831</v>
      </c>
      <c r="I562" s="9" t="s">
        <v>72</v>
      </c>
      <c r="J562" s="10"/>
      <c r="K562" s="10"/>
      <c r="L562" s="10">
        <v>43284.483958333331</v>
      </c>
      <c r="M562" s="10">
        <v>43290</v>
      </c>
      <c r="N562" s="9">
        <v>2018</v>
      </c>
      <c r="O562" s="9" t="s">
        <v>2832</v>
      </c>
      <c r="P562" s="9" t="s">
        <v>53</v>
      </c>
      <c r="Q562" s="9" t="s">
        <v>53</v>
      </c>
      <c r="T562" s="9"/>
      <c r="V562" s="9"/>
      <c r="W562" s="11">
        <f>IFERROR(VLOOKUP(B562, PlumX_snapshot!$A:$B, 2, FALSE), " ")</f>
        <v>400</v>
      </c>
      <c r="X562" s="11">
        <f>IFERROR(VLOOKUP(B562, PlumX_snapshot!$A:$C, 3, FALSE), " ")</f>
        <v>83</v>
      </c>
      <c r="Y562" s="12">
        <f>IFERROR(VLOOKUP(B562, PlumX_snapshot!$A:$D, 4, FALSE), " ")</f>
        <v>21</v>
      </c>
      <c r="Z562" s="12">
        <f>IFERROR(VLOOKUP(B562, PlumX_snapshot!$A:$E, 5, FALSE), " ")</f>
        <v>666</v>
      </c>
      <c r="AA562" s="12">
        <f>IFERROR(VLOOKUP(B562, PlumX_snapshot!$A:$F, 6, FALSE), " ")</f>
        <v>0</v>
      </c>
      <c r="AB562" s="13">
        <v>44978</v>
      </c>
      <c r="AH562" s="9"/>
      <c r="AI562" s="9"/>
      <c r="AJ562" s="9"/>
      <c r="AK562" s="11" t="str">
        <f t="shared" si="4"/>
        <v>2018</v>
      </c>
      <c r="AL562" s="11" t="e">
        <f>VLOOKUP(AK562, Exchange_rates!$C:$D, 2, FALSE)</f>
        <v>#N/A</v>
      </c>
      <c r="AM562" s="14" t="str">
        <f t="shared" si="5"/>
        <v/>
      </c>
      <c r="AN562" s="9"/>
      <c r="AO562" s="9"/>
      <c r="AP562" s="9"/>
      <c r="AQ562" s="15" t="s">
        <v>49</v>
      </c>
      <c r="AR562" t="s">
        <v>2904</v>
      </c>
      <c r="AS562" s="16"/>
    </row>
    <row r="563" spans="1:45" ht="14.5">
      <c r="A563" s="9" t="s">
        <v>2905</v>
      </c>
      <c r="B563" s="9" t="s">
        <v>2906</v>
      </c>
      <c r="C563" s="9" t="s">
        <v>2850</v>
      </c>
      <c r="D563" s="9" t="s">
        <v>2830</v>
      </c>
      <c r="E563" s="9" t="s">
        <v>49</v>
      </c>
      <c r="F563" s="9" t="s">
        <v>69</v>
      </c>
      <c r="G563" s="9" t="s">
        <v>70</v>
      </c>
      <c r="H563" s="9" t="s">
        <v>2831</v>
      </c>
      <c r="I563" s="9" t="s">
        <v>72</v>
      </c>
      <c r="J563" s="10">
        <v>42916</v>
      </c>
      <c r="K563" s="10">
        <v>43160</v>
      </c>
      <c r="L563" s="10">
        <v>43180.410914351851</v>
      </c>
      <c r="M563" s="10">
        <v>43186</v>
      </c>
      <c r="N563" s="9">
        <v>2018</v>
      </c>
      <c r="O563" s="9" t="s">
        <v>2832</v>
      </c>
      <c r="P563" s="9" t="s">
        <v>53</v>
      </c>
      <c r="Q563" s="9" t="s">
        <v>53</v>
      </c>
      <c r="T563" s="9"/>
      <c r="V563" s="9"/>
      <c r="W563" s="11">
        <f>IFERROR(VLOOKUP(B563, PlumX_snapshot!$A:$B, 2, FALSE), " ")</f>
        <v>16</v>
      </c>
      <c r="X563" s="11">
        <f>IFERROR(VLOOKUP(B563, PlumX_snapshot!$A:$C, 3, FALSE), " ")</f>
        <v>9</v>
      </c>
      <c r="Y563" s="12">
        <f>IFERROR(VLOOKUP(B563, PlumX_snapshot!$A:$D, 4, FALSE), " ")</f>
        <v>5</v>
      </c>
      <c r="Z563" s="12">
        <f>IFERROR(VLOOKUP(B563, PlumX_snapshot!$A:$E, 5, FALSE), " ")</f>
        <v>20</v>
      </c>
      <c r="AA563" s="12">
        <f>IFERROR(VLOOKUP(B563, PlumX_snapshot!$A:$F, 6, FALSE), " ")</f>
        <v>0</v>
      </c>
      <c r="AB563" s="13">
        <v>44978</v>
      </c>
      <c r="AH563" s="9"/>
      <c r="AI563" s="9"/>
      <c r="AJ563" s="9"/>
      <c r="AK563" s="11" t="str">
        <f t="shared" si="4"/>
        <v>2018</v>
      </c>
      <c r="AL563" s="11" t="e">
        <f>VLOOKUP(AK563, Exchange_rates!$C:$D, 2, FALSE)</f>
        <v>#N/A</v>
      </c>
      <c r="AM563" s="14" t="str">
        <f t="shared" si="5"/>
        <v/>
      </c>
      <c r="AN563" s="9"/>
      <c r="AO563" s="9"/>
      <c r="AP563" s="9"/>
      <c r="AQ563" s="15" t="s">
        <v>49</v>
      </c>
      <c r="AR563" t="s">
        <v>2851</v>
      </c>
      <c r="AS563" s="16"/>
    </row>
    <row r="564" spans="1:45" ht="14.5">
      <c r="A564" s="9" t="s">
        <v>2907</v>
      </c>
      <c r="B564" s="9" t="s">
        <v>2908</v>
      </c>
      <c r="C564" s="9" t="s">
        <v>2850</v>
      </c>
      <c r="D564" s="9" t="s">
        <v>2830</v>
      </c>
      <c r="E564" s="9" t="s">
        <v>49</v>
      </c>
      <c r="F564" s="9" t="s">
        <v>69</v>
      </c>
      <c r="G564" s="9" t="s">
        <v>70</v>
      </c>
      <c r="H564" s="9" t="s">
        <v>2841</v>
      </c>
      <c r="I564" s="9" t="s">
        <v>72</v>
      </c>
      <c r="J564" s="10">
        <v>43542</v>
      </c>
      <c r="K564" s="10">
        <v>43614</v>
      </c>
      <c r="L564" s="10">
        <v>43615.648368055554</v>
      </c>
      <c r="M564" s="10">
        <v>43620</v>
      </c>
      <c r="N564" s="9">
        <v>2019</v>
      </c>
      <c r="O564" s="9" t="s">
        <v>2832</v>
      </c>
      <c r="P564" s="9" t="s">
        <v>53</v>
      </c>
      <c r="Q564" s="9" t="s">
        <v>53</v>
      </c>
      <c r="R564" s="9" t="s">
        <v>2909</v>
      </c>
      <c r="T564" s="9"/>
      <c r="V564" s="9"/>
      <c r="W564" s="11">
        <f>IFERROR(VLOOKUP(B564, PlumX_snapshot!$A:$B, 2, FALSE), " ")</f>
        <v>10</v>
      </c>
      <c r="X564" s="11">
        <f>IFERROR(VLOOKUP(B564, PlumX_snapshot!$A:$C, 3, FALSE), " ")</f>
        <v>2</v>
      </c>
      <c r="Y564" s="12">
        <f>IFERROR(VLOOKUP(B564, PlumX_snapshot!$A:$D, 4, FALSE), " ")</f>
        <v>0</v>
      </c>
      <c r="Z564" s="12">
        <f>IFERROR(VLOOKUP(B564, PlumX_snapshot!$A:$E, 5, FALSE), " ")</f>
        <v>0</v>
      </c>
      <c r="AA564" s="12">
        <f>IFERROR(VLOOKUP(B564, PlumX_snapshot!$A:$F, 6, FALSE), " ")</f>
        <v>0</v>
      </c>
      <c r="AB564" s="13">
        <v>44978</v>
      </c>
      <c r="AH564" s="9"/>
      <c r="AI564" s="9"/>
      <c r="AJ564" s="9"/>
      <c r="AK564" s="11" t="str">
        <f t="shared" si="4"/>
        <v>2019</v>
      </c>
      <c r="AL564" s="11" t="e">
        <f>VLOOKUP(AK564, Exchange_rates!$C:$D, 2, FALSE)</f>
        <v>#N/A</v>
      </c>
      <c r="AM564" s="14" t="str">
        <f t="shared" si="5"/>
        <v/>
      </c>
      <c r="AN564" s="9"/>
      <c r="AO564" s="9"/>
      <c r="AP564" s="9"/>
      <c r="AQ564" s="15" t="s">
        <v>49</v>
      </c>
      <c r="AR564" t="s">
        <v>2851</v>
      </c>
      <c r="AS564" s="16"/>
    </row>
    <row r="565" spans="1:45" ht="14.5">
      <c r="A565" s="9" t="s">
        <v>2910</v>
      </c>
      <c r="B565" s="9" t="s">
        <v>2911</v>
      </c>
      <c r="C565" s="9" t="s">
        <v>2912</v>
      </c>
      <c r="D565" s="9" t="s">
        <v>2830</v>
      </c>
      <c r="E565" s="9" t="s">
        <v>49</v>
      </c>
      <c r="F565" s="9" t="s">
        <v>69</v>
      </c>
      <c r="G565" s="9" t="s">
        <v>70</v>
      </c>
      <c r="H565" s="9" t="s">
        <v>2913</v>
      </c>
      <c r="I565" s="9" t="s">
        <v>72</v>
      </c>
      <c r="J565" s="10"/>
      <c r="K565" s="10"/>
      <c r="L565" s="10">
        <v>42710.382210648146</v>
      </c>
      <c r="M565" s="10">
        <v>42744</v>
      </c>
      <c r="N565" s="9">
        <v>2016</v>
      </c>
      <c r="O565" s="9" t="s">
        <v>2832</v>
      </c>
      <c r="P565" s="9" t="s">
        <v>53</v>
      </c>
      <c r="Q565" s="9" t="s">
        <v>53</v>
      </c>
      <c r="T565" s="9"/>
      <c r="V565" s="9"/>
      <c r="W565" s="11">
        <f>IFERROR(VLOOKUP(B565, PlumX_snapshot!$A:$B, 2, FALSE), " ")</f>
        <v>27</v>
      </c>
      <c r="X565" s="11">
        <f>IFERROR(VLOOKUP(B565, PlumX_snapshot!$A:$C, 3, FALSE), " ")</f>
        <v>162</v>
      </c>
      <c r="Y565" s="12">
        <f>IFERROR(VLOOKUP(B565, PlumX_snapshot!$A:$D, 4, FALSE), " ")</f>
        <v>11</v>
      </c>
      <c r="Z565" s="12">
        <f>IFERROR(VLOOKUP(B565, PlumX_snapshot!$A:$E, 5, FALSE), " ")</f>
        <v>107</v>
      </c>
      <c r="AA565" s="12">
        <f>IFERROR(VLOOKUP(B565, PlumX_snapshot!$A:$F, 6, FALSE), " ")</f>
        <v>0</v>
      </c>
      <c r="AB565" s="13">
        <v>44978</v>
      </c>
      <c r="AH565" s="9"/>
      <c r="AI565" s="9"/>
      <c r="AJ565" s="9"/>
      <c r="AK565" s="11" t="str">
        <f t="shared" si="4"/>
        <v>2016</v>
      </c>
      <c r="AL565" s="11" t="e">
        <f>VLOOKUP(AK565, Exchange_rates!$C:$D, 2, FALSE)</f>
        <v>#N/A</v>
      </c>
      <c r="AM565" s="14" t="str">
        <f t="shared" si="5"/>
        <v/>
      </c>
      <c r="AN565" s="9"/>
      <c r="AO565" s="9"/>
      <c r="AP565" s="9"/>
      <c r="AQ565" s="15" t="s">
        <v>49</v>
      </c>
      <c r="AR565" t="s">
        <v>2914</v>
      </c>
      <c r="AS565" s="16"/>
    </row>
    <row r="566" spans="1:45" ht="14.5">
      <c r="A566" s="9" t="s">
        <v>2915</v>
      </c>
      <c r="B566" s="9" t="s">
        <v>2916</v>
      </c>
      <c r="C566" s="9" t="s">
        <v>2917</v>
      </c>
      <c r="D566" s="9" t="s">
        <v>2830</v>
      </c>
      <c r="E566" s="9" t="s">
        <v>49</v>
      </c>
      <c r="F566" s="9" t="s">
        <v>69</v>
      </c>
      <c r="G566" s="9" t="s">
        <v>70</v>
      </c>
      <c r="H566" s="9" t="s">
        <v>2841</v>
      </c>
      <c r="I566" s="9" t="s">
        <v>72</v>
      </c>
      <c r="J566" s="10"/>
      <c r="K566" s="10"/>
      <c r="L566" s="10">
        <v>43572.381874999999</v>
      </c>
      <c r="M566" s="10">
        <v>43593</v>
      </c>
      <c r="N566" s="9">
        <v>2019</v>
      </c>
      <c r="O566" s="9" t="s">
        <v>2832</v>
      </c>
      <c r="P566" s="9" t="s">
        <v>53</v>
      </c>
      <c r="Q566" s="9" t="s">
        <v>53</v>
      </c>
      <c r="T566" s="9"/>
      <c r="V566" s="9"/>
      <c r="W566" s="11">
        <f>IFERROR(VLOOKUP(B566, PlumX_snapshot!$A:$B, 2, FALSE), " ")</f>
        <v>42</v>
      </c>
      <c r="X566" s="11">
        <f>IFERROR(VLOOKUP(B566, PlumX_snapshot!$A:$C, 3, FALSE), " ")</f>
        <v>4</v>
      </c>
      <c r="Y566" s="12">
        <f>IFERROR(VLOOKUP(B566, PlumX_snapshot!$A:$D, 4, FALSE), " ")</f>
        <v>0</v>
      </c>
      <c r="Z566" s="12">
        <f>IFERROR(VLOOKUP(B566, PlumX_snapshot!$A:$E, 5, FALSE), " ")</f>
        <v>0</v>
      </c>
      <c r="AA566" s="12">
        <f>IFERROR(VLOOKUP(B566, PlumX_snapshot!$A:$F, 6, FALSE), " ")</f>
        <v>0</v>
      </c>
      <c r="AB566" s="13">
        <v>44978</v>
      </c>
      <c r="AH566" s="9"/>
      <c r="AI566" s="9"/>
      <c r="AJ566" s="9"/>
      <c r="AK566" s="11" t="str">
        <f t="shared" si="4"/>
        <v>2019</v>
      </c>
      <c r="AL566" s="11" t="e">
        <f>VLOOKUP(AK566, Exchange_rates!$C:$D, 2, FALSE)</f>
        <v>#N/A</v>
      </c>
      <c r="AM566" s="14" t="str">
        <f t="shared" si="5"/>
        <v/>
      </c>
      <c r="AN566" s="9"/>
      <c r="AO566" s="9"/>
      <c r="AP566" s="9"/>
      <c r="AQ566" s="15" t="s">
        <v>49</v>
      </c>
      <c r="AR566" t="s">
        <v>2918</v>
      </c>
      <c r="AS566" s="16"/>
    </row>
    <row r="567" spans="1:45" ht="14.5">
      <c r="A567" s="9" t="s">
        <v>2919</v>
      </c>
      <c r="B567" s="9" t="s">
        <v>2920</v>
      </c>
      <c r="C567" s="9" t="s">
        <v>2921</v>
      </c>
      <c r="D567" s="9" t="s">
        <v>2830</v>
      </c>
      <c r="E567" s="9" t="s">
        <v>49</v>
      </c>
      <c r="F567" s="9" t="s">
        <v>69</v>
      </c>
      <c r="G567" s="9" t="s">
        <v>70</v>
      </c>
      <c r="H567" s="9" t="s">
        <v>2831</v>
      </c>
      <c r="I567" s="9" t="s">
        <v>72</v>
      </c>
      <c r="J567" s="10"/>
      <c r="K567" s="10"/>
      <c r="L567" s="10">
        <v>43202.412233796298</v>
      </c>
      <c r="M567" s="10">
        <v>43216</v>
      </c>
      <c r="N567" s="9">
        <v>2018</v>
      </c>
      <c r="O567" s="9" t="s">
        <v>2832</v>
      </c>
      <c r="P567" s="9" t="s">
        <v>53</v>
      </c>
      <c r="Q567" s="9" t="s">
        <v>53</v>
      </c>
      <c r="T567" s="9"/>
      <c r="V567" s="9"/>
      <c r="W567" s="11">
        <f>IFERROR(VLOOKUP(B567, PlumX_snapshot!$A:$B, 2, FALSE), " ")</f>
        <v>77</v>
      </c>
      <c r="X567" s="11">
        <f>IFERROR(VLOOKUP(B567, PlumX_snapshot!$A:$C, 3, FALSE), " ")</f>
        <v>5</v>
      </c>
      <c r="Y567" s="12">
        <f>IFERROR(VLOOKUP(B567, PlumX_snapshot!$A:$D, 4, FALSE), " ")</f>
        <v>4</v>
      </c>
      <c r="Z567" s="12">
        <f>IFERROR(VLOOKUP(B567, PlumX_snapshot!$A:$E, 5, FALSE), " ")</f>
        <v>98</v>
      </c>
      <c r="AA567" s="12">
        <f>IFERROR(VLOOKUP(B567, PlumX_snapshot!$A:$F, 6, FALSE), " ")</f>
        <v>0</v>
      </c>
      <c r="AB567" s="13">
        <v>44978</v>
      </c>
      <c r="AH567" s="9"/>
      <c r="AI567" s="9"/>
      <c r="AJ567" s="9"/>
      <c r="AK567" s="11" t="str">
        <f t="shared" si="4"/>
        <v>2018</v>
      </c>
      <c r="AL567" s="11" t="e">
        <f>VLOOKUP(AK567, Exchange_rates!$C:$D, 2, FALSE)</f>
        <v>#N/A</v>
      </c>
      <c r="AM567" s="14" t="str">
        <f t="shared" si="5"/>
        <v/>
      </c>
      <c r="AN567" s="9"/>
      <c r="AO567" s="9"/>
      <c r="AP567" s="9"/>
      <c r="AQ567" s="15" t="s">
        <v>49</v>
      </c>
      <c r="AR567" t="s">
        <v>2922</v>
      </c>
      <c r="AS567" s="16"/>
    </row>
    <row r="568" spans="1:45" ht="14.5">
      <c r="A568" s="9" t="s">
        <v>2923</v>
      </c>
      <c r="B568" s="9" t="s">
        <v>2924</v>
      </c>
      <c r="C568" s="9" t="s">
        <v>2925</v>
      </c>
      <c r="D568" s="9" t="s">
        <v>2830</v>
      </c>
      <c r="E568" s="9" t="s">
        <v>49</v>
      </c>
      <c r="F568" s="9" t="s">
        <v>69</v>
      </c>
      <c r="G568" s="9" t="s">
        <v>70</v>
      </c>
      <c r="H568" s="9" t="s">
        <v>2831</v>
      </c>
      <c r="I568" s="9" t="s">
        <v>72</v>
      </c>
      <c r="J568" s="10"/>
      <c r="K568" s="10"/>
      <c r="L568" s="10">
        <v>43122.600185185183</v>
      </c>
      <c r="M568" s="10">
        <v>43201</v>
      </c>
      <c r="N568" s="9">
        <v>2018</v>
      </c>
      <c r="O568" s="9" t="s">
        <v>2832</v>
      </c>
      <c r="P568" s="9" t="s">
        <v>53</v>
      </c>
      <c r="Q568" s="9" t="s">
        <v>53</v>
      </c>
      <c r="T568" s="9"/>
      <c r="V568" s="9"/>
      <c r="W568" s="11">
        <f>IFERROR(VLOOKUP(B568, PlumX_snapshot!$A:$B, 2, FALSE), " ")</f>
        <v>154</v>
      </c>
      <c r="X568" s="11">
        <f>IFERROR(VLOOKUP(B568, PlumX_snapshot!$A:$C, 3, FALSE), " ")</f>
        <v>21</v>
      </c>
      <c r="Y568" s="12">
        <f>IFERROR(VLOOKUP(B568, PlumX_snapshot!$A:$D, 4, FALSE), " ")</f>
        <v>27</v>
      </c>
      <c r="Z568" s="12">
        <f>IFERROR(VLOOKUP(B568, PlumX_snapshot!$A:$E, 5, FALSE), " ")</f>
        <v>186</v>
      </c>
      <c r="AA568" s="12">
        <f>IFERROR(VLOOKUP(B568, PlumX_snapshot!$A:$F, 6, FALSE), " ")</f>
        <v>0</v>
      </c>
      <c r="AB568" s="13">
        <v>44978</v>
      </c>
      <c r="AH568" s="9"/>
      <c r="AI568" s="9"/>
      <c r="AJ568" s="9"/>
      <c r="AK568" s="11" t="str">
        <f t="shared" si="4"/>
        <v>2018</v>
      </c>
      <c r="AL568" s="11" t="e">
        <f>VLOOKUP(AK568, Exchange_rates!$C:$D, 2, FALSE)</f>
        <v>#N/A</v>
      </c>
      <c r="AM568" s="14" t="str">
        <f t="shared" si="5"/>
        <v/>
      </c>
      <c r="AN568" s="9"/>
      <c r="AO568" s="9"/>
      <c r="AP568" s="9"/>
      <c r="AQ568" s="15" t="s">
        <v>49</v>
      </c>
      <c r="AR568" t="s">
        <v>2926</v>
      </c>
      <c r="AS568" s="16"/>
    </row>
    <row r="569" spans="1:45" ht="14.5">
      <c r="A569" s="9" t="s">
        <v>2927</v>
      </c>
      <c r="B569" s="9" t="s">
        <v>2928</v>
      </c>
      <c r="C569" s="9" t="s">
        <v>2929</v>
      </c>
      <c r="D569" s="9" t="s">
        <v>2830</v>
      </c>
      <c r="E569" s="9" t="s">
        <v>49</v>
      </c>
      <c r="F569" s="9" t="s">
        <v>69</v>
      </c>
      <c r="G569" s="9" t="s">
        <v>70</v>
      </c>
      <c r="H569" s="9" t="s">
        <v>2871</v>
      </c>
      <c r="I569" s="9" t="s">
        <v>72</v>
      </c>
      <c r="J569" s="10"/>
      <c r="K569" s="10"/>
      <c r="L569" s="10">
        <v>44019.648252314815</v>
      </c>
      <c r="M569" s="10">
        <v>44043</v>
      </c>
      <c r="N569" s="9">
        <v>2020</v>
      </c>
      <c r="O569" s="9" t="s">
        <v>2832</v>
      </c>
      <c r="P569" s="9" t="s">
        <v>53</v>
      </c>
      <c r="Q569" s="9" t="s">
        <v>53</v>
      </c>
      <c r="T569" s="9"/>
      <c r="V569" s="9"/>
      <c r="W569" s="11">
        <f>IFERROR(VLOOKUP(B569, PlumX_snapshot!$A:$B, 2, FALSE), " ")</f>
        <v>568</v>
      </c>
      <c r="X569" s="11">
        <f>IFERROR(VLOOKUP(B569, PlumX_snapshot!$A:$C, 3, FALSE), " ")</f>
        <v>208</v>
      </c>
      <c r="Y569" s="12">
        <f>IFERROR(VLOOKUP(B569, PlumX_snapshot!$A:$D, 4, FALSE), " ")</f>
        <v>29</v>
      </c>
      <c r="Z569" s="12">
        <f>IFERROR(VLOOKUP(B569, PlumX_snapshot!$A:$E, 5, FALSE), " ")</f>
        <v>0</v>
      </c>
      <c r="AA569" s="12">
        <f>IFERROR(VLOOKUP(B569, PlumX_snapshot!$A:$F, 6, FALSE), " ")</f>
        <v>1</v>
      </c>
      <c r="AB569" s="13">
        <v>44978</v>
      </c>
      <c r="AH569" s="9">
        <v>2289</v>
      </c>
      <c r="AI569" s="9" t="s">
        <v>77</v>
      </c>
      <c r="AJ569" s="9" t="s">
        <v>1823</v>
      </c>
      <c r="AK569" s="11" t="str">
        <f t="shared" si="4"/>
        <v>2020EUR</v>
      </c>
      <c r="AL569" s="11">
        <f>VLOOKUP(AK569, Exchange_rates!$C:$D, 2, FALSE)</f>
        <v>0.88970000000000005</v>
      </c>
      <c r="AM569" s="14">
        <f t="shared" si="5"/>
        <v>2443.8279600000001</v>
      </c>
      <c r="AN569" s="9"/>
      <c r="AO569" s="9"/>
      <c r="AP569" s="9"/>
      <c r="AQ569" s="15" t="s">
        <v>49</v>
      </c>
      <c r="AR569" t="s">
        <v>2930</v>
      </c>
      <c r="AS569" s="16"/>
    </row>
    <row r="570" spans="1:45" ht="14.5">
      <c r="A570" s="9" t="s">
        <v>2931</v>
      </c>
      <c r="B570" s="9" t="s">
        <v>2932</v>
      </c>
      <c r="C570" s="9" t="s">
        <v>2933</v>
      </c>
      <c r="D570" s="9" t="s">
        <v>2830</v>
      </c>
      <c r="E570" s="9" t="s">
        <v>49</v>
      </c>
      <c r="F570" s="9" t="s">
        <v>69</v>
      </c>
      <c r="G570" s="9" t="s">
        <v>70</v>
      </c>
      <c r="H570" s="9" t="s">
        <v>2831</v>
      </c>
      <c r="I570" s="9" t="s">
        <v>72</v>
      </c>
      <c r="J570" s="10">
        <v>42546</v>
      </c>
      <c r="K570" s="10"/>
      <c r="L570" s="10">
        <v>43213.645208333335</v>
      </c>
      <c r="M570" s="10">
        <v>43217</v>
      </c>
      <c r="N570" s="9">
        <v>2018</v>
      </c>
      <c r="O570" s="9" t="s">
        <v>2832</v>
      </c>
      <c r="P570" s="9" t="s">
        <v>53</v>
      </c>
      <c r="Q570" s="9" t="s">
        <v>53</v>
      </c>
      <c r="T570" s="9"/>
      <c r="V570" s="9"/>
      <c r="W570" s="11">
        <f>IFERROR(VLOOKUP(B570, PlumX_snapshot!$A:$B, 2, FALSE), " ")</f>
        <v>0</v>
      </c>
      <c r="X570" s="11">
        <f>IFERROR(VLOOKUP(B570, PlumX_snapshot!$A:$C, 3, FALSE), " ")</f>
        <v>2</v>
      </c>
      <c r="Y570" s="12">
        <f>IFERROR(VLOOKUP(B570, PlumX_snapshot!$A:$D, 4, FALSE), " ")</f>
        <v>0</v>
      </c>
      <c r="Z570" s="12">
        <f>IFERROR(VLOOKUP(B570, PlumX_snapshot!$A:$E, 5, FALSE), " ")</f>
        <v>17</v>
      </c>
      <c r="AA570" s="12">
        <f>IFERROR(VLOOKUP(B570, PlumX_snapshot!$A:$F, 6, FALSE), " ")</f>
        <v>0</v>
      </c>
      <c r="AB570" s="13">
        <v>44978</v>
      </c>
      <c r="AH570" s="9"/>
      <c r="AI570" s="9"/>
      <c r="AJ570" s="9"/>
      <c r="AK570" s="11" t="str">
        <f t="shared" si="4"/>
        <v>2018</v>
      </c>
      <c r="AL570" s="11" t="e">
        <f>VLOOKUP(AK570, Exchange_rates!$C:$D, 2, FALSE)</f>
        <v>#N/A</v>
      </c>
      <c r="AM570" s="14" t="str">
        <f t="shared" si="5"/>
        <v/>
      </c>
      <c r="AN570" s="9"/>
      <c r="AO570" s="9"/>
      <c r="AP570" s="9"/>
      <c r="AQ570" s="15" t="s">
        <v>49</v>
      </c>
      <c r="AR570" t="s">
        <v>2934</v>
      </c>
      <c r="AS570" s="16"/>
    </row>
    <row r="571" spans="1:45" ht="14.5">
      <c r="A571" s="9" t="s">
        <v>2935</v>
      </c>
      <c r="B571" s="9" t="s">
        <v>2936</v>
      </c>
      <c r="C571" s="9" t="s">
        <v>2937</v>
      </c>
      <c r="D571" s="9" t="s">
        <v>2830</v>
      </c>
      <c r="E571" s="9" t="s">
        <v>49</v>
      </c>
      <c r="F571" s="9" t="s">
        <v>69</v>
      </c>
      <c r="G571" s="9" t="s">
        <v>70</v>
      </c>
      <c r="H571" s="9" t="s">
        <v>2831</v>
      </c>
      <c r="I571" s="9" t="s">
        <v>72</v>
      </c>
      <c r="J571" s="10"/>
      <c r="K571" s="10"/>
      <c r="L571" s="10">
        <v>43193.545706018522</v>
      </c>
      <c r="M571" s="10">
        <v>43201</v>
      </c>
      <c r="N571" s="9">
        <v>2018</v>
      </c>
      <c r="O571" s="9" t="s">
        <v>2832</v>
      </c>
      <c r="P571" s="9" t="s">
        <v>53</v>
      </c>
      <c r="Q571" s="9" t="s">
        <v>53</v>
      </c>
      <c r="T571" s="9"/>
      <c r="V571" s="9"/>
      <c r="W571" s="11">
        <f>IFERROR(VLOOKUP(B571, PlumX_snapshot!$A:$B, 2, FALSE), " ")</f>
        <v>11</v>
      </c>
      <c r="X571" s="11">
        <f>IFERROR(VLOOKUP(B571, PlumX_snapshot!$A:$C, 3, FALSE), " ")</f>
        <v>4</v>
      </c>
      <c r="Y571" s="12">
        <f>IFERROR(VLOOKUP(B571, PlumX_snapshot!$A:$D, 4, FALSE), " ")</f>
        <v>0</v>
      </c>
      <c r="Z571" s="12">
        <f>IFERROR(VLOOKUP(B571, PlumX_snapshot!$A:$E, 5, FALSE), " ")</f>
        <v>0</v>
      </c>
      <c r="AA571" s="12">
        <f>IFERROR(VLOOKUP(B571, PlumX_snapshot!$A:$F, 6, FALSE), " ")</f>
        <v>0</v>
      </c>
      <c r="AB571" s="13">
        <v>44978</v>
      </c>
      <c r="AH571" s="9"/>
      <c r="AI571" s="9"/>
      <c r="AJ571" s="9"/>
      <c r="AK571" s="11" t="str">
        <f t="shared" si="4"/>
        <v>2018</v>
      </c>
      <c r="AL571" s="11" t="e">
        <f>VLOOKUP(AK571, Exchange_rates!$C:$D, 2, FALSE)</f>
        <v>#N/A</v>
      </c>
      <c r="AM571" s="14" t="str">
        <f t="shared" si="5"/>
        <v/>
      </c>
      <c r="AN571" s="9"/>
      <c r="AO571" s="9"/>
      <c r="AP571" s="9"/>
      <c r="AQ571" s="15" t="s">
        <v>49</v>
      </c>
      <c r="AR571" t="s">
        <v>2938</v>
      </c>
      <c r="AS571" s="16"/>
    </row>
    <row r="572" spans="1:45" ht="14.5">
      <c r="A572" s="9" t="s">
        <v>2939</v>
      </c>
      <c r="B572" s="9" t="s">
        <v>2940</v>
      </c>
      <c r="C572" s="9" t="s">
        <v>2941</v>
      </c>
      <c r="D572" s="9" t="s">
        <v>2830</v>
      </c>
      <c r="E572" s="9" t="s">
        <v>49</v>
      </c>
      <c r="F572" s="9" t="s">
        <v>69</v>
      </c>
      <c r="G572" s="9" t="s">
        <v>70</v>
      </c>
      <c r="H572" s="9" t="s">
        <v>2871</v>
      </c>
      <c r="I572" s="9" t="s">
        <v>72</v>
      </c>
      <c r="J572" s="10">
        <v>43780</v>
      </c>
      <c r="K572" s="10">
        <v>43949</v>
      </c>
      <c r="L572" s="10">
        <v>43955.458958333336</v>
      </c>
      <c r="M572" s="10">
        <v>43977</v>
      </c>
      <c r="N572" s="9">
        <v>2020</v>
      </c>
      <c r="O572" s="9" t="s">
        <v>2832</v>
      </c>
      <c r="P572" s="9" t="s">
        <v>53</v>
      </c>
      <c r="Q572" s="9" t="s">
        <v>53</v>
      </c>
      <c r="T572" s="9"/>
      <c r="V572" s="9"/>
      <c r="W572" s="11">
        <f>IFERROR(VLOOKUP(B572, PlumX_snapshot!$A:$B, 2, FALSE), " ")</f>
        <v>4</v>
      </c>
      <c r="X572" s="11">
        <f>IFERROR(VLOOKUP(B572, PlumX_snapshot!$A:$C, 3, FALSE), " ")</f>
        <v>0</v>
      </c>
      <c r="Y572" s="12">
        <f>IFERROR(VLOOKUP(B572, PlumX_snapshot!$A:$D, 4, FALSE), " ")</f>
        <v>1</v>
      </c>
      <c r="Z572" s="12">
        <f>IFERROR(VLOOKUP(B572, PlumX_snapshot!$A:$E, 5, FALSE), " ")</f>
        <v>0</v>
      </c>
      <c r="AA572" s="12">
        <f>IFERROR(VLOOKUP(B572, PlumX_snapshot!$A:$F, 6, FALSE), " ")</f>
        <v>0</v>
      </c>
      <c r="AB572" s="13">
        <v>44978</v>
      </c>
      <c r="AH572" s="9">
        <v>2289</v>
      </c>
      <c r="AI572" s="9" t="s">
        <v>77</v>
      </c>
      <c r="AJ572" s="9" t="s">
        <v>1823</v>
      </c>
      <c r="AK572" s="11" t="str">
        <f t="shared" si="4"/>
        <v>2020EUR</v>
      </c>
      <c r="AL572" s="11">
        <f>VLOOKUP(AK572, Exchange_rates!$C:$D, 2, FALSE)</f>
        <v>0.88970000000000005</v>
      </c>
      <c r="AM572" s="14">
        <f t="shared" si="5"/>
        <v>2443.8279600000001</v>
      </c>
      <c r="AN572" s="9"/>
      <c r="AO572" s="9"/>
      <c r="AP572" s="9"/>
      <c r="AQ572" s="15" t="s">
        <v>49</v>
      </c>
      <c r="AR572" t="s">
        <v>2942</v>
      </c>
      <c r="AS572" s="16"/>
    </row>
    <row r="573" spans="1:45" ht="14.5">
      <c r="A573" s="9" t="s">
        <v>2943</v>
      </c>
      <c r="B573" s="9" t="s">
        <v>2944</v>
      </c>
      <c r="C573" s="9" t="s">
        <v>2945</v>
      </c>
      <c r="D573" s="9" t="s">
        <v>2830</v>
      </c>
      <c r="E573" s="9" t="s">
        <v>49</v>
      </c>
      <c r="F573" s="9" t="s">
        <v>69</v>
      </c>
      <c r="G573" s="9" t="s">
        <v>70</v>
      </c>
      <c r="H573" s="9" t="s">
        <v>2831</v>
      </c>
      <c r="I573" s="9" t="s">
        <v>72</v>
      </c>
      <c r="J573" s="10">
        <v>42949</v>
      </c>
      <c r="K573" s="10">
        <v>43171</v>
      </c>
      <c r="L573" s="10">
        <v>43217.506539351853</v>
      </c>
      <c r="M573" s="10">
        <v>43222</v>
      </c>
      <c r="N573" s="9">
        <v>2018</v>
      </c>
      <c r="O573" s="9" t="s">
        <v>2832</v>
      </c>
      <c r="P573" s="9" t="s">
        <v>53</v>
      </c>
      <c r="Q573" s="9" t="s">
        <v>53</v>
      </c>
      <c r="T573" s="9"/>
      <c r="V573" s="9"/>
      <c r="W573" s="11">
        <f>IFERROR(VLOOKUP(B573, PlumX_snapshot!$A:$B, 2, FALSE), " ")</f>
        <v>30</v>
      </c>
      <c r="X573" s="11">
        <f>IFERROR(VLOOKUP(B573, PlumX_snapshot!$A:$C, 3, FALSE), " ")</f>
        <v>9</v>
      </c>
      <c r="Y573" s="12">
        <f>IFERROR(VLOOKUP(B573, PlumX_snapshot!$A:$D, 4, FALSE), " ")</f>
        <v>165</v>
      </c>
      <c r="Z573" s="12">
        <f>IFERROR(VLOOKUP(B573, PlumX_snapshot!$A:$E, 5, FALSE), " ")</f>
        <v>235</v>
      </c>
      <c r="AA573" s="12">
        <f>IFERROR(VLOOKUP(B573, PlumX_snapshot!$A:$F, 6, FALSE), " ")</f>
        <v>3</v>
      </c>
      <c r="AB573" s="13">
        <v>44978</v>
      </c>
      <c r="AH573" s="9"/>
      <c r="AI573" s="9"/>
      <c r="AJ573" s="9"/>
      <c r="AK573" s="11" t="str">
        <f t="shared" si="4"/>
        <v>2018</v>
      </c>
      <c r="AL573" s="11" t="e">
        <f>VLOOKUP(AK573, Exchange_rates!$C:$D, 2, FALSE)</f>
        <v>#N/A</v>
      </c>
      <c r="AM573" s="14" t="str">
        <f t="shared" si="5"/>
        <v/>
      </c>
      <c r="AN573" s="9"/>
      <c r="AO573" s="9"/>
      <c r="AP573" s="9"/>
      <c r="AQ573" s="15" t="s">
        <v>49</v>
      </c>
      <c r="AR573" t="s">
        <v>2946</v>
      </c>
      <c r="AS573" s="16"/>
    </row>
    <row r="574" spans="1:45" ht="14.5">
      <c r="A574" s="9" t="s">
        <v>2947</v>
      </c>
      <c r="B574" s="9" t="s">
        <v>2948</v>
      </c>
      <c r="C574" s="9" t="s">
        <v>2949</v>
      </c>
      <c r="D574" s="9" t="s">
        <v>2830</v>
      </c>
      <c r="E574" s="9" t="s">
        <v>49</v>
      </c>
      <c r="F574" s="9" t="s">
        <v>69</v>
      </c>
      <c r="G574" s="9" t="s">
        <v>70</v>
      </c>
      <c r="H574" s="9" t="s">
        <v>2841</v>
      </c>
      <c r="I574" s="9" t="s">
        <v>72</v>
      </c>
      <c r="J574" s="10"/>
      <c r="K574" s="10"/>
      <c r="L574" s="10">
        <v>43628.423541666663</v>
      </c>
      <c r="M574" s="10">
        <v>43637</v>
      </c>
      <c r="N574" s="9">
        <v>2019</v>
      </c>
      <c r="O574" s="9" t="s">
        <v>2832</v>
      </c>
      <c r="P574" s="9" t="s">
        <v>53</v>
      </c>
      <c r="Q574" s="9" t="s">
        <v>53</v>
      </c>
      <c r="R574" s="9" t="s">
        <v>307</v>
      </c>
      <c r="T574" s="9"/>
      <c r="V574" s="9"/>
      <c r="W574" s="11">
        <f>IFERROR(VLOOKUP(B574, PlumX_snapshot!$A:$B, 2, FALSE), " ")</f>
        <v>81</v>
      </c>
      <c r="X574" s="11">
        <f>IFERROR(VLOOKUP(B574, PlumX_snapshot!$A:$C, 3, FALSE), " ")</f>
        <v>2</v>
      </c>
      <c r="Y574" s="12">
        <f>IFERROR(VLOOKUP(B574, PlumX_snapshot!$A:$D, 4, FALSE), " ")</f>
        <v>7</v>
      </c>
      <c r="Z574" s="12">
        <f>IFERROR(VLOOKUP(B574, PlumX_snapshot!$A:$E, 5, FALSE), " ")</f>
        <v>472</v>
      </c>
      <c r="AA574" s="12">
        <f>IFERROR(VLOOKUP(B574, PlumX_snapshot!$A:$F, 6, FALSE), " ")</f>
        <v>0</v>
      </c>
      <c r="AB574" s="13">
        <v>44978</v>
      </c>
      <c r="AH574" s="9"/>
      <c r="AI574" s="9"/>
      <c r="AJ574" s="9"/>
      <c r="AK574" s="11" t="str">
        <f t="shared" si="4"/>
        <v>2019</v>
      </c>
      <c r="AL574" s="11" t="e">
        <f>VLOOKUP(AK574, Exchange_rates!$C:$D, 2, FALSE)</f>
        <v>#N/A</v>
      </c>
      <c r="AM574" s="14" t="str">
        <f t="shared" si="5"/>
        <v/>
      </c>
      <c r="AN574" s="9"/>
      <c r="AO574" s="9"/>
      <c r="AP574" s="9"/>
      <c r="AQ574" s="15" t="s">
        <v>49</v>
      </c>
      <c r="AR574" t="s">
        <v>2950</v>
      </c>
      <c r="AS574" s="16"/>
    </row>
    <row r="575" spans="1:45" ht="14.5">
      <c r="A575" s="9" t="s">
        <v>2951</v>
      </c>
      <c r="B575" s="9" t="s">
        <v>2952</v>
      </c>
      <c r="C575" s="9" t="s">
        <v>2953</v>
      </c>
      <c r="D575" s="9" t="s">
        <v>2830</v>
      </c>
      <c r="E575" s="9" t="s">
        <v>49</v>
      </c>
      <c r="F575" s="9" t="s">
        <v>69</v>
      </c>
      <c r="G575" s="9" t="s">
        <v>70</v>
      </c>
      <c r="H575" s="9" t="s">
        <v>2831</v>
      </c>
      <c r="I575" s="9" t="s">
        <v>72</v>
      </c>
      <c r="J575" s="10">
        <v>43011</v>
      </c>
      <c r="K575" s="10">
        <v>43264</v>
      </c>
      <c r="L575" s="10">
        <v>43271.380208333336</v>
      </c>
      <c r="M575" s="10">
        <v>43287</v>
      </c>
      <c r="N575" s="9">
        <v>2018</v>
      </c>
      <c r="O575" s="9" t="s">
        <v>2832</v>
      </c>
      <c r="P575" s="9" t="s">
        <v>53</v>
      </c>
      <c r="Q575" s="9" t="s">
        <v>53</v>
      </c>
      <c r="T575" s="9"/>
      <c r="V575" s="9"/>
      <c r="W575" s="11">
        <f>IFERROR(VLOOKUP(B575, PlumX_snapshot!$A:$B, 2, FALSE), " ")</f>
        <v>9</v>
      </c>
      <c r="X575" s="11">
        <f>IFERROR(VLOOKUP(B575, PlumX_snapshot!$A:$C, 3, FALSE), " ")</f>
        <v>3</v>
      </c>
      <c r="Y575" s="12">
        <f>IFERROR(VLOOKUP(B575, PlumX_snapshot!$A:$D, 4, FALSE), " ")</f>
        <v>0</v>
      </c>
      <c r="Z575" s="12">
        <f>IFERROR(VLOOKUP(B575, PlumX_snapshot!$A:$E, 5, FALSE), " ")</f>
        <v>59</v>
      </c>
      <c r="AA575" s="12">
        <f>IFERROR(VLOOKUP(B575, PlumX_snapshot!$A:$F, 6, FALSE), " ")</f>
        <v>0</v>
      </c>
      <c r="AB575" s="13">
        <v>44978</v>
      </c>
      <c r="AH575" s="9"/>
      <c r="AI575" s="9"/>
      <c r="AJ575" s="9"/>
      <c r="AK575" s="11" t="str">
        <f t="shared" si="4"/>
        <v>2018</v>
      </c>
      <c r="AL575" s="11" t="e">
        <f>VLOOKUP(AK575, Exchange_rates!$C:$D, 2, FALSE)</f>
        <v>#N/A</v>
      </c>
      <c r="AM575" s="14" t="str">
        <f t="shared" si="5"/>
        <v/>
      </c>
      <c r="AN575" s="9"/>
      <c r="AO575" s="9"/>
      <c r="AP575" s="9"/>
      <c r="AQ575" s="15" t="s">
        <v>49</v>
      </c>
      <c r="AR575" t="s">
        <v>2954</v>
      </c>
      <c r="AS575" s="16"/>
    </row>
    <row r="576" spans="1:45" ht="14.5">
      <c r="A576" s="9" t="s">
        <v>2955</v>
      </c>
      <c r="B576" s="9" t="s">
        <v>2956</v>
      </c>
      <c r="C576" s="9" t="s">
        <v>2957</v>
      </c>
      <c r="D576" s="9" t="s">
        <v>2830</v>
      </c>
      <c r="E576" s="9" t="s">
        <v>49</v>
      </c>
      <c r="F576" s="9" t="s">
        <v>69</v>
      </c>
      <c r="G576" s="9" t="s">
        <v>70</v>
      </c>
      <c r="H576" s="9" t="s">
        <v>2831</v>
      </c>
      <c r="I576" s="9" t="s">
        <v>72</v>
      </c>
      <c r="J576" s="10">
        <v>43089</v>
      </c>
      <c r="K576" s="10">
        <v>43215</v>
      </c>
      <c r="L576" s="10">
        <v>43221.501307870371</v>
      </c>
      <c r="M576" s="10">
        <v>43237</v>
      </c>
      <c r="N576" s="9">
        <v>2018</v>
      </c>
      <c r="O576" s="9" t="s">
        <v>2832</v>
      </c>
      <c r="P576" s="9" t="s">
        <v>53</v>
      </c>
      <c r="Q576" s="9" t="s">
        <v>53</v>
      </c>
      <c r="T576" s="9"/>
      <c r="V576" s="9"/>
      <c r="W576" s="11">
        <f>IFERROR(VLOOKUP(B576, PlumX_snapshot!$A:$B, 2, FALSE), " ")</f>
        <v>36</v>
      </c>
      <c r="X576" s="11">
        <f>IFERROR(VLOOKUP(B576, PlumX_snapshot!$A:$C, 3, FALSE), " ")</f>
        <v>37</v>
      </c>
      <c r="Y576" s="12">
        <f>IFERROR(VLOOKUP(B576, PlumX_snapshot!$A:$D, 4, FALSE), " ")</f>
        <v>0</v>
      </c>
      <c r="Z576" s="12">
        <f>IFERROR(VLOOKUP(B576, PlumX_snapshot!$A:$E, 5, FALSE), " ")</f>
        <v>24</v>
      </c>
      <c r="AA576" s="12">
        <f>IFERROR(VLOOKUP(B576, PlumX_snapshot!$A:$F, 6, FALSE), " ")</f>
        <v>0</v>
      </c>
      <c r="AB576" s="13">
        <v>44978</v>
      </c>
      <c r="AH576" s="9"/>
      <c r="AI576" s="9"/>
      <c r="AJ576" s="9"/>
      <c r="AK576" s="11" t="str">
        <f t="shared" si="4"/>
        <v>2018</v>
      </c>
      <c r="AL576" s="11" t="e">
        <f>VLOOKUP(AK576, Exchange_rates!$C:$D, 2, FALSE)</f>
        <v>#N/A</v>
      </c>
      <c r="AM576" s="14" t="str">
        <f t="shared" si="5"/>
        <v/>
      </c>
      <c r="AN576" s="9"/>
      <c r="AO576" s="9"/>
      <c r="AP576" s="9"/>
      <c r="AQ576" s="15" t="s">
        <v>49</v>
      </c>
      <c r="AR576" t="s">
        <v>2958</v>
      </c>
      <c r="AS576" s="16"/>
    </row>
    <row r="577" spans="1:45" ht="14.5">
      <c r="A577" s="9" t="s">
        <v>2959</v>
      </c>
      <c r="B577" s="9" t="s">
        <v>2960</v>
      </c>
      <c r="C577" s="9" t="s">
        <v>2961</v>
      </c>
      <c r="D577" s="9" t="s">
        <v>2830</v>
      </c>
      <c r="E577" s="9" t="s">
        <v>49</v>
      </c>
      <c r="F577" s="9" t="s">
        <v>69</v>
      </c>
      <c r="G577" s="9" t="s">
        <v>70</v>
      </c>
      <c r="H577" s="9" t="s">
        <v>2871</v>
      </c>
      <c r="I577" s="9" t="s">
        <v>72</v>
      </c>
      <c r="J577" s="10"/>
      <c r="K577" s="10"/>
      <c r="L577" s="10">
        <v>43899.474351851852</v>
      </c>
      <c r="M577" s="10">
        <v>43903</v>
      </c>
      <c r="N577" s="9">
        <v>2020</v>
      </c>
      <c r="O577" s="9" t="s">
        <v>2832</v>
      </c>
      <c r="P577" s="9" t="s">
        <v>53</v>
      </c>
      <c r="Q577" s="9" t="s">
        <v>53</v>
      </c>
      <c r="T577" s="9"/>
      <c r="V577" s="9"/>
      <c r="W577" s="11">
        <f>IFERROR(VLOOKUP(B577, PlumX_snapshot!$A:$B, 2, FALSE), " ")</f>
        <v>23</v>
      </c>
      <c r="X577" s="11">
        <f>IFERROR(VLOOKUP(B577, PlumX_snapshot!$A:$C, 3, FALSE), " ")</f>
        <v>11</v>
      </c>
      <c r="Y577" s="12">
        <f>IFERROR(VLOOKUP(B577, PlumX_snapshot!$A:$D, 4, FALSE), " ")</f>
        <v>366</v>
      </c>
      <c r="Z577" s="12">
        <f>IFERROR(VLOOKUP(B577, PlumX_snapshot!$A:$E, 5, FALSE), " ")</f>
        <v>0</v>
      </c>
      <c r="AA577" s="12">
        <f>IFERROR(VLOOKUP(B577, PlumX_snapshot!$A:$F, 6, FALSE), " ")</f>
        <v>1</v>
      </c>
      <c r="AB577" s="13">
        <v>44978</v>
      </c>
      <c r="AH577" s="9">
        <v>2289</v>
      </c>
      <c r="AI577" s="9" t="s">
        <v>77</v>
      </c>
      <c r="AJ577" s="9" t="s">
        <v>1823</v>
      </c>
      <c r="AK577" s="11" t="str">
        <f t="shared" si="4"/>
        <v>2020EUR</v>
      </c>
      <c r="AL577" s="11">
        <f>VLOOKUP(AK577, Exchange_rates!$C:$D, 2, FALSE)</f>
        <v>0.88970000000000005</v>
      </c>
      <c r="AM577" s="14">
        <f t="shared" si="5"/>
        <v>2443.8279600000001</v>
      </c>
      <c r="AN577" s="9"/>
      <c r="AO577" s="9"/>
      <c r="AP577" s="9"/>
      <c r="AQ577" s="15" t="s">
        <v>49</v>
      </c>
      <c r="AR577" t="s">
        <v>2962</v>
      </c>
      <c r="AS577" s="16"/>
    </row>
    <row r="578" spans="1:45" ht="14.5">
      <c r="A578" s="9" t="s">
        <v>2963</v>
      </c>
      <c r="B578" s="9" t="s">
        <v>2964</v>
      </c>
      <c r="C578" s="9" t="s">
        <v>2965</v>
      </c>
      <c r="D578" s="9" t="s">
        <v>2830</v>
      </c>
      <c r="E578" s="9" t="s">
        <v>49</v>
      </c>
      <c r="F578" s="9" t="s">
        <v>69</v>
      </c>
      <c r="G578" s="9" t="s">
        <v>70</v>
      </c>
      <c r="H578" s="9" t="s">
        <v>2841</v>
      </c>
      <c r="I578" s="9" t="s">
        <v>72</v>
      </c>
      <c r="J578" s="10">
        <v>43206</v>
      </c>
      <c r="K578" s="10">
        <v>43652</v>
      </c>
      <c r="L578" s="10">
        <v>43656.435081018521</v>
      </c>
      <c r="M578" s="10">
        <v>43671</v>
      </c>
      <c r="N578" s="9">
        <v>2019</v>
      </c>
      <c r="O578" s="9" t="s">
        <v>2832</v>
      </c>
      <c r="P578" s="9" t="s">
        <v>53</v>
      </c>
      <c r="Q578" s="9" t="s">
        <v>53</v>
      </c>
      <c r="T578" s="9"/>
      <c r="V578" s="9"/>
      <c r="W578" s="11">
        <f>IFERROR(VLOOKUP(B578, PlumX_snapshot!$A:$B, 2, FALSE), " ")</f>
        <v>59</v>
      </c>
      <c r="X578" s="11">
        <f>IFERROR(VLOOKUP(B578, PlumX_snapshot!$A:$C, 3, FALSE), " ")</f>
        <v>15</v>
      </c>
      <c r="Y578" s="12">
        <f>IFERROR(VLOOKUP(B578, PlumX_snapshot!$A:$D, 4, FALSE), " ")</f>
        <v>25</v>
      </c>
      <c r="Z578" s="12">
        <f>IFERROR(VLOOKUP(B578, PlumX_snapshot!$A:$E, 5, FALSE), " ")</f>
        <v>23</v>
      </c>
      <c r="AA578" s="12">
        <f>IFERROR(VLOOKUP(B578, PlumX_snapshot!$A:$F, 6, FALSE), " ")</f>
        <v>0</v>
      </c>
      <c r="AB578" s="13">
        <v>44978</v>
      </c>
      <c r="AH578" s="9"/>
      <c r="AI578" s="9"/>
      <c r="AJ578" s="9"/>
      <c r="AK578" s="11" t="str">
        <f t="shared" si="4"/>
        <v>2019</v>
      </c>
      <c r="AL578" s="11" t="e">
        <f>VLOOKUP(AK578, Exchange_rates!$C:$D, 2, FALSE)</f>
        <v>#N/A</v>
      </c>
      <c r="AM578" s="14" t="str">
        <f t="shared" si="5"/>
        <v/>
      </c>
      <c r="AN578" s="9"/>
      <c r="AO578" s="9"/>
      <c r="AP578" s="9"/>
      <c r="AQ578" s="15" t="s">
        <v>49</v>
      </c>
      <c r="AR578" t="s">
        <v>2966</v>
      </c>
      <c r="AS578" s="16"/>
    </row>
    <row r="579" spans="1:45" ht="14.5">
      <c r="A579" s="9" t="s">
        <v>2967</v>
      </c>
      <c r="B579" s="9" t="s">
        <v>2968</v>
      </c>
      <c r="C579" s="9" t="s">
        <v>2969</v>
      </c>
      <c r="D579" s="9" t="s">
        <v>2830</v>
      </c>
      <c r="E579" s="9" t="s">
        <v>49</v>
      </c>
      <c r="F579" s="9" t="s">
        <v>69</v>
      </c>
      <c r="G579" s="9" t="s">
        <v>70</v>
      </c>
      <c r="H579" s="9" t="s">
        <v>2841</v>
      </c>
      <c r="I579" s="9" t="s">
        <v>72</v>
      </c>
      <c r="J579" s="10">
        <v>43552</v>
      </c>
      <c r="K579" s="10">
        <v>43714</v>
      </c>
      <c r="L579" s="10">
        <v>43717.448495370372</v>
      </c>
      <c r="M579" s="10">
        <v>43728</v>
      </c>
      <c r="N579" s="9">
        <v>2019</v>
      </c>
      <c r="O579" s="9" t="s">
        <v>2832</v>
      </c>
      <c r="P579" s="9" t="s">
        <v>53</v>
      </c>
      <c r="Q579" s="9" t="s">
        <v>53</v>
      </c>
      <c r="T579" s="9"/>
      <c r="V579" s="9"/>
      <c r="W579" s="11">
        <f>IFERROR(VLOOKUP(B579, PlumX_snapshot!$A:$B, 2, FALSE), " ")</f>
        <v>4</v>
      </c>
      <c r="X579" s="11">
        <f>IFERROR(VLOOKUP(B579, PlumX_snapshot!$A:$C, 3, FALSE), " ")</f>
        <v>0</v>
      </c>
      <c r="Y579" s="12">
        <f>IFERROR(VLOOKUP(B579, PlumX_snapshot!$A:$D, 4, FALSE), " ")</f>
        <v>3</v>
      </c>
      <c r="Z579" s="12">
        <f>IFERROR(VLOOKUP(B579, PlumX_snapshot!$A:$E, 5, FALSE), " ")</f>
        <v>0</v>
      </c>
      <c r="AA579" s="12">
        <f>IFERROR(VLOOKUP(B579, PlumX_snapshot!$A:$F, 6, FALSE), " ")</f>
        <v>0</v>
      </c>
      <c r="AB579" s="13">
        <v>44978</v>
      </c>
      <c r="AH579" s="9"/>
      <c r="AI579" s="9"/>
      <c r="AJ579" s="9"/>
      <c r="AK579" s="11" t="str">
        <f t="shared" si="4"/>
        <v>2019</v>
      </c>
      <c r="AL579" s="11" t="e">
        <f>VLOOKUP(AK579, Exchange_rates!$C:$D, 2, FALSE)</f>
        <v>#N/A</v>
      </c>
      <c r="AM579" s="14" t="str">
        <f t="shared" si="5"/>
        <v/>
      </c>
      <c r="AN579" s="9"/>
      <c r="AO579" s="9"/>
      <c r="AP579" s="9"/>
      <c r="AQ579" s="15" t="s">
        <v>49</v>
      </c>
      <c r="AR579" t="s">
        <v>2970</v>
      </c>
      <c r="AS579" s="16"/>
    </row>
    <row r="580" spans="1:45" ht="14.5">
      <c r="A580" s="9" t="s">
        <v>2971</v>
      </c>
      <c r="B580" s="9" t="s">
        <v>2972</v>
      </c>
      <c r="C580" s="9" t="s">
        <v>2973</v>
      </c>
      <c r="D580" s="9" t="s">
        <v>2830</v>
      </c>
      <c r="E580" s="9" t="s">
        <v>49</v>
      </c>
      <c r="F580" s="9" t="s">
        <v>69</v>
      </c>
      <c r="G580" s="9" t="s">
        <v>70</v>
      </c>
      <c r="H580" s="9" t="s">
        <v>2841</v>
      </c>
      <c r="I580" s="9" t="s">
        <v>72</v>
      </c>
      <c r="J580" s="10">
        <v>43496</v>
      </c>
      <c r="K580" s="10">
        <v>43640</v>
      </c>
      <c r="L580" s="10">
        <v>43654.383020833331</v>
      </c>
      <c r="M580" s="10">
        <v>43658</v>
      </c>
      <c r="N580" s="9">
        <v>2019</v>
      </c>
      <c r="O580" s="9" t="s">
        <v>2832</v>
      </c>
      <c r="P580" s="9" t="s">
        <v>53</v>
      </c>
      <c r="Q580" s="9" t="s">
        <v>53</v>
      </c>
      <c r="T580" s="9"/>
      <c r="V580" s="9"/>
      <c r="W580" s="11">
        <f>IFERROR(VLOOKUP(B580, PlumX_snapshot!$A:$B, 2, FALSE), " ")</f>
        <v>36</v>
      </c>
      <c r="X580" s="11">
        <f>IFERROR(VLOOKUP(B580, PlumX_snapshot!$A:$C, 3, FALSE), " ")</f>
        <v>6</v>
      </c>
      <c r="Y580" s="12">
        <f>IFERROR(VLOOKUP(B580, PlumX_snapshot!$A:$D, 4, FALSE), " ")</f>
        <v>10</v>
      </c>
      <c r="Z580" s="12">
        <f>IFERROR(VLOOKUP(B580, PlumX_snapshot!$A:$E, 5, FALSE), " ")</f>
        <v>26</v>
      </c>
      <c r="AA580" s="12">
        <f>IFERROR(VLOOKUP(B580, PlumX_snapshot!$A:$F, 6, FALSE), " ")</f>
        <v>0</v>
      </c>
      <c r="AB580" s="13">
        <v>44978</v>
      </c>
      <c r="AH580" s="9"/>
      <c r="AI580" s="9"/>
      <c r="AJ580" s="9"/>
      <c r="AK580" s="11" t="str">
        <f t="shared" si="4"/>
        <v>2019</v>
      </c>
      <c r="AL580" s="11" t="e">
        <f>VLOOKUP(AK580, Exchange_rates!$C:$D, 2, FALSE)</f>
        <v>#N/A</v>
      </c>
      <c r="AM580" s="14" t="str">
        <f t="shared" si="5"/>
        <v/>
      </c>
      <c r="AN580" s="9"/>
      <c r="AO580" s="9"/>
      <c r="AP580" s="9"/>
      <c r="AQ580" s="15" t="s">
        <v>49</v>
      </c>
      <c r="AR580" t="s">
        <v>2974</v>
      </c>
      <c r="AS580" s="16"/>
    </row>
    <row r="581" spans="1:45" ht="14.5">
      <c r="A581" s="9" t="s">
        <v>2975</v>
      </c>
      <c r="B581" s="9" t="s">
        <v>2976</v>
      </c>
      <c r="C581" s="9" t="s">
        <v>2977</v>
      </c>
      <c r="D581" s="9" t="s">
        <v>2830</v>
      </c>
      <c r="E581" s="9" t="s">
        <v>49</v>
      </c>
      <c r="F581" s="9" t="s">
        <v>69</v>
      </c>
      <c r="G581" s="9" t="s">
        <v>70</v>
      </c>
      <c r="H581" s="9" t="s">
        <v>2831</v>
      </c>
      <c r="I581" s="9" t="s">
        <v>72</v>
      </c>
      <c r="J581" s="10">
        <v>43213</v>
      </c>
      <c r="K581" s="10">
        <v>43336</v>
      </c>
      <c r="L581" s="10">
        <v>43343.582743055558</v>
      </c>
      <c r="M581" s="10">
        <v>43351</v>
      </c>
      <c r="N581" s="9">
        <v>2018</v>
      </c>
      <c r="O581" s="9" t="s">
        <v>2832</v>
      </c>
      <c r="P581" s="9" t="s">
        <v>53</v>
      </c>
      <c r="Q581" s="9" t="s">
        <v>53</v>
      </c>
      <c r="T581" s="9"/>
      <c r="V581" s="9"/>
      <c r="W581" s="11">
        <f>IFERROR(VLOOKUP(B581, PlumX_snapshot!$A:$B, 2, FALSE), " ")</f>
        <v>0</v>
      </c>
      <c r="X581" s="11">
        <f>IFERROR(VLOOKUP(B581, PlumX_snapshot!$A:$C, 3, FALSE), " ")</f>
        <v>13</v>
      </c>
      <c r="Y581" s="12">
        <f>IFERROR(VLOOKUP(B581, PlumX_snapshot!$A:$D, 4, FALSE), " ")</f>
        <v>1</v>
      </c>
      <c r="Z581" s="12">
        <f>IFERROR(VLOOKUP(B581, PlumX_snapshot!$A:$E, 5, FALSE), " ")</f>
        <v>6</v>
      </c>
      <c r="AA581" s="12">
        <f>IFERROR(VLOOKUP(B581, PlumX_snapshot!$A:$F, 6, FALSE), " ")</f>
        <v>0</v>
      </c>
      <c r="AB581" s="13">
        <v>44978</v>
      </c>
      <c r="AH581" s="9"/>
      <c r="AI581" s="9"/>
      <c r="AJ581" s="9"/>
      <c r="AK581" s="11" t="str">
        <f t="shared" si="4"/>
        <v>2018</v>
      </c>
      <c r="AL581" s="11" t="e">
        <f>VLOOKUP(AK581, Exchange_rates!$C:$D, 2, FALSE)</f>
        <v>#N/A</v>
      </c>
      <c r="AM581" s="14" t="str">
        <f t="shared" si="5"/>
        <v/>
      </c>
      <c r="AN581" s="9"/>
      <c r="AO581" s="9"/>
      <c r="AP581" s="9"/>
      <c r="AQ581" s="15" t="s">
        <v>49</v>
      </c>
      <c r="AR581" t="s">
        <v>2978</v>
      </c>
      <c r="AS581" s="16"/>
    </row>
    <row r="582" spans="1:45" ht="14.5">
      <c r="A582" s="9" t="s">
        <v>2979</v>
      </c>
      <c r="B582" s="9" t="s">
        <v>2980</v>
      </c>
      <c r="C582" s="9" t="s">
        <v>2965</v>
      </c>
      <c r="D582" s="9" t="s">
        <v>2830</v>
      </c>
      <c r="E582" s="9" t="s">
        <v>49</v>
      </c>
      <c r="F582" s="9" t="s">
        <v>69</v>
      </c>
      <c r="G582" s="9" t="s">
        <v>70</v>
      </c>
      <c r="H582" s="9" t="s">
        <v>2841</v>
      </c>
      <c r="I582" s="9" t="s">
        <v>72</v>
      </c>
      <c r="J582" s="10">
        <v>43437</v>
      </c>
      <c r="K582" s="10">
        <v>43766</v>
      </c>
      <c r="L582" s="10">
        <v>43770.651701388888</v>
      </c>
      <c r="M582" s="10">
        <v>43778</v>
      </c>
      <c r="N582" s="9">
        <v>2019</v>
      </c>
      <c r="O582" s="9" t="s">
        <v>2832</v>
      </c>
      <c r="P582" s="9" t="s">
        <v>53</v>
      </c>
      <c r="Q582" s="9" t="s">
        <v>53</v>
      </c>
      <c r="T582" s="9"/>
      <c r="V582" s="9"/>
      <c r="W582" s="11">
        <f>IFERROR(VLOOKUP(B582, PlumX_snapshot!$A:$B, 2, FALSE), " ")</f>
        <v>41</v>
      </c>
      <c r="X582" s="11">
        <f>IFERROR(VLOOKUP(B582, PlumX_snapshot!$A:$C, 3, FALSE), " ")</f>
        <v>37</v>
      </c>
      <c r="Y582" s="12">
        <f>IFERROR(VLOOKUP(B582, PlumX_snapshot!$A:$D, 4, FALSE), " ")</f>
        <v>2</v>
      </c>
      <c r="Z582" s="12">
        <f>IFERROR(VLOOKUP(B582, PlumX_snapshot!$A:$E, 5, FALSE), " ")</f>
        <v>0</v>
      </c>
      <c r="AA582" s="12">
        <f>IFERROR(VLOOKUP(B582, PlumX_snapshot!$A:$F, 6, FALSE), " ")</f>
        <v>0</v>
      </c>
      <c r="AB582" s="13">
        <v>44978</v>
      </c>
      <c r="AH582" s="9"/>
      <c r="AI582" s="9"/>
      <c r="AJ582" s="9"/>
      <c r="AK582" s="11" t="str">
        <f t="shared" si="4"/>
        <v>2019</v>
      </c>
      <c r="AL582" s="11" t="e">
        <f>VLOOKUP(AK582, Exchange_rates!$C:$D, 2, FALSE)</f>
        <v>#N/A</v>
      </c>
      <c r="AM582" s="14" t="str">
        <f t="shared" si="5"/>
        <v/>
      </c>
      <c r="AN582" s="9"/>
      <c r="AO582" s="9"/>
      <c r="AP582" s="9"/>
      <c r="AQ582" s="15" t="s">
        <v>49</v>
      </c>
      <c r="AR582" t="s">
        <v>2966</v>
      </c>
      <c r="AS582" s="16"/>
    </row>
    <row r="583" spans="1:45" ht="14.5">
      <c r="A583" s="9" t="s">
        <v>2981</v>
      </c>
      <c r="B583" s="9" t="s">
        <v>2982</v>
      </c>
      <c r="C583" s="9" t="s">
        <v>2983</v>
      </c>
      <c r="D583" s="9" t="s">
        <v>2830</v>
      </c>
      <c r="E583" s="9" t="s">
        <v>49</v>
      </c>
      <c r="F583" s="9" t="s">
        <v>69</v>
      </c>
      <c r="G583" s="9" t="s">
        <v>70</v>
      </c>
      <c r="H583" s="9" t="s">
        <v>2831</v>
      </c>
      <c r="I583" s="9" t="s">
        <v>72</v>
      </c>
      <c r="J583" s="10"/>
      <c r="K583" s="10">
        <v>43256</v>
      </c>
      <c r="L583" s="10">
        <v>43257.446770833332</v>
      </c>
      <c r="M583" s="10">
        <v>43259</v>
      </c>
      <c r="N583" s="9">
        <v>2018</v>
      </c>
      <c r="O583" s="9" t="s">
        <v>2832</v>
      </c>
      <c r="P583" s="9" t="s">
        <v>53</v>
      </c>
      <c r="Q583" s="9" t="s">
        <v>53</v>
      </c>
      <c r="T583" s="9"/>
      <c r="V583" s="9"/>
      <c r="W583" s="11">
        <f>IFERROR(VLOOKUP(B583, PlumX_snapshot!$A:$B, 2, FALSE), " ")</f>
        <v>76</v>
      </c>
      <c r="X583" s="11">
        <f>IFERROR(VLOOKUP(B583, PlumX_snapshot!$A:$C, 3, FALSE), " ")</f>
        <v>7</v>
      </c>
      <c r="Y583" s="12">
        <f>IFERROR(VLOOKUP(B583, PlumX_snapshot!$A:$D, 4, FALSE), " ")</f>
        <v>14</v>
      </c>
      <c r="Z583" s="12">
        <f>IFERROR(VLOOKUP(B583, PlumX_snapshot!$A:$E, 5, FALSE), " ")</f>
        <v>234</v>
      </c>
      <c r="AA583" s="12">
        <f>IFERROR(VLOOKUP(B583, PlumX_snapshot!$A:$F, 6, FALSE), " ")</f>
        <v>0</v>
      </c>
      <c r="AB583" s="13">
        <v>44978</v>
      </c>
      <c r="AH583" s="9"/>
      <c r="AI583" s="9"/>
      <c r="AJ583" s="9"/>
      <c r="AK583" s="11" t="str">
        <f t="shared" si="4"/>
        <v>2018</v>
      </c>
      <c r="AL583" s="11" t="e">
        <f>VLOOKUP(AK583, Exchange_rates!$C:$D, 2, FALSE)</f>
        <v>#N/A</v>
      </c>
      <c r="AM583" s="14" t="str">
        <f t="shared" si="5"/>
        <v/>
      </c>
      <c r="AN583" s="9"/>
      <c r="AO583" s="9"/>
      <c r="AP583" s="9"/>
      <c r="AQ583" s="15" t="s">
        <v>49</v>
      </c>
      <c r="AR583" t="s">
        <v>2984</v>
      </c>
      <c r="AS583" s="16"/>
    </row>
    <row r="584" spans="1:45" ht="14.5">
      <c r="A584" s="9" t="s">
        <v>2985</v>
      </c>
      <c r="B584" s="9" t="s">
        <v>2986</v>
      </c>
      <c r="C584" s="9" t="s">
        <v>2987</v>
      </c>
      <c r="D584" s="9" t="s">
        <v>2830</v>
      </c>
      <c r="E584" s="9" t="s">
        <v>49</v>
      </c>
      <c r="F584" s="9" t="s">
        <v>69</v>
      </c>
      <c r="G584" s="9" t="s">
        <v>70</v>
      </c>
      <c r="H584" s="9" t="s">
        <v>2831</v>
      </c>
      <c r="I584" s="9" t="s">
        <v>72</v>
      </c>
      <c r="J584" s="10">
        <v>43180</v>
      </c>
      <c r="K584" s="10">
        <v>43257</v>
      </c>
      <c r="L584" s="10">
        <v>43259.530405092592</v>
      </c>
      <c r="M584" s="10">
        <v>43265</v>
      </c>
      <c r="N584" s="9">
        <v>2018</v>
      </c>
      <c r="O584" s="9" t="s">
        <v>2832</v>
      </c>
      <c r="P584" s="9" t="s">
        <v>53</v>
      </c>
      <c r="Q584" s="9" t="s">
        <v>53</v>
      </c>
      <c r="R584" s="9" t="s">
        <v>2988</v>
      </c>
      <c r="T584" s="9"/>
      <c r="V584" s="9"/>
      <c r="W584" s="11">
        <f>IFERROR(VLOOKUP(B584, PlumX_snapshot!$A:$B, 2, FALSE), " ")</f>
        <v>40</v>
      </c>
      <c r="X584" s="11">
        <f>IFERROR(VLOOKUP(B584, PlumX_snapshot!$A:$C, 3, FALSE), " ")</f>
        <v>6</v>
      </c>
      <c r="Y584" s="12">
        <f>IFERROR(VLOOKUP(B584, PlumX_snapshot!$A:$D, 4, FALSE), " ")</f>
        <v>28</v>
      </c>
      <c r="Z584" s="12">
        <f>IFERROR(VLOOKUP(B584, PlumX_snapshot!$A:$E, 5, FALSE), " ")</f>
        <v>34</v>
      </c>
      <c r="AA584" s="12">
        <f>IFERROR(VLOOKUP(B584, PlumX_snapshot!$A:$F, 6, FALSE), " ")</f>
        <v>0</v>
      </c>
      <c r="AB584" s="13">
        <v>44978</v>
      </c>
      <c r="AH584" s="9"/>
      <c r="AI584" s="9"/>
      <c r="AJ584" s="9"/>
      <c r="AK584" s="11" t="str">
        <f t="shared" si="4"/>
        <v>2018</v>
      </c>
      <c r="AL584" s="11" t="e">
        <f>VLOOKUP(AK584, Exchange_rates!$C:$D, 2, FALSE)</f>
        <v>#N/A</v>
      </c>
      <c r="AM584" s="14" t="str">
        <f t="shared" si="5"/>
        <v/>
      </c>
      <c r="AN584" s="9"/>
      <c r="AO584" s="9"/>
      <c r="AP584" s="9"/>
      <c r="AQ584" s="15" t="s">
        <v>49</v>
      </c>
      <c r="AR584" t="s">
        <v>2989</v>
      </c>
      <c r="AS584" s="16"/>
    </row>
    <row r="585" spans="1:45" ht="14.5">
      <c r="A585" s="9" t="s">
        <v>2990</v>
      </c>
      <c r="B585" s="9" t="s">
        <v>2991</v>
      </c>
      <c r="C585" s="9" t="s">
        <v>2877</v>
      </c>
      <c r="D585" s="9" t="s">
        <v>2830</v>
      </c>
      <c r="E585" s="9" t="s">
        <v>49</v>
      </c>
      <c r="F585" s="9" t="s">
        <v>69</v>
      </c>
      <c r="G585" s="9" t="s">
        <v>70</v>
      </c>
      <c r="H585" s="9" t="s">
        <v>2831</v>
      </c>
      <c r="I585" s="9" t="s">
        <v>72</v>
      </c>
      <c r="J585" s="10">
        <v>42704</v>
      </c>
      <c r="K585" s="10">
        <v>43266</v>
      </c>
      <c r="L585" s="10">
        <v>43277.658645833333</v>
      </c>
      <c r="M585" s="10">
        <v>43280</v>
      </c>
      <c r="N585" s="9">
        <v>2018</v>
      </c>
      <c r="O585" s="9" t="s">
        <v>2832</v>
      </c>
      <c r="P585" s="9" t="s">
        <v>53</v>
      </c>
      <c r="Q585" s="9" t="s">
        <v>53</v>
      </c>
      <c r="T585" s="9"/>
      <c r="V585" s="9"/>
      <c r="W585" s="11">
        <f>IFERROR(VLOOKUP(B585, PlumX_snapshot!$A:$B, 2, FALSE), " ")</f>
        <v>159</v>
      </c>
      <c r="X585" s="11">
        <f>IFERROR(VLOOKUP(B585, PlumX_snapshot!$A:$C, 3, FALSE), " ")</f>
        <v>25</v>
      </c>
      <c r="Y585" s="12">
        <f>IFERROR(VLOOKUP(B585, PlumX_snapshot!$A:$D, 4, FALSE), " ")</f>
        <v>5</v>
      </c>
      <c r="Z585" s="12">
        <f>IFERROR(VLOOKUP(B585, PlumX_snapshot!$A:$E, 5, FALSE), " ")</f>
        <v>358</v>
      </c>
      <c r="AA585" s="12">
        <f>IFERROR(VLOOKUP(B585, PlumX_snapshot!$A:$F, 6, FALSE), " ")</f>
        <v>1</v>
      </c>
      <c r="AB585" s="13">
        <v>44978</v>
      </c>
      <c r="AH585" s="9"/>
      <c r="AI585" s="9"/>
      <c r="AJ585" s="9"/>
      <c r="AK585" s="11" t="str">
        <f t="shared" si="4"/>
        <v>2018</v>
      </c>
      <c r="AL585" s="11" t="e">
        <f>VLOOKUP(AK585, Exchange_rates!$C:$D, 2, FALSE)</f>
        <v>#N/A</v>
      </c>
      <c r="AM585" s="14" t="str">
        <f t="shared" si="5"/>
        <v/>
      </c>
      <c r="AN585" s="9"/>
      <c r="AO585" s="9"/>
      <c r="AP585" s="9"/>
      <c r="AQ585" s="15" t="s">
        <v>49</v>
      </c>
      <c r="AR585" t="s">
        <v>2879</v>
      </c>
      <c r="AS585" s="16"/>
    </row>
    <row r="586" spans="1:45" ht="14.5">
      <c r="A586" s="9" t="s">
        <v>2992</v>
      </c>
      <c r="B586" s="9" t="s">
        <v>2993</v>
      </c>
      <c r="C586" s="9" t="s">
        <v>2994</v>
      </c>
      <c r="D586" s="9" t="s">
        <v>2830</v>
      </c>
      <c r="E586" s="9" t="s">
        <v>49</v>
      </c>
      <c r="F586" s="9" t="s">
        <v>69</v>
      </c>
      <c r="G586" s="9" t="s">
        <v>70</v>
      </c>
      <c r="H586" s="9" t="s">
        <v>2831</v>
      </c>
      <c r="I586" s="9" t="s">
        <v>72</v>
      </c>
      <c r="J586" s="10"/>
      <c r="K586" s="10"/>
      <c r="L586" s="10">
        <v>43244.512071759258</v>
      </c>
      <c r="M586" s="10">
        <v>43273</v>
      </c>
      <c r="N586" s="9">
        <v>2018</v>
      </c>
      <c r="O586" s="9" t="s">
        <v>2832</v>
      </c>
      <c r="P586" s="9" t="s">
        <v>53</v>
      </c>
      <c r="Q586" s="9" t="s">
        <v>53</v>
      </c>
      <c r="T586" s="9"/>
      <c r="V586" s="9"/>
      <c r="W586" s="11">
        <f>IFERROR(VLOOKUP(B586, PlumX_snapshot!$A:$B, 2, FALSE), " ")</f>
        <v>18</v>
      </c>
      <c r="X586" s="11">
        <f>IFERROR(VLOOKUP(B586, PlumX_snapshot!$A:$C, 3, FALSE), " ")</f>
        <v>4</v>
      </c>
      <c r="Y586" s="12">
        <f>IFERROR(VLOOKUP(B586, PlumX_snapshot!$A:$D, 4, FALSE), " ")</f>
        <v>22</v>
      </c>
      <c r="Z586" s="12">
        <f>IFERROR(VLOOKUP(B586, PlumX_snapshot!$A:$E, 5, FALSE), " ")</f>
        <v>152</v>
      </c>
      <c r="AA586" s="12">
        <f>IFERROR(VLOOKUP(B586, PlumX_snapshot!$A:$F, 6, FALSE), " ")</f>
        <v>0</v>
      </c>
      <c r="AB586" s="13">
        <v>44978</v>
      </c>
      <c r="AH586" s="9"/>
      <c r="AI586" s="9"/>
      <c r="AJ586" s="9"/>
      <c r="AK586" s="11" t="str">
        <f t="shared" si="4"/>
        <v>2018</v>
      </c>
      <c r="AL586" s="11" t="e">
        <f>VLOOKUP(AK586, Exchange_rates!$C:$D, 2, FALSE)</f>
        <v>#N/A</v>
      </c>
      <c r="AM586" s="14" t="str">
        <f t="shared" si="5"/>
        <v/>
      </c>
      <c r="AN586" s="9"/>
      <c r="AO586" s="9"/>
      <c r="AP586" s="9"/>
      <c r="AQ586" s="15" t="s">
        <v>49</v>
      </c>
      <c r="AR586" t="s">
        <v>2995</v>
      </c>
      <c r="AS586" s="16"/>
    </row>
    <row r="587" spans="1:45" ht="14.5">
      <c r="A587" s="9" t="s">
        <v>2996</v>
      </c>
      <c r="B587" s="9" t="s">
        <v>2997</v>
      </c>
      <c r="C587" s="9" t="s">
        <v>2998</v>
      </c>
      <c r="D587" s="9" t="s">
        <v>2830</v>
      </c>
      <c r="E587" s="9" t="s">
        <v>49</v>
      </c>
      <c r="F587" s="9" t="s">
        <v>69</v>
      </c>
      <c r="G587" s="9" t="s">
        <v>70</v>
      </c>
      <c r="H587" s="9" t="s">
        <v>2841</v>
      </c>
      <c r="I587" s="9" t="s">
        <v>72</v>
      </c>
      <c r="J587" s="10">
        <v>43150</v>
      </c>
      <c r="K587" s="10">
        <v>43479</v>
      </c>
      <c r="L587" s="10">
        <v>43486.585405092592</v>
      </c>
      <c r="M587" s="10">
        <v>43494</v>
      </c>
      <c r="N587" s="9">
        <v>2019</v>
      </c>
      <c r="O587" s="9" t="s">
        <v>2832</v>
      </c>
      <c r="P587" s="9" t="s">
        <v>53</v>
      </c>
      <c r="Q587" s="9" t="s">
        <v>53</v>
      </c>
      <c r="T587" s="9"/>
      <c r="V587" s="9"/>
      <c r="W587" s="11">
        <f>IFERROR(VLOOKUP(B587, PlumX_snapshot!$A:$B, 2, FALSE), " ")</f>
        <v>2</v>
      </c>
      <c r="X587" s="11">
        <f>IFERROR(VLOOKUP(B587, PlumX_snapshot!$A:$C, 3, FALSE), " ")</f>
        <v>1</v>
      </c>
      <c r="Y587" s="12">
        <f>IFERROR(VLOOKUP(B587, PlumX_snapshot!$A:$D, 4, FALSE), " ")</f>
        <v>0</v>
      </c>
      <c r="Z587" s="12">
        <f>IFERROR(VLOOKUP(B587, PlumX_snapshot!$A:$E, 5, FALSE), " ")</f>
        <v>0</v>
      </c>
      <c r="AA587" s="12">
        <f>IFERROR(VLOOKUP(B587, PlumX_snapshot!$A:$F, 6, FALSE), " ")</f>
        <v>0</v>
      </c>
      <c r="AB587" s="13">
        <v>44978</v>
      </c>
      <c r="AH587" s="9"/>
      <c r="AI587" s="9"/>
      <c r="AJ587" s="9"/>
      <c r="AK587" s="11" t="str">
        <f t="shared" si="4"/>
        <v>2019</v>
      </c>
      <c r="AL587" s="11" t="e">
        <f>VLOOKUP(AK587, Exchange_rates!$C:$D, 2, FALSE)</f>
        <v>#N/A</v>
      </c>
      <c r="AM587" s="14" t="str">
        <f t="shared" si="5"/>
        <v/>
      </c>
      <c r="AN587" s="9"/>
      <c r="AO587" s="9"/>
      <c r="AP587" s="9"/>
      <c r="AQ587" s="15" t="s">
        <v>49</v>
      </c>
      <c r="AR587" t="s">
        <v>2999</v>
      </c>
      <c r="AS587" s="16"/>
    </row>
    <row r="588" spans="1:45" ht="14.5">
      <c r="A588" s="9" t="s">
        <v>3000</v>
      </c>
      <c r="B588" s="9" t="s">
        <v>3001</v>
      </c>
      <c r="C588" s="9" t="s">
        <v>2860</v>
      </c>
      <c r="D588" s="9" t="s">
        <v>2830</v>
      </c>
      <c r="E588" s="9" t="s">
        <v>49</v>
      </c>
      <c r="F588" s="9" t="s">
        <v>69</v>
      </c>
      <c r="G588" s="9" t="s">
        <v>70</v>
      </c>
      <c r="H588" s="9" t="s">
        <v>2831</v>
      </c>
      <c r="I588" s="9" t="s">
        <v>72</v>
      </c>
      <c r="J588" s="10"/>
      <c r="K588" s="10"/>
      <c r="L588" s="10">
        <v>43383.555034722223</v>
      </c>
      <c r="M588" s="10">
        <v>43501</v>
      </c>
      <c r="N588" s="9">
        <v>2018</v>
      </c>
      <c r="O588" s="9" t="s">
        <v>2832</v>
      </c>
      <c r="P588" s="9" t="s">
        <v>53</v>
      </c>
      <c r="Q588" s="9" t="s">
        <v>53</v>
      </c>
      <c r="T588" s="9"/>
      <c r="V588" s="9"/>
      <c r="W588" s="11">
        <f>IFERROR(VLOOKUP(B588, PlumX_snapshot!$A:$B, 2, FALSE), " ")</f>
        <v>20</v>
      </c>
      <c r="X588" s="11">
        <f>IFERROR(VLOOKUP(B588, PlumX_snapshot!$A:$C, 3, FALSE), " ")</f>
        <v>1</v>
      </c>
      <c r="Y588" s="12">
        <f>IFERROR(VLOOKUP(B588, PlumX_snapshot!$A:$D, 4, FALSE), " ")</f>
        <v>1</v>
      </c>
      <c r="Z588" s="12">
        <f>IFERROR(VLOOKUP(B588, PlumX_snapshot!$A:$E, 5, FALSE), " ")</f>
        <v>620</v>
      </c>
      <c r="AA588" s="12">
        <f>IFERROR(VLOOKUP(B588, PlumX_snapshot!$A:$F, 6, FALSE), " ")</f>
        <v>0</v>
      </c>
      <c r="AB588" s="13">
        <v>44978</v>
      </c>
      <c r="AH588" s="9"/>
      <c r="AI588" s="9"/>
      <c r="AJ588" s="9"/>
      <c r="AK588" s="11" t="str">
        <f t="shared" si="4"/>
        <v>2018</v>
      </c>
      <c r="AL588" s="11" t="e">
        <f>VLOOKUP(AK588, Exchange_rates!$C:$D, 2, FALSE)</f>
        <v>#N/A</v>
      </c>
      <c r="AM588" s="14" t="str">
        <f t="shared" si="5"/>
        <v/>
      </c>
      <c r="AN588" s="9"/>
      <c r="AO588" s="9"/>
      <c r="AP588" s="9"/>
      <c r="AQ588" s="15" t="s">
        <v>49</v>
      </c>
      <c r="AR588" t="s">
        <v>2861</v>
      </c>
      <c r="AS588" s="16"/>
    </row>
    <row r="589" spans="1:45" ht="14.5">
      <c r="A589" s="9" t="s">
        <v>3002</v>
      </c>
      <c r="B589" s="9" t="s">
        <v>3003</v>
      </c>
      <c r="C589" s="9" t="s">
        <v>3004</v>
      </c>
      <c r="D589" s="9" t="s">
        <v>2830</v>
      </c>
      <c r="E589" s="9" t="s">
        <v>49</v>
      </c>
      <c r="F589" s="9" t="s">
        <v>69</v>
      </c>
      <c r="G589" s="9" t="s">
        <v>70</v>
      </c>
      <c r="H589" s="9" t="s">
        <v>2831</v>
      </c>
      <c r="I589" s="9" t="s">
        <v>72</v>
      </c>
      <c r="J589" s="10">
        <v>43297</v>
      </c>
      <c r="K589" s="10"/>
      <c r="L589" s="10">
        <v>43440.576724537037</v>
      </c>
      <c r="M589" s="10">
        <v>43482</v>
      </c>
      <c r="N589" s="9">
        <v>2018</v>
      </c>
      <c r="O589" s="9" t="s">
        <v>2832</v>
      </c>
      <c r="P589" s="9" t="s">
        <v>83</v>
      </c>
      <c r="Q589" s="9" t="s">
        <v>53</v>
      </c>
      <c r="R589" s="9" t="s">
        <v>3005</v>
      </c>
      <c r="T589" s="9"/>
      <c r="V589" s="9"/>
      <c r="W589" s="11">
        <f>IFERROR(VLOOKUP(B589, PlumX_snapshot!$A:$B, 2, FALSE), " ")</f>
        <v>1</v>
      </c>
      <c r="X589" s="11">
        <f>IFERROR(VLOOKUP(B589, PlumX_snapshot!$A:$C, 3, FALSE), " ")</f>
        <v>2</v>
      </c>
      <c r="Y589" s="12">
        <f>IFERROR(VLOOKUP(B589, PlumX_snapshot!$A:$D, 4, FALSE), " ")</f>
        <v>1</v>
      </c>
      <c r="Z589" s="12">
        <f>IFERROR(VLOOKUP(B589, PlumX_snapshot!$A:$E, 5, FALSE), " ")</f>
        <v>0</v>
      </c>
      <c r="AA589" s="12">
        <f>IFERROR(VLOOKUP(B589, PlumX_snapshot!$A:$F, 6, FALSE), " ")</f>
        <v>2</v>
      </c>
      <c r="AB589" s="13">
        <v>44978</v>
      </c>
      <c r="AH589" s="9"/>
      <c r="AI589" s="9"/>
      <c r="AJ589" s="9"/>
      <c r="AK589" s="11" t="str">
        <f t="shared" si="4"/>
        <v>2018</v>
      </c>
      <c r="AL589" s="11" t="e">
        <f>VLOOKUP(AK589, Exchange_rates!$C:$D, 2, FALSE)</f>
        <v>#N/A</v>
      </c>
      <c r="AM589" s="14" t="str">
        <f t="shared" si="5"/>
        <v/>
      </c>
      <c r="AN589" s="9"/>
      <c r="AO589" s="9"/>
      <c r="AP589" s="9"/>
      <c r="AQ589" s="15" t="s">
        <v>49</v>
      </c>
      <c r="AR589" t="s">
        <v>3006</v>
      </c>
      <c r="AS589" s="16"/>
    </row>
    <row r="590" spans="1:45" ht="14.5">
      <c r="A590" s="9" t="s">
        <v>3007</v>
      </c>
      <c r="B590" s="9" t="s">
        <v>3008</v>
      </c>
      <c r="C590" s="9" t="s">
        <v>3009</v>
      </c>
      <c r="D590" s="9" t="s">
        <v>2830</v>
      </c>
      <c r="E590" s="9" t="s">
        <v>49</v>
      </c>
      <c r="F590" s="9" t="s">
        <v>69</v>
      </c>
      <c r="G590" s="9" t="s">
        <v>70</v>
      </c>
      <c r="H590" s="9" t="s">
        <v>2871</v>
      </c>
      <c r="I590" s="9" t="s">
        <v>72</v>
      </c>
      <c r="J590" s="10">
        <v>43529</v>
      </c>
      <c r="K590" s="10">
        <v>43838</v>
      </c>
      <c r="L590" s="10">
        <v>43843.415925925925</v>
      </c>
      <c r="M590" s="10">
        <v>43848</v>
      </c>
      <c r="N590" s="9">
        <v>2020</v>
      </c>
      <c r="O590" s="9" t="s">
        <v>2832</v>
      </c>
      <c r="P590" s="9" t="s">
        <v>53</v>
      </c>
      <c r="Q590" s="9" t="s">
        <v>53</v>
      </c>
      <c r="T590" s="9"/>
      <c r="V590" s="9"/>
      <c r="W590" s="11">
        <f>IFERROR(VLOOKUP(B590, PlumX_snapshot!$A:$B, 2, FALSE), " ")</f>
        <v>10</v>
      </c>
      <c r="X590" s="11">
        <f>IFERROR(VLOOKUP(B590, PlumX_snapshot!$A:$C, 3, FALSE), " ")</f>
        <v>0</v>
      </c>
      <c r="Y590" s="12">
        <f>IFERROR(VLOOKUP(B590, PlumX_snapshot!$A:$D, 4, FALSE), " ")</f>
        <v>0</v>
      </c>
      <c r="Z590" s="12">
        <f>IFERROR(VLOOKUP(B590, PlumX_snapshot!$A:$E, 5, FALSE), " ")</f>
        <v>0</v>
      </c>
      <c r="AA590" s="12">
        <f>IFERROR(VLOOKUP(B590, PlumX_snapshot!$A:$F, 6, FALSE), " ")</f>
        <v>0</v>
      </c>
      <c r="AB590" s="13">
        <v>44978</v>
      </c>
      <c r="AH590" s="9">
        <v>2289</v>
      </c>
      <c r="AI590" s="9" t="s">
        <v>77</v>
      </c>
      <c r="AJ590" s="9" t="s">
        <v>1823</v>
      </c>
      <c r="AK590" s="11" t="str">
        <f t="shared" si="4"/>
        <v>2020EUR</v>
      </c>
      <c r="AL590" s="11">
        <f>VLOOKUP(AK590, Exchange_rates!$C:$D, 2, FALSE)</f>
        <v>0.88970000000000005</v>
      </c>
      <c r="AM590" s="14">
        <f t="shared" si="5"/>
        <v>2443.8279600000001</v>
      </c>
      <c r="AN590" s="9"/>
      <c r="AO590" s="9"/>
      <c r="AP590" s="9"/>
      <c r="AQ590" s="15" t="s">
        <v>49</v>
      </c>
      <c r="AR590" t="s">
        <v>3010</v>
      </c>
      <c r="AS590" s="16"/>
    </row>
    <row r="591" spans="1:45" ht="14.5">
      <c r="A591" s="9" t="s">
        <v>3011</v>
      </c>
      <c r="B591" s="9" t="s">
        <v>3012</v>
      </c>
      <c r="C591" s="9" t="s">
        <v>2983</v>
      </c>
      <c r="D591" s="9" t="s">
        <v>2830</v>
      </c>
      <c r="E591" s="9" t="s">
        <v>49</v>
      </c>
      <c r="F591" s="9" t="s">
        <v>69</v>
      </c>
      <c r="G591" s="9" t="s">
        <v>70</v>
      </c>
      <c r="H591" s="9" t="s">
        <v>2831</v>
      </c>
      <c r="I591" s="9" t="s">
        <v>72</v>
      </c>
      <c r="J591" s="10"/>
      <c r="K591" s="10">
        <v>43262</v>
      </c>
      <c r="L591" s="10">
        <v>43264.359409722223</v>
      </c>
      <c r="M591" s="10">
        <v>43270</v>
      </c>
      <c r="N591" s="9">
        <v>2018</v>
      </c>
      <c r="O591" s="9" t="s">
        <v>2832</v>
      </c>
      <c r="P591" s="9" t="s">
        <v>53</v>
      </c>
      <c r="Q591" s="9" t="s">
        <v>53</v>
      </c>
      <c r="T591" s="9"/>
      <c r="V591" s="9"/>
      <c r="W591" s="11">
        <f>IFERROR(VLOOKUP(B591, PlumX_snapshot!$A:$B, 2, FALSE), " ")</f>
        <v>122</v>
      </c>
      <c r="X591" s="11">
        <f>IFERROR(VLOOKUP(B591, PlumX_snapshot!$A:$C, 3, FALSE), " ")</f>
        <v>6</v>
      </c>
      <c r="Y591" s="12">
        <f>IFERROR(VLOOKUP(B591, PlumX_snapshot!$A:$D, 4, FALSE), " ")</f>
        <v>49</v>
      </c>
      <c r="Z591" s="12">
        <f>IFERROR(VLOOKUP(B591, PlumX_snapshot!$A:$E, 5, FALSE), " ")</f>
        <v>369</v>
      </c>
      <c r="AA591" s="12">
        <f>IFERROR(VLOOKUP(B591, PlumX_snapshot!$A:$F, 6, FALSE), " ")</f>
        <v>0</v>
      </c>
      <c r="AB591" s="13">
        <v>44978</v>
      </c>
      <c r="AH591" s="9"/>
      <c r="AI591" s="9"/>
      <c r="AJ591" s="9"/>
      <c r="AK591" s="11" t="str">
        <f t="shared" si="4"/>
        <v>2018</v>
      </c>
      <c r="AL591" s="11" t="e">
        <f>VLOOKUP(AK591, Exchange_rates!$C:$D, 2, FALSE)</f>
        <v>#N/A</v>
      </c>
      <c r="AM591" s="14" t="str">
        <f t="shared" si="5"/>
        <v/>
      </c>
      <c r="AN591" s="9"/>
      <c r="AO591" s="9"/>
      <c r="AP591" s="9"/>
      <c r="AQ591" s="15" t="s">
        <v>49</v>
      </c>
      <c r="AR591" t="s">
        <v>2984</v>
      </c>
      <c r="AS591" s="16"/>
    </row>
    <row r="592" spans="1:45" ht="14.5">
      <c r="A592" s="9" t="s">
        <v>3013</v>
      </c>
      <c r="B592" s="9" t="s">
        <v>3014</v>
      </c>
      <c r="C592" s="9" t="s">
        <v>3015</v>
      </c>
      <c r="D592" s="9" t="s">
        <v>2830</v>
      </c>
      <c r="E592" s="9" t="s">
        <v>49</v>
      </c>
      <c r="F592" s="9" t="s">
        <v>69</v>
      </c>
      <c r="G592" s="9" t="s">
        <v>70</v>
      </c>
      <c r="H592" s="9" t="s">
        <v>2841</v>
      </c>
      <c r="I592" s="9" t="s">
        <v>72</v>
      </c>
      <c r="J592" s="10">
        <v>43306</v>
      </c>
      <c r="K592" s="10">
        <v>43567</v>
      </c>
      <c r="L592" s="10">
        <v>43579.589953703704</v>
      </c>
      <c r="M592" s="10">
        <v>43596</v>
      </c>
      <c r="N592" s="9">
        <v>2019</v>
      </c>
      <c r="O592" s="9" t="s">
        <v>2832</v>
      </c>
      <c r="P592" s="9" t="s">
        <v>53</v>
      </c>
      <c r="Q592" s="9" t="s">
        <v>53</v>
      </c>
      <c r="T592" s="9"/>
      <c r="V592" s="9"/>
      <c r="W592" s="11">
        <f>IFERROR(VLOOKUP(B592, PlumX_snapshot!$A:$B, 2, FALSE), " ")</f>
        <v>24</v>
      </c>
      <c r="X592" s="11">
        <f>IFERROR(VLOOKUP(B592, PlumX_snapshot!$A:$C, 3, FALSE), " ")</f>
        <v>4</v>
      </c>
      <c r="Y592" s="12">
        <f>IFERROR(VLOOKUP(B592, PlumX_snapshot!$A:$D, 4, FALSE), " ")</f>
        <v>10</v>
      </c>
      <c r="Z592" s="12">
        <f>IFERROR(VLOOKUP(B592, PlumX_snapshot!$A:$E, 5, FALSE), " ")</f>
        <v>0</v>
      </c>
      <c r="AA592" s="12">
        <f>IFERROR(VLOOKUP(B592, PlumX_snapshot!$A:$F, 6, FALSE), " ")</f>
        <v>0</v>
      </c>
      <c r="AB592" s="13">
        <v>44978</v>
      </c>
      <c r="AH592" s="9"/>
      <c r="AI592" s="9"/>
      <c r="AJ592" s="9"/>
      <c r="AK592" s="11" t="str">
        <f t="shared" si="4"/>
        <v>2019</v>
      </c>
      <c r="AL592" s="11" t="e">
        <f>VLOOKUP(AK592, Exchange_rates!$C:$D, 2, FALSE)</f>
        <v>#N/A</v>
      </c>
      <c r="AM592" s="14" t="str">
        <f t="shared" si="5"/>
        <v/>
      </c>
      <c r="AN592" s="9"/>
      <c r="AO592" s="9"/>
      <c r="AP592" s="9"/>
      <c r="AQ592" s="15" t="s">
        <v>49</v>
      </c>
      <c r="AR592" t="s">
        <v>3016</v>
      </c>
      <c r="AS592" s="16"/>
    </row>
    <row r="593" spans="1:45" ht="14.5">
      <c r="A593" s="9" t="s">
        <v>3017</v>
      </c>
      <c r="B593" s="9" t="s">
        <v>3018</v>
      </c>
      <c r="C593" s="9" t="s">
        <v>3019</v>
      </c>
      <c r="D593" s="9" t="s">
        <v>2830</v>
      </c>
      <c r="E593" s="9" t="s">
        <v>49</v>
      </c>
      <c r="F593" s="9" t="s">
        <v>69</v>
      </c>
      <c r="G593" s="9" t="s">
        <v>70</v>
      </c>
      <c r="H593" s="9" t="s">
        <v>2831</v>
      </c>
      <c r="I593" s="9" t="s">
        <v>72</v>
      </c>
      <c r="J593" s="10"/>
      <c r="K593" s="10"/>
      <c r="L593" s="10">
        <v>43294.57136574074</v>
      </c>
      <c r="M593" s="10">
        <v>43304</v>
      </c>
      <c r="N593" s="9">
        <v>2018</v>
      </c>
      <c r="O593" s="9" t="s">
        <v>2832</v>
      </c>
      <c r="P593" s="9" t="s">
        <v>53</v>
      </c>
      <c r="Q593" s="9" t="s">
        <v>53</v>
      </c>
      <c r="T593" s="9"/>
      <c r="V593" s="9"/>
      <c r="W593" s="11">
        <f>IFERROR(VLOOKUP(B593, PlumX_snapshot!$A:$B, 2, FALSE), " ")</f>
        <v>10</v>
      </c>
      <c r="X593" s="11">
        <f>IFERROR(VLOOKUP(B593, PlumX_snapshot!$A:$C, 3, FALSE), " ")</f>
        <v>2</v>
      </c>
      <c r="Y593" s="12">
        <f>IFERROR(VLOOKUP(B593, PlumX_snapshot!$A:$D, 4, FALSE), " ")</f>
        <v>7</v>
      </c>
      <c r="Z593" s="12">
        <f>IFERROR(VLOOKUP(B593, PlumX_snapshot!$A:$E, 5, FALSE), " ")</f>
        <v>0</v>
      </c>
      <c r="AA593" s="12">
        <f>IFERROR(VLOOKUP(B593, PlumX_snapshot!$A:$F, 6, FALSE), " ")</f>
        <v>0</v>
      </c>
      <c r="AB593" s="13">
        <v>44978</v>
      </c>
      <c r="AH593" s="9"/>
      <c r="AI593" s="9"/>
      <c r="AJ593" s="9"/>
      <c r="AK593" s="11" t="str">
        <f t="shared" si="4"/>
        <v>2018</v>
      </c>
      <c r="AL593" s="11" t="e">
        <f>VLOOKUP(AK593, Exchange_rates!$C:$D, 2, FALSE)</f>
        <v>#N/A</v>
      </c>
      <c r="AM593" s="14" t="str">
        <f t="shared" si="5"/>
        <v/>
      </c>
      <c r="AN593" s="9"/>
      <c r="AO593" s="9"/>
      <c r="AP593" s="9"/>
      <c r="AQ593" s="15" t="s">
        <v>49</v>
      </c>
      <c r="AR593" t="s">
        <v>3020</v>
      </c>
      <c r="AS593" s="16"/>
    </row>
    <row r="594" spans="1:45" ht="14.5">
      <c r="A594" s="9" t="s">
        <v>3021</v>
      </c>
      <c r="B594" s="9" t="s">
        <v>3022</v>
      </c>
      <c r="C594" s="9" t="s">
        <v>3023</v>
      </c>
      <c r="D594" s="9" t="s">
        <v>2830</v>
      </c>
      <c r="E594" s="9" t="s">
        <v>49</v>
      </c>
      <c r="F594" s="9" t="s">
        <v>69</v>
      </c>
      <c r="G594" s="9" t="s">
        <v>70</v>
      </c>
      <c r="H594" s="9" t="s">
        <v>2841</v>
      </c>
      <c r="I594" s="9" t="s">
        <v>72</v>
      </c>
      <c r="J594" s="10">
        <v>43405</v>
      </c>
      <c r="K594" s="10"/>
      <c r="L594" s="10">
        <v>43518.430590277778</v>
      </c>
      <c r="M594" s="10">
        <v>43538</v>
      </c>
      <c r="N594" s="9">
        <v>2019</v>
      </c>
      <c r="O594" s="9" t="s">
        <v>2832</v>
      </c>
      <c r="P594" s="9" t="s">
        <v>53</v>
      </c>
      <c r="Q594" s="9" t="s">
        <v>53</v>
      </c>
      <c r="T594" s="9"/>
      <c r="V594" s="9"/>
      <c r="W594" s="11">
        <f>IFERROR(VLOOKUP(B594, PlumX_snapshot!$A:$B, 2, FALSE), " ")</f>
        <v>9</v>
      </c>
      <c r="X594" s="11">
        <f>IFERROR(VLOOKUP(B594, PlumX_snapshot!$A:$C, 3, FALSE), " ")</f>
        <v>3</v>
      </c>
      <c r="Y594" s="12">
        <f>IFERROR(VLOOKUP(B594, PlumX_snapshot!$A:$D, 4, FALSE), " ")</f>
        <v>2</v>
      </c>
      <c r="Z594" s="12">
        <f>IFERROR(VLOOKUP(B594, PlumX_snapshot!$A:$E, 5, FALSE), " ")</f>
        <v>0</v>
      </c>
      <c r="AA594" s="12">
        <f>IFERROR(VLOOKUP(B594, PlumX_snapshot!$A:$F, 6, FALSE), " ")</f>
        <v>0</v>
      </c>
      <c r="AB594" s="13">
        <v>44978</v>
      </c>
      <c r="AH594" s="9"/>
      <c r="AI594" s="9"/>
      <c r="AJ594" s="9"/>
      <c r="AK594" s="11" t="str">
        <f t="shared" si="4"/>
        <v>2019</v>
      </c>
      <c r="AL594" s="11" t="e">
        <f>VLOOKUP(AK594, Exchange_rates!$C:$D, 2, FALSE)</f>
        <v>#N/A</v>
      </c>
      <c r="AM594" s="14" t="str">
        <f t="shared" si="5"/>
        <v/>
      </c>
      <c r="AN594" s="9"/>
      <c r="AO594" s="9"/>
      <c r="AP594" s="9"/>
      <c r="AQ594" s="15" t="s">
        <v>49</v>
      </c>
      <c r="AR594" t="s">
        <v>3024</v>
      </c>
      <c r="AS594" s="16"/>
    </row>
    <row r="595" spans="1:45" ht="14.5">
      <c r="A595" s="9" t="s">
        <v>3025</v>
      </c>
      <c r="B595" s="9" t="s">
        <v>3026</v>
      </c>
      <c r="C595" s="9" t="s">
        <v>3027</v>
      </c>
      <c r="D595" s="9" t="s">
        <v>2830</v>
      </c>
      <c r="E595" s="9" t="s">
        <v>49</v>
      </c>
      <c r="F595" s="9" t="s">
        <v>69</v>
      </c>
      <c r="G595" s="9" t="s">
        <v>70</v>
      </c>
      <c r="H595" s="9" t="s">
        <v>2841</v>
      </c>
      <c r="I595" s="9" t="s">
        <v>72</v>
      </c>
      <c r="J595" s="10">
        <v>42761</v>
      </c>
      <c r="K595" s="10">
        <v>43434</v>
      </c>
      <c r="L595" s="10">
        <v>43476.466944444444</v>
      </c>
      <c r="M595" s="10">
        <v>43488</v>
      </c>
      <c r="N595" s="9">
        <v>2019</v>
      </c>
      <c r="O595" s="9" t="s">
        <v>2832</v>
      </c>
      <c r="P595" s="9" t="s">
        <v>53</v>
      </c>
      <c r="Q595" s="9" t="s">
        <v>53</v>
      </c>
      <c r="T595" s="9"/>
      <c r="V595" s="9"/>
      <c r="W595" s="11">
        <f>IFERROR(VLOOKUP(B595, PlumX_snapshot!$A:$B, 2, FALSE), " ")</f>
        <v>3</v>
      </c>
      <c r="X595" s="11">
        <f>IFERROR(VLOOKUP(B595, PlumX_snapshot!$A:$C, 3, FALSE), " ")</f>
        <v>1</v>
      </c>
      <c r="Y595" s="12">
        <f>IFERROR(VLOOKUP(B595, PlumX_snapshot!$A:$D, 4, FALSE), " ")</f>
        <v>0</v>
      </c>
      <c r="Z595" s="12">
        <f>IFERROR(VLOOKUP(B595, PlumX_snapshot!$A:$E, 5, FALSE), " ")</f>
        <v>0</v>
      </c>
      <c r="AA595" s="12">
        <f>IFERROR(VLOOKUP(B595, PlumX_snapshot!$A:$F, 6, FALSE), " ")</f>
        <v>0</v>
      </c>
      <c r="AB595" s="13">
        <v>44978</v>
      </c>
      <c r="AH595" s="9"/>
      <c r="AI595" s="9"/>
      <c r="AJ595" s="9"/>
      <c r="AK595" s="11" t="str">
        <f t="shared" si="4"/>
        <v>2019</v>
      </c>
      <c r="AL595" s="11" t="e">
        <f>VLOOKUP(AK595, Exchange_rates!$C:$D, 2, FALSE)</f>
        <v>#N/A</v>
      </c>
      <c r="AM595" s="14" t="str">
        <f t="shared" si="5"/>
        <v/>
      </c>
      <c r="AN595" s="9"/>
      <c r="AO595" s="9"/>
      <c r="AP595" s="9"/>
      <c r="AQ595" s="15" t="s">
        <v>49</v>
      </c>
      <c r="AR595" t="s">
        <v>3028</v>
      </c>
      <c r="AS595" s="16"/>
    </row>
    <row r="596" spans="1:45" ht="14.5">
      <c r="A596" s="9" t="s">
        <v>3029</v>
      </c>
      <c r="B596" s="9" t="s">
        <v>3030</v>
      </c>
      <c r="C596" s="9" t="s">
        <v>3015</v>
      </c>
      <c r="D596" s="9" t="s">
        <v>2830</v>
      </c>
      <c r="E596" s="9" t="s">
        <v>49</v>
      </c>
      <c r="F596" s="9" t="s">
        <v>69</v>
      </c>
      <c r="G596" s="9" t="s">
        <v>70</v>
      </c>
      <c r="H596" s="9" t="s">
        <v>2841</v>
      </c>
      <c r="I596" s="9" t="s">
        <v>72</v>
      </c>
      <c r="J596" s="10">
        <v>43272</v>
      </c>
      <c r="K596" s="10">
        <v>43455</v>
      </c>
      <c r="L596" s="10">
        <v>43467.480578703704</v>
      </c>
      <c r="M596" s="10">
        <v>43488</v>
      </c>
      <c r="N596" s="9">
        <v>2019</v>
      </c>
      <c r="O596" s="9" t="s">
        <v>2832</v>
      </c>
      <c r="P596" s="9" t="s">
        <v>83</v>
      </c>
      <c r="Q596" s="9" t="s">
        <v>53</v>
      </c>
      <c r="R596" s="9" t="s">
        <v>3031</v>
      </c>
      <c r="T596" s="9"/>
      <c r="V596" s="9"/>
      <c r="W596" s="11">
        <f>IFERROR(VLOOKUP(B596, PlumX_snapshot!$A:$B, 2, FALSE), " ")</f>
        <v>55</v>
      </c>
      <c r="X596" s="11">
        <f>IFERROR(VLOOKUP(B596, PlumX_snapshot!$A:$C, 3, FALSE), " ")</f>
        <v>47</v>
      </c>
      <c r="Y596" s="12">
        <f>IFERROR(VLOOKUP(B596, PlumX_snapshot!$A:$D, 4, FALSE), " ")</f>
        <v>1</v>
      </c>
      <c r="Z596" s="12">
        <f>IFERROR(VLOOKUP(B596, PlumX_snapshot!$A:$E, 5, FALSE), " ")</f>
        <v>0</v>
      </c>
      <c r="AA596" s="12">
        <f>IFERROR(VLOOKUP(B596, PlumX_snapshot!$A:$F, 6, FALSE), " ")</f>
        <v>0</v>
      </c>
      <c r="AB596" s="13">
        <v>44978</v>
      </c>
      <c r="AH596" s="9"/>
      <c r="AI596" s="9"/>
      <c r="AJ596" s="9"/>
      <c r="AK596" s="11" t="str">
        <f t="shared" si="4"/>
        <v>2019</v>
      </c>
      <c r="AL596" s="11" t="e">
        <f>VLOOKUP(AK596, Exchange_rates!$C:$D, 2, FALSE)</f>
        <v>#N/A</v>
      </c>
      <c r="AM596" s="14" t="str">
        <f t="shared" si="5"/>
        <v/>
      </c>
      <c r="AN596" s="9"/>
      <c r="AO596" s="9"/>
      <c r="AP596" s="9"/>
      <c r="AQ596" s="15" t="s">
        <v>49</v>
      </c>
      <c r="AR596" t="s">
        <v>3016</v>
      </c>
      <c r="AS596" s="16"/>
    </row>
    <row r="597" spans="1:45" ht="14.5">
      <c r="A597" s="9" t="s">
        <v>3032</v>
      </c>
      <c r="B597" s="9" t="s">
        <v>3033</v>
      </c>
      <c r="C597" s="9" t="s">
        <v>3034</v>
      </c>
      <c r="D597" s="9" t="s">
        <v>2830</v>
      </c>
      <c r="E597" s="9" t="s">
        <v>49</v>
      </c>
      <c r="F597" s="9" t="s">
        <v>69</v>
      </c>
      <c r="G597" s="9" t="s">
        <v>70</v>
      </c>
      <c r="H597" s="9" t="s">
        <v>2878</v>
      </c>
      <c r="I597" s="9" t="s">
        <v>72</v>
      </c>
      <c r="J597" s="10"/>
      <c r="K597" s="10"/>
      <c r="L597" s="10">
        <v>44497.652824074074</v>
      </c>
      <c r="M597" s="10">
        <v>44504</v>
      </c>
      <c r="N597" s="9">
        <v>2021</v>
      </c>
      <c r="O597" s="9" t="s">
        <v>2832</v>
      </c>
      <c r="P597" s="9" t="s">
        <v>83</v>
      </c>
      <c r="Q597" s="9" t="s">
        <v>83</v>
      </c>
      <c r="R597" s="9" t="s">
        <v>3035</v>
      </c>
      <c r="T597" s="9"/>
      <c r="V597" s="9"/>
      <c r="W597" s="11">
        <f>IFERROR(VLOOKUP(B597, PlumX_snapshot!$A:$B, 2, FALSE), " ")</f>
        <v>15</v>
      </c>
      <c r="X597" s="11">
        <f>IFERROR(VLOOKUP(B597, PlumX_snapshot!$A:$C, 3, FALSE), " ")</f>
        <v>4</v>
      </c>
      <c r="Y597" s="12">
        <f>IFERROR(VLOOKUP(B597, PlumX_snapshot!$A:$D, 4, FALSE), " ")</f>
        <v>1</v>
      </c>
      <c r="Z597" s="12">
        <f>IFERROR(VLOOKUP(B597, PlumX_snapshot!$A:$E, 5, FALSE), " ")</f>
        <v>0</v>
      </c>
      <c r="AA597" s="12">
        <f>IFERROR(VLOOKUP(B597, PlumX_snapshot!$A:$F, 6, FALSE), " ")</f>
        <v>0</v>
      </c>
      <c r="AB597" s="13">
        <v>44978</v>
      </c>
      <c r="AH597" s="9">
        <v>2380</v>
      </c>
      <c r="AI597" s="9" t="s">
        <v>77</v>
      </c>
      <c r="AJ597" s="9" t="s">
        <v>1823</v>
      </c>
      <c r="AK597" s="11" t="str">
        <f t="shared" si="4"/>
        <v>2021EUR</v>
      </c>
      <c r="AL597" s="11">
        <f>VLOOKUP(AK597, Exchange_rates!$C:$D, 2, FALSE)</f>
        <v>0.8599</v>
      </c>
      <c r="AM597" s="14">
        <f t="shared" si="5"/>
        <v>2455.8743999999997</v>
      </c>
      <c r="AN597" s="9"/>
      <c r="AO597" s="9"/>
      <c r="AP597" s="9"/>
      <c r="AQ597" s="15" t="s">
        <v>49</v>
      </c>
      <c r="AR597" t="s">
        <v>3036</v>
      </c>
      <c r="AS597" s="16"/>
    </row>
    <row r="598" spans="1:45" ht="14.5">
      <c r="A598" s="9" t="s">
        <v>3037</v>
      </c>
      <c r="B598" s="9" t="s">
        <v>3038</v>
      </c>
      <c r="C598" s="9" t="s">
        <v>2829</v>
      </c>
      <c r="D598" s="9" t="s">
        <v>2830</v>
      </c>
      <c r="E598" s="9" t="s">
        <v>49</v>
      </c>
      <c r="F598" s="9" t="s">
        <v>69</v>
      </c>
      <c r="G598" s="9" t="s">
        <v>70</v>
      </c>
      <c r="H598" s="9" t="s">
        <v>2841</v>
      </c>
      <c r="I598" s="9" t="s">
        <v>72</v>
      </c>
      <c r="J598" s="10"/>
      <c r="K598" s="10"/>
      <c r="L598" s="10">
        <v>43489.536631944444</v>
      </c>
      <c r="M598" s="10">
        <v>43498</v>
      </c>
      <c r="N598" s="9">
        <v>2019</v>
      </c>
      <c r="O598" s="9" t="s">
        <v>2832</v>
      </c>
      <c r="P598" s="9" t="s">
        <v>53</v>
      </c>
      <c r="Q598" s="9" t="s">
        <v>53</v>
      </c>
      <c r="T598" s="9"/>
      <c r="V598" s="9"/>
      <c r="W598" s="11">
        <f>IFERROR(VLOOKUP(B598, PlumX_snapshot!$A:$B, 2, FALSE), " ")</f>
        <v>182</v>
      </c>
      <c r="X598" s="11">
        <f>IFERROR(VLOOKUP(B598, PlumX_snapshot!$A:$C, 3, FALSE), " ")</f>
        <v>8</v>
      </c>
      <c r="Y598" s="12">
        <f>IFERROR(VLOOKUP(B598, PlumX_snapshot!$A:$D, 4, FALSE), " ")</f>
        <v>3</v>
      </c>
      <c r="Z598" s="12">
        <f>IFERROR(VLOOKUP(B598, PlumX_snapshot!$A:$E, 5, FALSE), " ")</f>
        <v>963</v>
      </c>
      <c r="AA598" s="12">
        <f>IFERROR(VLOOKUP(B598, PlumX_snapshot!$A:$F, 6, FALSE), " ")</f>
        <v>1</v>
      </c>
      <c r="AB598" s="13">
        <v>44978</v>
      </c>
      <c r="AH598" s="9"/>
      <c r="AI598" s="9"/>
      <c r="AJ598" s="9"/>
      <c r="AK598" s="11" t="str">
        <f t="shared" si="4"/>
        <v>2019</v>
      </c>
      <c r="AL598" s="11" t="e">
        <f>VLOOKUP(AK598, Exchange_rates!$C:$D, 2, FALSE)</f>
        <v>#N/A</v>
      </c>
      <c r="AM598" s="14" t="str">
        <f t="shared" si="5"/>
        <v/>
      </c>
      <c r="AN598" s="9"/>
      <c r="AO598" s="9"/>
      <c r="AP598" s="9"/>
      <c r="AQ598" s="15" t="s">
        <v>49</v>
      </c>
      <c r="AR598" t="s">
        <v>2833</v>
      </c>
      <c r="AS598" s="16"/>
    </row>
    <row r="599" spans="1:45" ht="14.5">
      <c r="A599" s="9" t="s">
        <v>3039</v>
      </c>
      <c r="B599" s="9" t="s">
        <v>3040</v>
      </c>
      <c r="C599" s="9" t="s">
        <v>3041</v>
      </c>
      <c r="D599" s="9" t="s">
        <v>2830</v>
      </c>
      <c r="E599" s="9" t="s">
        <v>49</v>
      </c>
      <c r="F599" s="9" t="s">
        <v>69</v>
      </c>
      <c r="G599" s="9" t="s">
        <v>70</v>
      </c>
      <c r="H599" s="9" t="s">
        <v>2841</v>
      </c>
      <c r="I599" s="9" t="s">
        <v>72</v>
      </c>
      <c r="J599" s="10"/>
      <c r="K599" s="10"/>
      <c r="L599" s="10">
        <v>43483.500208333331</v>
      </c>
      <c r="M599" s="10">
        <v>43510</v>
      </c>
      <c r="N599" s="9">
        <v>2019</v>
      </c>
      <c r="O599" s="9" t="s">
        <v>2832</v>
      </c>
      <c r="P599" s="9" t="s">
        <v>53</v>
      </c>
      <c r="Q599" s="9" t="s">
        <v>53</v>
      </c>
      <c r="T599" s="9"/>
      <c r="V599" s="9"/>
      <c r="W599" s="11">
        <f>IFERROR(VLOOKUP(B599, PlumX_snapshot!$A:$B, 2, FALSE), " ")</f>
        <v>4</v>
      </c>
      <c r="X599" s="11">
        <f>IFERROR(VLOOKUP(B599, PlumX_snapshot!$A:$C, 3, FALSE), " ")</f>
        <v>7</v>
      </c>
      <c r="Y599" s="12">
        <f>IFERROR(VLOOKUP(B599, PlumX_snapshot!$A:$D, 4, FALSE), " ")</f>
        <v>296</v>
      </c>
      <c r="Z599" s="12">
        <f>IFERROR(VLOOKUP(B599, PlumX_snapshot!$A:$E, 5, FALSE), " ")</f>
        <v>0</v>
      </c>
      <c r="AA599" s="12">
        <f>IFERROR(VLOOKUP(B599, PlumX_snapshot!$A:$F, 6, FALSE), " ")</f>
        <v>0</v>
      </c>
      <c r="AB599" s="13">
        <v>44978</v>
      </c>
      <c r="AH599" s="9"/>
      <c r="AI599" s="9"/>
      <c r="AJ599" s="9"/>
      <c r="AK599" s="11" t="str">
        <f t="shared" si="4"/>
        <v>2019</v>
      </c>
      <c r="AL599" s="11" t="e">
        <f>VLOOKUP(AK599, Exchange_rates!$C:$D, 2, FALSE)</f>
        <v>#N/A</v>
      </c>
      <c r="AM599" s="14" t="str">
        <f t="shared" si="5"/>
        <v/>
      </c>
      <c r="AN599" s="9"/>
      <c r="AO599" s="9"/>
      <c r="AP599" s="9"/>
      <c r="AQ599" s="15" t="s">
        <v>49</v>
      </c>
      <c r="AR599" t="s">
        <v>3042</v>
      </c>
      <c r="AS599" s="16"/>
    </row>
    <row r="600" spans="1:45" ht="14.5">
      <c r="A600" s="9" t="s">
        <v>3043</v>
      </c>
      <c r="B600" s="9" t="s">
        <v>3044</v>
      </c>
      <c r="C600" s="9" t="s">
        <v>3045</v>
      </c>
      <c r="D600" s="9" t="s">
        <v>2830</v>
      </c>
      <c r="E600" s="9" t="s">
        <v>49</v>
      </c>
      <c r="F600" s="9" t="s">
        <v>69</v>
      </c>
      <c r="G600" s="9" t="s">
        <v>70</v>
      </c>
      <c r="H600" s="9" t="s">
        <v>2841</v>
      </c>
      <c r="I600" s="9" t="s">
        <v>72</v>
      </c>
      <c r="J600" s="10"/>
      <c r="K600" s="10"/>
      <c r="L600" s="10">
        <v>43689.552557870367</v>
      </c>
      <c r="M600" s="10">
        <v>43694</v>
      </c>
      <c r="N600" s="9">
        <v>2019</v>
      </c>
      <c r="O600" s="9" t="s">
        <v>2832</v>
      </c>
      <c r="P600" s="9" t="s">
        <v>53</v>
      </c>
      <c r="Q600" s="9" t="s">
        <v>53</v>
      </c>
      <c r="T600" s="9"/>
      <c r="V600" s="9"/>
      <c r="W600" s="11">
        <f>IFERROR(VLOOKUP(B600, PlumX_snapshot!$A:$B, 2, FALSE), " ")</f>
        <v>2</v>
      </c>
      <c r="X600" s="11">
        <f>IFERROR(VLOOKUP(B600, PlumX_snapshot!$A:$C, 3, FALSE), " ")</f>
        <v>2</v>
      </c>
      <c r="Y600" s="12">
        <f>IFERROR(VLOOKUP(B600, PlumX_snapshot!$A:$D, 4, FALSE), " ")</f>
        <v>0</v>
      </c>
      <c r="Z600" s="12">
        <f>IFERROR(VLOOKUP(B600, PlumX_snapshot!$A:$E, 5, FALSE), " ")</f>
        <v>0</v>
      </c>
      <c r="AA600" s="12">
        <f>IFERROR(VLOOKUP(B600, PlumX_snapshot!$A:$F, 6, FALSE), " ")</f>
        <v>0</v>
      </c>
      <c r="AB600" s="13">
        <v>44978</v>
      </c>
      <c r="AH600" s="9"/>
      <c r="AI600" s="9"/>
      <c r="AJ600" s="9"/>
      <c r="AK600" s="11" t="str">
        <f t="shared" si="4"/>
        <v>2019</v>
      </c>
      <c r="AL600" s="11" t="e">
        <f>VLOOKUP(AK600, Exchange_rates!$C:$D, 2, FALSE)</f>
        <v>#N/A</v>
      </c>
      <c r="AM600" s="14" t="str">
        <f t="shared" si="5"/>
        <v/>
      </c>
      <c r="AN600" s="9"/>
      <c r="AO600" s="9"/>
      <c r="AP600" s="9"/>
      <c r="AQ600" s="15" t="s">
        <v>49</v>
      </c>
      <c r="AR600" t="s">
        <v>3046</v>
      </c>
      <c r="AS600" s="16"/>
    </row>
    <row r="601" spans="1:45" ht="14.5">
      <c r="A601" s="9" t="s">
        <v>3047</v>
      </c>
      <c r="B601" s="9" t="s">
        <v>3048</v>
      </c>
      <c r="C601" s="9" t="s">
        <v>2983</v>
      </c>
      <c r="D601" s="9" t="s">
        <v>2830</v>
      </c>
      <c r="E601" s="9" t="s">
        <v>49</v>
      </c>
      <c r="F601" s="9" t="s">
        <v>69</v>
      </c>
      <c r="G601" s="9" t="s">
        <v>70</v>
      </c>
      <c r="H601" s="9" t="s">
        <v>2831</v>
      </c>
      <c r="I601" s="9" t="s">
        <v>72</v>
      </c>
      <c r="J601" s="10"/>
      <c r="K601" s="10">
        <v>43272</v>
      </c>
      <c r="L601" s="10">
        <v>43276.361608796295</v>
      </c>
      <c r="M601" s="10">
        <v>43285</v>
      </c>
      <c r="N601" s="9">
        <v>2018</v>
      </c>
      <c r="O601" s="9" t="s">
        <v>2832</v>
      </c>
      <c r="P601" s="9" t="s">
        <v>53</v>
      </c>
      <c r="Q601" s="9" t="s">
        <v>53</v>
      </c>
      <c r="T601" s="9"/>
      <c r="V601" s="9"/>
      <c r="W601" s="11">
        <f>IFERROR(VLOOKUP(B601, PlumX_snapshot!$A:$B, 2, FALSE), " ")</f>
        <v>35</v>
      </c>
      <c r="X601" s="11">
        <f>IFERROR(VLOOKUP(B601, PlumX_snapshot!$A:$C, 3, FALSE), " ")</f>
        <v>5</v>
      </c>
      <c r="Y601" s="12">
        <f>IFERROR(VLOOKUP(B601, PlumX_snapshot!$A:$D, 4, FALSE), " ")</f>
        <v>6</v>
      </c>
      <c r="Z601" s="12">
        <f>IFERROR(VLOOKUP(B601, PlumX_snapshot!$A:$E, 5, FALSE), " ")</f>
        <v>19</v>
      </c>
      <c r="AA601" s="12">
        <f>IFERROR(VLOOKUP(B601, PlumX_snapshot!$A:$F, 6, FALSE), " ")</f>
        <v>0</v>
      </c>
      <c r="AB601" s="13">
        <v>44978</v>
      </c>
      <c r="AH601" s="9"/>
      <c r="AI601" s="9"/>
      <c r="AJ601" s="9"/>
      <c r="AK601" s="11" t="str">
        <f t="shared" si="4"/>
        <v>2018</v>
      </c>
      <c r="AL601" s="11" t="e">
        <f>VLOOKUP(AK601, Exchange_rates!$C:$D, 2, FALSE)</f>
        <v>#N/A</v>
      </c>
      <c r="AM601" s="14" t="str">
        <f t="shared" si="5"/>
        <v/>
      </c>
      <c r="AN601" s="9"/>
      <c r="AO601" s="9"/>
      <c r="AP601" s="9"/>
      <c r="AQ601" s="15" t="s">
        <v>49</v>
      </c>
      <c r="AR601" t="s">
        <v>2984</v>
      </c>
      <c r="AS601" s="16"/>
    </row>
    <row r="602" spans="1:45" ht="14.5">
      <c r="A602" s="9" t="s">
        <v>3049</v>
      </c>
      <c r="B602" s="9" t="s">
        <v>3050</v>
      </c>
      <c r="C602" s="9" t="s">
        <v>2877</v>
      </c>
      <c r="D602" s="9" t="s">
        <v>2830</v>
      </c>
      <c r="E602" s="9" t="s">
        <v>49</v>
      </c>
      <c r="F602" s="9" t="s">
        <v>69</v>
      </c>
      <c r="G602" s="9" t="s">
        <v>70</v>
      </c>
      <c r="H602" s="9" t="s">
        <v>2871</v>
      </c>
      <c r="I602" s="9" t="s">
        <v>72</v>
      </c>
      <c r="J602" s="10">
        <v>43949</v>
      </c>
      <c r="K602" s="10">
        <v>44055</v>
      </c>
      <c r="L602" s="10">
        <v>44057.457754629628</v>
      </c>
      <c r="M602" s="10">
        <v>44062</v>
      </c>
      <c r="N602" s="9">
        <v>2020</v>
      </c>
      <c r="O602" s="9" t="s">
        <v>2832</v>
      </c>
      <c r="P602" s="9" t="s">
        <v>53</v>
      </c>
      <c r="Q602" s="9" t="s">
        <v>53</v>
      </c>
      <c r="T602" s="9"/>
      <c r="V602" s="9"/>
      <c r="W602" s="11">
        <f>IFERROR(VLOOKUP(B602, PlumX_snapshot!$A:$B, 2, FALSE), " ")</f>
        <v>19</v>
      </c>
      <c r="X602" s="11">
        <f>IFERROR(VLOOKUP(B602, PlumX_snapshot!$A:$C, 3, FALSE), " ")</f>
        <v>6</v>
      </c>
      <c r="Y602" s="12">
        <f>IFERROR(VLOOKUP(B602, PlumX_snapshot!$A:$D, 4, FALSE), " ")</f>
        <v>7</v>
      </c>
      <c r="Z602" s="12">
        <f>IFERROR(VLOOKUP(B602, PlumX_snapshot!$A:$E, 5, FALSE), " ")</f>
        <v>0</v>
      </c>
      <c r="AA602" s="12">
        <f>IFERROR(VLOOKUP(B602, PlumX_snapshot!$A:$F, 6, FALSE), " ")</f>
        <v>0</v>
      </c>
      <c r="AB602" s="13">
        <v>44978</v>
      </c>
      <c r="AH602" s="9">
        <v>2289</v>
      </c>
      <c r="AI602" s="9" t="s">
        <v>77</v>
      </c>
      <c r="AJ602" s="9" t="s">
        <v>1823</v>
      </c>
      <c r="AK602" s="11" t="str">
        <f t="shared" si="4"/>
        <v>2020EUR</v>
      </c>
      <c r="AL602" s="11">
        <f>VLOOKUP(AK602, Exchange_rates!$C:$D, 2, FALSE)</f>
        <v>0.88970000000000005</v>
      </c>
      <c r="AM602" s="14">
        <f t="shared" si="5"/>
        <v>2443.8279600000001</v>
      </c>
      <c r="AN602" s="9"/>
      <c r="AO602" s="9"/>
      <c r="AP602" s="9"/>
      <c r="AQ602" s="15" t="s">
        <v>49</v>
      </c>
      <c r="AR602" t="s">
        <v>2879</v>
      </c>
      <c r="AS602" s="16"/>
    </row>
    <row r="603" spans="1:45" ht="14.5">
      <c r="A603" s="9" t="s">
        <v>3051</v>
      </c>
      <c r="B603" s="9" t="s">
        <v>3052</v>
      </c>
      <c r="C603" s="9" t="s">
        <v>3053</v>
      </c>
      <c r="D603" s="9" t="s">
        <v>2830</v>
      </c>
      <c r="E603" s="9" t="s">
        <v>49</v>
      </c>
      <c r="F603" s="9" t="s">
        <v>69</v>
      </c>
      <c r="G603" s="9" t="s">
        <v>70</v>
      </c>
      <c r="H603" s="9" t="s">
        <v>2841</v>
      </c>
      <c r="I603" s="9" t="s">
        <v>72</v>
      </c>
      <c r="J603" s="10">
        <v>43263</v>
      </c>
      <c r="K603" s="10">
        <v>43490</v>
      </c>
      <c r="L603" s="10">
        <v>43496.54042824074</v>
      </c>
      <c r="M603" s="10">
        <v>43504</v>
      </c>
      <c r="N603" s="9">
        <v>2019</v>
      </c>
      <c r="O603" s="9" t="s">
        <v>2832</v>
      </c>
      <c r="P603" s="9" t="s">
        <v>53</v>
      </c>
      <c r="Q603" s="9" t="s">
        <v>53</v>
      </c>
      <c r="R603" s="9" t="s">
        <v>3054</v>
      </c>
      <c r="T603" s="9"/>
      <c r="V603" s="9"/>
      <c r="W603" s="11">
        <f>IFERROR(VLOOKUP(B603, PlumX_snapshot!$A:$B, 2, FALSE), " ")</f>
        <v>225</v>
      </c>
      <c r="X603" s="11">
        <f>IFERROR(VLOOKUP(B603, PlumX_snapshot!$A:$C, 3, FALSE), " ")</f>
        <v>32</v>
      </c>
      <c r="Y603" s="12">
        <f>IFERROR(VLOOKUP(B603, PlumX_snapshot!$A:$D, 4, FALSE), " ")</f>
        <v>0</v>
      </c>
      <c r="Z603" s="12">
        <f>IFERROR(VLOOKUP(B603, PlumX_snapshot!$A:$E, 5, FALSE), " ")</f>
        <v>0</v>
      </c>
      <c r="AA603" s="12">
        <f>IFERROR(VLOOKUP(B603, PlumX_snapshot!$A:$F, 6, FALSE), " ")</f>
        <v>0</v>
      </c>
      <c r="AB603" s="13">
        <v>44978</v>
      </c>
      <c r="AH603" s="9"/>
      <c r="AI603" s="9"/>
      <c r="AJ603" s="9"/>
      <c r="AK603" s="11" t="str">
        <f t="shared" si="4"/>
        <v>2019</v>
      </c>
      <c r="AL603" s="11" t="e">
        <f>VLOOKUP(AK603, Exchange_rates!$C:$D, 2, FALSE)</f>
        <v>#N/A</v>
      </c>
      <c r="AM603" s="14" t="str">
        <f t="shared" si="5"/>
        <v/>
      </c>
      <c r="AN603" s="9"/>
      <c r="AO603" s="9"/>
      <c r="AP603" s="9"/>
      <c r="AQ603" s="15" t="s">
        <v>49</v>
      </c>
      <c r="AR603" t="s">
        <v>3055</v>
      </c>
      <c r="AS603" s="16" t="s">
        <v>3056</v>
      </c>
    </row>
    <row r="604" spans="1:45" ht="14.5">
      <c r="A604" s="9" t="s">
        <v>3057</v>
      </c>
      <c r="B604" s="9" t="s">
        <v>3058</v>
      </c>
      <c r="C604" s="9" t="s">
        <v>3059</v>
      </c>
      <c r="D604" s="9" t="s">
        <v>2830</v>
      </c>
      <c r="E604" s="9" t="s">
        <v>49</v>
      </c>
      <c r="F604" s="9" t="s">
        <v>69</v>
      </c>
      <c r="G604" s="9" t="s">
        <v>70</v>
      </c>
      <c r="H604" s="9" t="s">
        <v>2841</v>
      </c>
      <c r="I604" s="9" t="s">
        <v>72</v>
      </c>
      <c r="J604" s="10"/>
      <c r="K604" s="10"/>
      <c r="L604" s="10">
        <v>43791.644768518519</v>
      </c>
      <c r="M604" s="10">
        <v>43801</v>
      </c>
      <c r="N604" s="9">
        <v>2019</v>
      </c>
      <c r="O604" s="9" t="s">
        <v>2832</v>
      </c>
      <c r="P604" s="9" t="s">
        <v>53</v>
      </c>
      <c r="Q604" s="9" t="s">
        <v>53</v>
      </c>
      <c r="T604" s="9"/>
      <c r="V604" s="9"/>
      <c r="W604" s="11">
        <f>IFERROR(VLOOKUP(B604, PlumX_snapshot!$A:$B, 2, FALSE), " ")</f>
        <v>11</v>
      </c>
      <c r="X604" s="11">
        <f>IFERROR(VLOOKUP(B604, PlumX_snapshot!$A:$C, 3, FALSE), " ")</f>
        <v>2</v>
      </c>
      <c r="Y604" s="12">
        <f>IFERROR(VLOOKUP(B604, PlumX_snapshot!$A:$D, 4, FALSE), " ")</f>
        <v>0</v>
      </c>
      <c r="Z604" s="12">
        <f>IFERROR(VLOOKUP(B604, PlumX_snapshot!$A:$E, 5, FALSE), " ")</f>
        <v>0</v>
      </c>
      <c r="AA604" s="12">
        <f>IFERROR(VLOOKUP(B604, PlumX_snapshot!$A:$F, 6, FALSE), " ")</f>
        <v>0</v>
      </c>
      <c r="AB604" s="13">
        <v>44978</v>
      </c>
      <c r="AH604" s="9"/>
      <c r="AI604" s="9"/>
      <c r="AJ604" s="9"/>
      <c r="AK604" s="11" t="str">
        <f t="shared" si="4"/>
        <v>2019</v>
      </c>
      <c r="AL604" s="11" t="e">
        <f>VLOOKUP(AK604, Exchange_rates!$C:$D, 2, FALSE)</f>
        <v>#N/A</v>
      </c>
      <c r="AM604" s="14" t="str">
        <f t="shared" si="5"/>
        <v/>
      </c>
      <c r="AN604" s="9"/>
      <c r="AO604" s="9"/>
      <c r="AP604" s="9"/>
      <c r="AQ604" s="15" t="s">
        <v>49</v>
      </c>
      <c r="AR604" t="s">
        <v>3060</v>
      </c>
      <c r="AS604" s="16" t="s">
        <v>3061</v>
      </c>
    </row>
    <row r="605" spans="1:45" ht="14.5">
      <c r="A605" s="9" t="s">
        <v>3062</v>
      </c>
      <c r="B605" s="9" t="s">
        <v>3063</v>
      </c>
      <c r="C605" s="9" t="s">
        <v>2864</v>
      </c>
      <c r="D605" s="9" t="s">
        <v>2830</v>
      </c>
      <c r="E605" s="9" t="s">
        <v>49</v>
      </c>
      <c r="F605" s="9" t="s">
        <v>69</v>
      </c>
      <c r="G605" s="9" t="s">
        <v>70</v>
      </c>
      <c r="H605" s="9" t="s">
        <v>2841</v>
      </c>
      <c r="I605" s="9" t="s">
        <v>72</v>
      </c>
      <c r="J605" s="10">
        <v>43427</v>
      </c>
      <c r="K605" s="10">
        <v>43495</v>
      </c>
      <c r="L605" s="10">
        <v>43496.62091435185</v>
      </c>
      <c r="M605" s="10">
        <v>43511</v>
      </c>
      <c r="N605" s="9">
        <v>2019</v>
      </c>
      <c r="O605" s="9" t="s">
        <v>2832</v>
      </c>
      <c r="P605" s="9" t="s">
        <v>53</v>
      </c>
      <c r="Q605" s="9" t="s">
        <v>53</v>
      </c>
      <c r="R605" s="9" t="s">
        <v>3064</v>
      </c>
      <c r="T605" s="9"/>
      <c r="V605" s="9"/>
      <c r="W605" s="11">
        <f>IFERROR(VLOOKUP(B605, PlumX_snapshot!$A:$B, 2, FALSE), " ")</f>
        <v>46</v>
      </c>
      <c r="X605" s="11">
        <f>IFERROR(VLOOKUP(B605, PlumX_snapshot!$A:$C, 3, FALSE), " ")</f>
        <v>22</v>
      </c>
      <c r="Y605" s="12">
        <f>IFERROR(VLOOKUP(B605, PlumX_snapshot!$A:$D, 4, FALSE), " ")</f>
        <v>15</v>
      </c>
      <c r="Z605" s="12">
        <f>IFERROR(VLOOKUP(B605, PlumX_snapshot!$A:$E, 5, FALSE), " ")</f>
        <v>0</v>
      </c>
      <c r="AA605" s="12">
        <f>IFERROR(VLOOKUP(B605, PlumX_snapshot!$A:$F, 6, FALSE), " ")</f>
        <v>1</v>
      </c>
      <c r="AB605" s="13">
        <v>44978</v>
      </c>
      <c r="AH605" s="9"/>
      <c r="AI605" s="9"/>
      <c r="AJ605" s="9"/>
      <c r="AK605" s="11" t="str">
        <f t="shared" si="4"/>
        <v>2019</v>
      </c>
      <c r="AL605" s="11" t="e">
        <f>VLOOKUP(AK605, Exchange_rates!$C:$D, 2, FALSE)</f>
        <v>#N/A</v>
      </c>
      <c r="AM605" s="14" t="str">
        <f t="shared" si="5"/>
        <v/>
      </c>
      <c r="AN605" s="9"/>
      <c r="AO605" s="9"/>
      <c r="AP605" s="9"/>
      <c r="AQ605" s="15" t="s">
        <v>49</v>
      </c>
      <c r="AR605" t="s">
        <v>2865</v>
      </c>
      <c r="AS605" s="16"/>
    </row>
    <row r="606" spans="1:45" ht="14.5">
      <c r="A606" s="9" t="s">
        <v>3065</v>
      </c>
      <c r="B606" s="9" t="s">
        <v>3066</v>
      </c>
      <c r="C606" s="9" t="s">
        <v>2912</v>
      </c>
      <c r="D606" s="9" t="s">
        <v>2830</v>
      </c>
      <c r="E606" s="9" t="s">
        <v>49</v>
      </c>
      <c r="F606" s="9" t="s">
        <v>69</v>
      </c>
      <c r="G606" s="9" t="s">
        <v>70</v>
      </c>
      <c r="H606" s="9" t="s">
        <v>2841</v>
      </c>
      <c r="I606" s="9" t="s">
        <v>72</v>
      </c>
      <c r="J606" s="10"/>
      <c r="K606" s="10"/>
      <c r="L606" s="10">
        <v>43705.59615740741</v>
      </c>
      <c r="M606" s="28">
        <v>43749</v>
      </c>
      <c r="N606" s="9">
        <v>2019</v>
      </c>
      <c r="O606" s="9" t="s">
        <v>2832</v>
      </c>
      <c r="P606" s="9" t="s">
        <v>53</v>
      </c>
      <c r="Q606" s="9" t="s">
        <v>53</v>
      </c>
      <c r="T606" s="9"/>
      <c r="V606" s="9"/>
      <c r="W606" s="11">
        <f>IFERROR(VLOOKUP(B606, PlumX_snapshot!$A:$B, 2, FALSE), " ")</f>
        <v>41</v>
      </c>
      <c r="X606" s="11">
        <f>IFERROR(VLOOKUP(B606, PlumX_snapshot!$A:$C, 3, FALSE), " ")</f>
        <v>13</v>
      </c>
      <c r="Y606" s="12">
        <f>IFERROR(VLOOKUP(B606, PlumX_snapshot!$A:$D, 4, FALSE), " ")</f>
        <v>0</v>
      </c>
      <c r="Z606" s="12">
        <f>IFERROR(VLOOKUP(B606, PlumX_snapshot!$A:$E, 5, FALSE), " ")</f>
        <v>0</v>
      </c>
      <c r="AA606" s="12">
        <f>IFERROR(VLOOKUP(B606, PlumX_snapshot!$A:$F, 6, FALSE), " ")</f>
        <v>0</v>
      </c>
      <c r="AB606" s="13">
        <v>44978</v>
      </c>
      <c r="AH606" s="9"/>
      <c r="AI606" s="9"/>
      <c r="AJ606" s="9"/>
      <c r="AK606" s="11" t="str">
        <f t="shared" si="4"/>
        <v>2019</v>
      </c>
      <c r="AL606" s="11" t="e">
        <f>VLOOKUP(AK606, Exchange_rates!$C:$D, 2, FALSE)</f>
        <v>#N/A</v>
      </c>
      <c r="AM606" s="14" t="str">
        <f t="shared" si="5"/>
        <v/>
      </c>
      <c r="AN606" s="9"/>
      <c r="AO606" s="9"/>
      <c r="AP606" s="9"/>
      <c r="AQ606" s="15" t="s">
        <v>49</v>
      </c>
      <c r="AR606" t="s">
        <v>2914</v>
      </c>
      <c r="AS606" s="16"/>
    </row>
    <row r="607" spans="1:45" ht="14.5">
      <c r="A607" s="9" t="s">
        <v>3067</v>
      </c>
      <c r="B607" s="9" t="s">
        <v>3068</v>
      </c>
      <c r="C607" s="9" t="s">
        <v>3069</v>
      </c>
      <c r="D607" s="9" t="s">
        <v>2830</v>
      </c>
      <c r="E607" s="9" t="s">
        <v>49</v>
      </c>
      <c r="F607" s="9" t="s">
        <v>69</v>
      </c>
      <c r="G607" s="9" t="s">
        <v>70</v>
      </c>
      <c r="H607" s="9" t="s">
        <v>2841</v>
      </c>
      <c r="I607" s="9" t="s">
        <v>72</v>
      </c>
      <c r="J607" s="10">
        <v>43444</v>
      </c>
      <c r="K607" s="10">
        <v>43500</v>
      </c>
      <c r="L607" s="10">
        <v>43504.65934027778</v>
      </c>
      <c r="M607" s="10">
        <v>43515</v>
      </c>
      <c r="N607" s="9">
        <v>2019</v>
      </c>
      <c r="O607" s="9" t="s">
        <v>2832</v>
      </c>
      <c r="P607" s="9" t="s">
        <v>53</v>
      </c>
      <c r="Q607" s="9" t="s">
        <v>53</v>
      </c>
      <c r="T607" s="9"/>
      <c r="V607" s="9"/>
      <c r="W607" s="11">
        <f>IFERROR(VLOOKUP(B607, PlumX_snapshot!$A:$B, 2, FALSE), " ")</f>
        <v>1</v>
      </c>
      <c r="X607" s="11">
        <f>IFERROR(VLOOKUP(B607, PlumX_snapshot!$A:$C, 3, FALSE), " ")</f>
        <v>5</v>
      </c>
      <c r="Y607" s="12">
        <f>IFERROR(VLOOKUP(B607, PlumX_snapshot!$A:$D, 4, FALSE), " ")</f>
        <v>0</v>
      </c>
      <c r="Z607" s="12">
        <f>IFERROR(VLOOKUP(B607, PlumX_snapshot!$A:$E, 5, FALSE), " ")</f>
        <v>0</v>
      </c>
      <c r="AA607" s="12">
        <f>IFERROR(VLOOKUP(B607, PlumX_snapshot!$A:$F, 6, FALSE), " ")</f>
        <v>0</v>
      </c>
      <c r="AB607" s="13">
        <v>44978</v>
      </c>
      <c r="AH607" s="9"/>
      <c r="AI607" s="9"/>
      <c r="AJ607" s="9"/>
      <c r="AK607" s="11" t="str">
        <f t="shared" si="4"/>
        <v>2019</v>
      </c>
      <c r="AL607" s="11" t="e">
        <f>VLOOKUP(AK607, Exchange_rates!$C:$D, 2, FALSE)</f>
        <v>#N/A</v>
      </c>
      <c r="AM607" s="14" t="str">
        <f t="shared" si="5"/>
        <v/>
      </c>
      <c r="AN607" s="9"/>
      <c r="AO607" s="9"/>
      <c r="AP607" s="9"/>
      <c r="AQ607" s="15" t="s">
        <v>49</v>
      </c>
      <c r="AR607" t="s">
        <v>3070</v>
      </c>
      <c r="AS607" s="16"/>
    </row>
    <row r="608" spans="1:45" ht="14.5">
      <c r="A608" s="9" t="s">
        <v>3071</v>
      </c>
      <c r="B608" s="9" t="s">
        <v>3072</v>
      </c>
      <c r="C608" s="9" t="s">
        <v>3073</v>
      </c>
      <c r="D608" s="9" t="s">
        <v>2830</v>
      </c>
      <c r="E608" s="9" t="s">
        <v>49</v>
      </c>
      <c r="F608" s="9" t="s">
        <v>69</v>
      </c>
      <c r="G608" s="9" t="s">
        <v>70</v>
      </c>
      <c r="H608" s="9" t="s">
        <v>2878</v>
      </c>
      <c r="I608" s="9" t="s">
        <v>72</v>
      </c>
      <c r="J608" s="10"/>
      <c r="K608" s="10"/>
      <c r="L608" s="10">
        <v>44496.451342592591</v>
      </c>
      <c r="N608" s="9">
        <v>2021</v>
      </c>
      <c r="O608" s="9" t="s">
        <v>2832</v>
      </c>
      <c r="P608" s="9" t="s">
        <v>53</v>
      </c>
      <c r="Q608" s="9" t="s">
        <v>53</v>
      </c>
      <c r="R608" s="9" t="s">
        <v>307</v>
      </c>
      <c r="T608" s="9"/>
      <c r="V608" s="9"/>
      <c r="W608" s="11">
        <f>IFERROR(VLOOKUP(B608, PlumX_snapshot!$A:$B, 2, FALSE), " ")</f>
        <v>23</v>
      </c>
      <c r="X608" s="11">
        <f>IFERROR(VLOOKUP(B608, PlumX_snapshot!$A:$C, 3, FALSE), " ")</f>
        <v>2</v>
      </c>
      <c r="Y608" s="12">
        <f>IFERROR(VLOOKUP(B608, PlumX_snapshot!$A:$D, 4, FALSE), " ")</f>
        <v>43</v>
      </c>
      <c r="Z608" s="12">
        <f>IFERROR(VLOOKUP(B608, PlumX_snapshot!$A:$E, 5, FALSE), " ")</f>
        <v>0</v>
      </c>
      <c r="AA608" s="12">
        <f>IFERROR(VLOOKUP(B608, PlumX_snapshot!$A:$F, 6, FALSE), " ")</f>
        <v>0</v>
      </c>
      <c r="AB608" s="13">
        <v>44978</v>
      </c>
      <c r="AH608" s="9">
        <v>2380</v>
      </c>
      <c r="AI608" s="9" t="s">
        <v>77</v>
      </c>
      <c r="AJ608" s="9" t="s">
        <v>1823</v>
      </c>
      <c r="AK608" s="11" t="str">
        <f t="shared" si="4"/>
        <v>2021EUR</v>
      </c>
      <c r="AL608" s="11">
        <f>VLOOKUP(AK608, Exchange_rates!$C:$D, 2, FALSE)</f>
        <v>0.8599</v>
      </c>
      <c r="AM608" s="14">
        <f t="shared" si="5"/>
        <v>2455.8743999999997</v>
      </c>
      <c r="AN608" s="9"/>
      <c r="AO608" s="9"/>
      <c r="AP608" s="9"/>
      <c r="AQ608" s="15" t="s">
        <v>49</v>
      </c>
      <c r="AR608" t="s">
        <v>3074</v>
      </c>
      <c r="AS608" s="16"/>
    </row>
    <row r="609" spans="1:45" ht="14.5">
      <c r="A609" s="9" t="s">
        <v>3075</v>
      </c>
      <c r="B609" s="9" t="s">
        <v>3076</v>
      </c>
      <c r="C609" s="9" t="s">
        <v>2846</v>
      </c>
      <c r="D609" s="9" t="s">
        <v>2830</v>
      </c>
      <c r="E609" s="9" t="s">
        <v>49</v>
      </c>
      <c r="F609" s="9" t="s">
        <v>69</v>
      </c>
      <c r="G609" s="9" t="s">
        <v>70</v>
      </c>
      <c r="H609" s="9" t="s">
        <v>2871</v>
      </c>
      <c r="I609" s="9" t="s">
        <v>72</v>
      </c>
      <c r="J609" s="10"/>
      <c r="K609" s="10">
        <v>44075</v>
      </c>
      <c r="L609" s="10">
        <v>44077.628611111111</v>
      </c>
      <c r="M609" s="10">
        <v>44092</v>
      </c>
      <c r="N609" s="9">
        <v>2020</v>
      </c>
      <c r="O609" s="9" t="s">
        <v>2832</v>
      </c>
      <c r="P609" s="9" t="s">
        <v>53</v>
      </c>
      <c r="Q609" s="9" t="s">
        <v>53</v>
      </c>
      <c r="T609" s="9"/>
      <c r="V609" s="9"/>
      <c r="W609" s="11">
        <f>IFERROR(VLOOKUP(B609, PlumX_snapshot!$A:$B, 2, FALSE), " ")</f>
        <v>3</v>
      </c>
      <c r="X609" s="11">
        <f>IFERROR(VLOOKUP(B609, PlumX_snapshot!$A:$C, 3, FALSE), " ")</f>
        <v>2</v>
      </c>
      <c r="Y609" s="12">
        <f>IFERROR(VLOOKUP(B609, PlumX_snapshot!$A:$D, 4, FALSE), " ")</f>
        <v>1</v>
      </c>
      <c r="Z609" s="12">
        <f>IFERROR(VLOOKUP(B609, PlumX_snapshot!$A:$E, 5, FALSE), " ")</f>
        <v>0</v>
      </c>
      <c r="AA609" s="12">
        <f>IFERROR(VLOOKUP(B609, PlumX_snapshot!$A:$F, 6, FALSE), " ")</f>
        <v>0</v>
      </c>
      <c r="AB609" s="13">
        <v>44978</v>
      </c>
      <c r="AH609" s="9">
        <v>2289</v>
      </c>
      <c r="AI609" s="9" t="s">
        <v>77</v>
      </c>
      <c r="AJ609" s="9" t="s">
        <v>1823</v>
      </c>
      <c r="AK609" s="11" t="str">
        <f t="shared" si="4"/>
        <v>2020EUR</v>
      </c>
      <c r="AL609" s="11">
        <f>VLOOKUP(AK609, Exchange_rates!$C:$D, 2, FALSE)</f>
        <v>0.88970000000000005</v>
      </c>
      <c r="AM609" s="14">
        <f t="shared" si="5"/>
        <v>2443.8279600000001</v>
      </c>
      <c r="AN609" s="9"/>
      <c r="AO609" s="9"/>
      <c r="AP609" s="9"/>
      <c r="AQ609" s="15" t="s">
        <v>49</v>
      </c>
      <c r="AR609" t="s">
        <v>2847</v>
      </c>
      <c r="AS609" s="16"/>
    </row>
    <row r="610" spans="1:45" ht="14.5">
      <c r="A610" s="9" t="s">
        <v>3077</v>
      </c>
      <c r="B610" s="9" t="s">
        <v>3078</v>
      </c>
      <c r="C610" s="9" t="s">
        <v>2890</v>
      </c>
      <c r="D610" s="9" t="s">
        <v>2830</v>
      </c>
      <c r="E610" s="9" t="s">
        <v>49</v>
      </c>
      <c r="F610" s="9" t="s">
        <v>69</v>
      </c>
      <c r="G610" s="9" t="s">
        <v>70</v>
      </c>
      <c r="H610" s="9" t="s">
        <v>2878</v>
      </c>
      <c r="I610" s="9" t="s">
        <v>72</v>
      </c>
      <c r="J610" s="10"/>
      <c r="K610" s="10"/>
      <c r="L610" s="10">
        <v>44496.45039351852</v>
      </c>
      <c r="N610" s="9">
        <v>2021</v>
      </c>
      <c r="O610" s="9" t="s">
        <v>2832</v>
      </c>
      <c r="P610" s="9" t="s">
        <v>53</v>
      </c>
      <c r="Q610" s="9" t="s">
        <v>53</v>
      </c>
      <c r="R610" s="9" t="s">
        <v>74</v>
      </c>
      <c r="T610" s="9"/>
      <c r="V610" s="9"/>
      <c r="W610" s="11">
        <f>IFERROR(VLOOKUP(B610, PlumX_snapshot!$A:$B, 2, FALSE), " ")</f>
        <v>2</v>
      </c>
      <c r="X610" s="11">
        <f>IFERROR(VLOOKUP(B610, PlumX_snapshot!$A:$C, 3, FALSE), " ")</f>
        <v>3</v>
      </c>
      <c r="Y610" s="12">
        <f>IFERROR(VLOOKUP(B610, PlumX_snapshot!$A:$D, 4, FALSE), " ")</f>
        <v>5</v>
      </c>
      <c r="Z610" s="12">
        <f>IFERROR(VLOOKUP(B610, PlumX_snapshot!$A:$E, 5, FALSE), " ")</f>
        <v>0</v>
      </c>
      <c r="AA610" s="12">
        <f>IFERROR(VLOOKUP(B610, PlumX_snapshot!$A:$F, 6, FALSE), " ")</f>
        <v>2</v>
      </c>
      <c r="AB610" s="13">
        <v>44978</v>
      </c>
      <c r="AH610" s="9">
        <v>2380</v>
      </c>
      <c r="AI610" s="9" t="s">
        <v>77</v>
      </c>
      <c r="AJ610" s="9" t="s">
        <v>1823</v>
      </c>
      <c r="AK610" s="11" t="str">
        <f t="shared" si="4"/>
        <v>2021EUR</v>
      </c>
      <c r="AL610" s="11">
        <f>VLOOKUP(AK610, Exchange_rates!$C:$D, 2, FALSE)</f>
        <v>0.8599</v>
      </c>
      <c r="AM610" s="14">
        <f t="shared" si="5"/>
        <v>2455.8743999999997</v>
      </c>
      <c r="AN610" s="9"/>
      <c r="AO610" s="9"/>
      <c r="AP610" s="9"/>
      <c r="AQ610" s="15" t="s">
        <v>49</v>
      </c>
      <c r="AR610" t="s">
        <v>2891</v>
      </c>
      <c r="AS610" s="16"/>
    </row>
    <row r="611" spans="1:45" ht="14.5">
      <c r="A611" s="9" t="s">
        <v>3079</v>
      </c>
      <c r="B611" s="9" t="s">
        <v>3080</v>
      </c>
      <c r="C611" s="9" t="s">
        <v>2864</v>
      </c>
      <c r="D611" s="9" t="s">
        <v>2830</v>
      </c>
      <c r="E611" s="9" t="s">
        <v>49</v>
      </c>
      <c r="F611" s="9" t="s">
        <v>69</v>
      </c>
      <c r="G611" s="9" t="s">
        <v>70</v>
      </c>
      <c r="H611" s="9" t="s">
        <v>2841</v>
      </c>
      <c r="I611" s="9" t="s">
        <v>72</v>
      </c>
      <c r="J611" s="10">
        <v>43187</v>
      </c>
      <c r="K611" s="10">
        <v>43535</v>
      </c>
      <c r="L611" s="10">
        <v>43536.544849537036</v>
      </c>
      <c r="M611" s="10">
        <v>43557</v>
      </c>
      <c r="N611" s="9">
        <v>2019</v>
      </c>
      <c r="O611" s="9" t="s">
        <v>2832</v>
      </c>
      <c r="P611" s="9" t="s">
        <v>83</v>
      </c>
      <c r="Q611" s="9" t="s">
        <v>53</v>
      </c>
      <c r="R611" s="9" t="s">
        <v>3081</v>
      </c>
      <c r="T611" s="9"/>
      <c r="V611" s="9"/>
      <c r="W611" s="11">
        <f>IFERROR(VLOOKUP(B611, PlumX_snapshot!$A:$B, 2, FALSE), " ")</f>
        <v>49</v>
      </c>
      <c r="X611" s="11">
        <f>IFERROR(VLOOKUP(B611, PlumX_snapshot!$A:$C, 3, FALSE), " ")</f>
        <v>17</v>
      </c>
      <c r="Y611" s="12">
        <f>IFERROR(VLOOKUP(B611, PlumX_snapshot!$A:$D, 4, FALSE), " ")</f>
        <v>317</v>
      </c>
      <c r="Z611" s="12">
        <f>IFERROR(VLOOKUP(B611, PlumX_snapshot!$A:$E, 5, FALSE), " ")</f>
        <v>0</v>
      </c>
      <c r="AA611" s="12">
        <f>IFERROR(VLOOKUP(B611, PlumX_snapshot!$A:$F, 6, FALSE), " ")</f>
        <v>0</v>
      </c>
      <c r="AB611" s="13">
        <v>44978</v>
      </c>
      <c r="AH611" s="9"/>
      <c r="AI611" s="9"/>
      <c r="AJ611" s="9"/>
      <c r="AK611" s="11" t="str">
        <f t="shared" si="4"/>
        <v>2019</v>
      </c>
      <c r="AL611" s="11" t="e">
        <f>VLOOKUP(AK611, Exchange_rates!$C:$D, 2, FALSE)</f>
        <v>#N/A</v>
      </c>
      <c r="AM611" s="14" t="str">
        <f t="shared" si="5"/>
        <v/>
      </c>
      <c r="AN611" s="9"/>
      <c r="AO611" s="9"/>
      <c r="AP611" s="9"/>
      <c r="AQ611" s="15" t="s">
        <v>49</v>
      </c>
      <c r="AR611" t="s">
        <v>2865</v>
      </c>
      <c r="AS611" s="16"/>
    </row>
    <row r="612" spans="1:45" ht="14.5">
      <c r="A612" s="9" t="s">
        <v>3082</v>
      </c>
      <c r="B612" s="9" t="s">
        <v>3083</v>
      </c>
      <c r="C612" s="9" t="s">
        <v>2890</v>
      </c>
      <c r="D612" s="9" t="s">
        <v>2830</v>
      </c>
      <c r="E612" s="9" t="s">
        <v>49</v>
      </c>
      <c r="F612" s="9" t="s">
        <v>69</v>
      </c>
      <c r="G612" s="9" t="s">
        <v>70</v>
      </c>
      <c r="H612" s="9" t="s">
        <v>2878</v>
      </c>
      <c r="I612" s="9" t="s">
        <v>72</v>
      </c>
      <c r="J612" s="10">
        <v>44049</v>
      </c>
      <c r="K612" s="10">
        <v>44259</v>
      </c>
      <c r="L612" s="10">
        <v>44270.602037037039</v>
      </c>
      <c r="M612" s="10">
        <v>44291</v>
      </c>
      <c r="N612" s="9">
        <v>2021</v>
      </c>
      <c r="O612" s="9" t="s">
        <v>2832</v>
      </c>
      <c r="P612" s="9" t="s">
        <v>53</v>
      </c>
      <c r="Q612" s="9" t="s">
        <v>53</v>
      </c>
      <c r="R612" s="9" t="s">
        <v>3084</v>
      </c>
      <c r="T612" s="9"/>
      <c r="V612" s="9"/>
      <c r="W612" s="11">
        <f>IFERROR(VLOOKUP(B612, PlumX_snapshot!$A:$B, 2, FALSE), " ")</f>
        <v>8</v>
      </c>
      <c r="X612" s="11">
        <f>IFERROR(VLOOKUP(B612, PlumX_snapshot!$A:$C, 3, FALSE), " ")</f>
        <v>70</v>
      </c>
      <c r="Y612" s="12">
        <f>IFERROR(VLOOKUP(B612, PlumX_snapshot!$A:$D, 4, FALSE), " ")</f>
        <v>2</v>
      </c>
      <c r="Z612" s="12">
        <f>IFERROR(VLOOKUP(B612, PlumX_snapshot!$A:$E, 5, FALSE), " ")</f>
        <v>0</v>
      </c>
      <c r="AA612" s="12">
        <f>IFERROR(VLOOKUP(B612, PlumX_snapshot!$A:$F, 6, FALSE), " ")</f>
        <v>0</v>
      </c>
      <c r="AB612" s="13">
        <v>44978</v>
      </c>
      <c r="AH612" s="9">
        <v>2380</v>
      </c>
      <c r="AI612" s="9" t="s">
        <v>77</v>
      </c>
      <c r="AJ612" s="9" t="s">
        <v>1823</v>
      </c>
      <c r="AK612" s="11" t="str">
        <f t="shared" si="4"/>
        <v>2021EUR</v>
      </c>
      <c r="AL612" s="11">
        <f>VLOOKUP(AK612, Exchange_rates!$C:$D, 2, FALSE)</f>
        <v>0.8599</v>
      </c>
      <c r="AM612" s="14">
        <f t="shared" si="5"/>
        <v>2455.8743999999997</v>
      </c>
      <c r="AN612" s="9"/>
      <c r="AO612" s="9"/>
      <c r="AP612" s="9"/>
      <c r="AQ612" s="15" t="s">
        <v>49</v>
      </c>
      <c r="AR612" t="s">
        <v>2891</v>
      </c>
      <c r="AS612" s="16"/>
    </row>
    <row r="613" spans="1:45" ht="14.5">
      <c r="A613" s="9" t="s">
        <v>3085</v>
      </c>
      <c r="B613" s="9" t="s">
        <v>3086</v>
      </c>
      <c r="C613" s="9" t="s">
        <v>3087</v>
      </c>
      <c r="D613" s="9" t="s">
        <v>2830</v>
      </c>
      <c r="E613" s="9" t="s">
        <v>49</v>
      </c>
      <c r="F613" s="9" t="s">
        <v>69</v>
      </c>
      <c r="G613" s="9" t="s">
        <v>70</v>
      </c>
      <c r="H613" s="9" t="s">
        <v>2871</v>
      </c>
      <c r="I613" s="9" t="s">
        <v>72</v>
      </c>
      <c r="J613" s="10">
        <v>43312</v>
      </c>
      <c r="K613" s="10">
        <v>43854</v>
      </c>
      <c r="L613" s="10">
        <v>43854.655925925923</v>
      </c>
      <c r="M613" s="10">
        <v>43861</v>
      </c>
      <c r="N613" s="9">
        <v>2020</v>
      </c>
      <c r="O613" s="9" t="s">
        <v>2832</v>
      </c>
      <c r="P613" s="9" t="s">
        <v>53</v>
      </c>
      <c r="Q613" s="9" t="s">
        <v>53</v>
      </c>
      <c r="T613" s="9"/>
      <c r="V613" s="9"/>
      <c r="W613" s="11">
        <f>IFERROR(VLOOKUP(B613, PlumX_snapshot!$A:$B, 2, FALSE), " ")</f>
        <v>44</v>
      </c>
      <c r="X613" s="11">
        <f>IFERROR(VLOOKUP(B613, PlumX_snapshot!$A:$C, 3, FALSE), " ")</f>
        <v>18</v>
      </c>
      <c r="Y613" s="12">
        <f>IFERROR(VLOOKUP(B613, PlumX_snapshot!$A:$D, 4, FALSE), " ")</f>
        <v>27</v>
      </c>
      <c r="Z613" s="12">
        <f>IFERROR(VLOOKUP(B613, PlumX_snapshot!$A:$E, 5, FALSE), " ")</f>
        <v>0</v>
      </c>
      <c r="AA613" s="12">
        <f>IFERROR(VLOOKUP(B613, PlumX_snapshot!$A:$F, 6, FALSE), " ")</f>
        <v>0</v>
      </c>
      <c r="AB613" s="13">
        <v>44978</v>
      </c>
      <c r="AH613" s="9">
        <v>2289</v>
      </c>
      <c r="AI613" s="9" t="s">
        <v>77</v>
      </c>
      <c r="AJ613" s="9" t="s">
        <v>1823</v>
      </c>
      <c r="AK613" s="11" t="str">
        <f t="shared" si="4"/>
        <v>2020EUR</v>
      </c>
      <c r="AL613" s="11">
        <f>VLOOKUP(AK613, Exchange_rates!$C:$D, 2, FALSE)</f>
        <v>0.88970000000000005</v>
      </c>
      <c r="AM613" s="14">
        <f t="shared" si="5"/>
        <v>2443.8279600000001</v>
      </c>
      <c r="AN613" s="9"/>
      <c r="AO613" s="9"/>
      <c r="AP613" s="9"/>
      <c r="AQ613" s="15" t="s">
        <v>49</v>
      </c>
      <c r="AR613" t="s">
        <v>3088</v>
      </c>
      <c r="AS613" s="16"/>
    </row>
    <row r="614" spans="1:45" ht="14.5">
      <c r="A614" s="9" t="s">
        <v>3089</v>
      </c>
      <c r="B614" s="9" t="s">
        <v>3090</v>
      </c>
      <c r="C614" s="9" t="s">
        <v>3015</v>
      </c>
      <c r="D614" s="9" t="s">
        <v>2830</v>
      </c>
      <c r="E614" s="9" t="s">
        <v>49</v>
      </c>
      <c r="F614" s="9" t="s">
        <v>69</v>
      </c>
      <c r="G614" s="9" t="s">
        <v>70</v>
      </c>
      <c r="H614" s="9" t="s">
        <v>2841</v>
      </c>
      <c r="I614" s="9" t="s">
        <v>72</v>
      </c>
      <c r="J614" s="10">
        <v>43790</v>
      </c>
      <c r="K614" s="10">
        <v>43803</v>
      </c>
      <c r="L614" s="10">
        <v>43811.689120370371</v>
      </c>
      <c r="M614" s="10">
        <v>43836</v>
      </c>
      <c r="N614" s="9">
        <v>2019</v>
      </c>
      <c r="O614" s="9" t="s">
        <v>2832</v>
      </c>
      <c r="P614" s="9" t="s">
        <v>53</v>
      </c>
      <c r="Q614" s="9" t="s">
        <v>53</v>
      </c>
      <c r="T614" s="9"/>
      <c r="V614" s="9"/>
      <c r="W614" s="11">
        <f>IFERROR(VLOOKUP(B614, PlumX_snapshot!$A:$B, 2, FALSE), " ")</f>
        <v>97</v>
      </c>
      <c r="X614" s="11">
        <f>IFERROR(VLOOKUP(B614, PlumX_snapshot!$A:$C, 3, FALSE), " ")</f>
        <v>77</v>
      </c>
      <c r="Y614" s="12">
        <f>IFERROR(VLOOKUP(B614, PlumX_snapshot!$A:$D, 4, FALSE), " ")</f>
        <v>52</v>
      </c>
      <c r="Z614" s="12">
        <f>IFERROR(VLOOKUP(B614, PlumX_snapshot!$A:$E, 5, FALSE), " ")</f>
        <v>0</v>
      </c>
      <c r="AA614" s="12">
        <f>IFERROR(VLOOKUP(B614, PlumX_snapshot!$A:$F, 6, FALSE), " ")</f>
        <v>0</v>
      </c>
      <c r="AB614" s="13">
        <v>44978</v>
      </c>
      <c r="AH614" s="9"/>
      <c r="AI614" s="9"/>
      <c r="AJ614" s="9"/>
      <c r="AK614" s="11" t="str">
        <f t="shared" si="4"/>
        <v>2019</v>
      </c>
      <c r="AL614" s="11" t="e">
        <f>VLOOKUP(AK614, Exchange_rates!$C:$D, 2, FALSE)</f>
        <v>#N/A</v>
      </c>
      <c r="AM614" s="14" t="str">
        <f t="shared" si="5"/>
        <v/>
      </c>
      <c r="AN614" s="9"/>
      <c r="AO614" s="9"/>
      <c r="AP614" s="9"/>
      <c r="AQ614" s="15" t="s">
        <v>49</v>
      </c>
      <c r="AR614" t="s">
        <v>3016</v>
      </c>
      <c r="AS614" s="16"/>
    </row>
    <row r="615" spans="1:45" ht="14.5">
      <c r="A615" s="9" t="s">
        <v>3091</v>
      </c>
      <c r="B615" s="9" t="s">
        <v>3092</v>
      </c>
      <c r="C615" s="9" t="s">
        <v>3093</v>
      </c>
      <c r="D615" s="9" t="s">
        <v>2830</v>
      </c>
      <c r="E615" s="9" t="s">
        <v>49</v>
      </c>
      <c r="F615" s="9" t="s">
        <v>69</v>
      </c>
      <c r="G615" s="9" t="s">
        <v>70</v>
      </c>
      <c r="H615" s="9" t="s">
        <v>2841</v>
      </c>
      <c r="I615" s="9" t="s">
        <v>72</v>
      </c>
      <c r="J615" s="10"/>
      <c r="K615" s="10"/>
      <c r="L615" s="10">
        <v>43592.573310185187</v>
      </c>
      <c r="M615" s="10">
        <v>43620</v>
      </c>
      <c r="N615" s="9">
        <v>2019</v>
      </c>
      <c r="O615" s="9" t="s">
        <v>2832</v>
      </c>
      <c r="P615" s="9" t="s">
        <v>53</v>
      </c>
      <c r="Q615" s="9" t="s">
        <v>53</v>
      </c>
      <c r="T615" s="9"/>
      <c r="V615" s="9"/>
      <c r="W615" s="11">
        <f>IFERROR(VLOOKUP(B615, PlumX_snapshot!$A:$B, 2, FALSE), " ")</f>
        <v>163</v>
      </c>
      <c r="X615" s="11">
        <f>IFERROR(VLOOKUP(B615, PlumX_snapshot!$A:$C, 3, FALSE), " ")</f>
        <v>37</v>
      </c>
      <c r="Y615" s="12">
        <f>IFERROR(VLOOKUP(B615, PlumX_snapshot!$A:$D, 4, FALSE), " ")</f>
        <v>178</v>
      </c>
      <c r="Z615" s="12">
        <f>IFERROR(VLOOKUP(B615, PlumX_snapshot!$A:$E, 5, FALSE), " ")</f>
        <v>0</v>
      </c>
      <c r="AA615" s="12">
        <f>IFERROR(VLOOKUP(B615, PlumX_snapshot!$A:$F, 6, FALSE), " ")</f>
        <v>14</v>
      </c>
      <c r="AB615" s="13">
        <v>44978</v>
      </c>
      <c r="AH615" s="9"/>
      <c r="AI615" s="9"/>
      <c r="AJ615" s="9"/>
      <c r="AK615" s="11" t="str">
        <f t="shared" si="4"/>
        <v>2019</v>
      </c>
      <c r="AL615" s="11" t="e">
        <f>VLOOKUP(AK615, Exchange_rates!$C:$D, 2, FALSE)</f>
        <v>#N/A</v>
      </c>
      <c r="AM615" s="14" t="str">
        <f t="shared" si="5"/>
        <v/>
      </c>
      <c r="AN615" s="9"/>
      <c r="AO615" s="9"/>
      <c r="AP615" s="9"/>
      <c r="AQ615" s="15" t="s">
        <v>49</v>
      </c>
      <c r="AR615" t="s">
        <v>3094</v>
      </c>
      <c r="AS615" s="16"/>
    </row>
    <row r="616" spans="1:45" ht="14.5">
      <c r="A616" s="9" t="s">
        <v>3095</v>
      </c>
      <c r="B616" s="9" t="s">
        <v>3096</v>
      </c>
      <c r="C616" s="9" t="s">
        <v>2870</v>
      </c>
      <c r="D616" s="9" t="s">
        <v>2830</v>
      </c>
      <c r="E616" s="9" t="s">
        <v>49</v>
      </c>
      <c r="F616" s="9" t="s">
        <v>69</v>
      </c>
      <c r="G616" s="9" t="s">
        <v>70</v>
      </c>
      <c r="H616" s="9" t="s">
        <v>2841</v>
      </c>
      <c r="I616" s="9" t="s">
        <v>72</v>
      </c>
      <c r="J616" s="10"/>
      <c r="K616" s="10"/>
      <c r="L616" s="10">
        <v>43812.425532407404</v>
      </c>
      <c r="M616" s="28">
        <v>43826</v>
      </c>
      <c r="N616" s="9">
        <v>2019</v>
      </c>
      <c r="O616" s="9" t="s">
        <v>2832</v>
      </c>
      <c r="P616" s="9" t="s">
        <v>53</v>
      </c>
      <c r="Q616" s="9" t="s">
        <v>53</v>
      </c>
      <c r="T616" s="9"/>
      <c r="V616" s="9"/>
      <c r="W616" s="11">
        <f>IFERROR(VLOOKUP(B616, PlumX_snapshot!$A:$B, 2, FALSE), " ")</f>
        <v>446</v>
      </c>
      <c r="X616" s="11">
        <f>IFERROR(VLOOKUP(B616, PlumX_snapshot!$A:$C, 3, FALSE), " ")</f>
        <v>24</v>
      </c>
      <c r="Y616" s="12">
        <f>IFERROR(VLOOKUP(B616, PlumX_snapshot!$A:$D, 4, FALSE), " ")</f>
        <v>381</v>
      </c>
      <c r="Z616" s="12">
        <f>IFERROR(VLOOKUP(B616, PlumX_snapshot!$A:$E, 5, FALSE), " ")</f>
        <v>0</v>
      </c>
      <c r="AA616" s="12">
        <f>IFERROR(VLOOKUP(B616, PlumX_snapshot!$A:$F, 6, FALSE), " ")</f>
        <v>1</v>
      </c>
      <c r="AB616" s="13">
        <v>44978</v>
      </c>
      <c r="AH616" s="9"/>
      <c r="AI616" s="9"/>
      <c r="AJ616" s="9"/>
      <c r="AK616" s="11" t="str">
        <f t="shared" si="4"/>
        <v>2019</v>
      </c>
      <c r="AL616" s="11" t="e">
        <f>VLOOKUP(AK616, Exchange_rates!$C:$D, 2, FALSE)</f>
        <v>#N/A</v>
      </c>
      <c r="AM616" s="14" t="str">
        <f t="shared" si="5"/>
        <v/>
      </c>
      <c r="AN616" s="9"/>
      <c r="AO616" s="9"/>
      <c r="AP616" s="9"/>
      <c r="AQ616" s="15" t="s">
        <v>49</v>
      </c>
      <c r="AR616" t="s">
        <v>2872</v>
      </c>
      <c r="AS616" s="16"/>
    </row>
    <row r="617" spans="1:45" ht="14.5">
      <c r="A617" s="9" t="s">
        <v>3097</v>
      </c>
      <c r="B617" s="9" t="s">
        <v>3098</v>
      </c>
      <c r="C617" s="9" t="s">
        <v>3099</v>
      </c>
      <c r="D617" s="9" t="s">
        <v>2830</v>
      </c>
      <c r="E617" s="9" t="s">
        <v>49</v>
      </c>
      <c r="F617" s="9" t="s">
        <v>69</v>
      </c>
      <c r="G617" s="9" t="s">
        <v>70</v>
      </c>
      <c r="H617" s="9" t="s">
        <v>2899</v>
      </c>
      <c r="I617" s="9" t="s">
        <v>72</v>
      </c>
      <c r="J617" s="10">
        <v>42706</v>
      </c>
      <c r="K617" s="10">
        <v>42795</v>
      </c>
      <c r="L617" s="10">
        <v>42800.450474537036</v>
      </c>
      <c r="M617" s="10">
        <v>42809</v>
      </c>
      <c r="N617" s="9">
        <v>2017</v>
      </c>
      <c r="O617" s="9" t="s">
        <v>2832</v>
      </c>
      <c r="P617" s="9" t="s">
        <v>53</v>
      </c>
      <c r="Q617" s="9" t="s">
        <v>53</v>
      </c>
      <c r="T617" s="9"/>
      <c r="V617" s="9"/>
      <c r="W617" s="11">
        <f>IFERROR(VLOOKUP(B617, PlumX_snapshot!$A:$B, 2, FALSE), " ")</f>
        <v>34</v>
      </c>
      <c r="X617" s="11">
        <f>IFERROR(VLOOKUP(B617, PlumX_snapshot!$A:$C, 3, FALSE), " ")</f>
        <v>24</v>
      </c>
      <c r="Y617" s="12">
        <f>IFERROR(VLOOKUP(B617, PlumX_snapshot!$A:$D, 4, FALSE), " ")</f>
        <v>0</v>
      </c>
      <c r="Z617" s="12">
        <f>IFERROR(VLOOKUP(B617, PlumX_snapshot!$A:$E, 5, FALSE), " ")</f>
        <v>17</v>
      </c>
      <c r="AA617" s="12">
        <f>IFERROR(VLOOKUP(B617, PlumX_snapshot!$A:$F, 6, FALSE), " ")</f>
        <v>0</v>
      </c>
      <c r="AB617" s="13">
        <v>44978</v>
      </c>
      <c r="AH617" s="9"/>
      <c r="AI617" s="9"/>
      <c r="AJ617" s="9"/>
      <c r="AK617" s="11" t="str">
        <f t="shared" si="4"/>
        <v>2017</v>
      </c>
      <c r="AL617" s="11" t="e">
        <f>VLOOKUP(AK617, Exchange_rates!$C:$D, 2, FALSE)</f>
        <v>#N/A</v>
      </c>
      <c r="AM617" s="14" t="str">
        <f t="shared" si="5"/>
        <v/>
      </c>
      <c r="AN617" s="9"/>
      <c r="AO617" s="9"/>
      <c r="AP617" s="9"/>
      <c r="AQ617" s="15" t="s">
        <v>49</v>
      </c>
      <c r="AR617" t="s">
        <v>3100</v>
      </c>
      <c r="AS617" s="16"/>
    </row>
    <row r="618" spans="1:45" ht="14.5">
      <c r="A618" s="9" t="s">
        <v>3101</v>
      </c>
      <c r="B618" s="9" t="s">
        <v>3102</v>
      </c>
      <c r="C618" s="9" t="s">
        <v>2846</v>
      </c>
      <c r="D618" s="9" t="s">
        <v>2830</v>
      </c>
      <c r="E618" s="9" t="s">
        <v>49</v>
      </c>
      <c r="F618" s="9" t="s">
        <v>69</v>
      </c>
      <c r="G618" s="9" t="s">
        <v>70</v>
      </c>
      <c r="H618" s="9" t="s">
        <v>2841</v>
      </c>
      <c r="I618" s="9" t="s">
        <v>72</v>
      </c>
      <c r="J618" s="10"/>
      <c r="K618" s="10"/>
      <c r="L618" s="10">
        <v>43566.544340277775</v>
      </c>
      <c r="M618" s="10">
        <v>43579</v>
      </c>
      <c r="N618" s="9">
        <v>2019</v>
      </c>
      <c r="O618" s="9" t="s">
        <v>2832</v>
      </c>
      <c r="P618" s="9" t="s">
        <v>53</v>
      </c>
      <c r="Q618" s="9" t="s">
        <v>53</v>
      </c>
      <c r="T618" s="9"/>
      <c r="V618" s="9"/>
      <c r="W618" s="11">
        <f>IFERROR(VLOOKUP(B618, PlumX_snapshot!$A:$B, 2, FALSE), " ")</f>
        <v>12</v>
      </c>
      <c r="X618" s="11">
        <f>IFERROR(VLOOKUP(B618, PlumX_snapshot!$A:$C, 3, FALSE), " ")</f>
        <v>7</v>
      </c>
      <c r="Y618" s="12">
        <f>IFERROR(VLOOKUP(B618, PlumX_snapshot!$A:$D, 4, FALSE), " ")</f>
        <v>1</v>
      </c>
      <c r="Z618" s="12">
        <f>IFERROR(VLOOKUP(B618, PlumX_snapshot!$A:$E, 5, FALSE), " ")</f>
        <v>0</v>
      </c>
      <c r="AA618" s="12">
        <f>IFERROR(VLOOKUP(B618, PlumX_snapshot!$A:$F, 6, FALSE), " ")</f>
        <v>0</v>
      </c>
      <c r="AB618" s="13">
        <v>44978</v>
      </c>
      <c r="AH618" s="9"/>
      <c r="AI618" s="9"/>
      <c r="AJ618" s="9"/>
      <c r="AK618" s="11" t="str">
        <f t="shared" si="4"/>
        <v>2019</v>
      </c>
      <c r="AL618" s="11" t="e">
        <f>VLOOKUP(AK618, Exchange_rates!$C:$D, 2, FALSE)</f>
        <v>#N/A</v>
      </c>
      <c r="AM618" s="14" t="str">
        <f t="shared" si="5"/>
        <v/>
      </c>
      <c r="AN618" s="9"/>
      <c r="AO618" s="9"/>
      <c r="AP618" s="9"/>
      <c r="AQ618" s="15" t="s">
        <v>49</v>
      </c>
      <c r="AR618" t="s">
        <v>2847</v>
      </c>
      <c r="AS618" s="16"/>
    </row>
    <row r="619" spans="1:45" ht="14.5">
      <c r="A619" s="9" t="s">
        <v>3103</v>
      </c>
      <c r="B619" s="9" t="s">
        <v>3104</v>
      </c>
      <c r="C619" s="9" t="s">
        <v>3105</v>
      </c>
      <c r="D619" s="9" t="s">
        <v>2830</v>
      </c>
      <c r="E619" s="9" t="s">
        <v>49</v>
      </c>
      <c r="F619" s="9" t="s">
        <v>69</v>
      </c>
      <c r="G619" s="9" t="s">
        <v>70</v>
      </c>
      <c r="H619" s="9" t="s">
        <v>2841</v>
      </c>
      <c r="I619" s="9" t="s">
        <v>72</v>
      </c>
      <c r="J619" s="10"/>
      <c r="K619" s="10"/>
      <c r="L619" s="10">
        <v>43759.44326388889</v>
      </c>
      <c r="M619" s="10">
        <v>43803</v>
      </c>
      <c r="N619" s="9">
        <v>2019</v>
      </c>
      <c r="O619" s="9" t="s">
        <v>2832</v>
      </c>
      <c r="P619" s="9" t="s">
        <v>53</v>
      </c>
      <c r="Q619" s="9" t="s">
        <v>53</v>
      </c>
      <c r="T619" s="9"/>
      <c r="V619" s="9"/>
      <c r="W619" s="11">
        <f>IFERROR(VLOOKUP(B619, PlumX_snapshot!$A:$B, 2, FALSE), " ")</f>
        <v>89</v>
      </c>
      <c r="X619" s="11">
        <f>IFERROR(VLOOKUP(B619, PlumX_snapshot!$A:$C, 3, FALSE), " ")</f>
        <v>20</v>
      </c>
      <c r="Y619" s="12">
        <f>IFERROR(VLOOKUP(B619, PlumX_snapshot!$A:$D, 4, FALSE), " ")</f>
        <v>3</v>
      </c>
      <c r="Z619" s="12">
        <f>IFERROR(VLOOKUP(B619, PlumX_snapshot!$A:$E, 5, FALSE), " ")</f>
        <v>0</v>
      </c>
      <c r="AA619" s="12">
        <f>IFERROR(VLOOKUP(B619, PlumX_snapshot!$A:$F, 6, FALSE), " ")</f>
        <v>0</v>
      </c>
      <c r="AB619" s="13">
        <v>44978</v>
      </c>
      <c r="AH619" s="9"/>
      <c r="AI619" s="9"/>
      <c r="AJ619" s="9"/>
      <c r="AK619" s="11" t="str">
        <f t="shared" si="4"/>
        <v>2019</v>
      </c>
      <c r="AL619" s="11" t="e">
        <f>VLOOKUP(AK619, Exchange_rates!$C:$D, 2, FALSE)</f>
        <v>#N/A</v>
      </c>
      <c r="AM619" s="14" t="str">
        <f t="shared" si="5"/>
        <v/>
      </c>
      <c r="AN619" s="9"/>
      <c r="AO619" s="9"/>
      <c r="AP619" s="9"/>
      <c r="AQ619" s="15" t="s">
        <v>49</v>
      </c>
      <c r="AR619" t="s">
        <v>3106</v>
      </c>
      <c r="AS619" s="16"/>
    </row>
    <row r="620" spans="1:45" ht="14.5">
      <c r="A620" s="9" t="s">
        <v>3107</v>
      </c>
      <c r="B620" s="9" t="s">
        <v>3108</v>
      </c>
      <c r="C620" s="9" t="s">
        <v>2987</v>
      </c>
      <c r="D620" s="9" t="s">
        <v>2830</v>
      </c>
      <c r="E620" s="9" t="s">
        <v>49</v>
      </c>
      <c r="F620" s="9" t="s">
        <v>69</v>
      </c>
      <c r="G620" s="9" t="s">
        <v>70</v>
      </c>
      <c r="H620" s="9" t="s">
        <v>2841</v>
      </c>
      <c r="I620" s="9" t="s">
        <v>72</v>
      </c>
      <c r="J620" s="10">
        <v>43595</v>
      </c>
      <c r="K620" s="10">
        <v>43657</v>
      </c>
      <c r="L620" s="10">
        <v>43664.633599537039</v>
      </c>
      <c r="M620" s="10">
        <v>43669</v>
      </c>
      <c r="N620" s="9">
        <v>2019</v>
      </c>
      <c r="O620" s="9" t="s">
        <v>2832</v>
      </c>
      <c r="P620" s="9" t="s">
        <v>53</v>
      </c>
      <c r="Q620" s="9" t="s">
        <v>53</v>
      </c>
      <c r="T620" s="9"/>
      <c r="V620" s="9"/>
      <c r="W620" s="11">
        <f>IFERROR(VLOOKUP(B620, PlumX_snapshot!$A:$B, 2, FALSE), " ")</f>
        <v>46</v>
      </c>
      <c r="X620" s="11">
        <f>IFERROR(VLOOKUP(B620, PlumX_snapshot!$A:$C, 3, FALSE), " ")</f>
        <v>50</v>
      </c>
      <c r="Y620" s="12">
        <f>IFERROR(VLOOKUP(B620, PlumX_snapshot!$A:$D, 4, FALSE), " ")</f>
        <v>19</v>
      </c>
      <c r="Z620" s="12">
        <f>IFERROR(VLOOKUP(B620, PlumX_snapshot!$A:$E, 5, FALSE), " ")</f>
        <v>10</v>
      </c>
      <c r="AA620" s="12">
        <f>IFERROR(VLOOKUP(B620, PlumX_snapshot!$A:$F, 6, FALSE), " ")</f>
        <v>0</v>
      </c>
      <c r="AB620" s="13">
        <v>44978</v>
      </c>
      <c r="AH620" s="9"/>
      <c r="AI620" s="9"/>
      <c r="AJ620" s="9"/>
      <c r="AK620" s="11" t="str">
        <f t="shared" si="4"/>
        <v>2019</v>
      </c>
      <c r="AL620" s="11" t="e">
        <f>VLOOKUP(AK620, Exchange_rates!$C:$D, 2, FALSE)</f>
        <v>#N/A</v>
      </c>
      <c r="AM620" s="14" t="str">
        <f t="shared" si="5"/>
        <v/>
      </c>
      <c r="AN620" s="9"/>
      <c r="AO620" s="9"/>
      <c r="AP620" s="9"/>
      <c r="AQ620" s="15" t="s">
        <v>49</v>
      </c>
      <c r="AR620" t="s">
        <v>2989</v>
      </c>
      <c r="AS620" s="16"/>
    </row>
    <row r="621" spans="1:45" ht="14.5">
      <c r="A621" s="9" t="s">
        <v>3109</v>
      </c>
      <c r="B621" s="9" t="s">
        <v>3110</v>
      </c>
      <c r="C621" s="9" t="s">
        <v>3111</v>
      </c>
      <c r="D621" s="9" t="s">
        <v>2830</v>
      </c>
      <c r="E621" s="9" t="s">
        <v>49</v>
      </c>
      <c r="F621" s="9" t="s">
        <v>69</v>
      </c>
      <c r="G621" s="9" t="s">
        <v>70</v>
      </c>
      <c r="H621" s="9" t="s">
        <v>2831</v>
      </c>
      <c r="I621" s="9" t="s">
        <v>72</v>
      </c>
      <c r="J621" s="10"/>
      <c r="K621" s="10">
        <v>43110</v>
      </c>
      <c r="L621" s="10">
        <v>43145.68854166667</v>
      </c>
      <c r="M621" s="10">
        <v>43150</v>
      </c>
      <c r="N621" s="9">
        <v>2018</v>
      </c>
      <c r="O621" s="9" t="s">
        <v>2832</v>
      </c>
      <c r="P621" s="9" t="s">
        <v>53</v>
      </c>
      <c r="Q621" s="9" t="s">
        <v>53</v>
      </c>
      <c r="T621" s="9"/>
      <c r="V621" s="9"/>
      <c r="W621" s="11">
        <f>IFERROR(VLOOKUP(B621, PlumX_snapshot!$A:$B, 2, FALSE), " ")</f>
        <v>74</v>
      </c>
      <c r="X621" s="11">
        <f>IFERROR(VLOOKUP(B621, PlumX_snapshot!$A:$C, 3, FALSE), " ")</f>
        <v>13</v>
      </c>
      <c r="Y621" s="12">
        <f>IFERROR(VLOOKUP(B621, PlumX_snapshot!$A:$D, 4, FALSE), " ")</f>
        <v>51</v>
      </c>
      <c r="Z621" s="12">
        <f>IFERROR(VLOOKUP(B621, PlumX_snapshot!$A:$E, 5, FALSE), " ")</f>
        <v>635</v>
      </c>
      <c r="AA621" s="12">
        <f>IFERROR(VLOOKUP(B621, PlumX_snapshot!$A:$F, 6, FALSE), " ")</f>
        <v>0</v>
      </c>
      <c r="AB621" s="13">
        <v>44978</v>
      </c>
      <c r="AH621" s="9"/>
      <c r="AI621" s="9"/>
      <c r="AJ621" s="9"/>
      <c r="AK621" s="11" t="str">
        <f t="shared" si="4"/>
        <v>2018</v>
      </c>
      <c r="AL621" s="11" t="e">
        <f>VLOOKUP(AK621, Exchange_rates!$C:$D, 2, FALSE)</f>
        <v>#N/A</v>
      </c>
      <c r="AM621" s="14" t="str">
        <f t="shared" si="5"/>
        <v/>
      </c>
      <c r="AN621" s="9"/>
      <c r="AO621" s="9"/>
      <c r="AP621" s="9"/>
      <c r="AQ621" s="15" t="s">
        <v>49</v>
      </c>
      <c r="AR621" t="s">
        <v>3112</v>
      </c>
      <c r="AS621" s="16"/>
    </row>
    <row r="622" spans="1:45" ht="14.5">
      <c r="A622" s="9" t="s">
        <v>3113</v>
      </c>
      <c r="B622" s="9" t="s">
        <v>3114</v>
      </c>
      <c r="C622" s="9" t="s">
        <v>3115</v>
      </c>
      <c r="D622" s="9" t="s">
        <v>2830</v>
      </c>
      <c r="E622" s="9" t="s">
        <v>49</v>
      </c>
      <c r="F622" s="9" t="s">
        <v>69</v>
      </c>
      <c r="G622" s="9" t="s">
        <v>70</v>
      </c>
      <c r="H622" s="9" t="s">
        <v>2831</v>
      </c>
      <c r="I622" s="9" t="s">
        <v>72</v>
      </c>
      <c r="J622" s="10"/>
      <c r="K622" s="10"/>
      <c r="L622" s="10">
        <v>43230.554490740738</v>
      </c>
      <c r="M622" s="10">
        <v>43242</v>
      </c>
      <c r="N622" s="9">
        <v>2018</v>
      </c>
      <c r="O622" s="9" t="s">
        <v>2832</v>
      </c>
      <c r="P622" s="9" t="s">
        <v>53</v>
      </c>
      <c r="Q622" s="9" t="s">
        <v>53</v>
      </c>
      <c r="T622" s="9"/>
      <c r="V622" s="9"/>
      <c r="W622" s="11">
        <f>IFERROR(VLOOKUP(B622, PlumX_snapshot!$A:$B, 2, FALSE), " ")</f>
        <v>97</v>
      </c>
      <c r="X622" s="11">
        <f>IFERROR(VLOOKUP(B622, PlumX_snapshot!$A:$C, 3, FALSE), " ")</f>
        <v>37</v>
      </c>
      <c r="Y622" s="12">
        <f>IFERROR(VLOOKUP(B622, PlumX_snapshot!$A:$D, 4, FALSE), " ")</f>
        <v>97</v>
      </c>
      <c r="Z622" s="12">
        <f>IFERROR(VLOOKUP(B622, PlumX_snapshot!$A:$E, 5, FALSE), " ")</f>
        <v>380</v>
      </c>
      <c r="AA622" s="12">
        <f>IFERROR(VLOOKUP(B622, PlumX_snapshot!$A:$F, 6, FALSE), " ")</f>
        <v>1</v>
      </c>
      <c r="AB622" s="13">
        <v>44978</v>
      </c>
      <c r="AH622" s="9"/>
      <c r="AI622" s="9"/>
      <c r="AJ622" s="9"/>
      <c r="AK622" s="11" t="str">
        <f t="shared" si="4"/>
        <v>2018</v>
      </c>
      <c r="AL622" s="11" t="e">
        <f>VLOOKUP(AK622, Exchange_rates!$C:$D, 2, FALSE)</f>
        <v>#N/A</v>
      </c>
      <c r="AM622" s="14" t="str">
        <f t="shared" si="5"/>
        <v/>
      </c>
      <c r="AN622" s="9"/>
      <c r="AO622" s="9"/>
      <c r="AP622" s="9"/>
      <c r="AQ622" s="15" t="s">
        <v>49</v>
      </c>
      <c r="AR622" t="s">
        <v>3116</v>
      </c>
      <c r="AS622" s="16"/>
    </row>
    <row r="623" spans="1:45" ht="14.5">
      <c r="A623" s="9" t="s">
        <v>3117</v>
      </c>
      <c r="B623" s="9" t="s">
        <v>3118</v>
      </c>
      <c r="C623" s="9" t="s">
        <v>2998</v>
      </c>
      <c r="D623" s="9" t="s">
        <v>2830</v>
      </c>
      <c r="E623" s="9" t="s">
        <v>49</v>
      </c>
      <c r="F623" s="9" t="s">
        <v>69</v>
      </c>
      <c r="G623" s="9" t="s">
        <v>70</v>
      </c>
      <c r="H623" s="9" t="s">
        <v>2841</v>
      </c>
      <c r="I623" s="9" t="s">
        <v>72</v>
      </c>
      <c r="J623" s="10">
        <v>43614</v>
      </c>
      <c r="K623" s="10">
        <v>43614</v>
      </c>
      <c r="L623" s="10">
        <v>43623.369259259256</v>
      </c>
      <c r="M623" s="10">
        <v>43633</v>
      </c>
      <c r="N623" s="9">
        <v>2019</v>
      </c>
      <c r="O623" s="9" t="s">
        <v>2832</v>
      </c>
      <c r="P623" s="9" t="s">
        <v>53</v>
      </c>
      <c r="Q623" s="9" t="s">
        <v>53</v>
      </c>
      <c r="T623" s="9"/>
      <c r="V623" s="9"/>
      <c r="W623" s="11">
        <f>IFERROR(VLOOKUP(B623, PlumX_snapshot!$A:$B, 2, FALSE), " ")</f>
        <v>2</v>
      </c>
      <c r="X623" s="11">
        <f>IFERROR(VLOOKUP(B623, PlumX_snapshot!$A:$C, 3, FALSE), " ")</f>
        <v>1</v>
      </c>
      <c r="Y623" s="12">
        <f>IFERROR(VLOOKUP(B623, PlumX_snapshot!$A:$D, 4, FALSE), " ")</f>
        <v>0</v>
      </c>
      <c r="Z623" s="12">
        <f>IFERROR(VLOOKUP(B623, PlumX_snapshot!$A:$E, 5, FALSE), " ")</f>
        <v>0</v>
      </c>
      <c r="AA623" s="12">
        <f>IFERROR(VLOOKUP(B623, PlumX_snapshot!$A:$F, 6, FALSE), " ")</f>
        <v>0</v>
      </c>
      <c r="AB623" s="13">
        <v>44978</v>
      </c>
      <c r="AH623" s="9"/>
      <c r="AI623" s="9"/>
      <c r="AJ623" s="9"/>
      <c r="AK623" s="11" t="str">
        <f t="shared" si="4"/>
        <v>2019</v>
      </c>
      <c r="AL623" s="11" t="e">
        <f>VLOOKUP(AK623, Exchange_rates!$C:$D, 2, FALSE)</f>
        <v>#N/A</v>
      </c>
      <c r="AM623" s="14" t="str">
        <f t="shared" si="5"/>
        <v/>
      </c>
      <c r="AN623" s="9"/>
      <c r="AO623" s="9"/>
      <c r="AP623" s="9"/>
      <c r="AQ623" s="15" t="s">
        <v>49</v>
      </c>
      <c r="AR623" t="s">
        <v>2999</v>
      </c>
      <c r="AS623" s="16"/>
    </row>
    <row r="624" spans="1:45" ht="14.5">
      <c r="A624" s="9" t="s">
        <v>3119</v>
      </c>
      <c r="B624" s="9" t="s">
        <v>3120</v>
      </c>
      <c r="C624" s="9" t="s">
        <v>3121</v>
      </c>
      <c r="D624" s="9" t="s">
        <v>2830</v>
      </c>
      <c r="E624" s="9" t="s">
        <v>49</v>
      </c>
      <c r="F624" s="9" t="s">
        <v>69</v>
      </c>
      <c r="G624" s="9" t="s">
        <v>70</v>
      </c>
      <c r="H624" s="9" t="s">
        <v>2871</v>
      </c>
      <c r="I624" s="9" t="s">
        <v>72</v>
      </c>
      <c r="J624" s="10">
        <v>43670</v>
      </c>
      <c r="K624" s="10">
        <v>44123</v>
      </c>
      <c r="L624" s="10">
        <v>44123.553923611114</v>
      </c>
      <c r="M624" s="28">
        <v>44134</v>
      </c>
      <c r="N624" s="9">
        <v>2020</v>
      </c>
      <c r="O624" s="9" t="s">
        <v>2832</v>
      </c>
      <c r="P624" s="9" t="s">
        <v>53</v>
      </c>
      <c r="Q624" s="9" t="s">
        <v>53</v>
      </c>
      <c r="T624" s="9"/>
      <c r="V624" s="9"/>
      <c r="W624" s="11">
        <f>IFERROR(VLOOKUP(B624, PlumX_snapshot!$A:$B, 2, FALSE), " ")</f>
        <v>0</v>
      </c>
      <c r="X624" s="11">
        <f>IFERROR(VLOOKUP(B624, PlumX_snapshot!$A:$C, 3, FALSE), " ")</f>
        <v>1</v>
      </c>
      <c r="Y624" s="12">
        <f>IFERROR(VLOOKUP(B624, PlumX_snapshot!$A:$D, 4, FALSE), " ")</f>
        <v>0</v>
      </c>
      <c r="Z624" s="12">
        <f>IFERROR(VLOOKUP(B624, PlumX_snapshot!$A:$E, 5, FALSE), " ")</f>
        <v>0</v>
      </c>
      <c r="AA624" s="12">
        <f>IFERROR(VLOOKUP(B624, PlumX_snapshot!$A:$F, 6, FALSE), " ")</f>
        <v>0</v>
      </c>
      <c r="AB624" s="13">
        <v>44978</v>
      </c>
      <c r="AH624" s="9">
        <v>2289</v>
      </c>
      <c r="AI624" s="9" t="s">
        <v>77</v>
      </c>
      <c r="AJ624" s="9" t="s">
        <v>1823</v>
      </c>
      <c r="AK624" s="11" t="str">
        <f t="shared" si="4"/>
        <v>2020EUR</v>
      </c>
      <c r="AL624" s="11">
        <f>VLOOKUP(AK624, Exchange_rates!$C:$D, 2, FALSE)</f>
        <v>0.88970000000000005</v>
      </c>
      <c r="AM624" s="14">
        <f t="shared" si="5"/>
        <v>2443.8279600000001</v>
      </c>
      <c r="AN624" s="9"/>
      <c r="AO624" s="9"/>
      <c r="AP624" s="9"/>
      <c r="AQ624" s="15" t="s">
        <v>49</v>
      </c>
      <c r="AR624" t="s">
        <v>3122</v>
      </c>
      <c r="AS624" s="16"/>
    </row>
    <row r="625" spans="1:45" ht="14.5">
      <c r="A625" s="9" t="s">
        <v>3123</v>
      </c>
      <c r="B625" s="9" t="s">
        <v>3124</v>
      </c>
      <c r="C625" s="9" t="s">
        <v>3125</v>
      </c>
      <c r="D625" s="9" t="s">
        <v>2830</v>
      </c>
      <c r="E625" s="9" t="s">
        <v>49</v>
      </c>
      <c r="F625" s="9" t="s">
        <v>69</v>
      </c>
      <c r="G625" s="9" t="s">
        <v>70</v>
      </c>
      <c r="H625" s="9" t="s">
        <v>2841</v>
      </c>
      <c r="I625" s="9" t="s">
        <v>72</v>
      </c>
      <c r="J625" s="10"/>
      <c r="K625" s="10"/>
      <c r="L625" s="10">
        <v>43669.608518518522</v>
      </c>
      <c r="M625" s="10">
        <v>43673</v>
      </c>
      <c r="N625" s="9">
        <v>2019</v>
      </c>
      <c r="O625" s="9" t="s">
        <v>2832</v>
      </c>
      <c r="P625" s="9" t="s">
        <v>53</v>
      </c>
      <c r="Q625" s="9" t="s">
        <v>53</v>
      </c>
      <c r="T625" s="9"/>
      <c r="V625" s="9"/>
      <c r="W625" s="11">
        <f>IFERROR(VLOOKUP(B625, PlumX_snapshot!$A:$B, 2, FALSE), " ")</f>
        <v>14</v>
      </c>
      <c r="X625" s="11">
        <f>IFERROR(VLOOKUP(B625, PlumX_snapshot!$A:$C, 3, FALSE), " ")</f>
        <v>5</v>
      </c>
      <c r="Y625" s="12">
        <f>IFERROR(VLOOKUP(B625, PlumX_snapshot!$A:$D, 4, FALSE), " ")</f>
        <v>8</v>
      </c>
      <c r="Z625" s="12">
        <f>IFERROR(VLOOKUP(B625, PlumX_snapshot!$A:$E, 5, FALSE), " ")</f>
        <v>0</v>
      </c>
      <c r="AA625" s="12">
        <f>IFERROR(VLOOKUP(B625, PlumX_snapshot!$A:$F, 6, FALSE), " ")</f>
        <v>0</v>
      </c>
      <c r="AB625" s="13">
        <v>44978</v>
      </c>
      <c r="AH625" s="9"/>
      <c r="AI625" s="9"/>
      <c r="AJ625" s="9"/>
      <c r="AK625" s="11" t="str">
        <f t="shared" si="4"/>
        <v>2019</v>
      </c>
      <c r="AL625" s="11" t="e">
        <f>VLOOKUP(AK625, Exchange_rates!$C:$D, 2, FALSE)</f>
        <v>#N/A</v>
      </c>
      <c r="AM625" s="14" t="str">
        <f t="shared" si="5"/>
        <v/>
      </c>
      <c r="AN625" s="9"/>
      <c r="AO625" s="9"/>
      <c r="AP625" s="9"/>
      <c r="AQ625" s="15" t="s">
        <v>49</v>
      </c>
      <c r="AR625" t="s">
        <v>3126</v>
      </c>
      <c r="AS625" s="16"/>
    </row>
    <row r="626" spans="1:45" ht="14.5">
      <c r="A626" s="9" t="s">
        <v>3127</v>
      </c>
      <c r="B626" s="9" t="s">
        <v>3128</v>
      </c>
      <c r="C626" s="9" t="s">
        <v>2890</v>
      </c>
      <c r="D626" s="9" t="s">
        <v>2830</v>
      </c>
      <c r="E626" s="9" t="s">
        <v>49</v>
      </c>
      <c r="F626" s="9" t="s">
        <v>69</v>
      </c>
      <c r="G626" s="9" t="s">
        <v>70</v>
      </c>
      <c r="H626" s="9" t="s">
        <v>2831</v>
      </c>
      <c r="I626" s="9" t="s">
        <v>72</v>
      </c>
      <c r="J626" s="10">
        <v>42887</v>
      </c>
      <c r="K626" s="10">
        <v>43053</v>
      </c>
      <c r="L626" s="10">
        <v>43123.645312499997</v>
      </c>
      <c r="M626" s="10">
        <v>43146</v>
      </c>
      <c r="N626" s="9">
        <v>2018</v>
      </c>
      <c r="O626" s="9" t="s">
        <v>2832</v>
      </c>
      <c r="P626" s="9" t="s">
        <v>53</v>
      </c>
      <c r="Q626" s="9" t="s">
        <v>53</v>
      </c>
      <c r="T626" s="9"/>
      <c r="V626" s="9"/>
      <c r="W626" s="11">
        <f>IFERROR(VLOOKUP(B626, PlumX_snapshot!$A:$B, 2, FALSE), " ")</f>
        <v>9</v>
      </c>
      <c r="X626" s="11">
        <f>IFERROR(VLOOKUP(B626, PlumX_snapshot!$A:$C, 3, FALSE), " ")</f>
        <v>4</v>
      </c>
      <c r="Y626" s="12">
        <f>IFERROR(VLOOKUP(B626, PlumX_snapshot!$A:$D, 4, FALSE), " ")</f>
        <v>0</v>
      </c>
      <c r="Z626" s="12">
        <f>IFERROR(VLOOKUP(B626, PlumX_snapshot!$A:$E, 5, FALSE), " ")</f>
        <v>30</v>
      </c>
      <c r="AA626" s="12">
        <f>IFERROR(VLOOKUP(B626, PlumX_snapshot!$A:$F, 6, FALSE), " ")</f>
        <v>0</v>
      </c>
      <c r="AB626" s="13">
        <v>44978</v>
      </c>
      <c r="AH626" s="9"/>
      <c r="AI626" s="9"/>
      <c r="AJ626" s="9"/>
      <c r="AK626" s="11" t="str">
        <f t="shared" si="4"/>
        <v>2018</v>
      </c>
      <c r="AL626" s="11" t="e">
        <f>VLOOKUP(AK626, Exchange_rates!$C:$D, 2, FALSE)</f>
        <v>#N/A</v>
      </c>
      <c r="AM626" s="14" t="str">
        <f t="shared" si="5"/>
        <v/>
      </c>
      <c r="AN626" s="9"/>
      <c r="AO626" s="9"/>
      <c r="AP626" s="9"/>
      <c r="AQ626" s="15" t="s">
        <v>49</v>
      </c>
      <c r="AR626" t="s">
        <v>2891</v>
      </c>
      <c r="AS626" s="16"/>
    </row>
    <row r="627" spans="1:45" ht="14.5">
      <c r="A627" s="9" t="s">
        <v>3129</v>
      </c>
      <c r="B627" s="9" t="s">
        <v>3130</v>
      </c>
      <c r="C627" s="9" t="s">
        <v>3131</v>
      </c>
      <c r="D627" s="9" t="s">
        <v>2830</v>
      </c>
      <c r="E627" s="9" t="s">
        <v>49</v>
      </c>
      <c r="F627" s="9" t="s">
        <v>69</v>
      </c>
      <c r="G627" s="9" t="s">
        <v>70</v>
      </c>
      <c r="H627" s="9" t="s">
        <v>2841</v>
      </c>
      <c r="I627" s="9" t="s">
        <v>72</v>
      </c>
      <c r="J627" s="10">
        <v>43298</v>
      </c>
      <c r="K627" s="10">
        <v>43558</v>
      </c>
      <c r="L627" s="10">
        <v>43598.354837962965</v>
      </c>
      <c r="M627" s="10">
        <v>43642</v>
      </c>
      <c r="N627" s="9">
        <v>2019</v>
      </c>
      <c r="O627" s="9" t="s">
        <v>2832</v>
      </c>
      <c r="P627" s="9" t="s">
        <v>53</v>
      </c>
      <c r="Q627" s="9" t="s">
        <v>53</v>
      </c>
      <c r="T627" s="9"/>
      <c r="V627" s="9"/>
      <c r="W627" s="11">
        <f>IFERROR(VLOOKUP(B627, PlumX_snapshot!$A:$B, 2, FALSE), " ")</f>
        <v>180</v>
      </c>
      <c r="X627" s="11">
        <f>IFERROR(VLOOKUP(B627, PlumX_snapshot!$A:$C, 3, FALSE), " ")</f>
        <v>17</v>
      </c>
      <c r="Y627" s="12">
        <f>IFERROR(VLOOKUP(B627, PlumX_snapshot!$A:$D, 4, FALSE), " ")</f>
        <v>18</v>
      </c>
      <c r="Z627" s="12">
        <f>IFERROR(VLOOKUP(B627, PlumX_snapshot!$A:$E, 5, FALSE), " ")</f>
        <v>82</v>
      </c>
      <c r="AA627" s="12">
        <f>IFERROR(VLOOKUP(B627, PlumX_snapshot!$A:$F, 6, FALSE), " ")</f>
        <v>0</v>
      </c>
      <c r="AB627" s="13">
        <v>44978</v>
      </c>
      <c r="AH627" s="9"/>
      <c r="AI627" s="9"/>
      <c r="AJ627" s="9"/>
      <c r="AK627" s="11" t="str">
        <f t="shared" si="4"/>
        <v>2019</v>
      </c>
      <c r="AL627" s="11" t="e">
        <f>VLOOKUP(AK627, Exchange_rates!$C:$D, 2, FALSE)</f>
        <v>#N/A</v>
      </c>
      <c r="AM627" s="14" t="str">
        <f t="shared" si="5"/>
        <v/>
      </c>
      <c r="AN627" s="9"/>
      <c r="AO627" s="9"/>
      <c r="AP627" s="9"/>
      <c r="AQ627" s="15" t="s">
        <v>49</v>
      </c>
      <c r="AR627" t="s">
        <v>3132</v>
      </c>
      <c r="AS627" s="16"/>
    </row>
    <row r="628" spans="1:45" ht="14.5">
      <c r="A628" s="9" t="s">
        <v>3133</v>
      </c>
      <c r="B628" s="9" t="s">
        <v>3134</v>
      </c>
      <c r="C628" s="9" t="s">
        <v>2864</v>
      </c>
      <c r="D628" s="9" t="s">
        <v>2830</v>
      </c>
      <c r="E628" s="9" t="s">
        <v>49</v>
      </c>
      <c r="F628" s="9" t="s">
        <v>69</v>
      </c>
      <c r="G628" s="9" t="s">
        <v>70</v>
      </c>
      <c r="H628" s="9" t="s">
        <v>2841</v>
      </c>
      <c r="I628" s="9" t="s">
        <v>72</v>
      </c>
      <c r="J628" s="10">
        <v>43407</v>
      </c>
      <c r="K628" s="10">
        <v>43591</v>
      </c>
      <c r="L628" s="10">
        <v>43592.581238425926</v>
      </c>
      <c r="M628" s="10">
        <v>43624</v>
      </c>
      <c r="N628" s="9">
        <v>2019</v>
      </c>
      <c r="O628" s="9" t="s">
        <v>2832</v>
      </c>
      <c r="P628" s="9" t="s">
        <v>53</v>
      </c>
      <c r="Q628" s="9" t="s">
        <v>53</v>
      </c>
      <c r="T628" s="9"/>
      <c r="V628" s="9"/>
      <c r="W628" s="11">
        <f>IFERROR(VLOOKUP(B628, PlumX_snapshot!$A:$B, 2, FALSE), " ")</f>
        <v>45</v>
      </c>
      <c r="X628" s="11">
        <f>IFERROR(VLOOKUP(B628, PlumX_snapshot!$A:$C, 3, FALSE), " ")</f>
        <v>31</v>
      </c>
      <c r="Y628" s="12">
        <f>IFERROR(VLOOKUP(B628, PlumX_snapshot!$A:$D, 4, FALSE), " ")</f>
        <v>1</v>
      </c>
      <c r="Z628" s="12">
        <f>IFERROR(VLOOKUP(B628, PlumX_snapshot!$A:$E, 5, FALSE), " ")</f>
        <v>0</v>
      </c>
      <c r="AA628" s="12">
        <f>IFERROR(VLOOKUP(B628, PlumX_snapshot!$A:$F, 6, FALSE), " ")</f>
        <v>0</v>
      </c>
      <c r="AB628" s="13">
        <v>44978</v>
      </c>
      <c r="AH628" s="9"/>
      <c r="AI628" s="9"/>
      <c r="AJ628" s="9"/>
      <c r="AK628" s="11" t="str">
        <f t="shared" si="4"/>
        <v>2019</v>
      </c>
      <c r="AL628" s="11" t="e">
        <f>VLOOKUP(AK628, Exchange_rates!$C:$D, 2, FALSE)</f>
        <v>#N/A</v>
      </c>
      <c r="AM628" s="14" t="str">
        <f t="shared" si="5"/>
        <v/>
      </c>
      <c r="AN628" s="9"/>
      <c r="AO628" s="9"/>
      <c r="AP628" s="9"/>
      <c r="AQ628" s="15" t="s">
        <v>49</v>
      </c>
      <c r="AR628" t="s">
        <v>2865</v>
      </c>
      <c r="AS628" s="16"/>
    </row>
    <row r="629" spans="1:45" ht="14.5">
      <c r="A629" s="9" t="s">
        <v>3135</v>
      </c>
      <c r="B629" s="9" t="s">
        <v>3136</v>
      </c>
      <c r="C629" s="9" t="s">
        <v>3137</v>
      </c>
      <c r="D629" s="9" t="s">
        <v>2830</v>
      </c>
      <c r="E629" s="9" t="s">
        <v>49</v>
      </c>
      <c r="F629" s="9" t="s">
        <v>69</v>
      </c>
      <c r="G629" s="9" t="s">
        <v>70</v>
      </c>
      <c r="H629" s="9" t="s">
        <v>2841</v>
      </c>
      <c r="I629" s="9" t="s">
        <v>72</v>
      </c>
      <c r="J629" s="10"/>
      <c r="K629" s="10"/>
      <c r="L629" s="10">
        <v>43549.385254629633</v>
      </c>
      <c r="M629" s="10">
        <v>43586</v>
      </c>
      <c r="N629" s="9">
        <v>2019</v>
      </c>
      <c r="O629" s="9" t="s">
        <v>2832</v>
      </c>
      <c r="P629" s="9" t="s">
        <v>53</v>
      </c>
      <c r="Q629" s="9" t="s">
        <v>53</v>
      </c>
      <c r="R629" s="9" t="s">
        <v>3138</v>
      </c>
      <c r="T629" s="9"/>
      <c r="V629" s="9"/>
      <c r="W629" s="11">
        <f>IFERROR(VLOOKUP(B629, PlumX_snapshot!$A:$B, 2, FALSE), " ")</f>
        <v>32</v>
      </c>
      <c r="X629" s="11">
        <f>IFERROR(VLOOKUP(B629, PlumX_snapshot!$A:$C, 3, FALSE), " ")</f>
        <v>9</v>
      </c>
      <c r="Y629" s="12">
        <f>IFERROR(VLOOKUP(B629, PlumX_snapshot!$A:$D, 4, FALSE), " ")</f>
        <v>45</v>
      </c>
      <c r="Z629" s="12">
        <f>IFERROR(VLOOKUP(B629, PlumX_snapshot!$A:$E, 5, FALSE), " ")</f>
        <v>0</v>
      </c>
      <c r="AA629" s="12">
        <f>IFERROR(VLOOKUP(B629, PlumX_snapshot!$A:$F, 6, FALSE), " ")</f>
        <v>0</v>
      </c>
      <c r="AB629" s="13">
        <v>44978</v>
      </c>
      <c r="AH629" s="9"/>
      <c r="AI629" s="9"/>
      <c r="AJ629" s="9"/>
      <c r="AK629" s="11" t="str">
        <f t="shared" si="4"/>
        <v>2019</v>
      </c>
      <c r="AL629" s="11" t="e">
        <f>VLOOKUP(AK629, Exchange_rates!$C:$D, 2, FALSE)</f>
        <v>#N/A</v>
      </c>
      <c r="AM629" s="14" t="str">
        <f t="shared" si="5"/>
        <v/>
      </c>
      <c r="AN629" s="9"/>
      <c r="AO629" s="9"/>
      <c r="AP629" s="9"/>
      <c r="AQ629" s="15" t="s">
        <v>49</v>
      </c>
      <c r="AR629" t="s">
        <v>3139</v>
      </c>
      <c r="AS629" s="16"/>
    </row>
    <row r="630" spans="1:45" ht="14.5">
      <c r="A630" s="9" t="s">
        <v>3140</v>
      </c>
      <c r="B630" s="9" t="s">
        <v>3141</v>
      </c>
      <c r="C630" s="9" t="s">
        <v>3142</v>
      </c>
      <c r="D630" s="9" t="s">
        <v>2830</v>
      </c>
      <c r="E630" s="9" t="s">
        <v>49</v>
      </c>
      <c r="F630" s="9" t="s">
        <v>69</v>
      </c>
      <c r="G630" s="9" t="s">
        <v>70</v>
      </c>
      <c r="H630" s="9" t="s">
        <v>2841</v>
      </c>
      <c r="I630" s="9" t="s">
        <v>72</v>
      </c>
      <c r="J630" s="10">
        <v>43515</v>
      </c>
      <c r="K630" s="10">
        <v>43608</v>
      </c>
      <c r="L630" s="10">
        <v>43614.537962962961</v>
      </c>
      <c r="M630" s="10">
        <v>43619</v>
      </c>
      <c r="N630" s="9">
        <v>2019</v>
      </c>
      <c r="O630" s="9" t="s">
        <v>2832</v>
      </c>
      <c r="P630" s="9" t="s">
        <v>53</v>
      </c>
      <c r="Q630" s="9" t="s">
        <v>53</v>
      </c>
      <c r="R630" s="9" t="s">
        <v>3143</v>
      </c>
      <c r="T630" s="9"/>
      <c r="V630" s="9"/>
      <c r="W630" s="11">
        <f>IFERROR(VLOOKUP(B630, PlumX_snapshot!$A:$B, 2, FALSE), " ")</f>
        <v>47</v>
      </c>
      <c r="X630" s="11">
        <f>IFERROR(VLOOKUP(B630, PlumX_snapshot!$A:$C, 3, FALSE), " ")</f>
        <v>14</v>
      </c>
      <c r="Y630" s="12">
        <f>IFERROR(VLOOKUP(B630, PlumX_snapshot!$A:$D, 4, FALSE), " ")</f>
        <v>39</v>
      </c>
      <c r="Z630" s="12">
        <f>IFERROR(VLOOKUP(B630, PlumX_snapshot!$A:$E, 5, FALSE), " ")</f>
        <v>0</v>
      </c>
      <c r="AA630" s="12">
        <f>IFERROR(VLOOKUP(B630, PlumX_snapshot!$A:$F, 6, FALSE), " ")</f>
        <v>0</v>
      </c>
      <c r="AB630" s="13">
        <v>44978</v>
      </c>
      <c r="AH630" s="9"/>
      <c r="AI630" s="9"/>
      <c r="AJ630" s="9"/>
      <c r="AK630" s="11" t="str">
        <f t="shared" si="4"/>
        <v>2019</v>
      </c>
      <c r="AL630" s="11" t="e">
        <f>VLOOKUP(AK630, Exchange_rates!$C:$D, 2, FALSE)</f>
        <v>#N/A</v>
      </c>
      <c r="AM630" s="14" t="str">
        <f t="shared" si="5"/>
        <v/>
      </c>
      <c r="AN630" s="9"/>
      <c r="AO630" s="9"/>
      <c r="AP630" s="9"/>
      <c r="AQ630" s="15" t="s">
        <v>49</v>
      </c>
      <c r="AR630" t="s">
        <v>3144</v>
      </c>
      <c r="AS630" s="16"/>
    </row>
    <row r="631" spans="1:45" ht="14.5">
      <c r="A631" s="9" t="s">
        <v>3145</v>
      </c>
      <c r="B631" s="9" t="s">
        <v>3146</v>
      </c>
      <c r="C631" s="9" t="s">
        <v>3147</v>
      </c>
      <c r="D631" s="9" t="s">
        <v>2830</v>
      </c>
      <c r="E631" s="9" t="s">
        <v>49</v>
      </c>
      <c r="F631" s="9" t="s">
        <v>69</v>
      </c>
      <c r="G631" s="9" t="s">
        <v>70</v>
      </c>
      <c r="H631" s="9" t="s">
        <v>2899</v>
      </c>
      <c r="I631" s="9" t="s">
        <v>72</v>
      </c>
      <c r="J631" s="10"/>
      <c r="K631" s="10"/>
      <c r="L631" s="10">
        <v>42878.405011574076</v>
      </c>
      <c r="M631" s="10">
        <v>42882</v>
      </c>
      <c r="N631" s="9">
        <v>2017</v>
      </c>
      <c r="O631" s="9" t="s">
        <v>2832</v>
      </c>
      <c r="P631" s="9" t="s">
        <v>53</v>
      </c>
      <c r="Q631" s="9" t="s">
        <v>53</v>
      </c>
      <c r="T631" s="9"/>
      <c r="V631" s="9"/>
      <c r="W631" s="11">
        <f>IFERROR(VLOOKUP(B631, PlumX_snapshot!$A:$B, 2, FALSE), " ")</f>
        <v>16</v>
      </c>
      <c r="X631" s="11">
        <f>IFERROR(VLOOKUP(B631, PlumX_snapshot!$A:$C, 3, FALSE), " ")</f>
        <v>3</v>
      </c>
      <c r="Y631" s="12">
        <f>IFERROR(VLOOKUP(B631, PlumX_snapshot!$A:$D, 4, FALSE), " ")</f>
        <v>81</v>
      </c>
      <c r="Z631" s="12">
        <f>IFERROR(VLOOKUP(B631, PlumX_snapshot!$A:$E, 5, FALSE), " ")</f>
        <v>243</v>
      </c>
      <c r="AA631" s="12">
        <f>IFERROR(VLOOKUP(B631, PlumX_snapshot!$A:$F, 6, FALSE), " ")</f>
        <v>0</v>
      </c>
      <c r="AB631" s="13">
        <v>44978</v>
      </c>
      <c r="AH631" s="9"/>
      <c r="AI631" s="9"/>
      <c r="AJ631" s="9"/>
      <c r="AK631" s="11" t="str">
        <f t="shared" si="4"/>
        <v>2017</v>
      </c>
      <c r="AL631" s="11" t="e">
        <f>VLOOKUP(AK631, Exchange_rates!$C:$D, 2, FALSE)</f>
        <v>#N/A</v>
      </c>
      <c r="AM631" s="14" t="str">
        <f t="shared" si="5"/>
        <v/>
      </c>
      <c r="AN631" s="9"/>
      <c r="AO631" s="9"/>
      <c r="AP631" s="9"/>
      <c r="AQ631" s="15" t="s">
        <v>49</v>
      </c>
      <c r="AR631" t="s">
        <v>3148</v>
      </c>
      <c r="AS631" s="16"/>
    </row>
    <row r="632" spans="1:45" ht="14.5">
      <c r="A632" s="9" t="s">
        <v>3149</v>
      </c>
      <c r="B632" s="9" t="s">
        <v>3150</v>
      </c>
      <c r="C632" s="9" t="s">
        <v>3151</v>
      </c>
      <c r="D632" s="9" t="s">
        <v>2830</v>
      </c>
      <c r="E632" s="9" t="s">
        <v>49</v>
      </c>
      <c r="F632" s="9" t="s">
        <v>69</v>
      </c>
      <c r="G632" s="9" t="s">
        <v>70</v>
      </c>
      <c r="H632" s="9" t="s">
        <v>2841</v>
      </c>
      <c r="I632" s="9" t="s">
        <v>72</v>
      </c>
      <c r="J632" s="10">
        <v>43500</v>
      </c>
      <c r="K632" s="10">
        <v>43621</v>
      </c>
      <c r="L632" s="10">
        <v>43622.626863425925</v>
      </c>
      <c r="M632" s="10">
        <v>43628</v>
      </c>
      <c r="N632" s="9">
        <v>2019</v>
      </c>
      <c r="O632" s="9" t="s">
        <v>2832</v>
      </c>
      <c r="P632" s="9" t="s">
        <v>53</v>
      </c>
      <c r="Q632" s="9" t="s">
        <v>53</v>
      </c>
      <c r="T632" s="9"/>
      <c r="V632" s="9"/>
      <c r="W632" s="11">
        <f>IFERROR(VLOOKUP(B632, PlumX_snapshot!$A:$B, 2, FALSE), " ")</f>
        <v>4</v>
      </c>
      <c r="X632" s="11">
        <f>IFERROR(VLOOKUP(B632, PlumX_snapshot!$A:$C, 3, FALSE), " ")</f>
        <v>0</v>
      </c>
      <c r="Y632" s="12">
        <f>IFERROR(VLOOKUP(B632, PlumX_snapshot!$A:$D, 4, FALSE), " ")</f>
        <v>0</v>
      </c>
      <c r="Z632" s="12">
        <f>IFERROR(VLOOKUP(B632, PlumX_snapshot!$A:$E, 5, FALSE), " ")</f>
        <v>0</v>
      </c>
      <c r="AA632" s="12">
        <f>IFERROR(VLOOKUP(B632, PlumX_snapshot!$A:$F, 6, FALSE), " ")</f>
        <v>0</v>
      </c>
      <c r="AB632" s="13">
        <v>44978</v>
      </c>
      <c r="AH632" s="9"/>
      <c r="AI632" s="9"/>
      <c r="AJ632" s="9"/>
      <c r="AK632" s="11" t="str">
        <f t="shared" si="4"/>
        <v>2019</v>
      </c>
      <c r="AL632" s="11" t="e">
        <f>VLOOKUP(AK632, Exchange_rates!$C:$D, 2, FALSE)</f>
        <v>#N/A</v>
      </c>
      <c r="AM632" s="14" t="str">
        <f t="shared" si="5"/>
        <v/>
      </c>
      <c r="AN632" s="9"/>
      <c r="AO632" s="9"/>
      <c r="AP632" s="9"/>
      <c r="AQ632" s="15" t="s">
        <v>49</v>
      </c>
      <c r="AR632" t="s">
        <v>3152</v>
      </c>
      <c r="AS632" s="16"/>
    </row>
    <row r="633" spans="1:45" ht="14.5">
      <c r="A633" s="9" t="s">
        <v>3153</v>
      </c>
      <c r="B633" s="9" t="s">
        <v>3154</v>
      </c>
      <c r="C633" s="9" t="s">
        <v>3155</v>
      </c>
      <c r="D633" s="9" t="s">
        <v>2830</v>
      </c>
      <c r="E633" s="9" t="s">
        <v>49</v>
      </c>
      <c r="F633" s="9" t="s">
        <v>69</v>
      </c>
      <c r="G633" s="9" t="s">
        <v>70</v>
      </c>
      <c r="H633" s="9" t="s">
        <v>2841</v>
      </c>
      <c r="I633" s="9" t="s">
        <v>72</v>
      </c>
      <c r="J633" s="10"/>
      <c r="K633" s="10"/>
      <c r="L633" s="10">
        <v>43628.59983796296</v>
      </c>
      <c r="M633" s="10">
        <v>43636</v>
      </c>
      <c r="N633" s="9">
        <v>2019</v>
      </c>
      <c r="O633" s="9" t="s">
        <v>2832</v>
      </c>
      <c r="P633" s="9" t="s">
        <v>53</v>
      </c>
      <c r="Q633" s="9" t="s">
        <v>53</v>
      </c>
      <c r="T633" s="9"/>
      <c r="V633" s="9"/>
      <c r="W633" s="11">
        <f>IFERROR(VLOOKUP(B633, PlumX_snapshot!$A:$B, 2, FALSE), " ")</f>
        <v>146</v>
      </c>
      <c r="X633" s="11">
        <f>IFERROR(VLOOKUP(B633, PlumX_snapshot!$A:$C, 3, FALSE), " ")</f>
        <v>21</v>
      </c>
      <c r="Y633" s="12">
        <f>IFERROR(VLOOKUP(B633, PlumX_snapshot!$A:$D, 4, FALSE), " ")</f>
        <v>49</v>
      </c>
      <c r="Z633" s="12">
        <f>IFERROR(VLOOKUP(B633, PlumX_snapshot!$A:$E, 5, FALSE), " ")</f>
        <v>107</v>
      </c>
      <c r="AA633" s="12">
        <f>IFERROR(VLOOKUP(B633, PlumX_snapshot!$A:$F, 6, FALSE), " ")</f>
        <v>2</v>
      </c>
      <c r="AB633" s="13">
        <v>44978</v>
      </c>
      <c r="AH633" s="9"/>
      <c r="AI633" s="9"/>
      <c r="AJ633" s="9"/>
      <c r="AK633" s="11" t="str">
        <f t="shared" si="4"/>
        <v>2019</v>
      </c>
      <c r="AL633" s="11" t="e">
        <f>VLOOKUP(AK633, Exchange_rates!$C:$D, 2, FALSE)</f>
        <v>#N/A</v>
      </c>
      <c r="AM633" s="14" t="str">
        <f t="shared" si="5"/>
        <v/>
      </c>
      <c r="AN633" s="9"/>
      <c r="AO633" s="9"/>
      <c r="AP633" s="9"/>
      <c r="AQ633" s="15" t="s">
        <v>49</v>
      </c>
      <c r="AR633" t="s">
        <v>3156</v>
      </c>
      <c r="AS633" s="16"/>
    </row>
    <row r="634" spans="1:45" ht="14.5">
      <c r="A634" s="9" t="s">
        <v>3157</v>
      </c>
      <c r="B634" s="9" t="s">
        <v>3158</v>
      </c>
      <c r="C634" s="9" t="s">
        <v>3159</v>
      </c>
      <c r="D634" s="9" t="s">
        <v>2830</v>
      </c>
      <c r="E634" s="9" t="s">
        <v>49</v>
      </c>
      <c r="F634" s="9" t="s">
        <v>69</v>
      </c>
      <c r="G634" s="9" t="s">
        <v>70</v>
      </c>
      <c r="H634" s="9" t="s">
        <v>2841</v>
      </c>
      <c r="I634" s="9" t="s">
        <v>72</v>
      </c>
      <c r="J634" s="10">
        <v>43404</v>
      </c>
      <c r="K634" s="10"/>
      <c r="L634" s="10">
        <v>43595.442511574074</v>
      </c>
      <c r="M634" s="10">
        <v>43640</v>
      </c>
      <c r="N634" s="9">
        <v>2019</v>
      </c>
      <c r="O634" s="9" t="s">
        <v>2832</v>
      </c>
      <c r="P634" s="9" t="s">
        <v>53</v>
      </c>
      <c r="Q634" s="9" t="s">
        <v>53</v>
      </c>
      <c r="T634" s="9"/>
      <c r="V634" s="9"/>
      <c r="W634" s="11">
        <f>IFERROR(VLOOKUP(B634, PlumX_snapshot!$A:$B, 2, FALSE), " ")</f>
        <v>1</v>
      </c>
      <c r="X634" s="11">
        <f>IFERROR(VLOOKUP(B634, PlumX_snapshot!$A:$C, 3, FALSE), " ")</f>
        <v>2</v>
      </c>
      <c r="Y634" s="12">
        <f>IFERROR(VLOOKUP(B634, PlumX_snapshot!$A:$D, 4, FALSE), " ")</f>
        <v>0</v>
      </c>
      <c r="Z634" s="12">
        <f>IFERROR(VLOOKUP(B634, PlumX_snapshot!$A:$E, 5, FALSE), " ")</f>
        <v>0</v>
      </c>
      <c r="AA634" s="12">
        <f>IFERROR(VLOOKUP(B634, PlumX_snapshot!$A:$F, 6, FALSE), " ")</f>
        <v>0</v>
      </c>
      <c r="AB634" s="13">
        <v>44978</v>
      </c>
      <c r="AH634" s="9"/>
      <c r="AI634" s="9"/>
      <c r="AJ634" s="9"/>
      <c r="AK634" s="11" t="str">
        <f t="shared" si="4"/>
        <v>2019</v>
      </c>
      <c r="AL634" s="11" t="e">
        <f>VLOOKUP(AK634, Exchange_rates!$C:$D, 2, FALSE)</f>
        <v>#N/A</v>
      </c>
      <c r="AM634" s="14" t="str">
        <f t="shared" si="5"/>
        <v/>
      </c>
      <c r="AN634" s="9"/>
      <c r="AO634" s="9"/>
      <c r="AP634" s="9"/>
      <c r="AQ634" s="15" t="s">
        <v>49</v>
      </c>
      <c r="AR634" t="s">
        <v>3160</v>
      </c>
      <c r="AS634" s="16"/>
    </row>
    <row r="635" spans="1:45" ht="14.5">
      <c r="A635" s="9" t="s">
        <v>3161</v>
      </c>
      <c r="B635" s="9" t="s">
        <v>3162</v>
      </c>
      <c r="C635" s="9" t="s">
        <v>3163</v>
      </c>
      <c r="D635" s="9" t="s">
        <v>2830</v>
      </c>
      <c r="E635" s="9" t="s">
        <v>49</v>
      </c>
      <c r="F635" s="9" t="s">
        <v>69</v>
      </c>
      <c r="G635" s="9" t="s">
        <v>70</v>
      </c>
      <c r="H635" s="9" t="s">
        <v>2899</v>
      </c>
      <c r="I635" s="9" t="s">
        <v>72</v>
      </c>
      <c r="J635" s="10">
        <v>42571</v>
      </c>
      <c r="K635" s="10"/>
      <c r="L635" s="10">
        <v>42866.632604166669</v>
      </c>
      <c r="M635" s="10">
        <v>42880</v>
      </c>
      <c r="N635" s="9">
        <v>2017</v>
      </c>
      <c r="O635" s="9" t="s">
        <v>2832</v>
      </c>
      <c r="P635" s="9" t="s">
        <v>53</v>
      </c>
      <c r="Q635" s="9" t="s">
        <v>53</v>
      </c>
      <c r="T635" s="9"/>
      <c r="V635" s="9"/>
      <c r="W635" s="11">
        <f>IFERROR(VLOOKUP(B635, PlumX_snapshot!$A:$B, 2, FALSE), " ")</f>
        <v>34</v>
      </c>
      <c r="X635" s="11">
        <f>IFERROR(VLOOKUP(B635, PlumX_snapshot!$A:$C, 3, FALSE), " ")</f>
        <v>66</v>
      </c>
      <c r="Y635" s="12">
        <f>IFERROR(VLOOKUP(B635, PlumX_snapshot!$A:$D, 4, FALSE), " ")</f>
        <v>1</v>
      </c>
      <c r="Z635" s="12">
        <f>IFERROR(VLOOKUP(B635, PlumX_snapshot!$A:$E, 5, FALSE), " ")</f>
        <v>39</v>
      </c>
      <c r="AA635" s="12">
        <f>IFERROR(VLOOKUP(B635, PlumX_snapshot!$A:$F, 6, FALSE), " ")</f>
        <v>2</v>
      </c>
      <c r="AB635" s="13">
        <v>44978</v>
      </c>
      <c r="AH635" s="9"/>
      <c r="AI635" s="9"/>
      <c r="AJ635" s="9"/>
      <c r="AK635" s="11" t="str">
        <f t="shared" si="4"/>
        <v>2017</v>
      </c>
      <c r="AL635" s="11" t="e">
        <f>VLOOKUP(AK635, Exchange_rates!$C:$D, 2, FALSE)</f>
        <v>#N/A</v>
      </c>
      <c r="AM635" s="14" t="str">
        <f t="shared" si="5"/>
        <v/>
      </c>
      <c r="AN635" s="9"/>
      <c r="AO635" s="9"/>
      <c r="AP635" s="9"/>
      <c r="AQ635" s="15" t="s">
        <v>49</v>
      </c>
      <c r="AR635" t="s">
        <v>3164</v>
      </c>
      <c r="AS635" s="16"/>
    </row>
    <row r="636" spans="1:45" ht="14.5">
      <c r="A636" s="9" t="s">
        <v>3165</v>
      </c>
      <c r="B636" s="9" t="s">
        <v>3166</v>
      </c>
      <c r="C636" s="9" t="s">
        <v>2998</v>
      </c>
      <c r="D636" s="9" t="s">
        <v>2830</v>
      </c>
      <c r="E636" s="9" t="s">
        <v>49</v>
      </c>
      <c r="F636" s="9" t="s">
        <v>69</v>
      </c>
      <c r="G636" s="9" t="s">
        <v>70</v>
      </c>
      <c r="H636" s="9" t="s">
        <v>2899</v>
      </c>
      <c r="I636" s="9" t="s">
        <v>72</v>
      </c>
      <c r="J636" s="10">
        <v>42504</v>
      </c>
      <c r="K636" s="10">
        <v>42860</v>
      </c>
      <c r="L636" s="10">
        <v>42867.548333333332</v>
      </c>
      <c r="M636" s="10">
        <v>42878</v>
      </c>
      <c r="N636" s="9">
        <v>2017</v>
      </c>
      <c r="O636" s="9" t="s">
        <v>2832</v>
      </c>
      <c r="P636" s="9" t="s">
        <v>53</v>
      </c>
      <c r="Q636" s="9" t="s">
        <v>53</v>
      </c>
      <c r="T636" s="9"/>
      <c r="V636" s="9"/>
      <c r="W636" s="11">
        <f>IFERROR(VLOOKUP(B636, PlumX_snapshot!$A:$B, 2, FALSE), " ")</f>
        <v>0</v>
      </c>
      <c r="X636" s="11">
        <f>IFERROR(VLOOKUP(B636, PlumX_snapshot!$A:$C, 3, FALSE), " ")</f>
        <v>3</v>
      </c>
      <c r="Y636" s="12">
        <f>IFERROR(VLOOKUP(B636, PlumX_snapshot!$A:$D, 4, FALSE), " ")</f>
        <v>0</v>
      </c>
      <c r="Z636" s="12">
        <f>IFERROR(VLOOKUP(B636, PlumX_snapshot!$A:$E, 5, FALSE), " ")</f>
        <v>0</v>
      </c>
      <c r="AA636" s="12">
        <f>IFERROR(VLOOKUP(B636, PlumX_snapshot!$A:$F, 6, FALSE), " ")</f>
        <v>0</v>
      </c>
      <c r="AB636" s="13">
        <v>44978</v>
      </c>
      <c r="AH636" s="9"/>
      <c r="AI636" s="9"/>
      <c r="AJ636" s="9"/>
      <c r="AK636" s="11" t="str">
        <f t="shared" si="4"/>
        <v>2017</v>
      </c>
      <c r="AL636" s="11" t="e">
        <f>VLOOKUP(AK636, Exchange_rates!$C:$D, 2, FALSE)</f>
        <v>#N/A</v>
      </c>
      <c r="AM636" s="14" t="str">
        <f t="shared" si="5"/>
        <v/>
      </c>
      <c r="AN636" s="9"/>
      <c r="AO636" s="9"/>
      <c r="AP636" s="9"/>
      <c r="AQ636" s="15" t="s">
        <v>49</v>
      </c>
      <c r="AR636" t="s">
        <v>2999</v>
      </c>
      <c r="AS636" s="16"/>
    </row>
    <row r="637" spans="1:45" ht="14.5">
      <c r="A637" s="9" t="s">
        <v>3167</v>
      </c>
      <c r="B637" s="9" t="s">
        <v>3168</v>
      </c>
      <c r="C637" s="9" t="s">
        <v>2983</v>
      </c>
      <c r="D637" s="9" t="s">
        <v>2830</v>
      </c>
      <c r="E637" s="9" t="s">
        <v>49</v>
      </c>
      <c r="F637" s="9" t="s">
        <v>69</v>
      </c>
      <c r="G637" s="9" t="s">
        <v>70</v>
      </c>
      <c r="H637" s="9" t="s">
        <v>2878</v>
      </c>
      <c r="I637" s="9" t="s">
        <v>72</v>
      </c>
      <c r="J637" s="10"/>
      <c r="K637" s="10">
        <v>44245</v>
      </c>
      <c r="L637" s="10">
        <v>44258.476458333331</v>
      </c>
      <c r="M637" s="10">
        <v>44296</v>
      </c>
      <c r="N637" s="9">
        <v>2021</v>
      </c>
      <c r="O637" s="9" t="s">
        <v>2832</v>
      </c>
      <c r="P637" s="9" t="s">
        <v>83</v>
      </c>
      <c r="Q637" s="9" t="s">
        <v>83</v>
      </c>
      <c r="R637" s="9" t="s">
        <v>3169</v>
      </c>
      <c r="T637" s="9"/>
      <c r="V637" s="9"/>
      <c r="W637" s="11">
        <f>IFERROR(VLOOKUP(B637, PlumX_snapshot!$A:$B, 2, FALSE), " ")</f>
        <v>14</v>
      </c>
      <c r="X637" s="11">
        <f>IFERROR(VLOOKUP(B637, PlumX_snapshot!$A:$C, 3, FALSE), " ")</f>
        <v>0</v>
      </c>
      <c r="Y637" s="12">
        <f>IFERROR(VLOOKUP(B637, PlumX_snapshot!$A:$D, 4, FALSE), " ")</f>
        <v>6</v>
      </c>
      <c r="Z637" s="12">
        <f>IFERROR(VLOOKUP(B637, PlumX_snapshot!$A:$E, 5, FALSE), " ")</f>
        <v>0</v>
      </c>
      <c r="AA637" s="12">
        <f>IFERROR(VLOOKUP(B637, PlumX_snapshot!$A:$F, 6, FALSE), " ")</f>
        <v>0</v>
      </c>
      <c r="AB637" s="13">
        <v>44978</v>
      </c>
      <c r="AH637" s="9">
        <v>2380</v>
      </c>
      <c r="AI637" s="9" t="s">
        <v>77</v>
      </c>
      <c r="AJ637" s="9" t="s">
        <v>1823</v>
      </c>
      <c r="AK637" s="11" t="str">
        <f t="shared" si="4"/>
        <v>2021EUR</v>
      </c>
      <c r="AL637" s="11">
        <f>VLOOKUP(AK637, Exchange_rates!$C:$D, 2, FALSE)</f>
        <v>0.8599</v>
      </c>
      <c r="AM637" s="14">
        <f t="shared" si="5"/>
        <v>2455.8743999999997</v>
      </c>
      <c r="AN637" s="9"/>
      <c r="AO637" s="9"/>
      <c r="AP637" s="9"/>
      <c r="AQ637" s="15" t="s">
        <v>49</v>
      </c>
      <c r="AR637" t="s">
        <v>2984</v>
      </c>
      <c r="AS637" s="16"/>
    </row>
    <row r="638" spans="1:45" ht="14.5">
      <c r="A638" s="9" t="s">
        <v>3170</v>
      </c>
      <c r="B638" s="9" t="s">
        <v>3171</v>
      </c>
      <c r="C638" s="9" t="s">
        <v>2987</v>
      </c>
      <c r="D638" s="9" t="s">
        <v>2830</v>
      </c>
      <c r="E638" s="9" t="s">
        <v>49</v>
      </c>
      <c r="F638" s="9" t="s">
        <v>69</v>
      </c>
      <c r="G638" s="9" t="s">
        <v>70</v>
      </c>
      <c r="H638" s="9" t="s">
        <v>2871</v>
      </c>
      <c r="I638" s="9" t="s">
        <v>72</v>
      </c>
      <c r="J638" s="10">
        <v>43569</v>
      </c>
      <c r="K638" s="10">
        <v>43846</v>
      </c>
      <c r="L638" s="10">
        <v>43851.498796296299</v>
      </c>
      <c r="M638" s="10">
        <v>43866</v>
      </c>
      <c r="N638" s="9">
        <v>2020</v>
      </c>
      <c r="O638" s="9" t="s">
        <v>2832</v>
      </c>
      <c r="P638" s="9" t="s">
        <v>53</v>
      </c>
      <c r="Q638" s="9" t="s">
        <v>53</v>
      </c>
      <c r="T638" s="9"/>
      <c r="V638" s="9"/>
      <c r="W638" s="11">
        <f>IFERROR(VLOOKUP(B638, PlumX_snapshot!$A:$B, 2, FALSE), " ")</f>
        <v>33</v>
      </c>
      <c r="X638" s="11">
        <f>IFERROR(VLOOKUP(B638, PlumX_snapshot!$A:$C, 3, FALSE), " ")</f>
        <v>4</v>
      </c>
      <c r="Y638" s="12">
        <f>IFERROR(VLOOKUP(B638, PlumX_snapshot!$A:$D, 4, FALSE), " ")</f>
        <v>67</v>
      </c>
      <c r="Z638" s="12">
        <f>IFERROR(VLOOKUP(B638, PlumX_snapshot!$A:$E, 5, FALSE), " ")</f>
        <v>0</v>
      </c>
      <c r="AA638" s="12">
        <f>IFERROR(VLOOKUP(B638, PlumX_snapshot!$A:$F, 6, FALSE), " ")</f>
        <v>1</v>
      </c>
      <c r="AB638" s="13">
        <v>44978</v>
      </c>
      <c r="AH638" s="9">
        <v>2289</v>
      </c>
      <c r="AI638" s="9" t="s">
        <v>77</v>
      </c>
      <c r="AJ638" s="9" t="s">
        <v>1823</v>
      </c>
      <c r="AK638" s="11" t="str">
        <f t="shared" si="4"/>
        <v>2020EUR</v>
      </c>
      <c r="AL638" s="11">
        <f>VLOOKUP(AK638, Exchange_rates!$C:$D, 2, FALSE)</f>
        <v>0.88970000000000005</v>
      </c>
      <c r="AM638" s="14">
        <f t="shared" si="5"/>
        <v>2443.8279600000001</v>
      </c>
      <c r="AN638" s="9"/>
      <c r="AO638" s="9"/>
      <c r="AP638" s="9"/>
      <c r="AQ638" s="15" t="s">
        <v>49</v>
      </c>
      <c r="AR638" t="s">
        <v>2989</v>
      </c>
      <c r="AS638" s="16"/>
    </row>
    <row r="639" spans="1:45" ht="14.5">
      <c r="A639" s="9" t="s">
        <v>3172</v>
      </c>
      <c r="B639" s="9" t="s">
        <v>3173</v>
      </c>
      <c r="C639" s="9" t="s">
        <v>3174</v>
      </c>
      <c r="D639" s="9" t="s">
        <v>2830</v>
      </c>
      <c r="E639" s="9" t="s">
        <v>49</v>
      </c>
      <c r="F639" s="9" t="s">
        <v>69</v>
      </c>
      <c r="G639" s="9" t="s">
        <v>70</v>
      </c>
      <c r="H639" s="9" t="s">
        <v>2841</v>
      </c>
      <c r="I639" s="9" t="s">
        <v>72</v>
      </c>
      <c r="J639" s="10">
        <v>43502</v>
      </c>
      <c r="K639" s="10">
        <v>43654</v>
      </c>
      <c r="L639" s="10">
        <v>43656.437222222223</v>
      </c>
      <c r="M639" s="10">
        <v>43666</v>
      </c>
      <c r="N639" s="9">
        <v>2019</v>
      </c>
      <c r="O639" s="9" t="s">
        <v>2832</v>
      </c>
      <c r="P639" s="9" t="s">
        <v>53</v>
      </c>
      <c r="Q639" s="9" t="s">
        <v>53</v>
      </c>
      <c r="T639" s="9"/>
      <c r="V639" s="9"/>
      <c r="W639" s="11">
        <f>IFERROR(VLOOKUP(B639, PlumX_snapshot!$A:$B, 2, FALSE), " ")</f>
        <v>33</v>
      </c>
      <c r="X639" s="11">
        <f>IFERROR(VLOOKUP(B639, PlumX_snapshot!$A:$C, 3, FALSE), " ")</f>
        <v>19</v>
      </c>
      <c r="Y639" s="12">
        <f>IFERROR(VLOOKUP(B639, PlumX_snapshot!$A:$D, 4, FALSE), " ")</f>
        <v>3</v>
      </c>
      <c r="Z639" s="12">
        <f>IFERROR(VLOOKUP(B639, PlumX_snapshot!$A:$E, 5, FALSE), " ")</f>
        <v>0</v>
      </c>
      <c r="AA639" s="12">
        <f>IFERROR(VLOOKUP(B639, PlumX_snapshot!$A:$F, 6, FALSE), " ")</f>
        <v>0</v>
      </c>
      <c r="AB639" s="13">
        <v>44978</v>
      </c>
      <c r="AH639" s="9"/>
      <c r="AI639" s="9"/>
      <c r="AJ639" s="9"/>
      <c r="AK639" s="11" t="str">
        <f t="shared" si="4"/>
        <v>2019</v>
      </c>
      <c r="AL639" s="11" t="e">
        <f>VLOOKUP(AK639, Exchange_rates!$C:$D, 2, FALSE)</f>
        <v>#N/A</v>
      </c>
      <c r="AM639" s="14" t="str">
        <f t="shared" si="5"/>
        <v/>
      </c>
      <c r="AN639" s="9"/>
      <c r="AO639" s="9"/>
      <c r="AP639" s="9"/>
      <c r="AQ639" s="15" t="s">
        <v>49</v>
      </c>
      <c r="AR639" t="s">
        <v>3175</v>
      </c>
      <c r="AS639" s="16"/>
    </row>
    <row r="640" spans="1:45" ht="14.5">
      <c r="A640" s="9" t="s">
        <v>3176</v>
      </c>
      <c r="B640" s="9" t="s">
        <v>3177</v>
      </c>
      <c r="C640" s="9" t="s">
        <v>3178</v>
      </c>
      <c r="D640" s="9" t="s">
        <v>2830</v>
      </c>
      <c r="E640" s="9" t="s">
        <v>49</v>
      </c>
      <c r="F640" s="9" t="s">
        <v>69</v>
      </c>
      <c r="G640" s="9" t="s">
        <v>70</v>
      </c>
      <c r="H640" s="9" t="s">
        <v>2841</v>
      </c>
      <c r="I640" s="9" t="s">
        <v>72</v>
      </c>
      <c r="J640" s="10">
        <v>43314</v>
      </c>
      <c r="K640" s="10">
        <v>43643</v>
      </c>
      <c r="L640" s="10">
        <v>43648.434236111112</v>
      </c>
      <c r="M640" s="10">
        <v>43669</v>
      </c>
      <c r="N640" s="9">
        <v>2019</v>
      </c>
      <c r="O640" s="9" t="s">
        <v>2832</v>
      </c>
      <c r="P640" s="9" t="s">
        <v>53</v>
      </c>
      <c r="Q640" s="9" t="s">
        <v>53</v>
      </c>
      <c r="T640" s="9"/>
      <c r="V640" s="9"/>
      <c r="W640" s="11">
        <f>IFERROR(VLOOKUP(B640, PlumX_snapshot!$A:$B, 2, FALSE), " ")</f>
        <v>173</v>
      </c>
      <c r="X640" s="11">
        <f>IFERROR(VLOOKUP(B640, PlumX_snapshot!$A:$C, 3, FALSE), " ")</f>
        <v>43</v>
      </c>
      <c r="Y640" s="12">
        <f>IFERROR(VLOOKUP(B640, PlumX_snapshot!$A:$D, 4, FALSE), " ")</f>
        <v>18</v>
      </c>
      <c r="Z640" s="12">
        <f>IFERROR(VLOOKUP(B640, PlumX_snapshot!$A:$E, 5, FALSE), " ")</f>
        <v>0</v>
      </c>
      <c r="AA640" s="12">
        <f>IFERROR(VLOOKUP(B640, PlumX_snapshot!$A:$F, 6, FALSE), " ")</f>
        <v>0</v>
      </c>
      <c r="AB640" s="13">
        <v>44978</v>
      </c>
      <c r="AH640" s="9"/>
      <c r="AI640" s="9"/>
      <c r="AJ640" s="9"/>
      <c r="AK640" s="11" t="str">
        <f t="shared" si="4"/>
        <v>2019</v>
      </c>
      <c r="AL640" s="11" t="e">
        <f>VLOOKUP(AK640, Exchange_rates!$C:$D, 2, FALSE)</f>
        <v>#N/A</v>
      </c>
      <c r="AM640" s="14" t="str">
        <f t="shared" si="5"/>
        <v/>
      </c>
      <c r="AN640" s="9"/>
      <c r="AO640" s="9"/>
      <c r="AP640" s="9"/>
      <c r="AQ640" s="15" t="s">
        <v>49</v>
      </c>
      <c r="AR640" t="s">
        <v>3179</v>
      </c>
      <c r="AS640" s="16"/>
    </row>
    <row r="641" spans="1:45" ht="14.5">
      <c r="A641" s="9" t="s">
        <v>3180</v>
      </c>
      <c r="B641" s="9" t="s">
        <v>3181</v>
      </c>
      <c r="C641" s="9" t="s">
        <v>2953</v>
      </c>
      <c r="D641" s="9" t="s">
        <v>2830</v>
      </c>
      <c r="E641" s="9" t="s">
        <v>49</v>
      </c>
      <c r="F641" s="9" t="s">
        <v>69</v>
      </c>
      <c r="G641" s="9" t="s">
        <v>70</v>
      </c>
      <c r="H641" s="9" t="s">
        <v>2871</v>
      </c>
      <c r="I641" s="9" t="s">
        <v>72</v>
      </c>
      <c r="J641" s="10">
        <v>43990</v>
      </c>
      <c r="K641" s="10">
        <v>44098</v>
      </c>
      <c r="L641" s="10">
        <v>44103.425138888888</v>
      </c>
      <c r="M641" s="28">
        <v>44123</v>
      </c>
      <c r="N641" s="9">
        <v>2020</v>
      </c>
      <c r="O641" s="9" t="s">
        <v>2832</v>
      </c>
      <c r="P641" s="9" t="s">
        <v>53</v>
      </c>
      <c r="Q641" s="9" t="s">
        <v>53</v>
      </c>
      <c r="T641" s="9"/>
      <c r="V641" s="9"/>
      <c r="W641" s="11">
        <f>IFERROR(VLOOKUP(B641, PlumX_snapshot!$A:$B, 2, FALSE), " ")</f>
        <v>2</v>
      </c>
      <c r="X641" s="11">
        <f>IFERROR(VLOOKUP(B641, PlumX_snapshot!$A:$C, 3, FALSE), " ")</f>
        <v>4</v>
      </c>
      <c r="Y641" s="12">
        <f>IFERROR(VLOOKUP(B641, PlumX_snapshot!$A:$D, 4, FALSE), " ")</f>
        <v>0</v>
      </c>
      <c r="Z641" s="12">
        <f>IFERROR(VLOOKUP(B641, PlumX_snapshot!$A:$E, 5, FALSE), " ")</f>
        <v>0</v>
      </c>
      <c r="AA641" s="12">
        <f>IFERROR(VLOOKUP(B641, PlumX_snapshot!$A:$F, 6, FALSE), " ")</f>
        <v>0</v>
      </c>
      <c r="AB641" s="13">
        <v>44978</v>
      </c>
      <c r="AH641" s="9">
        <v>2289</v>
      </c>
      <c r="AI641" s="9" t="s">
        <v>77</v>
      </c>
      <c r="AJ641" s="9" t="s">
        <v>1823</v>
      </c>
      <c r="AK641" s="11" t="str">
        <f t="shared" si="4"/>
        <v>2020EUR</v>
      </c>
      <c r="AL641" s="11">
        <f>VLOOKUP(AK641, Exchange_rates!$C:$D, 2, FALSE)</f>
        <v>0.88970000000000005</v>
      </c>
      <c r="AM641" s="14">
        <f t="shared" si="5"/>
        <v>2443.8279600000001</v>
      </c>
      <c r="AN641" s="9"/>
      <c r="AO641" s="9"/>
      <c r="AP641" s="9"/>
      <c r="AQ641" s="15" t="s">
        <v>49</v>
      </c>
      <c r="AR641" t="s">
        <v>2954</v>
      </c>
      <c r="AS641" s="16"/>
    </row>
    <row r="642" spans="1:45" ht="14.5">
      <c r="A642" s="9" t="s">
        <v>3182</v>
      </c>
      <c r="B642" s="9" t="s">
        <v>3183</v>
      </c>
      <c r="C642" s="9" t="s">
        <v>2929</v>
      </c>
      <c r="D642" s="9" t="s">
        <v>2830</v>
      </c>
      <c r="E642" s="9" t="s">
        <v>49</v>
      </c>
      <c r="F642" s="9" t="s">
        <v>69</v>
      </c>
      <c r="G642" s="9" t="s">
        <v>70</v>
      </c>
      <c r="H642" s="9" t="s">
        <v>2841</v>
      </c>
      <c r="I642" s="9" t="s">
        <v>72</v>
      </c>
      <c r="J642" s="10"/>
      <c r="K642" s="10"/>
      <c r="L642" s="10">
        <v>43630.424861111111</v>
      </c>
      <c r="M642" s="10">
        <v>43668</v>
      </c>
      <c r="N642" s="9">
        <v>2019</v>
      </c>
      <c r="O642" s="9" t="s">
        <v>2832</v>
      </c>
      <c r="P642" s="9" t="s">
        <v>53</v>
      </c>
      <c r="Q642" s="9" t="s">
        <v>53</v>
      </c>
      <c r="T642" s="9"/>
      <c r="V642" s="9"/>
      <c r="W642" s="11">
        <f>IFERROR(VLOOKUP(B642, PlumX_snapshot!$A:$B, 2, FALSE), " ")</f>
        <v>108</v>
      </c>
      <c r="X642" s="11">
        <f>IFERROR(VLOOKUP(B642, PlumX_snapshot!$A:$C, 3, FALSE), " ")</f>
        <v>15</v>
      </c>
      <c r="Y642" s="12">
        <f>IFERROR(VLOOKUP(B642, PlumX_snapshot!$A:$D, 4, FALSE), " ")</f>
        <v>70</v>
      </c>
      <c r="Z642" s="12">
        <f>IFERROR(VLOOKUP(B642, PlumX_snapshot!$A:$E, 5, FALSE), " ")</f>
        <v>49</v>
      </c>
      <c r="AA642" s="12">
        <f>IFERROR(VLOOKUP(B642, PlumX_snapshot!$A:$F, 6, FALSE), " ")</f>
        <v>5</v>
      </c>
      <c r="AB642" s="13">
        <v>44978</v>
      </c>
      <c r="AH642" s="9"/>
      <c r="AI642" s="9"/>
      <c r="AJ642" s="9"/>
      <c r="AK642" s="11" t="str">
        <f t="shared" si="4"/>
        <v>2019</v>
      </c>
      <c r="AL642" s="11" t="e">
        <f>VLOOKUP(AK642, Exchange_rates!$C:$D, 2, FALSE)</f>
        <v>#N/A</v>
      </c>
      <c r="AM642" s="14" t="str">
        <f t="shared" si="5"/>
        <v/>
      </c>
      <c r="AN642" s="9"/>
      <c r="AO642" s="9"/>
      <c r="AP642" s="9"/>
      <c r="AQ642" s="15" t="s">
        <v>49</v>
      </c>
      <c r="AR642" t="s">
        <v>2930</v>
      </c>
      <c r="AS642" s="16"/>
    </row>
    <row r="643" spans="1:45" ht="14.5">
      <c r="A643" s="9" t="s">
        <v>3184</v>
      </c>
      <c r="B643" s="9" t="s">
        <v>3185</v>
      </c>
      <c r="C643" s="9" t="s">
        <v>3137</v>
      </c>
      <c r="D643" s="9" t="s">
        <v>2830</v>
      </c>
      <c r="E643" s="9" t="s">
        <v>49</v>
      </c>
      <c r="F643" s="9" t="s">
        <v>69</v>
      </c>
      <c r="G643" s="9" t="s">
        <v>70</v>
      </c>
      <c r="H643" s="9" t="s">
        <v>2841</v>
      </c>
      <c r="I643" s="9" t="s">
        <v>72</v>
      </c>
      <c r="J643" s="10"/>
      <c r="K643" s="10"/>
      <c r="L643" s="10">
        <v>43677.448078703703</v>
      </c>
      <c r="M643" s="10">
        <v>43693</v>
      </c>
      <c r="N643" s="9">
        <v>2019</v>
      </c>
      <c r="O643" s="9" t="s">
        <v>2832</v>
      </c>
      <c r="P643" s="9" t="s">
        <v>53</v>
      </c>
      <c r="Q643" s="9" t="s">
        <v>53</v>
      </c>
      <c r="T643" s="9"/>
      <c r="V643" s="9"/>
      <c r="W643" s="11">
        <f>IFERROR(VLOOKUP(B643, PlumX_snapshot!$A:$B, 2, FALSE), " ")</f>
        <v>179</v>
      </c>
      <c r="X643" s="11">
        <f>IFERROR(VLOOKUP(B643, PlumX_snapshot!$A:$C, 3, FALSE), " ")</f>
        <v>54</v>
      </c>
      <c r="Y643" s="12">
        <f>IFERROR(VLOOKUP(B643, PlumX_snapshot!$A:$D, 4, FALSE), " ")</f>
        <v>23</v>
      </c>
      <c r="Z643" s="12">
        <f>IFERROR(VLOOKUP(B643, PlumX_snapshot!$A:$E, 5, FALSE), " ")</f>
        <v>83</v>
      </c>
      <c r="AA643" s="12">
        <f>IFERROR(VLOOKUP(B643, PlumX_snapshot!$A:$F, 6, FALSE), " ")</f>
        <v>0</v>
      </c>
      <c r="AB643" s="13">
        <v>44978</v>
      </c>
      <c r="AH643" s="9"/>
      <c r="AI643" s="9"/>
      <c r="AJ643" s="9"/>
      <c r="AK643" s="11" t="str">
        <f t="shared" si="4"/>
        <v>2019</v>
      </c>
      <c r="AL643" s="11" t="e">
        <f>VLOOKUP(AK643, Exchange_rates!$C:$D, 2, FALSE)</f>
        <v>#N/A</v>
      </c>
      <c r="AM643" s="14" t="str">
        <f t="shared" si="5"/>
        <v/>
      </c>
      <c r="AN643" s="9"/>
      <c r="AO643" s="9"/>
      <c r="AP643" s="9"/>
      <c r="AQ643" s="15" t="s">
        <v>49</v>
      </c>
      <c r="AR643" t="s">
        <v>3139</v>
      </c>
      <c r="AS643" s="16"/>
    </row>
    <row r="644" spans="1:45" ht="14.5">
      <c r="A644" s="9" t="s">
        <v>3186</v>
      </c>
      <c r="B644" s="9" t="s">
        <v>3187</v>
      </c>
      <c r="C644" s="9" t="s">
        <v>3188</v>
      </c>
      <c r="D644" s="9" t="s">
        <v>2830</v>
      </c>
      <c r="E644" s="9" t="s">
        <v>49</v>
      </c>
      <c r="F644" s="9" t="s">
        <v>69</v>
      </c>
      <c r="G644" s="9" t="s">
        <v>70</v>
      </c>
      <c r="H644" s="9" t="s">
        <v>2841</v>
      </c>
      <c r="I644" s="9" t="s">
        <v>72</v>
      </c>
      <c r="J644" s="10"/>
      <c r="K644" s="10"/>
      <c r="L644" s="10">
        <v>43633.372523148151</v>
      </c>
      <c r="M644" s="10">
        <v>43697</v>
      </c>
      <c r="N644" s="9">
        <v>2019</v>
      </c>
      <c r="O644" s="9" t="s">
        <v>2832</v>
      </c>
      <c r="P644" s="9" t="s">
        <v>53</v>
      </c>
      <c r="Q644" s="9" t="s">
        <v>53</v>
      </c>
      <c r="T644" s="9"/>
      <c r="V644" s="9"/>
      <c r="W644" s="11">
        <f>IFERROR(VLOOKUP(B644, PlumX_snapshot!$A:$B, 2, FALSE), " ")</f>
        <v>3</v>
      </c>
      <c r="X644" s="11">
        <f>IFERROR(VLOOKUP(B644, PlumX_snapshot!$A:$C, 3, FALSE), " ")</f>
        <v>2</v>
      </c>
      <c r="Y644" s="12">
        <f>IFERROR(VLOOKUP(B644, PlumX_snapshot!$A:$D, 4, FALSE), " ")</f>
        <v>43</v>
      </c>
      <c r="Z644" s="12">
        <f>IFERROR(VLOOKUP(B644, PlumX_snapshot!$A:$E, 5, FALSE), " ")</f>
        <v>0</v>
      </c>
      <c r="AA644" s="12">
        <f>IFERROR(VLOOKUP(B644, PlumX_snapshot!$A:$F, 6, FALSE), " ")</f>
        <v>0</v>
      </c>
      <c r="AB644" s="13">
        <v>44978</v>
      </c>
      <c r="AH644" s="9"/>
      <c r="AI644" s="9"/>
      <c r="AJ644" s="9"/>
      <c r="AK644" s="11" t="str">
        <f t="shared" si="4"/>
        <v>2019</v>
      </c>
      <c r="AL644" s="11" t="e">
        <f>VLOOKUP(AK644, Exchange_rates!$C:$D, 2, FALSE)</f>
        <v>#N/A</v>
      </c>
      <c r="AM644" s="14" t="str">
        <f t="shared" si="5"/>
        <v/>
      </c>
      <c r="AN644" s="9"/>
      <c r="AO644" s="9"/>
      <c r="AP644" s="9"/>
      <c r="AQ644" s="15" t="s">
        <v>49</v>
      </c>
      <c r="AR644" t="s">
        <v>3189</v>
      </c>
      <c r="AS644" s="16"/>
    </row>
    <row r="645" spans="1:45" ht="14.5">
      <c r="A645" s="9" t="s">
        <v>3190</v>
      </c>
      <c r="B645" s="9" t="s">
        <v>3191</v>
      </c>
      <c r="C645" s="9" t="s">
        <v>2929</v>
      </c>
      <c r="D645" s="9" t="s">
        <v>2830</v>
      </c>
      <c r="E645" s="9" t="s">
        <v>49</v>
      </c>
      <c r="F645" s="9" t="s">
        <v>69</v>
      </c>
      <c r="G645" s="9" t="s">
        <v>70</v>
      </c>
      <c r="H645" s="9" t="s">
        <v>2831</v>
      </c>
      <c r="I645" s="9" t="s">
        <v>72</v>
      </c>
      <c r="J645" s="10"/>
      <c r="K645" s="10"/>
      <c r="L645" s="10">
        <v>43132.670891203707</v>
      </c>
      <c r="M645" s="10">
        <v>43139</v>
      </c>
      <c r="N645" s="9">
        <v>2018</v>
      </c>
      <c r="O645" s="9" t="s">
        <v>2832</v>
      </c>
      <c r="P645" s="9" t="s">
        <v>53</v>
      </c>
      <c r="Q645" s="9" t="s">
        <v>53</v>
      </c>
      <c r="T645" s="9"/>
      <c r="V645" s="9"/>
      <c r="W645" s="11">
        <f>IFERROR(VLOOKUP(B645, PlumX_snapshot!$A:$B, 2, FALSE), " ")</f>
        <v>212</v>
      </c>
      <c r="X645" s="11">
        <f>IFERROR(VLOOKUP(B645, PlumX_snapshot!$A:$C, 3, FALSE), " ")</f>
        <v>22</v>
      </c>
      <c r="Y645" s="12">
        <f>IFERROR(VLOOKUP(B645, PlumX_snapshot!$A:$D, 4, FALSE), " ")</f>
        <v>24</v>
      </c>
      <c r="Z645" s="12">
        <f>IFERROR(VLOOKUP(B645, PlumX_snapshot!$A:$E, 5, FALSE), " ")</f>
        <v>1688</v>
      </c>
      <c r="AA645" s="12">
        <f>IFERROR(VLOOKUP(B645, PlumX_snapshot!$A:$F, 6, FALSE), " ")</f>
        <v>1</v>
      </c>
      <c r="AB645" s="13">
        <v>44978</v>
      </c>
      <c r="AH645" s="9"/>
      <c r="AI645" s="9"/>
      <c r="AJ645" s="9"/>
      <c r="AK645" s="11" t="str">
        <f t="shared" si="4"/>
        <v>2018</v>
      </c>
      <c r="AL645" s="11" t="e">
        <f>VLOOKUP(AK645, Exchange_rates!$C:$D, 2, FALSE)</f>
        <v>#N/A</v>
      </c>
      <c r="AM645" s="14" t="str">
        <f t="shared" si="5"/>
        <v/>
      </c>
      <c r="AN645" s="9"/>
      <c r="AO645" s="9"/>
      <c r="AP645" s="9"/>
      <c r="AQ645" s="15" t="s">
        <v>49</v>
      </c>
      <c r="AR645" t="s">
        <v>2930</v>
      </c>
      <c r="AS645" s="16"/>
    </row>
    <row r="646" spans="1:45" ht="14.5">
      <c r="A646" s="9" t="s">
        <v>3192</v>
      </c>
      <c r="B646" s="9" t="s">
        <v>3193</v>
      </c>
      <c r="C646" s="9" t="s">
        <v>3194</v>
      </c>
      <c r="D646" s="9" t="s">
        <v>2830</v>
      </c>
      <c r="E646" s="9" t="s">
        <v>49</v>
      </c>
      <c r="F646" s="9" t="s">
        <v>69</v>
      </c>
      <c r="G646" s="9" t="s">
        <v>70</v>
      </c>
      <c r="H646" s="9" t="s">
        <v>2831</v>
      </c>
      <c r="I646" s="9" t="s">
        <v>72</v>
      </c>
      <c r="J646" s="10">
        <v>42955</v>
      </c>
      <c r="K646" s="10">
        <v>43105</v>
      </c>
      <c r="L646" s="10">
        <v>43108.727719907409</v>
      </c>
      <c r="M646" s="10">
        <v>43134</v>
      </c>
      <c r="N646" s="9">
        <v>2018</v>
      </c>
      <c r="O646" s="9" t="s">
        <v>2832</v>
      </c>
      <c r="P646" s="9" t="s">
        <v>53</v>
      </c>
      <c r="Q646" s="9" t="s">
        <v>53</v>
      </c>
      <c r="T646" s="9"/>
      <c r="V646" s="9"/>
      <c r="W646" s="11">
        <f>IFERROR(VLOOKUP(B646, PlumX_snapshot!$A:$B, 2, FALSE), " ")</f>
        <v>46</v>
      </c>
      <c r="X646" s="11">
        <f>IFERROR(VLOOKUP(B646, PlumX_snapshot!$A:$C, 3, FALSE), " ")</f>
        <v>10</v>
      </c>
      <c r="Y646" s="12">
        <f>IFERROR(VLOOKUP(B646, PlumX_snapshot!$A:$D, 4, FALSE), " ")</f>
        <v>10</v>
      </c>
      <c r="Z646" s="12">
        <f>IFERROR(VLOOKUP(B646, PlumX_snapshot!$A:$E, 5, FALSE), " ")</f>
        <v>360</v>
      </c>
      <c r="AA646" s="12">
        <f>IFERROR(VLOOKUP(B646, PlumX_snapshot!$A:$F, 6, FALSE), " ")</f>
        <v>1</v>
      </c>
      <c r="AB646" s="13">
        <v>44978</v>
      </c>
      <c r="AH646" s="9"/>
      <c r="AI646" s="9"/>
      <c r="AJ646" s="9"/>
      <c r="AK646" s="11" t="str">
        <f t="shared" si="4"/>
        <v>2018</v>
      </c>
      <c r="AL646" s="11" t="e">
        <f>VLOOKUP(AK646, Exchange_rates!$C:$D, 2, FALSE)</f>
        <v>#N/A</v>
      </c>
      <c r="AM646" s="14" t="str">
        <f t="shared" si="5"/>
        <v/>
      </c>
      <c r="AN646" s="9"/>
      <c r="AO646" s="9"/>
      <c r="AP646" s="9"/>
      <c r="AQ646" s="15" t="s">
        <v>49</v>
      </c>
      <c r="AR646" t="s">
        <v>3195</v>
      </c>
      <c r="AS646" s="16"/>
    </row>
    <row r="647" spans="1:45" ht="14.5">
      <c r="A647" s="9" t="s">
        <v>3196</v>
      </c>
      <c r="B647" s="9" t="s">
        <v>3197</v>
      </c>
      <c r="C647" s="9" t="s">
        <v>2929</v>
      </c>
      <c r="D647" s="9" t="s">
        <v>2830</v>
      </c>
      <c r="E647" s="9" t="s">
        <v>49</v>
      </c>
      <c r="F647" s="9" t="s">
        <v>69</v>
      </c>
      <c r="G647" s="9" t="s">
        <v>70</v>
      </c>
      <c r="H647" s="9" t="s">
        <v>2831</v>
      </c>
      <c r="I647" s="9" t="s">
        <v>72</v>
      </c>
      <c r="J647" s="10"/>
      <c r="K647" s="10"/>
      <c r="L647" s="10">
        <v>43140.494131944448</v>
      </c>
      <c r="M647" s="10">
        <v>43147</v>
      </c>
      <c r="N647" s="9">
        <v>2018</v>
      </c>
      <c r="O647" s="9" t="s">
        <v>2832</v>
      </c>
      <c r="P647" s="9" t="s">
        <v>53</v>
      </c>
      <c r="Q647" s="9" t="s">
        <v>53</v>
      </c>
      <c r="T647" s="9"/>
      <c r="V647" s="9"/>
      <c r="W647" s="11">
        <f>IFERROR(VLOOKUP(B647, PlumX_snapshot!$A:$B, 2, FALSE), " ")</f>
        <v>157</v>
      </c>
      <c r="X647" s="11">
        <f>IFERROR(VLOOKUP(B647, PlumX_snapshot!$A:$C, 3, FALSE), " ")</f>
        <v>13</v>
      </c>
      <c r="Y647" s="12">
        <f>IFERROR(VLOOKUP(B647, PlumX_snapshot!$A:$D, 4, FALSE), " ")</f>
        <v>4</v>
      </c>
      <c r="Z647" s="12">
        <f>IFERROR(VLOOKUP(B647, PlumX_snapshot!$A:$E, 5, FALSE), " ")</f>
        <v>1208</v>
      </c>
      <c r="AA647" s="12">
        <f>IFERROR(VLOOKUP(B647, PlumX_snapshot!$A:$F, 6, FALSE), " ")</f>
        <v>0</v>
      </c>
      <c r="AB647" s="13">
        <v>44978</v>
      </c>
      <c r="AH647" s="9"/>
      <c r="AI647" s="9"/>
      <c r="AJ647" s="9"/>
      <c r="AK647" s="11" t="str">
        <f t="shared" si="4"/>
        <v>2018</v>
      </c>
      <c r="AL647" s="11" t="e">
        <f>VLOOKUP(AK647, Exchange_rates!$C:$D, 2, FALSE)</f>
        <v>#N/A</v>
      </c>
      <c r="AM647" s="14" t="str">
        <f t="shared" si="5"/>
        <v/>
      </c>
      <c r="AN647" s="9"/>
      <c r="AO647" s="9"/>
      <c r="AP647" s="9"/>
      <c r="AQ647" s="15" t="s">
        <v>49</v>
      </c>
      <c r="AR647" t="s">
        <v>2930</v>
      </c>
      <c r="AS647" s="16"/>
    </row>
    <row r="648" spans="1:45" ht="14.5">
      <c r="A648" s="9" t="s">
        <v>3198</v>
      </c>
      <c r="B648" s="9" t="s">
        <v>3199</v>
      </c>
      <c r="C648" s="9" t="s">
        <v>3200</v>
      </c>
      <c r="D648" s="9" t="s">
        <v>2830</v>
      </c>
      <c r="E648" s="9" t="s">
        <v>49</v>
      </c>
      <c r="F648" s="9" t="s">
        <v>69</v>
      </c>
      <c r="G648" s="9" t="s">
        <v>70</v>
      </c>
      <c r="H648" s="9" t="s">
        <v>2871</v>
      </c>
      <c r="I648" s="9" t="s">
        <v>72</v>
      </c>
      <c r="J648" s="10">
        <v>43608</v>
      </c>
      <c r="K648" s="10">
        <v>43853</v>
      </c>
      <c r="L648" s="10">
        <v>43860.576793981483</v>
      </c>
      <c r="M648" s="10">
        <v>43888</v>
      </c>
      <c r="N648" s="9">
        <v>2020</v>
      </c>
      <c r="O648" s="9" t="s">
        <v>2832</v>
      </c>
      <c r="P648" s="9" t="s">
        <v>53</v>
      </c>
      <c r="Q648" s="9" t="s">
        <v>53</v>
      </c>
      <c r="T648" s="9"/>
      <c r="V648" s="9"/>
      <c r="W648" s="11">
        <f>IFERROR(VLOOKUP(B648, PlumX_snapshot!$A:$B, 2, FALSE), " ")</f>
        <v>36</v>
      </c>
      <c r="X648" s="11">
        <f>IFERROR(VLOOKUP(B648, PlumX_snapshot!$A:$C, 3, FALSE), " ")</f>
        <v>4</v>
      </c>
      <c r="Y648" s="12">
        <f>IFERROR(VLOOKUP(B648, PlumX_snapshot!$A:$D, 4, FALSE), " ")</f>
        <v>14</v>
      </c>
      <c r="Z648" s="12">
        <f>IFERROR(VLOOKUP(B648, PlumX_snapshot!$A:$E, 5, FALSE), " ")</f>
        <v>0</v>
      </c>
      <c r="AA648" s="12">
        <f>IFERROR(VLOOKUP(B648, PlumX_snapshot!$A:$F, 6, FALSE), " ")</f>
        <v>0</v>
      </c>
      <c r="AB648" s="13">
        <v>44978</v>
      </c>
      <c r="AH648" s="9">
        <v>2289</v>
      </c>
      <c r="AI648" s="9" t="s">
        <v>77</v>
      </c>
      <c r="AJ648" s="9" t="s">
        <v>1823</v>
      </c>
      <c r="AK648" s="11" t="str">
        <f t="shared" si="4"/>
        <v>2020EUR</v>
      </c>
      <c r="AL648" s="11">
        <f>VLOOKUP(AK648, Exchange_rates!$C:$D, 2, FALSE)</f>
        <v>0.88970000000000005</v>
      </c>
      <c r="AM648" s="14">
        <f t="shared" si="5"/>
        <v>2443.8279600000001</v>
      </c>
      <c r="AN648" s="9"/>
      <c r="AO648" s="9"/>
      <c r="AP648" s="9"/>
      <c r="AQ648" s="15" t="s">
        <v>49</v>
      </c>
      <c r="AR648" t="s">
        <v>3201</v>
      </c>
      <c r="AS648" s="16"/>
    </row>
    <row r="649" spans="1:45" ht="14.5">
      <c r="A649" s="9" t="s">
        <v>3202</v>
      </c>
      <c r="B649" s="9" t="s">
        <v>3203</v>
      </c>
      <c r="C649" s="9" t="s">
        <v>3178</v>
      </c>
      <c r="D649" s="9" t="s">
        <v>2830</v>
      </c>
      <c r="E649" s="9" t="s">
        <v>49</v>
      </c>
      <c r="F649" s="9" t="s">
        <v>69</v>
      </c>
      <c r="G649" s="9" t="s">
        <v>70</v>
      </c>
      <c r="H649" s="9" t="s">
        <v>2841</v>
      </c>
      <c r="I649" s="9" t="s">
        <v>72</v>
      </c>
      <c r="J649" s="10">
        <v>43308</v>
      </c>
      <c r="K649" s="10">
        <v>43558</v>
      </c>
      <c r="L649" s="10">
        <v>43559.568831018521</v>
      </c>
      <c r="M649" s="10">
        <v>43589</v>
      </c>
      <c r="N649" s="9">
        <v>2019</v>
      </c>
      <c r="O649" s="9" t="s">
        <v>2832</v>
      </c>
      <c r="P649" s="9" t="s">
        <v>53</v>
      </c>
      <c r="Q649" s="9" t="s">
        <v>53</v>
      </c>
      <c r="T649" s="9"/>
      <c r="V649" s="9"/>
      <c r="W649" s="11">
        <f>IFERROR(VLOOKUP(B649, PlumX_snapshot!$A:$B, 2, FALSE), " ")</f>
        <v>104</v>
      </c>
      <c r="X649" s="11">
        <f>IFERROR(VLOOKUP(B649, PlumX_snapshot!$A:$C, 3, FALSE), " ")</f>
        <v>21</v>
      </c>
      <c r="Y649" s="12">
        <f>IFERROR(VLOOKUP(B649, PlumX_snapshot!$A:$D, 4, FALSE), " ")</f>
        <v>29</v>
      </c>
      <c r="Z649" s="12">
        <f>IFERROR(VLOOKUP(B649, PlumX_snapshot!$A:$E, 5, FALSE), " ")</f>
        <v>0</v>
      </c>
      <c r="AA649" s="12">
        <f>IFERROR(VLOOKUP(B649, PlumX_snapshot!$A:$F, 6, FALSE), " ")</f>
        <v>1</v>
      </c>
      <c r="AB649" s="13">
        <v>44978</v>
      </c>
      <c r="AH649" s="9"/>
      <c r="AI649" s="9"/>
      <c r="AJ649" s="9"/>
      <c r="AK649" s="11" t="str">
        <f t="shared" si="4"/>
        <v>2019</v>
      </c>
      <c r="AL649" s="11" t="e">
        <f>VLOOKUP(AK649, Exchange_rates!$C:$D, 2, FALSE)</f>
        <v>#N/A</v>
      </c>
      <c r="AM649" s="14" t="str">
        <f t="shared" si="5"/>
        <v/>
      </c>
      <c r="AN649" s="9"/>
      <c r="AO649" s="9"/>
      <c r="AP649" s="9"/>
      <c r="AQ649" s="15" t="s">
        <v>49</v>
      </c>
      <c r="AR649" t="s">
        <v>3179</v>
      </c>
      <c r="AS649" s="16"/>
    </row>
    <row r="650" spans="1:45" ht="14.5">
      <c r="A650" s="9" t="s">
        <v>3204</v>
      </c>
      <c r="B650" s="9" t="s">
        <v>3205</v>
      </c>
      <c r="C650" s="9" t="s">
        <v>3206</v>
      </c>
      <c r="D650" s="9" t="s">
        <v>2830</v>
      </c>
      <c r="E650" s="9" t="s">
        <v>49</v>
      </c>
      <c r="F650" s="9" t="s">
        <v>69</v>
      </c>
      <c r="G650" s="9" t="s">
        <v>70</v>
      </c>
      <c r="H650" s="9" t="s">
        <v>2871</v>
      </c>
      <c r="I650" s="9" t="s">
        <v>72</v>
      </c>
      <c r="J650" s="10">
        <v>43636</v>
      </c>
      <c r="K650" s="10">
        <v>43839</v>
      </c>
      <c r="L650" s="10">
        <v>43843.562523148146</v>
      </c>
      <c r="M650" s="10">
        <v>43862</v>
      </c>
      <c r="N650" s="9">
        <v>2020</v>
      </c>
      <c r="O650" s="9" t="s">
        <v>2832</v>
      </c>
      <c r="P650" s="9" t="s">
        <v>53</v>
      </c>
      <c r="Q650" s="9" t="s">
        <v>53</v>
      </c>
      <c r="T650" s="9"/>
      <c r="V650" s="9"/>
      <c r="W650" s="11">
        <f>IFERROR(VLOOKUP(B650, PlumX_snapshot!$A:$B, 2, FALSE), " ")</f>
        <v>64</v>
      </c>
      <c r="X650" s="11">
        <f>IFERROR(VLOOKUP(B650, PlumX_snapshot!$A:$C, 3, FALSE), " ")</f>
        <v>43</v>
      </c>
      <c r="Y650" s="12">
        <f>IFERROR(VLOOKUP(B650, PlumX_snapshot!$A:$D, 4, FALSE), " ")</f>
        <v>8</v>
      </c>
      <c r="Z650" s="12">
        <f>IFERROR(VLOOKUP(B650, PlumX_snapshot!$A:$E, 5, FALSE), " ")</f>
        <v>0</v>
      </c>
      <c r="AA650" s="12">
        <f>IFERROR(VLOOKUP(B650, PlumX_snapshot!$A:$F, 6, FALSE), " ")</f>
        <v>0</v>
      </c>
      <c r="AB650" s="13">
        <v>44978</v>
      </c>
      <c r="AH650" s="9">
        <v>2289</v>
      </c>
      <c r="AI650" s="9" t="s">
        <v>77</v>
      </c>
      <c r="AJ650" s="9" t="s">
        <v>1823</v>
      </c>
      <c r="AK650" s="11" t="str">
        <f t="shared" si="4"/>
        <v>2020EUR</v>
      </c>
      <c r="AL650" s="11">
        <f>VLOOKUP(AK650, Exchange_rates!$C:$D, 2, FALSE)</f>
        <v>0.88970000000000005</v>
      </c>
      <c r="AM650" s="14">
        <f t="shared" si="5"/>
        <v>2443.8279600000001</v>
      </c>
      <c r="AN650" s="9"/>
      <c r="AO650" s="9"/>
      <c r="AP650" s="9"/>
      <c r="AQ650" s="15" t="s">
        <v>49</v>
      </c>
      <c r="AR650" t="s">
        <v>3207</v>
      </c>
      <c r="AS650" s="16"/>
    </row>
    <row r="651" spans="1:45" ht="14.5">
      <c r="A651" s="9" t="s">
        <v>3208</v>
      </c>
      <c r="B651" s="9" t="s">
        <v>3209</v>
      </c>
      <c r="C651" s="9" t="s">
        <v>3210</v>
      </c>
      <c r="D651" s="9" t="s">
        <v>2830</v>
      </c>
      <c r="E651" s="9" t="s">
        <v>49</v>
      </c>
      <c r="F651" s="9" t="s">
        <v>69</v>
      </c>
      <c r="G651" s="9" t="s">
        <v>70</v>
      </c>
      <c r="H651" s="9" t="s">
        <v>2899</v>
      </c>
      <c r="I651" s="9" t="s">
        <v>72</v>
      </c>
      <c r="J651" s="10">
        <v>42542</v>
      </c>
      <c r="K651" s="10">
        <v>42819</v>
      </c>
      <c r="L651" s="10">
        <v>42845.321122685185</v>
      </c>
      <c r="M651" s="10">
        <v>42851</v>
      </c>
      <c r="N651" s="9">
        <v>2017</v>
      </c>
      <c r="O651" s="9" t="s">
        <v>2832</v>
      </c>
      <c r="P651" s="9" t="s">
        <v>53</v>
      </c>
      <c r="Q651" s="9" t="s">
        <v>53</v>
      </c>
      <c r="T651" s="9"/>
      <c r="V651" s="9"/>
      <c r="W651" s="11">
        <f>IFERROR(VLOOKUP(B651, PlumX_snapshot!$A:$B, 2, FALSE), " ")</f>
        <v>7</v>
      </c>
      <c r="X651" s="11">
        <f>IFERROR(VLOOKUP(B651, PlumX_snapshot!$A:$C, 3, FALSE), " ")</f>
        <v>56</v>
      </c>
      <c r="Y651" s="12">
        <f>IFERROR(VLOOKUP(B651, PlumX_snapshot!$A:$D, 4, FALSE), " ")</f>
        <v>16</v>
      </c>
      <c r="Z651" s="12">
        <f>IFERROR(VLOOKUP(B651, PlumX_snapshot!$A:$E, 5, FALSE), " ")</f>
        <v>298</v>
      </c>
      <c r="AA651" s="12">
        <f>IFERROR(VLOOKUP(B651, PlumX_snapshot!$A:$F, 6, FALSE), " ")</f>
        <v>0</v>
      </c>
      <c r="AB651" s="13">
        <v>44978</v>
      </c>
      <c r="AH651" s="9"/>
      <c r="AI651" s="9"/>
      <c r="AJ651" s="9"/>
      <c r="AK651" s="11" t="str">
        <f t="shared" si="4"/>
        <v>2017</v>
      </c>
      <c r="AL651" s="11" t="e">
        <f>VLOOKUP(AK651, Exchange_rates!$C:$D, 2, FALSE)</f>
        <v>#N/A</v>
      </c>
      <c r="AM651" s="14" t="str">
        <f t="shared" si="5"/>
        <v/>
      </c>
      <c r="AN651" s="9"/>
      <c r="AO651" s="9"/>
      <c r="AP651" s="9"/>
      <c r="AQ651" s="15" t="s">
        <v>49</v>
      </c>
      <c r="AR651" t="s">
        <v>3211</v>
      </c>
      <c r="AS651" s="16"/>
    </row>
    <row r="652" spans="1:45" ht="14.5">
      <c r="A652" s="9" t="s">
        <v>3212</v>
      </c>
      <c r="B652" s="9" t="s">
        <v>3213</v>
      </c>
      <c r="C652" s="9" t="s">
        <v>3045</v>
      </c>
      <c r="D652" s="9" t="s">
        <v>2830</v>
      </c>
      <c r="E652" s="9" t="s">
        <v>49</v>
      </c>
      <c r="F652" s="9" t="s">
        <v>69</v>
      </c>
      <c r="G652" s="9" t="s">
        <v>70</v>
      </c>
      <c r="H652" s="9" t="s">
        <v>2899</v>
      </c>
      <c r="I652" s="9" t="s">
        <v>72</v>
      </c>
      <c r="J652" s="10"/>
      <c r="K652" s="10"/>
      <c r="L652" s="10">
        <v>42844.521770833337</v>
      </c>
      <c r="M652" s="10">
        <v>42852</v>
      </c>
      <c r="N652" s="9">
        <v>2017</v>
      </c>
      <c r="O652" s="9" t="s">
        <v>2832</v>
      </c>
      <c r="P652" s="9" t="s">
        <v>53</v>
      </c>
      <c r="Q652" s="9" t="s">
        <v>53</v>
      </c>
      <c r="T652" s="9"/>
      <c r="V652" s="9"/>
      <c r="W652" s="11">
        <f>IFERROR(VLOOKUP(B652, PlumX_snapshot!$A:$B, 2, FALSE), " ")</f>
        <v>20</v>
      </c>
      <c r="X652" s="11">
        <f>IFERROR(VLOOKUP(B652, PlumX_snapshot!$A:$C, 3, FALSE), " ")</f>
        <v>14</v>
      </c>
      <c r="Y652" s="12">
        <f>IFERROR(VLOOKUP(B652, PlumX_snapshot!$A:$D, 4, FALSE), " ")</f>
        <v>50</v>
      </c>
      <c r="Z652" s="12">
        <f>IFERROR(VLOOKUP(B652, PlumX_snapshot!$A:$E, 5, FALSE), " ")</f>
        <v>60</v>
      </c>
      <c r="AA652" s="12">
        <f>IFERROR(VLOOKUP(B652, PlumX_snapshot!$A:$F, 6, FALSE), " ")</f>
        <v>0</v>
      </c>
      <c r="AB652" s="13">
        <v>44978</v>
      </c>
      <c r="AH652" s="9"/>
      <c r="AI652" s="9"/>
      <c r="AJ652" s="9"/>
      <c r="AK652" s="11" t="str">
        <f t="shared" si="4"/>
        <v>2017</v>
      </c>
      <c r="AL652" s="11" t="e">
        <f>VLOOKUP(AK652, Exchange_rates!$C:$D, 2, FALSE)</f>
        <v>#N/A</v>
      </c>
      <c r="AM652" s="14" t="str">
        <f t="shared" si="5"/>
        <v/>
      </c>
      <c r="AN652" s="9"/>
      <c r="AO652" s="9"/>
      <c r="AP652" s="9"/>
      <c r="AQ652" s="15" t="s">
        <v>49</v>
      </c>
      <c r="AR652" t="s">
        <v>3046</v>
      </c>
      <c r="AS652" s="16"/>
    </row>
    <row r="653" spans="1:45" ht="14.5">
      <c r="A653" s="9" t="s">
        <v>3214</v>
      </c>
      <c r="B653" s="9" t="s">
        <v>3215</v>
      </c>
      <c r="C653" s="9" t="s">
        <v>3216</v>
      </c>
      <c r="D653" s="9" t="s">
        <v>2830</v>
      </c>
      <c r="E653" s="9" t="s">
        <v>49</v>
      </c>
      <c r="F653" s="9" t="s">
        <v>69</v>
      </c>
      <c r="G653" s="9" t="s">
        <v>70</v>
      </c>
      <c r="H653" s="9" t="s">
        <v>2831</v>
      </c>
      <c r="I653" s="9" t="s">
        <v>72</v>
      </c>
      <c r="J653" s="10">
        <v>42761</v>
      </c>
      <c r="K653" s="10">
        <v>43117</v>
      </c>
      <c r="L653" s="10">
        <v>43126.613680555558</v>
      </c>
      <c r="M653" s="10">
        <v>43143</v>
      </c>
      <c r="N653" s="9">
        <v>2018</v>
      </c>
      <c r="O653" s="9" t="s">
        <v>2832</v>
      </c>
      <c r="P653" s="9" t="s">
        <v>53</v>
      </c>
      <c r="Q653" s="9" t="s">
        <v>53</v>
      </c>
      <c r="T653" s="9"/>
      <c r="V653" s="9"/>
      <c r="W653" s="11">
        <f>IFERROR(VLOOKUP(B653, PlumX_snapshot!$A:$B, 2, FALSE), " ")</f>
        <v>42</v>
      </c>
      <c r="X653" s="11">
        <f>IFERROR(VLOOKUP(B653, PlumX_snapshot!$A:$C, 3, FALSE), " ")</f>
        <v>3</v>
      </c>
      <c r="Y653" s="12">
        <f>IFERROR(VLOOKUP(B653, PlumX_snapshot!$A:$D, 4, FALSE), " ")</f>
        <v>0</v>
      </c>
      <c r="Z653" s="12">
        <f>IFERROR(VLOOKUP(B653, PlumX_snapshot!$A:$E, 5, FALSE), " ")</f>
        <v>94</v>
      </c>
      <c r="AA653" s="12">
        <f>IFERROR(VLOOKUP(B653, PlumX_snapshot!$A:$F, 6, FALSE), " ")</f>
        <v>0</v>
      </c>
      <c r="AB653" s="13">
        <v>44978</v>
      </c>
      <c r="AH653" s="9"/>
      <c r="AI653" s="9"/>
      <c r="AJ653" s="9"/>
      <c r="AK653" s="11" t="str">
        <f t="shared" si="4"/>
        <v>2018</v>
      </c>
      <c r="AL653" s="11" t="e">
        <f>VLOOKUP(AK653, Exchange_rates!$C:$D, 2, FALSE)</f>
        <v>#N/A</v>
      </c>
      <c r="AM653" s="14" t="str">
        <f t="shared" si="5"/>
        <v/>
      </c>
      <c r="AN653" s="9"/>
      <c r="AO653" s="9"/>
      <c r="AP653" s="9"/>
      <c r="AQ653" s="15" t="s">
        <v>49</v>
      </c>
      <c r="AR653" t="s">
        <v>3217</v>
      </c>
      <c r="AS653" s="16"/>
    </row>
    <row r="654" spans="1:45" ht="14.5">
      <c r="A654" s="9" t="s">
        <v>3218</v>
      </c>
      <c r="B654" s="9" t="s">
        <v>3219</v>
      </c>
      <c r="C654" s="9" t="s">
        <v>3220</v>
      </c>
      <c r="D654" s="9" t="s">
        <v>2830</v>
      </c>
      <c r="E654" s="9" t="s">
        <v>49</v>
      </c>
      <c r="F654" s="9" t="s">
        <v>69</v>
      </c>
      <c r="G654" s="9" t="s">
        <v>70</v>
      </c>
      <c r="H654" s="9" t="s">
        <v>2899</v>
      </c>
      <c r="I654" s="9" t="s">
        <v>72</v>
      </c>
      <c r="J654" s="10">
        <v>41620</v>
      </c>
      <c r="K654" s="10">
        <v>42779</v>
      </c>
      <c r="L654" s="10">
        <v>42782.408252314817</v>
      </c>
      <c r="M654" s="10">
        <v>42794</v>
      </c>
      <c r="N654" s="9">
        <v>2017</v>
      </c>
      <c r="O654" s="9" t="s">
        <v>2832</v>
      </c>
      <c r="P654" s="9" t="s">
        <v>53</v>
      </c>
      <c r="Q654" s="9" t="s">
        <v>53</v>
      </c>
      <c r="T654" s="9"/>
      <c r="V654" s="9"/>
      <c r="W654" s="11">
        <f>IFERROR(VLOOKUP(B654, PlumX_snapshot!$A:$B, 2, FALSE), " ")</f>
        <v>48</v>
      </c>
      <c r="X654" s="11">
        <f>IFERROR(VLOOKUP(B654, PlumX_snapshot!$A:$C, 3, FALSE), " ")</f>
        <v>27</v>
      </c>
      <c r="Y654" s="12">
        <f>IFERROR(VLOOKUP(B654, PlumX_snapshot!$A:$D, 4, FALSE), " ")</f>
        <v>11</v>
      </c>
      <c r="Z654" s="12">
        <f>IFERROR(VLOOKUP(B654, PlumX_snapshot!$A:$E, 5, FALSE), " ")</f>
        <v>75</v>
      </c>
      <c r="AA654" s="12">
        <f>IFERROR(VLOOKUP(B654, PlumX_snapshot!$A:$F, 6, FALSE), " ")</f>
        <v>0</v>
      </c>
      <c r="AB654" s="13">
        <v>44978</v>
      </c>
      <c r="AH654" s="9"/>
      <c r="AI654" s="9"/>
      <c r="AJ654" s="9"/>
      <c r="AK654" s="11" t="str">
        <f t="shared" si="4"/>
        <v>2017</v>
      </c>
      <c r="AL654" s="11" t="e">
        <f>VLOOKUP(AK654, Exchange_rates!$C:$D, 2, FALSE)</f>
        <v>#N/A</v>
      </c>
      <c r="AM654" s="14" t="str">
        <f t="shared" si="5"/>
        <v/>
      </c>
      <c r="AN654" s="9"/>
      <c r="AO654" s="9"/>
      <c r="AP654" s="9"/>
      <c r="AQ654" s="15" t="s">
        <v>49</v>
      </c>
      <c r="AR654" t="s">
        <v>3221</v>
      </c>
      <c r="AS654" s="16"/>
    </row>
    <row r="655" spans="1:45" ht="14.5">
      <c r="A655" s="9" t="s">
        <v>3222</v>
      </c>
      <c r="B655" s="9" t="s">
        <v>3223</v>
      </c>
      <c r="C655" s="9" t="s">
        <v>3224</v>
      </c>
      <c r="D655" s="9" t="s">
        <v>2830</v>
      </c>
      <c r="E655" s="9" t="s">
        <v>49</v>
      </c>
      <c r="F655" s="9" t="s">
        <v>69</v>
      </c>
      <c r="G655" s="9" t="s">
        <v>70</v>
      </c>
      <c r="H655" s="9" t="s">
        <v>2841</v>
      </c>
      <c r="I655" s="9" t="s">
        <v>72</v>
      </c>
      <c r="J655" s="10">
        <v>43607</v>
      </c>
      <c r="K655" s="10">
        <v>43648</v>
      </c>
      <c r="L655" s="10">
        <v>43651.590150462966</v>
      </c>
      <c r="M655" s="10">
        <v>43656</v>
      </c>
      <c r="N655" s="9">
        <v>2019</v>
      </c>
      <c r="O655" s="9" t="s">
        <v>2832</v>
      </c>
      <c r="P655" s="9" t="s">
        <v>83</v>
      </c>
      <c r="Q655" s="9" t="s">
        <v>53</v>
      </c>
      <c r="R655" s="9" t="s">
        <v>1947</v>
      </c>
      <c r="T655" s="9"/>
      <c r="V655" s="9"/>
      <c r="W655" s="11">
        <f>IFERROR(VLOOKUP(B655, PlumX_snapshot!$A:$B, 2, FALSE), " ")</f>
        <v>13</v>
      </c>
      <c r="X655" s="11">
        <f>IFERROR(VLOOKUP(B655, PlumX_snapshot!$A:$C, 3, FALSE), " ")</f>
        <v>9</v>
      </c>
      <c r="Y655" s="12">
        <f>IFERROR(VLOOKUP(B655, PlumX_snapshot!$A:$D, 4, FALSE), " ")</f>
        <v>2</v>
      </c>
      <c r="Z655" s="12">
        <f>IFERROR(VLOOKUP(B655, PlumX_snapshot!$A:$E, 5, FALSE), " ")</f>
        <v>0</v>
      </c>
      <c r="AA655" s="12">
        <f>IFERROR(VLOOKUP(B655, PlumX_snapshot!$A:$F, 6, FALSE), " ")</f>
        <v>0</v>
      </c>
      <c r="AB655" s="13">
        <v>44978</v>
      </c>
      <c r="AH655" s="9"/>
      <c r="AI655" s="9"/>
      <c r="AJ655" s="9"/>
      <c r="AK655" s="11" t="str">
        <f t="shared" si="4"/>
        <v>2019</v>
      </c>
      <c r="AL655" s="11" t="e">
        <f>VLOOKUP(AK655, Exchange_rates!$C:$D, 2, FALSE)</f>
        <v>#N/A</v>
      </c>
      <c r="AM655" s="14" t="str">
        <f t="shared" si="5"/>
        <v/>
      </c>
      <c r="AN655" s="9"/>
      <c r="AO655" s="9"/>
      <c r="AP655" s="9"/>
      <c r="AQ655" s="15" t="s">
        <v>49</v>
      </c>
      <c r="AR655" t="s">
        <v>3225</v>
      </c>
      <c r="AS655" s="16"/>
    </row>
    <row r="656" spans="1:45" ht="14.5">
      <c r="A656" s="9" t="s">
        <v>3226</v>
      </c>
      <c r="B656" s="9" t="s">
        <v>3227</v>
      </c>
      <c r="C656" s="9" t="s">
        <v>2903</v>
      </c>
      <c r="D656" s="9" t="s">
        <v>2830</v>
      </c>
      <c r="E656" s="9" t="s">
        <v>49</v>
      </c>
      <c r="F656" s="9" t="s">
        <v>69</v>
      </c>
      <c r="G656" s="9" t="s">
        <v>70</v>
      </c>
      <c r="H656" s="9" t="s">
        <v>2831</v>
      </c>
      <c r="I656" s="9" t="s">
        <v>72</v>
      </c>
      <c r="J656" s="10"/>
      <c r="K656" s="10"/>
      <c r="L656" s="10">
        <v>43399.616273148145</v>
      </c>
      <c r="M656" s="10">
        <v>43410</v>
      </c>
      <c r="N656" s="9">
        <v>2018</v>
      </c>
      <c r="O656" s="9" t="s">
        <v>2832</v>
      </c>
      <c r="P656" s="9" t="s">
        <v>53</v>
      </c>
      <c r="Q656" s="9" t="s">
        <v>53</v>
      </c>
      <c r="T656" s="9"/>
      <c r="V656" s="9"/>
      <c r="W656" s="11">
        <f>IFERROR(VLOOKUP(B656, PlumX_snapshot!$A:$B, 2, FALSE), " ")</f>
        <v>59</v>
      </c>
      <c r="X656" s="11">
        <f>IFERROR(VLOOKUP(B656, PlumX_snapshot!$A:$C, 3, FALSE), " ")</f>
        <v>16</v>
      </c>
      <c r="Y656" s="12">
        <f>IFERROR(VLOOKUP(B656, PlumX_snapshot!$A:$D, 4, FALSE), " ")</f>
        <v>9</v>
      </c>
      <c r="Z656" s="12">
        <f>IFERROR(VLOOKUP(B656, PlumX_snapshot!$A:$E, 5, FALSE), " ")</f>
        <v>55</v>
      </c>
      <c r="AA656" s="12">
        <f>IFERROR(VLOOKUP(B656, PlumX_snapshot!$A:$F, 6, FALSE), " ")</f>
        <v>1</v>
      </c>
      <c r="AB656" s="13">
        <v>44978</v>
      </c>
      <c r="AH656" s="9"/>
      <c r="AI656" s="9"/>
      <c r="AJ656" s="9"/>
      <c r="AK656" s="11" t="str">
        <f t="shared" si="4"/>
        <v>2018</v>
      </c>
      <c r="AL656" s="11" t="e">
        <f>VLOOKUP(AK656, Exchange_rates!$C:$D, 2, FALSE)</f>
        <v>#N/A</v>
      </c>
      <c r="AM656" s="14" t="str">
        <f t="shared" si="5"/>
        <v/>
      </c>
      <c r="AN656" s="9"/>
      <c r="AO656" s="9"/>
      <c r="AP656" s="9"/>
      <c r="AQ656" s="15" t="s">
        <v>49</v>
      </c>
      <c r="AR656" t="s">
        <v>2904</v>
      </c>
      <c r="AS656" s="16"/>
    </row>
    <row r="657" spans="1:45" ht="14.5">
      <c r="A657" s="9" t="s">
        <v>3228</v>
      </c>
      <c r="B657" s="9" t="s">
        <v>3229</v>
      </c>
      <c r="C657" s="9" t="s">
        <v>3023</v>
      </c>
      <c r="D657" s="9" t="s">
        <v>2830</v>
      </c>
      <c r="E657" s="9" t="s">
        <v>49</v>
      </c>
      <c r="F657" s="9" t="s">
        <v>69</v>
      </c>
      <c r="G657" s="9" t="s">
        <v>70</v>
      </c>
      <c r="H657" s="9" t="s">
        <v>2841</v>
      </c>
      <c r="I657" s="9" t="s">
        <v>72</v>
      </c>
      <c r="J657" s="10">
        <v>43385</v>
      </c>
      <c r="K657" s="10"/>
      <c r="L657" s="10">
        <v>43664.639930555553</v>
      </c>
      <c r="M657" s="10">
        <v>43683</v>
      </c>
      <c r="N657" s="9">
        <v>2019</v>
      </c>
      <c r="O657" s="9" t="s">
        <v>2832</v>
      </c>
      <c r="P657" s="9" t="s">
        <v>53</v>
      </c>
      <c r="Q657" s="9" t="s">
        <v>53</v>
      </c>
      <c r="T657" s="9"/>
      <c r="V657" s="9"/>
      <c r="W657" s="11">
        <f>IFERROR(VLOOKUP(B657, PlumX_snapshot!$A:$B, 2, FALSE), " ")</f>
        <v>59</v>
      </c>
      <c r="X657" s="11">
        <f>IFERROR(VLOOKUP(B657, PlumX_snapshot!$A:$C, 3, FALSE), " ")</f>
        <v>33</v>
      </c>
      <c r="Y657" s="12">
        <f>IFERROR(VLOOKUP(B657, PlumX_snapshot!$A:$D, 4, FALSE), " ")</f>
        <v>0</v>
      </c>
      <c r="Z657" s="12">
        <f>IFERROR(VLOOKUP(B657, PlumX_snapshot!$A:$E, 5, FALSE), " ")</f>
        <v>0</v>
      </c>
      <c r="AA657" s="12">
        <f>IFERROR(VLOOKUP(B657, PlumX_snapshot!$A:$F, 6, FALSE), " ")</f>
        <v>0</v>
      </c>
      <c r="AB657" s="13">
        <v>44978</v>
      </c>
      <c r="AH657" s="9"/>
      <c r="AI657" s="9"/>
      <c r="AJ657" s="9"/>
      <c r="AK657" s="11" t="str">
        <f t="shared" si="4"/>
        <v>2019</v>
      </c>
      <c r="AL657" s="11" t="e">
        <f>VLOOKUP(AK657, Exchange_rates!$C:$D, 2, FALSE)</f>
        <v>#N/A</v>
      </c>
      <c r="AM657" s="14" t="str">
        <f t="shared" si="5"/>
        <v/>
      </c>
      <c r="AN657" s="9"/>
      <c r="AO657" s="9"/>
      <c r="AP657" s="9"/>
      <c r="AQ657" s="15" t="s">
        <v>49</v>
      </c>
      <c r="AR657" t="s">
        <v>3024</v>
      </c>
      <c r="AS657" s="16"/>
    </row>
    <row r="658" spans="1:45" ht="14.5">
      <c r="A658" s="9" t="s">
        <v>3230</v>
      </c>
      <c r="B658" s="9" t="s">
        <v>3231</v>
      </c>
      <c r="C658" s="9" t="s">
        <v>3174</v>
      </c>
      <c r="D658" s="9" t="s">
        <v>2830</v>
      </c>
      <c r="E658" s="9" t="s">
        <v>49</v>
      </c>
      <c r="F658" s="9" t="s">
        <v>69</v>
      </c>
      <c r="G658" s="9" t="s">
        <v>70</v>
      </c>
      <c r="H658" s="9" t="s">
        <v>2831</v>
      </c>
      <c r="I658" s="9" t="s">
        <v>72</v>
      </c>
      <c r="J658" s="10">
        <v>42808</v>
      </c>
      <c r="K658" s="10">
        <v>43129</v>
      </c>
      <c r="L658" s="10">
        <v>43130.435370370367</v>
      </c>
      <c r="M658" s="10">
        <v>43152</v>
      </c>
      <c r="N658" s="9">
        <v>2018</v>
      </c>
      <c r="O658" s="9" t="s">
        <v>2832</v>
      </c>
      <c r="P658" s="9" t="s">
        <v>53</v>
      </c>
      <c r="Q658" s="9" t="s">
        <v>53</v>
      </c>
      <c r="T658" s="9"/>
      <c r="V658" s="9"/>
      <c r="W658" s="11">
        <f>IFERROR(VLOOKUP(B658, PlumX_snapshot!$A:$B, 2, FALSE), " ")</f>
        <v>34</v>
      </c>
      <c r="X658" s="11">
        <f>IFERROR(VLOOKUP(B658, PlumX_snapshot!$A:$C, 3, FALSE), " ")</f>
        <v>9</v>
      </c>
      <c r="Y658" s="12">
        <f>IFERROR(VLOOKUP(B658, PlumX_snapshot!$A:$D, 4, FALSE), " ")</f>
        <v>1</v>
      </c>
      <c r="Z658" s="12">
        <f>IFERROR(VLOOKUP(B658, PlumX_snapshot!$A:$E, 5, FALSE), " ")</f>
        <v>21</v>
      </c>
      <c r="AA658" s="12">
        <f>IFERROR(VLOOKUP(B658, PlumX_snapshot!$A:$F, 6, FALSE), " ")</f>
        <v>0</v>
      </c>
      <c r="AB658" s="13">
        <v>44978</v>
      </c>
      <c r="AH658" s="9"/>
      <c r="AI658" s="9"/>
      <c r="AJ658" s="9"/>
      <c r="AK658" s="11" t="str">
        <f t="shared" si="4"/>
        <v>2018</v>
      </c>
      <c r="AL658" s="11" t="e">
        <f>VLOOKUP(AK658, Exchange_rates!$C:$D, 2, FALSE)</f>
        <v>#N/A</v>
      </c>
      <c r="AM658" s="14" t="str">
        <f t="shared" si="5"/>
        <v/>
      </c>
      <c r="AN658" s="9"/>
      <c r="AO658" s="9"/>
      <c r="AP658" s="9"/>
      <c r="AQ658" s="15" t="s">
        <v>49</v>
      </c>
      <c r="AR658" t="s">
        <v>3175</v>
      </c>
      <c r="AS658" s="16"/>
    </row>
    <row r="659" spans="1:45" ht="14.5">
      <c r="A659" s="9" t="s">
        <v>3232</v>
      </c>
      <c r="B659" s="9" t="s">
        <v>3233</v>
      </c>
      <c r="C659" s="9" t="s">
        <v>2983</v>
      </c>
      <c r="D659" s="9" t="s">
        <v>2830</v>
      </c>
      <c r="E659" s="9" t="s">
        <v>49</v>
      </c>
      <c r="F659" s="9" t="s">
        <v>69</v>
      </c>
      <c r="G659" s="9" t="s">
        <v>70</v>
      </c>
      <c r="H659" s="9" t="s">
        <v>2831</v>
      </c>
      <c r="I659" s="9" t="s">
        <v>72</v>
      </c>
      <c r="J659" s="10"/>
      <c r="K659" s="10">
        <v>43427</v>
      </c>
      <c r="L659" s="10">
        <v>43430.42628472222</v>
      </c>
      <c r="M659" s="28">
        <v>43431</v>
      </c>
      <c r="N659" s="9">
        <v>2018</v>
      </c>
      <c r="O659" s="9" t="s">
        <v>2832</v>
      </c>
      <c r="P659" s="9" t="s">
        <v>83</v>
      </c>
      <c r="Q659" s="9" t="s">
        <v>53</v>
      </c>
      <c r="R659" s="9" t="s">
        <v>3234</v>
      </c>
      <c r="T659" s="9"/>
      <c r="V659" s="9"/>
      <c r="W659" s="11">
        <f>IFERROR(VLOOKUP(B659, PlumX_snapshot!$A:$B, 2, FALSE), " ")</f>
        <v>66</v>
      </c>
      <c r="X659" s="11">
        <f>IFERROR(VLOOKUP(B659, PlumX_snapshot!$A:$C, 3, FALSE), " ")</f>
        <v>10</v>
      </c>
      <c r="Y659" s="12">
        <f>IFERROR(VLOOKUP(B659, PlumX_snapshot!$A:$D, 4, FALSE), " ")</f>
        <v>3</v>
      </c>
      <c r="Z659" s="12">
        <f>IFERROR(VLOOKUP(B659, PlumX_snapshot!$A:$E, 5, FALSE), " ")</f>
        <v>60</v>
      </c>
      <c r="AA659" s="12">
        <f>IFERROR(VLOOKUP(B659, PlumX_snapshot!$A:$F, 6, FALSE), " ")</f>
        <v>0</v>
      </c>
      <c r="AB659" s="13">
        <v>44978</v>
      </c>
      <c r="AH659" s="9"/>
      <c r="AI659" s="9"/>
      <c r="AJ659" s="9"/>
      <c r="AK659" s="11" t="str">
        <f t="shared" si="4"/>
        <v>2018</v>
      </c>
      <c r="AL659" s="11" t="e">
        <f>VLOOKUP(AK659, Exchange_rates!$C:$D, 2, FALSE)</f>
        <v>#N/A</v>
      </c>
      <c r="AM659" s="14" t="str">
        <f t="shared" si="5"/>
        <v/>
      </c>
      <c r="AN659" s="9"/>
      <c r="AO659" s="9"/>
      <c r="AP659" s="9"/>
      <c r="AQ659" s="15" t="s">
        <v>49</v>
      </c>
      <c r="AR659" t="s">
        <v>2984</v>
      </c>
      <c r="AS659" s="16"/>
    </row>
    <row r="660" spans="1:45" ht="14.5">
      <c r="A660" s="9" t="s">
        <v>3235</v>
      </c>
      <c r="B660" s="9" t="s">
        <v>3236</v>
      </c>
      <c r="C660" s="9" t="s">
        <v>3237</v>
      </c>
      <c r="D660" s="9" t="s">
        <v>2830</v>
      </c>
      <c r="E660" s="9" t="s">
        <v>49</v>
      </c>
      <c r="F660" s="9" t="s">
        <v>69</v>
      </c>
      <c r="G660" s="9" t="s">
        <v>70</v>
      </c>
      <c r="H660" s="9" t="s">
        <v>2878</v>
      </c>
      <c r="I660" s="9" t="s">
        <v>72</v>
      </c>
      <c r="J660" s="10">
        <v>44085</v>
      </c>
      <c r="K660" s="10">
        <v>44210</v>
      </c>
      <c r="L660" s="10">
        <v>44242.457812499997</v>
      </c>
      <c r="M660" s="10">
        <v>44257</v>
      </c>
      <c r="N660" s="9">
        <v>2021</v>
      </c>
      <c r="O660" s="9" t="s">
        <v>2832</v>
      </c>
      <c r="P660" s="9" t="s">
        <v>53</v>
      </c>
      <c r="Q660" s="9" t="s">
        <v>53</v>
      </c>
      <c r="R660" s="9" t="s">
        <v>3238</v>
      </c>
      <c r="T660" s="9"/>
      <c r="V660" s="9"/>
      <c r="W660" s="11">
        <f>IFERROR(VLOOKUP(B660, PlumX_snapshot!$A:$B, 2, FALSE), " ")</f>
        <v>13</v>
      </c>
      <c r="X660" s="11">
        <f>IFERROR(VLOOKUP(B660, PlumX_snapshot!$A:$C, 3, FALSE), " ")</f>
        <v>4</v>
      </c>
      <c r="Y660" s="12">
        <f>IFERROR(VLOOKUP(B660, PlumX_snapshot!$A:$D, 4, FALSE), " ")</f>
        <v>1</v>
      </c>
      <c r="Z660" s="12">
        <f>IFERROR(VLOOKUP(B660, PlumX_snapshot!$A:$E, 5, FALSE), " ")</f>
        <v>0</v>
      </c>
      <c r="AA660" s="12">
        <f>IFERROR(VLOOKUP(B660, PlumX_snapshot!$A:$F, 6, FALSE), " ")</f>
        <v>0</v>
      </c>
      <c r="AB660" s="13">
        <v>44978</v>
      </c>
      <c r="AH660" s="9">
        <v>2380</v>
      </c>
      <c r="AI660" s="9" t="s">
        <v>77</v>
      </c>
      <c r="AJ660" s="9" t="s">
        <v>1823</v>
      </c>
      <c r="AK660" s="11" t="str">
        <f t="shared" si="4"/>
        <v>2021EUR</v>
      </c>
      <c r="AL660" s="11">
        <f>VLOOKUP(AK660, Exchange_rates!$C:$D, 2, FALSE)</f>
        <v>0.8599</v>
      </c>
      <c r="AM660" s="14">
        <f t="shared" si="5"/>
        <v>2455.8743999999997</v>
      </c>
      <c r="AN660" s="9"/>
      <c r="AO660" s="9"/>
      <c r="AP660" s="9"/>
      <c r="AQ660" s="15" t="s">
        <v>49</v>
      </c>
      <c r="AR660" t="s">
        <v>3239</v>
      </c>
      <c r="AS660" s="16"/>
    </row>
    <row r="661" spans="1:45" ht="14.5">
      <c r="A661" s="9" t="s">
        <v>3240</v>
      </c>
      <c r="B661" s="9" t="s">
        <v>3241</v>
      </c>
      <c r="C661" s="9" t="s">
        <v>3242</v>
      </c>
      <c r="D661" s="9" t="s">
        <v>2830</v>
      </c>
      <c r="E661" s="9" t="s">
        <v>49</v>
      </c>
      <c r="F661" s="9" t="s">
        <v>69</v>
      </c>
      <c r="G661" s="9" t="s">
        <v>70</v>
      </c>
      <c r="H661" s="9" t="s">
        <v>2831</v>
      </c>
      <c r="I661" s="9" t="s">
        <v>72</v>
      </c>
      <c r="J661" s="10"/>
      <c r="K661" s="10"/>
      <c r="L661" s="10">
        <v>43397.593321759261</v>
      </c>
      <c r="M661" s="10">
        <v>43409</v>
      </c>
      <c r="N661" s="9">
        <v>2018</v>
      </c>
      <c r="O661" s="9" t="s">
        <v>2832</v>
      </c>
      <c r="P661" s="9" t="s">
        <v>53</v>
      </c>
      <c r="Q661" s="9" t="s">
        <v>53</v>
      </c>
      <c r="T661" s="9"/>
      <c r="V661" s="9"/>
      <c r="W661" s="11">
        <f>IFERROR(VLOOKUP(B661, PlumX_snapshot!$A:$B, 2, FALSE), " ")</f>
        <v>87</v>
      </c>
      <c r="X661" s="11">
        <f>IFERROR(VLOOKUP(B661, PlumX_snapshot!$A:$C, 3, FALSE), " ")</f>
        <v>17</v>
      </c>
      <c r="Y661" s="12">
        <f>IFERROR(VLOOKUP(B661, PlumX_snapshot!$A:$D, 4, FALSE), " ")</f>
        <v>9</v>
      </c>
      <c r="Z661" s="12">
        <f>IFERROR(VLOOKUP(B661, PlumX_snapshot!$A:$E, 5, FALSE), " ")</f>
        <v>404</v>
      </c>
      <c r="AA661" s="12">
        <f>IFERROR(VLOOKUP(B661, PlumX_snapshot!$A:$F, 6, FALSE), " ")</f>
        <v>0</v>
      </c>
      <c r="AB661" s="13">
        <v>44978</v>
      </c>
      <c r="AH661" s="9"/>
      <c r="AI661" s="9"/>
      <c r="AJ661" s="9"/>
      <c r="AK661" s="11" t="str">
        <f t="shared" si="4"/>
        <v>2018</v>
      </c>
      <c r="AL661" s="11" t="e">
        <f>VLOOKUP(AK661, Exchange_rates!$C:$D, 2, FALSE)</f>
        <v>#N/A</v>
      </c>
      <c r="AM661" s="14" t="str">
        <f t="shared" si="5"/>
        <v/>
      </c>
      <c r="AN661" s="9"/>
      <c r="AO661" s="9"/>
      <c r="AP661" s="9"/>
      <c r="AQ661" s="15" t="s">
        <v>49</v>
      </c>
      <c r="AR661" t="s">
        <v>3243</v>
      </c>
      <c r="AS661" s="16"/>
    </row>
    <row r="662" spans="1:45" ht="14.5">
      <c r="A662" s="9" t="s">
        <v>3244</v>
      </c>
      <c r="B662" s="9" t="s">
        <v>3245</v>
      </c>
      <c r="C662" s="9" t="s">
        <v>3246</v>
      </c>
      <c r="D662" s="9" t="s">
        <v>2830</v>
      </c>
      <c r="E662" s="9" t="s">
        <v>49</v>
      </c>
      <c r="F662" s="9" t="s">
        <v>69</v>
      </c>
      <c r="G662" s="9" t="s">
        <v>70</v>
      </c>
      <c r="H662" s="9" t="s">
        <v>2871</v>
      </c>
      <c r="I662" s="9" t="s">
        <v>72</v>
      </c>
      <c r="J662" s="10"/>
      <c r="K662" s="10"/>
      <c r="L662" s="10">
        <v>43880.469699074078</v>
      </c>
      <c r="M662" s="10">
        <v>43895</v>
      </c>
      <c r="N662" s="9">
        <v>2020</v>
      </c>
      <c r="O662" s="9" t="s">
        <v>2832</v>
      </c>
      <c r="P662" s="9" t="s">
        <v>53</v>
      </c>
      <c r="Q662" s="9" t="s">
        <v>53</v>
      </c>
      <c r="T662" s="9"/>
      <c r="V662" s="9"/>
      <c r="W662" s="11">
        <f>IFERROR(VLOOKUP(B662, PlumX_snapshot!$A:$B, 2, FALSE), " ")</f>
        <v>12</v>
      </c>
      <c r="X662" s="11">
        <f>IFERROR(VLOOKUP(B662, PlumX_snapshot!$A:$C, 3, FALSE), " ")</f>
        <v>3</v>
      </c>
      <c r="Y662" s="12">
        <f>IFERROR(VLOOKUP(B662, PlumX_snapshot!$A:$D, 4, FALSE), " ")</f>
        <v>58</v>
      </c>
      <c r="Z662" s="12">
        <f>IFERROR(VLOOKUP(B662, PlumX_snapshot!$A:$E, 5, FALSE), " ")</f>
        <v>0</v>
      </c>
      <c r="AA662" s="12">
        <f>IFERROR(VLOOKUP(B662, PlumX_snapshot!$A:$F, 6, FALSE), " ")</f>
        <v>0</v>
      </c>
      <c r="AB662" s="13">
        <v>44978</v>
      </c>
      <c r="AH662" s="9">
        <v>2289</v>
      </c>
      <c r="AI662" s="9" t="s">
        <v>77</v>
      </c>
      <c r="AJ662" s="9" t="s">
        <v>1823</v>
      </c>
      <c r="AK662" s="11" t="str">
        <f t="shared" si="4"/>
        <v>2020EUR</v>
      </c>
      <c r="AL662" s="11">
        <f>VLOOKUP(AK662, Exchange_rates!$C:$D, 2, FALSE)</f>
        <v>0.88970000000000005</v>
      </c>
      <c r="AM662" s="14">
        <f t="shared" si="5"/>
        <v>2443.8279600000001</v>
      </c>
      <c r="AN662" s="9"/>
      <c r="AO662" s="9"/>
      <c r="AP662" s="9"/>
      <c r="AQ662" s="15" t="s">
        <v>49</v>
      </c>
      <c r="AR662" t="s">
        <v>3247</v>
      </c>
      <c r="AS662" s="16"/>
    </row>
    <row r="663" spans="1:45" ht="14.5">
      <c r="A663" s="9" t="s">
        <v>3248</v>
      </c>
      <c r="B663" s="9" t="s">
        <v>3249</v>
      </c>
      <c r="C663" s="9" t="s">
        <v>3099</v>
      </c>
      <c r="D663" s="9" t="s">
        <v>2830</v>
      </c>
      <c r="E663" s="9" t="s">
        <v>49</v>
      </c>
      <c r="F663" s="9" t="s">
        <v>69</v>
      </c>
      <c r="G663" s="9" t="s">
        <v>70</v>
      </c>
      <c r="H663" s="9" t="s">
        <v>2831</v>
      </c>
      <c r="I663" s="9" t="s">
        <v>72</v>
      </c>
      <c r="J663" s="10">
        <v>42977</v>
      </c>
      <c r="K663" s="10">
        <v>43095</v>
      </c>
      <c r="L663" s="10">
        <v>43108.698553240742</v>
      </c>
      <c r="M663" s="10">
        <v>43117</v>
      </c>
      <c r="N663" s="9">
        <v>2018</v>
      </c>
      <c r="O663" s="9" t="s">
        <v>2832</v>
      </c>
      <c r="P663" s="9" t="s">
        <v>53</v>
      </c>
      <c r="Q663" s="9" t="s">
        <v>53</v>
      </c>
      <c r="T663" s="9"/>
      <c r="V663" s="9"/>
      <c r="W663" s="11">
        <f>IFERROR(VLOOKUP(B663, PlumX_snapshot!$A:$B, 2, FALSE), " ")</f>
        <v>412</v>
      </c>
      <c r="X663" s="11">
        <f>IFERROR(VLOOKUP(B663, PlumX_snapshot!$A:$C, 3, FALSE), " ")</f>
        <v>100</v>
      </c>
      <c r="Y663" s="12">
        <f>IFERROR(VLOOKUP(B663, PlumX_snapshot!$A:$D, 4, FALSE), " ")</f>
        <v>0</v>
      </c>
      <c r="Z663" s="12">
        <f>IFERROR(VLOOKUP(B663, PlumX_snapshot!$A:$E, 5, FALSE), " ")</f>
        <v>6</v>
      </c>
      <c r="AA663" s="12">
        <f>IFERROR(VLOOKUP(B663, PlumX_snapshot!$A:$F, 6, FALSE), " ")</f>
        <v>0</v>
      </c>
      <c r="AB663" s="13">
        <v>44978</v>
      </c>
      <c r="AH663" s="9"/>
      <c r="AI663" s="9"/>
      <c r="AJ663" s="9"/>
      <c r="AK663" s="11" t="str">
        <f t="shared" si="4"/>
        <v>2018</v>
      </c>
      <c r="AL663" s="11" t="e">
        <f>VLOOKUP(AK663, Exchange_rates!$C:$D, 2, FALSE)</f>
        <v>#N/A</v>
      </c>
      <c r="AM663" s="14" t="str">
        <f t="shared" si="5"/>
        <v/>
      </c>
      <c r="AN663" s="9"/>
      <c r="AO663" s="9"/>
      <c r="AP663" s="9"/>
      <c r="AQ663" s="15" t="s">
        <v>49</v>
      </c>
      <c r="AR663" t="s">
        <v>3100</v>
      </c>
      <c r="AS663" s="16"/>
    </row>
    <row r="664" spans="1:45" ht="14.5">
      <c r="A664" s="9" t="s">
        <v>3250</v>
      </c>
      <c r="B664" s="9" t="s">
        <v>3251</v>
      </c>
      <c r="C664" s="9" t="s">
        <v>2864</v>
      </c>
      <c r="D664" s="9" t="s">
        <v>2830</v>
      </c>
      <c r="E664" s="9" t="s">
        <v>49</v>
      </c>
      <c r="F664" s="9" t="s">
        <v>69</v>
      </c>
      <c r="G664" s="9" t="s">
        <v>70</v>
      </c>
      <c r="H664" s="9" t="s">
        <v>2878</v>
      </c>
      <c r="I664" s="9" t="s">
        <v>72</v>
      </c>
      <c r="J664" s="10">
        <v>44078</v>
      </c>
      <c r="K664" s="10">
        <v>44215</v>
      </c>
      <c r="L664" s="10">
        <v>44228.496527777781</v>
      </c>
      <c r="M664" s="10">
        <v>44257</v>
      </c>
      <c r="N664" s="9">
        <v>2021</v>
      </c>
      <c r="O664" s="9" t="s">
        <v>2832</v>
      </c>
      <c r="P664" s="9" t="s">
        <v>83</v>
      </c>
      <c r="Q664" s="9" t="s">
        <v>53</v>
      </c>
      <c r="R664" s="9" t="s">
        <v>3252</v>
      </c>
      <c r="T664" s="9"/>
      <c r="V664" s="9"/>
      <c r="W664" s="11">
        <f>IFERROR(VLOOKUP(B664, PlumX_snapshot!$A:$B, 2, FALSE), " ")</f>
        <v>7</v>
      </c>
      <c r="X664" s="11">
        <f>IFERROR(VLOOKUP(B664, PlumX_snapshot!$A:$C, 3, FALSE), " ")</f>
        <v>1</v>
      </c>
      <c r="Y664" s="12">
        <f>IFERROR(VLOOKUP(B664, PlumX_snapshot!$A:$D, 4, FALSE), " ")</f>
        <v>56</v>
      </c>
      <c r="Z664" s="12">
        <f>IFERROR(VLOOKUP(B664, PlumX_snapshot!$A:$E, 5, FALSE), " ")</f>
        <v>0</v>
      </c>
      <c r="AA664" s="12">
        <f>IFERROR(VLOOKUP(B664, PlumX_snapshot!$A:$F, 6, FALSE), " ")</f>
        <v>6</v>
      </c>
      <c r="AB664" s="13">
        <v>44978</v>
      </c>
      <c r="AH664" s="9">
        <v>2380</v>
      </c>
      <c r="AI664" s="9" t="s">
        <v>77</v>
      </c>
      <c r="AJ664" s="9" t="s">
        <v>1823</v>
      </c>
      <c r="AK664" s="11" t="str">
        <f t="shared" si="4"/>
        <v>2021EUR</v>
      </c>
      <c r="AL664" s="11">
        <f>VLOOKUP(AK664, Exchange_rates!$C:$D, 2, FALSE)</f>
        <v>0.8599</v>
      </c>
      <c r="AM664" s="14">
        <f t="shared" si="5"/>
        <v>2455.8743999999997</v>
      </c>
      <c r="AN664" s="9"/>
      <c r="AO664" s="9"/>
      <c r="AP664" s="9"/>
      <c r="AQ664" s="15" t="s">
        <v>49</v>
      </c>
      <c r="AR664" t="s">
        <v>2865</v>
      </c>
      <c r="AS664" s="16"/>
    </row>
    <row r="665" spans="1:45" ht="14.5">
      <c r="A665" s="9" t="s">
        <v>3253</v>
      </c>
      <c r="B665" s="9" t="s">
        <v>3254</v>
      </c>
      <c r="C665" s="9" t="s">
        <v>3255</v>
      </c>
      <c r="D665" s="9" t="s">
        <v>2830</v>
      </c>
      <c r="E665" s="9" t="s">
        <v>49</v>
      </c>
      <c r="F665" s="9" t="s">
        <v>69</v>
      </c>
      <c r="G665" s="9" t="s">
        <v>70</v>
      </c>
      <c r="H665" s="9" t="s">
        <v>2899</v>
      </c>
      <c r="I665" s="9" t="s">
        <v>72</v>
      </c>
      <c r="J665" s="10"/>
      <c r="K665" s="10"/>
      <c r="L665" s="10">
        <v>42998.436261574076</v>
      </c>
      <c r="M665" s="10">
        <v>43138</v>
      </c>
      <c r="N665" s="9">
        <v>2017</v>
      </c>
      <c r="O665" s="9" t="s">
        <v>2832</v>
      </c>
      <c r="P665" s="9" t="s">
        <v>53</v>
      </c>
      <c r="Q665" s="9" t="s">
        <v>53</v>
      </c>
      <c r="T665" s="9"/>
      <c r="V665" s="9"/>
      <c r="W665" s="11">
        <f>IFERROR(VLOOKUP(B665, PlumX_snapshot!$A:$B, 2, FALSE), " ")</f>
        <v>8</v>
      </c>
      <c r="X665" s="11">
        <f>IFERROR(VLOOKUP(B665, PlumX_snapshot!$A:$C, 3, FALSE), " ")</f>
        <v>3</v>
      </c>
      <c r="Y665" s="12">
        <f>IFERROR(VLOOKUP(B665, PlumX_snapshot!$A:$D, 4, FALSE), " ")</f>
        <v>63</v>
      </c>
      <c r="Z665" s="12">
        <f>IFERROR(VLOOKUP(B665, PlumX_snapshot!$A:$E, 5, FALSE), " ")</f>
        <v>6</v>
      </c>
      <c r="AA665" s="12">
        <f>IFERROR(VLOOKUP(B665, PlumX_snapshot!$A:$F, 6, FALSE), " ")</f>
        <v>0</v>
      </c>
      <c r="AB665" s="13">
        <v>44978</v>
      </c>
      <c r="AH665" s="9"/>
      <c r="AI665" s="9"/>
      <c r="AJ665" s="9"/>
      <c r="AK665" s="11" t="str">
        <f t="shared" si="4"/>
        <v>2017</v>
      </c>
      <c r="AL665" s="11" t="e">
        <f>VLOOKUP(AK665, Exchange_rates!$C:$D, 2, FALSE)</f>
        <v>#N/A</v>
      </c>
      <c r="AM665" s="14" t="str">
        <f t="shared" si="5"/>
        <v/>
      </c>
      <c r="AN665" s="9"/>
      <c r="AO665" s="9"/>
      <c r="AP665" s="9"/>
      <c r="AQ665" s="15" t="s">
        <v>49</v>
      </c>
      <c r="AR665" t="s">
        <v>3256</v>
      </c>
      <c r="AS665" s="16"/>
    </row>
    <row r="666" spans="1:45" ht="14.5">
      <c r="A666" s="9" t="s">
        <v>3257</v>
      </c>
      <c r="B666" s="9" t="s">
        <v>3258</v>
      </c>
      <c r="C666" s="9" t="s">
        <v>3259</v>
      </c>
      <c r="D666" s="9" t="s">
        <v>2830</v>
      </c>
      <c r="E666" s="9" t="s">
        <v>49</v>
      </c>
      <c r="F666" s="9" t="s">
        <v>69</v>
      </c>
      <c r="G666" s="9" t="s">
        <v>70</v>
      </c>
      <c r="H666" s="9" t="s">
        <v>2831</v>
      </c>
      <c r="I666" s="9" t="s">
        <v>72</v>
      </c>
      <c r="J666" s="10">
        <v>43026</v>
      </c>
      <c r="K666" s="10">
        <v>43150</v>
      </c>
      <c r="L666" s="10">
        <v>43153.582118055558</v>
      </c>
      <c r="M666" s="10">
        <v>43155</v>
      </c>
      <c r="N666" s="9">
        <v>2018</v>
      </c>
      <c r="O666" s="9" t="s">
        <v>2832</v>
      </c>
      <c r="P666" s="9" t="s">
        <v>53</v>
      </c>
      <c r="Q666" s="9" t="s">
        <v>53</v>
      </c>
      <c r="T666" s="9"/>
      <c r="V666" s="9"/>
      <c r="W666" s="11">
        <f>IFERROR(VLOOKUP(B666, PlumX_snapshot!$A:$B, 2, FALSE), " ")</f>
        <v>47</v>
      </c>
      <c r="X666" s="11">
        <f>IFERROR(VLOOKUP(B666, PlumX_snapshot!$A:$C, 3, FALSE), " ")</f>
        <v>7</v>
      </c>
      <c r="Y666" s="12">
        <f>IFERROR(VLOOKUP(B666, PlumX_snapshot!$A:$D, 4, FALSE), " ")</f>
        <v>3</v>
      </c>
      <c r="Z666" s="12">
        <f>IFERROR(VLOOKUP(B666, PlumX_snapshot!$A:$E, 5, FALSE), " ")</f>
        <v>7</v>
      </c>
      <c r="AA666" s="12">
        <f>IFERROR(VLOOKUP(B666, PlumX_snapshot!$A:$F, 6, FALSE), " ")</f>
        <v>0</v>
      </c>
      <c r="AB666" s="13">
        <v>44978</v>
      </c>
      <c r="AH666" s="9"/>
      <c r="AI666" s="9"/>
      <c r="AJ666" s="9"/>
      <c r="AK666" s="11" t="str">
        <f t="shared" si="4"/>
        <v>2018</v>
      </c>
      <c r="AL666" s="11" t="e">
        <f>VLOOKUP(AK666, Exchange_rates!$C:$D, 2, FALSE)</f>
        <v>#N/A</v>
      </c>
      <c r="AM666" s="14" t="str">
        <f t="shared" si="5"/>
        <v/>
      </c>
      <c r="AN666" s="9"/>
      <c r="AO666" s="9"/>
      <c r="AP666" s="9"/>
      <c r="AQ666" s="15" t="s">
        <v>49</v>
      </c>
      <c r="AR666" t="s">
        <v>3260</v>
      </c>
      <c r="AS666" s="16"/>
    </row>
    <row r="667" spans="1:45" ht="14.5">
      <c r="A667" s="9" t="s">
        <v>3261</v>
      </c>
      <c r="B667" s="9" t="s">
        <v>3262</v>
      </c>
      <c r="C667" s="9" t="s">
        <v>3263</v>
      </c>
      <c r="D667" s="9" t="s">
        <v>2830</v>
      </c>
      <c r="E667" s="9" t="s">
        <v>49</v>
      </c>
      <c r="F667" s="9" t="s">
        <v>69</v>
      </c>
      <c r="G667" s="9" t="s">
        <v>70</v>
      </c>
      <c r="H667" s="9" t="s">
        <v>2831</v>
      </c>
      <c r="I667" s="9" t="s">
        <v>72</v>
      </c>
      <c r="J667" s="10">
        <v>43037</v>
      </c>
      <c r="K667" s="10">
        <v>43118</v>
      </c>
      <c r="L667" s="10">
        <v>43119.599016203705</v>
      </c>
      <c r="M667" s="10">
        <v>43125</v>
      </c>
      <c r="N667" s="9">
        <v>2018</v>
      </c>
      <c r="O667" s="9" t="s">
        <v>2832</v>
      </c>
      <c r="P667" s="9" t="s">
        <v>53</v>
      </c>
      <c r="Q667" s="9" t="s">
        <v>53</v>
      </c>
      <c r="T667" s="9"/>
      <c r="V667" s="9"/>
      <c r="W667" s="11">
        <f>IFERROR(VLOOKUP(B667, PlumX_snapshot!$A:$B, 2, FALSE), " ")</f>
        <v>6</v>
      </c>
      <c r="X667" s="11">
        <f>IFERROR(VLOOKUP(B667, PlumX_snapshot!$A:$C, 3, FALSE), " ")</f>
        <v>38</v>
      </c>
      <c r="Y667" s="12">
        <f>IFERROR(VLOOKUP(B667, PlumX_snapshot!$A:$D, 4, FALSE), " ")</f>
        <v>2</v>
      </c>
      <c r="Z667" s="12">
        <f>IFERROR(VLOOKUP(B667, PlumX_snapshot!$A:$E, 5, FALSE), " ")</f>
        <v>30</v>
      </c>
      <c r="AA667" s="12">
        <f>IFERROR(VLOOKUP(B667, PlumX_snapshot!$A:$F, 6, FALSE), " ")</f>
        <v>0</v>
      </c>
      <c r="AB667" s="13">
        <v>44978</v>
      </c>
      <c r="AH667" s="9"/>
      <c r="AI667" s="9"/>
      <c r="AJ667" s="9"/>
      <c r="AK667" s="11" t="str">
        <f t="shared" si="4"/>
        <v>2018</v>
      </c>
      <c r="AL667" s="11" t="e">
        <f>VLOOKUP(AK667, Exchange_rates!$C:$D, 2, FALSE)</f>
        <v>#N/A</v>
      </c>
      <c r="AM667" s="14" t="str">
        <f t="shared" si="5"/>
        <v/>
      </c>
      <c r="AN667" s="9"/>
      <c r="AO667" s="9"/>
      <c r="AP667" s="9"/>
      <c r="AQ667" s="15" t="s">
        <v>49</v>
      </c>
      <c r="AR667" t="s">
        <v>3264</v>
      </c>
      <c r="AS667" s="16"/>
    </row>
    <row r="668" spans="1:45" ht="14.5">
      <c r="A668" s="9" t="s">
        <v>3265</v>
      </c>
      <c r="B668" s="9" t="s">
        <v>3266</v>
      </c>
      <c r="C668" s="9" t="s">
        <v>3267</v>
      </c>
      <c r="D668" s="9" t="s">
        <v>2830</v>
      </c>
      <c r="E668" s="9" t="s">
        <v>49</v>
      </c>
      <c r="F668" s="9" t="s">
        <v>69</v>
      </c>
      <c r="G668" s="9" t="s">
        <v>70</v>
      </c>
      <c r="H668" s="9" t="s">
        <v>2841</v>
      </c>
      <c r="I668" s="9" t="s">
        <v>72</v>
      </c>
      <c r="J668" s="10"/>
      <c r="K668" s="10"/>
      <c r="L668" s="10">
        <v>43727.423842592594</v>
      </c>
      <c r="M668" s="10">
        <v>43734</v>
      </c>
      <c r="N668" s="9">
        <v>2019</v>
      </c>
      <c r="O668" s="9" t="s">
        <v>2832</v>
      </c>
      <c r="P668" s="9" t="s">
        <v>83</v>
      </c>
      <c r="Q668" s="9" t="s">
        <v>83</v>
      </c>
      <c r="R668" s="9" t="s">
        <v>3268</v>
      </c>
      <c r="S668" s="9" t="s">
        <v>1962</v>
      </c>
      <c r="T668" s="9"/>
      <c r="V668" s="9"/>
      <c r="W668" s="11">
        <f>IFERROR(VLOOKUP(B668, PlumX_snapshot!$A:$B, 2, FALSE), " ")</f>
        <v>63</v>
      </c>
      <c r="X668" s="11">
        <f>IFERROR(VLOOKUP(B668, PlumX_snapshot!$A:$C, 3, FALSE), " ")</f>
        <v>13</v>
      </c>
      <c r="Y668" s="12">
        <f>IFERROR(VLOOKUP(B668, PlumX_snapshot!$A:$D, 4, FALSE), " ")</f>
        <v>6</v>
      </c>
      <c r="Z668" s="12">
        <f>IFERROR(VLOOKUP(B668, PlumX_snapshot!$A:$E, 5, FALSE), " ")</f>
        <v>2</v>
      </c>
      <c r="AA668" s="12">
        <f>IFERROR(VLOOKUP(B668, PlumX_snapshot!$A:$F, 6, FALSE), " ")</f>
        <v>0</v>
      </c>
      <c r="AB668" s="13">
        <v>44978</v>
      </c>
      <c r="AH668" s="9"/>
      <c r="AI668" s="9"/>
      <c r="AJ668" s="9"/>
      <c r="AK668" s="11" t="str">
        <f t="shared" si="4"/>
        <v>2019</v>
      </c>
      <c r="AL668" s="11" t="e">
        <f>VLOOKUP(AK668, Exchange_rates!$C:$D, 2, FALSE)</f>
        <v>#N/A</v>
      </c>
      <c r="AM668" s="14" t="str">
        <f t="shared" si="5"/>
        <v/>
      </c>
      <c r="AN668" s="9"/>
      <c r="AO668" s="9"/>
      <c r="AP668" s="9"/>
      <c r="AQ668" s="15" t="s">
        <v>49</v>
      </c>
      <c r="AR668" t="s">
        <v>3269</v>
      </c>
      <c r="AS668" s="16"/>
    </row>
    <row r="669" spans="1:45" ht="14.5">
      <c r="A669" s="9" t="s">
        <v>3270</v>
      </c>
      <c r="B669" s="9" t="s">
        <v>3271</v>
      </c>
      <c r="C669" s="9" t="s">
        <v>3272</v>
      </c>
      <c r="D669" s="9" t="s">
        <v>2830</v>
      </c>
      <c r="E669" s="9" t="s">
        <v>49</v>
      </c>
      <c r="F669" s="9" t="s">
        <v>69</v>
      </c>
      <c r="G669" s="9" t="s">
        <v>70</v>
      </c>
      <c r="H669" s="9" t="s">
        <v>2878</v>
      </c>
      <c r="I669" s="9" t="s">
        <v>72</v>
      </c>
      <c r="J669" s="10"/>
      <c r="K669" s="10">
        <v>44308</v>
      </c>
      <c r="L669" s="10">
        <v>44320.524201388886</v>
      </c>
      <c r="M669" s="10">
        <v>44334</v>
      </c>
      <c r="N669" s="9">
        <v>2021</v>
      </c>
      <c r="O669" s="9" t="s">
        <v>2832</v>
      </c>
      <c r="P669" s="9" t="s">
        <v>53</v>
      </c>
      <c r="Q669" s="9" t="s">
        <v>53</v>
      </c>
      <c r="R669" s="9" t="s">
        <v>3273</v>
      </c>
      <c r="T669" s="9"/>
      <c r="V669" s="9"/>
      <c r="W669" s="11">
        <f>IFERROR(VLOOKUP(B669, PlumX_snapshot!$A:$B, 2, FALSE), " ")</f>
        <v>3</v>
      </c>
      <c r="X669" s="11">
        <f>IFERROR(VLOOKUP(B669, PlumX_snapshot!$A:$C, 3, FALSE), " ")</f>
        <v>0</v>
      </c>
      <c r="Y669" s="12">
        <f>IFERROR(VLOOKUP(B669, PlumX_snapshot!$A:$D, 4, FALSE), " ")</f>
        <v>0</v>
      </c>
      <c r="Z669" s="12">
        <f>IFERROR(VLOOKUP(B669, PlumX_snapshot!$A:$E, 5, FALSE), " ")</f>
        <v>0</v>
      </c>
      <c r="AA669" s="12">
        <f>IFERROR(VLOOKUP(B669, PlumX_snapshot!$A:$F, 6, FALSE), " ")</f>
        <v>0</v>
      </c>
      <c r="AB669" s="13">
        <v>44978</v>
      </c>
      <c r="AH669" s="9">
        <v>2380</v>
      </c>
      <c r="AI669" s="9" t="s">
        <v>77</v>
      </c>
      <c r="AJ669" s="9" t="s">
        <v>1823</v>
      </c>
      <c r="AK669" s="11" t="str">
        <f t="shared" si="4"/>
        <v>2021EUR</v>
      </c>
      <c r="AL669" s="11">
        <f>VLOOKUP(AK669, Exchange_rates!$C:$D, 2, FALSE)</f>
        <v>0.8599</v>
      </c>
      <c r="AM669" s="14">
        <f t="shared" si="5"/>
        <v>2455.8743999999997</v>
      </c>
      <c r="AN669" s="9"/>
      <c r="AO669" s="9"/>
      <c r="AP669" s="9"/>
      <c r="AQ669" s="15" t="s">
        <v>49</v>
      </c>
      <c r="AR669" t="s">
        <v>3274</v>
      </c>
      <c r="AS669" s="16"/>
    </row>
    <row r="670" spans="1:45" ht="14.5">
      <c r="A670" s="9" t="s">
        <v>3275</v>
      </c>
      <c r="B670" s="9" t="s">
        <v>3276</v>
      </c>
      <c r="C670" s="9" t="s">
        <v>3277</v>
      </c>
      <c r="D670" s="9" t="s">
        <v>2830</v>
      </c>
      <c r="E670" s="9" t="s">
        <v>49</v>
      </c>
      <c r="F670" s="9" t="s">
        <v>69</v>
      </c>
      <c r="G670" s="9" t="s">
        <v>70</v>
      </c>
      <c r="H670" s="9" t="s">
        <v>2899</v>
      </c>
      <c r="I670" s="9" t="s">
        <v>72</v>
      </c>
      <c r="J670" s="10">
        <v>42702</v>
      </c>
      <c r="K670" s="10">
        <v>43004</v>
      </c>
      <c r="L670" s="10">
        <v>43013.57440972222</v>
      </c>
      <c r="M670" s="28">
        <v>43034</v>
      </c>
      <c r="N670" s="9">
        <v>2017</v>
      </c>
      <c r="O670" s="9" t="s">
        <v>2832</v>
      </c>
      <c r="P670" s="9" t="s">
        <v>53</v>
      </c>
      <c r="Q670" s="9" t="s">
        <v>53</v>
      </c>
      <c r="T670" s="9"/>
      <c r="V670" s="9"/>
      <c r="W670" s="11">
        <f>IFERROR(VLOOKUP(B670, PlumX_snapshot!$A:$B, 2, FALSE), " ")</f>
        <v>79</v>
      </c>
      <c r="X670" s="11">
        <f>IFERROR(VLOOKUP(B670, PlumX_snapshot!$A:$C, 3, FALSE), " ")</f>
        <v>3</v>
      </c>
      <c r="Y670" s="12">
        <f>IFERROR(VLOOKUP(B670, PlumX_snapshot!$A:$D, 4, FALSE), " ")</f>
        <v>0</v>
      </c>
      <c r="Z670" s="12">
        <f>IFERROR(VLOOKUP(B670, PlumX_snapshot!$A:$E, 5, FALSE), " ")</f>
        <v>243</v>
      </c>
      <c r="AA670" s="12">
        <f>IFERROR(VLOOKUP(B670, PlumX_snapshot!$A:$F, 6, FALSE), " ")</f>
        <v>0</v>
      </c>
      <c r="AB670" s="13">
        <v>44978</v>
      </c>
      <c r="AH670" s="9"/>
      <c r="AI670" s="9"/>
      <c r="AJ670" s="9"/>
      <c r="AK670" s="11" t="str">
        <f t="shared" si="4"/>
        <v>2017</v>
      </c>
      <c r="AL670" s="11" t="e">
        <f>VLOOKUP(AK670, Exchange_rates!$C:$D, 2, FALSE)</f>
        <v>#N/A</v>
      </c>
      <c r="AM670" s="14" t="str">
        <f t="shared" si="5"/>
        <v/>
      </c>
      <c r="AN670" s="9"/>
      <c r="AO670" s="9"/>
      <c r="AP670" s="9"/>
      <c r="AQ670" s="15" t="s">
        <v>49</v>
      </c>
      <c r="AR670" t="s">
        <v>3278</v>
      </c>
      <c r="AS670" s="16"/>
    </row>
    <row r="671" spans="1:45" ht="14.5">
      <c r="A671" s="9" t="s">
        <v>3279</v>
      </c>
      <c r="B671" s="9" t="s">
        <v>3280</v>
      </c>
      <c r="C671" s="9" t="s">
        <v>3281</v>
      </c>
      <c r="D671" s="9" t="s">
        <v>2830</v>
      </c>
      <c r="E671" s="9" t="s">
        <v>49</v>
      </c>
      <c r="F671" s="9" t="s">
        <v>69</v>
      </c>
      <c r="G671" s="9" t="s">
        <v>70</v>
      </c>
      <c r="H671" s="9" t="s">
        <v>2831</v>
      </c>
      <c r="I671" s="9" t="s">
        <v>72</v>
      </c>
      <c r="J671" s="10">
        <v>42603</v>
      </c>
      <c r="K671" s="10">
        <v>43284</v>
      </c>
      <c r="L671" s="10">
        <v>43364.397002314814</v>
      </c>
      <c r="M671" s="10">
        <v>43371</v>
      </c>
      <c r="N671" s="9">
        <v>2018</v>
      </c>
      <c r="O671" s="9" t="s">
        <v>2832</v>
      </c>
      <c r="P671" s="9" t="s">
        <v>53</v>
      </c>
      <c r="Q671" s="9" t="s">
        <v>53</v>
      </c>
      <c r="T671" s="9"/>
      <c r="V671" s="9"/>
      <c r="W671" s="11">
        <f>IFERROR(VLOOKUP(B671, PlumX_snapshot!$A:$B, 2, FALSE), " ")</f>
        <v>2</v>
      </c>
      <c r="X671" s="11">
        <f>IFERROR(VLOOKUP(B671, PlumX_snapshot!$A:$C, 3, FALSE), " ")</f>
        <v>2</v>
      </c>
      <c r="Y671" s="12">
        <f>IFERROR(VLOOKUP(B671, PlumX_snapshot!$A:$D, 4, FALSE), " ")</f>
        <v>0</v>
      </c>
      <c r="Z671" s="12">
        <f>IFERROR(VLOOKUP(B671, PlumX_snapshot!$A:$E, 5, FALSE), " ")</f>
        <v>18</v>
      </c>
      <c r="AA671" s="12">
        <f>IFERROR(VLOOKUP(B671, PlumX_snapshot!$A:$F, 6, FALSE), " ")</f>
        <v>0</v>
      </c>
      <c r="AB671" s="13">
        <v>44978</v>
      </c>
      <c r="AH671" s="9"/>
      <c r="AI671" s="9"/>
      <c r="AJ671" s="9"/>
      <c r="AK671" s="11" t="str">
        <f t="shared" si="4"/>
        <v>2018</v>
      </c>
      <c r="AL671" s="11" t="e">
        <f>VLOOKUP(AK671, Exchange_rates!$C:$D, 2, FALSE)</f>
        <v>#N/A</v>
      </c>
      <c r="AM671" s="14" t="str">
        <f t="shared" si="5"/>
        <v/>
      </c>
      <c r="AN671" s="9"/>
      <c r="AO671" s="9"/>
      <c r="AP671" s="9"/>
      <c r="AQ671" s="15" t="s">
        <v>49</v>
      </c>
      <c r="AR671" t="s">
        <v>3282</v>
      </c>
      <c r="AS671" s="16"/>
    </row>
    <row r="672" spans="1:45" ht="14.5">
      <c r="A672" s="9" t="s">
        <v>3283</v>
      </c>
      <c r="B672" s="9" t="s">
        <v>3284</v>
      </c>
      <c r="C672" s="9" t="s">
        <v>3285</v>
      </c>
      <c r="D672" s="9" t="s">
        <v>2830</v>
      </c>
      <c r="E672" s="9" t="s">
        <v>49</v>
      </c>
      <c r="F672" s="9" t="s">
        <v>69</v>
      </c>
      <c r="G672" s="9" t="s">
        <v>70</v>
      </c>
      <c r="H672" s="9" t="s">
        <v>2899</v>
      </c>
      <c r="I672" s="9" t="s">
        <v>72</v>
      </c>
      <c r="J672" s="10"/>
      <c r="K672" s="10"/>
      <c r="L672" s="10">
        <v>42990.68377314815</v>
      </c>
      <c r="M672" s="10">
        <v>42996</v>
      </c>
      <c r="N672" s="9">
        <v>2017</v>
      </c>
      <c r="O672" s="9" t="s">
        <v>2832</v>
      </c>
      <c r="P672" s="9" t="s">
        <v>53</v>
      </c>
      <c r="Q672" s="9" t="s">
        <v>53</v>
      </c>
      <c r="T672" s="9"/>
      <c r="V672" s="9"/>
      <c r="W672" s="11">
        <f>IFERROR(VLOOKUP(B672, PlumX_snapshot!$A:$B, 2, FALSE), " ")</f>
        <v>1</v>
      </c>
      <c r="X672" s="11">
        <f>IFERROR(VLOOKUP(B672, PlumX_snapshot!$A:$C, 3, FALSE), " ")</f>
        <v>0</v>
      </c>
      <c r="Y672" s="12">
        <f>IFERROR(VLOOKUP(B672, PlumX_snapshot!$A:$D, 4, FALSE), " ")</f>
        <v>0</v>
      </c>
      <c r="Z672" s="12">
        <f>IFERROR(VLOOKUP(B672, PlumX_snapshot!$A:$E, 5, FALSE), " ")</f>
        <v>0</v>
      </c>
      <c r="AA672" s="12">
        <f>IFERROR(VLOOKUP(B672, PlumX_snapshot!$A:$F, 6, FALSE), " ")</f>
        <v>0</v>
      </c>
      <c r="AB672" s="13">
        <v>44978</v>
      </c>
      <c r="AH672" s="9"/>
      <c r="AI672" s="9"/>
      <c r="AJ672" s="9"/>
      <c r="AK672" s="11" t="str">
        <f t="shared" si="4"/>
        <v>2017</v>
      </c>
      <c r="AL672" s="11" t="e">
        <f>VLOOKUP(AK672, Exchange_rates!$C:$D, 2, FALSE)</f>
        <v>#N/A</v>
      </c>
      <c r="AM672" s="14" t="str">
        <f t="shared" si="5"/>
        <v/>
      </c>
      <c r="AN672" s="9"/>
      <c r="AO672" s="9"/>
      <c r="AP672" s="9"/>
      <c r="AQ672" s="15" t="s">
        <v>49</v>
      </c>
      <c r="AR672" t="s">
        <v>3286</v>
      </c>
      <c r="AS672" s="16"/>
    </row>
    <row r="673" spans="1:45" ht="14.5">
      <c r="A673" s="9" t="s">
        <v>3287</v>
      </c>
      <c r="B673" s="9" t="s">
        <v>3288</v>
      </c>
      <c r="C673" s="9" t="s">
        <v>3004</v>
      </c>
      <c r="D673" s="9" t="s">
        <v>2830</v>
      </c>
      <c r="E673" s="9" t="s">
        <v>49</v>
      </c>
      <c r="F673" s="9" t="s">
        <v>69</v>
      </c>
      <c r="G673" s="9" t="s">
        <v>70</v>
      </c>
      <c r="H673" s="9" t="s">
        <v>2831</v>
      </c>
      <c r="I673" s="9" t="s">
        <v>72</v>
      </c>
      <c r="J673" s="10">
        <v>43249</v>
      </c>
      <c r="K673" s="10"/>
      <c r="L673" s="10">
        <v>43306.545972222222</v>
      </c>
      <c r="M673" s="10">
        <v>43368</v>
      </c>
      <c r="N673" s="9">
        <v>2018</v>
      </c>
      <c r="O673" s="9" t="s">
        <v>2832</v>
      </c>
      <c r="P673" s="9" t="s">
        <v>83</v>
      </c>
      <c r="Q673" s="9" t="s">
        <v>53</v>
      </c>
      <c r="R673" s="9" t="s">
        <v>3289</v>
      </c>
      <c r="T673" s="9"/>
      <c r="V673" s="9"/>
      <c r="W673" s="11">
        <f>IFERROR(VLOOKUP(B673, PlumX_snapshot!$A:$B, 2, FALSE), " ")</f>
        <v>6</v>
      </c>
      <c r="X673" s="11">
        <f>IFERROR(VLOOKUP(B673, PlumX_snapshot!$A:$C, 3, FALSE), " ")</f>
        <v>7</v>
      </c>
      <c r="Y673" s="12">
        <f>IFERROR(VLOOKUP(B673, PlumX_snapshot!$A:$D, 4, FALSE), " ")</f>
        <v>1</v>
      </c>
      <c r="Z673" s="12">
        <f>IFERROR(VLOOKUP(B673, PlumX_snapshot!$A:$E, 5, FALSE), " ")</f>
        <v>0</v>
      </c>
      <c r="AA673" s="12">
        <f>IFERROR(VLOOKUP(B673, PlumX_snapshot!$A:$F, 6, FALSE), " ")</f>
        <v>0</v>
      </c>
      <c r="AB673" s="13">
        <v>44978</v>
      </c>
      <c r="AH673" s="9"/>
      <c r="AI673" s="9"/>
      <c r="AJ673" s="9"/>
      <c r="AK673" s="11" t="str">
        <f t="shared" si="4"/>
        <v>2018</v>
      </c>
      <c r="AL673" s="11" t="e">
        <f>VLOOKUP(AK673, Exchange_rates!$C:$D, 2, FALSE)</f>
        <v>#N/A</v>
      </c>
      <c r="AM673" s="14" t="str">
        <f t="shared" si="5"/>
        <v/>
      </c>
      <c r="AN673" s="9"/>
      <c r="AO673" s="9"/>
      <c r="AP673" s="9"/>
      <c r="AQ673" s="15" t="s">
        <v>49</v>
      </c>
      <c r="AR673" t="s">
        <v>3006</v>
      </c>
      <c r="AS673" s="16"/>
    </row>
    <row r="674" spans="1:45" ht="14.5">
      <c r="A674" s="9" t="s">
        <v>3290</v>
      </c>
      <c r="B674" s="9" t="s">
        <v>3291</v>
      </c>
      <c r="C674" s="9" t="s">
        <v>3292</v>
      </c>
      <c r="D674" s="9" t="s">
        <v>2830</v>
      </c>
      <c r="E674" s="9" t="s">
        <v>49</v>
      </c>
      <c r="F674" s="9" t="s">
        <v>69</v>
      </c>
      <c r="G674" s="9" t="s">
        <v>70</v>
      </c>
      <c r="H674" s="9" t="s">
        <v>2871</v>
      </c>
      <c r="I674" s="9" t="s">
        <v>72</v>
      </c>
      <c r="J674" s="10">
        <v>43082</v>
      </c>
      <c r="K674" s="10">
        <v>43853</v>
      </c>
      <c r="L674" s="10">
        <v>43854.476388888892</v>
      </c>
      <c r="M674" s="10">
        <v>43876</v>
      </c>
      <c r="N674" s="9">
        <v>2020</v>
      </c>
      <c r="O674" s="9" t="s">
        <v>2832</v>
      </c>
      <c r="P674" s="9" t="s">
        <v>53</v>
      </c>
      <c r="Q674" s="9" t="s">
        <v>53</v>
      </c>
      <c r="T674" s="9"/>
      <c r="V674" s="9"/>
      <c r="W674" s="11">
        <f>IFERROR(VLOOKUP(B674, PlumX_snapshot!$A:$B, 2, FALSE), " ")</f>
        <v>4</v>
      </c>
      <c r="X674" s="11">
        <f>IFERROR(VLOOKUP(B674, PlumX_snapshot!$A:$C, 3, FALSE), " ")</f>
        <v>2</v>
      </c>
      <c r="Y674" s="12">
        <f>IFERROR(VLOOKUP(B674, PlumX_snapshot!$A:$D, 4, FALSE), " ")</f>
        <v>0</v>
      </c>
      <c r="Z674" s="12">
        <f>IFERROR(VLOOKUP(B674, PlumX_snapshot!$A:$E, 5, FALSE), " ")</f>
        <v>0</v>
      </c>
      <c r="AA674" s="12">
        <f>IFERROR(VLOOKUP(B674, PlumX_snapshot!$A:$F, 6, FALSE), " ")</f>
        <v>0</v>
      </c>
      <c r="AB674" s="13">
        <v>44978</v>
      </c>
      <c r="AH674" s="9">
        <v>2289</v>
      </c>
      <c r="AI674" s="9" t="s">
        <v>77</v>
      </c>
      <c r="AJ674" s="9" t="s">
        <v>1823</v>
      </c>
      <c r="AK674" s="11" t="str">
        <f t="shared" si="4"/>
        <v>2020EUR</v>
      </c>
      <c r="AL674" s="11">
        <f>VLOOKUP(AK674, Exchange_rates!$C:$D, 2, FALSE)</f>
        <v>0.88970000000000005</v>
      </c>
      <c r="AM674" s="14">
        <f t="shared" si="5"/>
        <v>2443.8279600000001</v>
      </c>
      <c r="AN674" s="9"/>
      <c r="AO674" s="9"/>
      <c r="AP674" s="9"/>
      <c r="AQ674" s="15" t="s">
        <v>49</v>
      </c>
      <c r="AR674" t="s">
        <v>3293</v>
      </c>
      <c r="AS674" s="16"/>
    </row>
    <row r="675" spans="1:45" ht="14.5">
      <c r="A675" s="9" t="s">
        <v>3294</v>
      </c>
      <c r="B675" s="9" t="s">
        <v>3295</v>
      </c>
      <c r="C675" s="9" t="s">
        <v>3296</v>
      </c>
      <c r="D675" s="9" t="s">
        <v>2830</v>
      </c>
      <c r="E675" s="9" t="s">
        <v>49</v>
      </c>
      <c r="F675" s="9" t="s">
        <v>69</v>
      </c>
      <c r="G675" s="9" t="s">
        <v>70</v>
      </c>
      <c r="H675" s="9" t="s">
        <v>2899</v>
      </c>
      <c r="I675" s="9" t="s">
        <v>72</v>
      </c>
      <c r="J675" s="10"/>
      <c r="K675" s="10"/>
      <c r="L675" s="10">
        <v>42755.619641203702</v>
      </c>
      <c r="M675" s="10">
        <v>42760</v>
      </c>
      <c r="N675" s="9">
        <v>2017</v>
      </c>
      <c r="O675" s="9" t="s">
        <v>2832</v>
      </c>
      <c r="P675" s="9" t="s">
        <v>53</v>
      </c>
      <c r="Q675" s="9" t="s">
        <v>53</v>
      </c>
      <c r="T675" s="9"/>
      <c r="V675" s="9"/>
      <c r="W675" s="11">
        <f>IFERROR(VLOOKUP(B675, PlumX_snapshot!$A:$B, 2, FALSE), " ")</f>
        <v>1</v>
      </c>
      <c r="X675" s="11">
        <f>IFERROR(VLOOKUP(B675, PlumX_snapshot!$A:$C, 3, FALSE), " ")</f>
        <v>0</v>
      </c>
      <c r="Y675" s="12">
        <f>IFERROR(VLOOKUP(B675, PlumX_snapshot!$A:$D, 4, FALSE), " ")</f>
        <v>0</v>
      </c>
      <c r="Z675" s="12">
        <f>IFERROR(VLOOKUP(B675, PlumX_snapshot!$A:$E, 5, FALSE), " ")</f>
        <v>6</v>
      </c>
      <c r="AA675" s="12">
        <f>IFERROR(VLOOKUP(B675, PlumX_snapshot!$A:$F, 6, FALSE), " ")</f>
        <v>0</v>
      </c>
      <c r="AB675" s="13">
        <v>44978</v>
      </c>
      <c r="AH675" s="9"/>
      <c r="AI675" s="9"/>
      <c r="AJ675" s="9"/>
      <c r="AK675" s="11" t="str">
        <f t="shared" si="4"/>
        <v>2017</v>
      </c>
      <c r="AL675" s="11" t="e">
        <f>VLOOKUP(AK675, Exchange_rates!$C:$D, 2, FALSE)</f>
        <v>#N/A</v>
      </c>
      <c r="AM675" s="14" t="str">
        <f t="shared" si="5"/>
        <v/>
      </c>
      <c r="AN675" s="9"/>
      <c r="AO675" s="9"/>
      <c r="AP675" s="9"/>
      <c r="AQ675" s="15" t="s">
        <v>49</v>
      </c>
      <c r="AR675" t="s">
        <v>3297</v>
      </c>
      <c r="AS675" s="16"/>
    </row>
    <row r="676" spans="1:45" ht="14.5">
      <c r="A676" s="9" t="s">
        <v>3298</v>
      </c>
      <c r="B676" s="9" t="s">
        <v>3299</v>
      </c>
      <c r="C676" s="9" t="s">
        <v>2945</v>
      </c>
      <c r="D676" s="9" t="s">
        <v>2830</v>
      </c>
      <c r="E676" s="9" t="s">
        <v>49</v>
      </c>
      <c r="F676" s="9" t="s">
        <v>69</v>
      </c>
      <c r="G676" s="9" t="s">
        <v>70</v>
      </c>
      <c r="H676" s="9" t="s">
        <v>2831</v>
      </c>
      <c r="I676" s="9" t="s">
        <v>72</v>
      </c>
      <c r="J676" s="10">
        <v>42800</v>
      </c>
      <c r="K676" s="10">
        <v>43202</v>
      </c>
      <c r="L676" s="10">
        <v>43209.585428240738</v>
      </c>
      <c r="M676" s="10">
        <v>43218</v>
      </c>
      <c r="N676" s="9">
        <v>2018</v>
      </c>
      <c r="O676" s="9" t="s">
        <v>2832</v>
      </c>
      <c r="P676" s="9" t="s">
        <v>53</v>
      </c>
      <c r="Q676" s="9" t="s">
        <v>53</v>
      </c>
      <c r="T676" s="9"/>
      <c r="V676" s="9"/>
      <c r="W676" s="11">
        <f>IFERROR(VLOOKUP(B676, PlumX_snapshot!$A:$B, 2, FALSE), " ")</f>
        <v>36</v>
      </c>
      <c r="X676" s="11">
        <f>IFERROR(VLOOKUP(B676, PlumX_snapshot!$A:$C, 3, FALSE), " ")</f>
        <v>19</v>
      </c>
      <c r="Y676" s="12">
        <f>IFERROR(VLOOKUP(B676, PlumX_snapshot!$A:$D, 4, FALSE), " ")</f>
        <v>3</v>
      </c>
      <c r="Z676" s="12">
        <f>IFERROR(VLOOKUP(B676, PlumX_snapshot!$A:$E, 5, FALSE), " ")</f>
        <v>70</v>
      </c>
      <c r="AA676" s="12">
        <f>IFERROR(VLOOKUP(B676, PlumX_snapshot!$A:$F, 6, FALSE), " ")</f>
        <v>0</v>
      </c>
      <c r="AB676" s="13">
        <v>44978</v>
      </c>
      <c r="AH676" s="9"/>
      <c r="AI676" s="9"/>
      <c r="AJ676" s="9"/>
      <c r="AK676" s="11" t="str">
        <f t="shared" si="4"/>
        <v>2018</v>
      </c>
      <c r="AL676" s="11" t="e">
        <f>VLOOKUP(AK676, Exchange_rates!$C:$D, 2, FALSE)</f>
        <v>#N/A</v>
      </c>
      <c r="AM676" s="14" t="str">
        <f t="shared" si="5"/>
        <v/>
      </c>
      <c r="AN676" s="9"/>
      <c r="AO676" s="9"/>
      <c r="AP676" s="9"/>
      <c r="AQ676" s="15" t="s">
        <v>49</v>
      </c>
      <c r="AR676" t="s">
        <v>2946</v>
      </c>
      <c r="AS676" s="16"/>
    </row>
    <row r="677" spans="1:45" ht="14.5">
      <c r="A677" s="9" t="s">
        <v>3300</v>
      </c>
      <c r="B677" s="9" t="s">
        <v>3301</v>
      </c>
      <c r="C677" s="9" t="s">
        <v>3302</v>
      </c>
      <c r="D677" s="9" t="s">
        <v>2830</v>
      </c>
      <c r="E677" s="9" t="s">
        <v>49</v>
      </c>
      <c r="F677" s="9" t="s">
        <v>69</v>
      </c>
      <c r="G677" s="9" t="s">
        <v>70</v>
      </c>
      <c r="H677" s="9" t="s">
        <v>2878</v>
      </c>
      <c r="I677" s="9" t="s">
        <v>72</v>
      </c>
      <c r="J677" s="10"/>
      <c r="K677" s="10">
        <v>44380</v>
      </c>
      <c r="L677" s="10">
        <v>44389.455972222226</v>
      </c>
      <c r="M677" s="10">
        <v>44395</v>
      </c>
      <c r="N677" s="9">
        <v>2021</v>
      </c>
      <c r="O677" s="9" t="s">
        <v>2832</v>
      </c>
      <c r="P677" s="9" t="s">
        <v>53</v>
      </c>
      <c r="Q677" s="9" t="s">
        <v>53</v>
      </c>
      <c r="R677" s="9" t="s">
        <v>3303</v>
      </c>
      <c r="T677" s="9"/>
      <c r="V677" s="9"/>
      <c r="W677" s="11">
        <f>IFERROR(VLOOKUP(B677, PlumX_snapshot!$A:$B, 2, FALSE), " ")</f>
        <v>23</v>
      </c>
      <c r="X677" s="11">
        <f>IFERROR(VLOOKUP(B677, PlumX_snapshot!$A:$C, 3, FALSE), " ")</f>
        <v>1</v>
      </c>
      <c r="Y677" s="12">
        <f>IFERROR(VLOOKUP(B677, PlumX_snapshot!$A:$D, 4, FALSE), " ")</f>
        <v>23</v>
      </c>
      <c r="Z677" s="12">
        <f>IFERROR(VLOOKUP(B677, PlumX_snapshot!$A:$E, 5, FALSE), " ")</f>
        <v>0</v>
      </c>
      <c r="AA677" s="12">
        <f>IFERROR(VLOOKUP(B677, PlumX_snapshot!$A:$F, 6, FALSE), " ")</f>
        <v>0</v>
      </c>
      <c r="AB677" s="13">
        <v>44978</v>
      </c>
      <c r="AH677" s="9">
        <v>2380</v>
      </c>
      <c r="AI677" s="9" t="s">
        <v>77</v>
      </c>
      <c r="AJ677" s="9" t="s">
        <v>1823</v>
      </c>
      <c r="AK677" s="11" t="str">
        <f t="shared" si="4"/>
        <v>2021EUR</v>
      </c>
      <c r="AL677" s="11">
        <f>VLOOKUP(AK677, Exchange_rates!$C:$D, 2, FALSE)</f>
        <v>0.8599</v>
      </c>
      <c r="AM677" s="14">
        <f t="shared" si="5"/>
        <v>2455.8743999999997</v>
      </c>
      <c r="AN677" s="9"/>
      <c r="AO677" s="9"/>
      <c r="AP677" s="9"/>
      <c r="AQ677" s="15" t="s">
        <v>49</v>
      </c>
      <c r="AR677" t="s">
        <v>3304</v>
      </c>
      <c r="AS677" s="16"/>
    </row>
    <row r="678" spans="1:45" ht="14.5">
      <c r="A678" s="9" t="s">
        <v>3305</v>
      </c>
      <c r="B678" s="9" t="s">
        <v>3306</v>
      </c>
      <c r="C678" s="9" t="s">
        <v>2973</v>
      </c>
      <c r="D678" s="9" t="s">
        <v>2830</v>
      </c>
      <c r="E678" s="9" t="s">
        <v>49</v>
      </c>
      <c r="F678" s="9" t="s">
        <v>69</v>
      </c>
      <c r="G678" s="9" t="s">
        <v>70</v>
      </c>
      <c r="H678" s="9" t="s">
        <v>2899</v>
      </c>
      <c r="I678" s="9" t="s">
        <v>72</v>
      </c>
      <c r="J678" s="10">
        <v>42691</v>
      </c>
      <c r="K678" s="10">
        <v>42792</v>
      </c>
      <c r="L678" s="10">
        <v>42794.484837962962</v>
      </c>
      <c r="M678" s="10">
        <v>42806</v>
      </c>
      <c r="N678" s="9">
        <v>2017</v>
      </c>
      <c r="O678" s="9" t="s">
        <v>2832</v>
      </c>
      <c r="P678" s="9" t="s">
        <v>53</v>
      </c>
      <c r="Q678" s="9" t="s">
        <v>53</v>
      </c>
      <c r="T678" s="9"/>
      <c r="V678" s="9"/>
      <c r="W678" s="11">
        <f>IFERROR(VLOOKUP(B678, PlumX_snapshot!$A:$B, 2, FALSE), " ")</f>
        <v>491</v>
      </c>
      <c r="X678" s="11">
        <f>IFERROR(VLOOKUP(B678, PlumX_snapshot!$A:$C, 3, FALSE), " ")</f>
        <v>99</v>
      </c>
      <c r="Y678" s="12">
        <f>IFERROR(VLOOKUP(B678, PlumX_snapshot!$A:$D, 4, FALSE), " ")</f>
        <v>61</v>
      </c>
      <c r="Z678" s="12">
        <f>IFERROR(VLOOKUP(B678, PlumX_snapshot!$A:$E, 5, FALSE), " ")</f>
        <v>1663</v>
      </c>
      <c r="AA678" s="12">
        <f>IFERROR(VLOOKUP(B678, PlumX_snapshot!$A:$F, 6, FALSE), " ")</f>
        <v>3</v>
      </c>
      <c r="AB678" s="13">
        <v>44978</v>
      </c>
      <c r="AH678" s="9"/>
      <c r="AI678" s="9"/>
      <c r="AJ678" s="9"/>
      <c r="AK678" s="11" t="str">
        <f t="shared" si="4"/>
        <v>2017</v>
      </c>
      <c r="AL678" s="11" t="e">
        <f>VLOOKUP(AK678, Exchange_rates!$C:$D, 2, FALSE)</f>
        <v>#N/A</v>
      </c>
      <c r="AM678" s="14" t="str">
        <f t="shared" si="5"/>
        <v/>
      </c>
      <c r="AN678" s="9"/>
      <c r="AO678" s="9"/>
      <c r="AP678" s="9"/>
      <c r="AQ678" s="15" t="s">
        <v>49</v>
      </c>
      <c r="AR678" t="s">
        <v>2974</v>
      </c>
      <c r="AS678" s="16"/>
    </row>
    <row r="679" spans="1:45" ht="14.5">
      <c r="A679" s="9" t="s">
        <v>3307</v>
      </c>
      <c r="B679" s="9" t="s">
        <v>3308</v>
      </c>
      <c r="C679" s="9" t="s">
        <v>3309</v>
      </c>
      <c r="D679" s="9" t="s">
        <v>2830</v>
      </c>
      <c r="E679" s="9" t="s">
        <v>49</v>
      </c>
      <c r="F679" s="9" t="s">
        <v>69</v>
      </c>
      <c r="G679" s="9" t="s">
        <v>70</v>
      </c>
      <c r="H679" s="9" t="s">
        <v>2871</v>
      </c>
      <c r="I679" s="9" t="s">
        <v>72</v>
      </c>
      <c r="J679" s="10"/>
      <c r="K679" s="10"/>
      <c r="L679" s="10">
        <v>44064.357905092591</v>
      </c>
      <c r="M679" s="10">
        <v>44090</v>
      </c>
      <c r="N679" s="9">
        <v>2020</v>
      </c>
      <c r="O679" s="9" t="s">
        <v>2832</v>
      </c>
      <c r="P679" s="9" t="s">
        <v>53</v>
      </c>
      <c r="Q679" s="9" t="s">
        <v>53</v>
      </c>
      <c r="T679" s="9"/>
      <c r="V679" s="9"/>
      <c r="W679" s="11">
        <f>IFERROR(VLOOKUP(B679, PlumX_snapshot!$A:$B, 2, FALSE), " ")</f>
        <v>24</v>
      </c>
      <c r="X679" s="11">
        <f>IFERROR(VLOOKUP(B679, PlumX_snapshot!$A:$C, 3, FALSE), " ")</f>
        <v>3</v>
      </c>
      <c r="Y679" s="12">
        <f>IFERROR(VLOOKUP(B679, PlumX_snapshot!$A:$D, 4, FALSE), " ")</f>
        <v>5</v>
      </c>
      <c r="Z679" s="12">
        <f>IFERROR(VLOOKUP(B679, PlumX_snapshot!$A:$E, 5, FALSE), " ")</f>
        <v>0</v>
      </c>
      <c r="AA679" s="12">
        <f>IFERROR(VLOOKUP(B679, PlumX_snapshot!$A:$F, 6, FALSE), " ")</f>
        <v>0</v>
      </c>
      <c r="AB679" s="13">
        <v>44978</v>
      </c>
      <c r="AH679" s="9">
        <v>2289</v>
      </c>
      <c r="AI679" s="9" t="s">
        <v>77</v>
      </c>
      <c r="AJ679" s="9" t="s">
        <v>1823</v>
      </c>
      <c r="AK679" s="11" t="str">
        <f t="shared" si="4"/>
        <v>2020EUR</v>
      </c>
      <c r="AL679" s="11">
        <f>VLOOKUP(AK679, Exchange_rates!$C:$D, 2, FALSE)</f>
        <v>0.88970000000000005</v>
      </c>
      <c r="AM679" s="14">
        <f t="shared" si="5"/>
        <v>2443.8279600000001</v>
      </c>
      <c r="AN679" s="9"/>
      <c r="AO679" s="9"/>
      <c r="AP679" s="9"/>
      <c r="AQ679" s="15" t="s">
        <v>49</v>
      </c>
      <c r="AR679" t="s">
        <v>3310</v>
      </c>
      <c r="AS679" s="16"/>
    </row>
    <row r="680" spans="1:45" ht="14.5">
      <c r="A680" s="9" t="s">
        <v>3311</v>
      </c>
      <c r="B680" s="9" t="s">
        <v>3312</v>
      </c>
      <c r="C680" s="9" t="s">
        <v>3313</v>
      </c>
      <c r="D680" s="9" t="s">
        <v>2830</v>
      </c>
      <c r="E680" s="9" t="s">
        <v>49</v>
      </c>
      <c r="F680" s="9" t="s">
        <v>69</v>
      </c>
      <c r="G680" s="9" t="s">
        <v>70</v>
      </c>
      <c r="H680" s="9" t="s">
        <v>2899</v>
      </c>
      <c r="I680" s="9" t="s">
        <v>72</v>
      </c>
      <c r="J680" s="10"/>
      <c r="K680" s="10">
        <v>42799</v>
      </c>
      <c r="L680" s="10">
        <v>43049.629444444443</v>
      </c>
      <c r="M680" s="28">
        <v>43067</v>
      </c>
      <c r="N680" s="9">
        <v>2017</v>
      </c>
      <c r="O680" s="9" t="s">
        <v>2832</v>
      </c>
      <c r="P680" s="9" t="s">
        <v>53</v>
      </c>
      <c r="Q680" s="9" t="s">
        <v>53</v>
      </c>
      <c r="T680" s="9"/>
      <c r="V680" s="9"/>
      <c r="W680" s="11">
        <f>IFERROR(VLOOKUP(B680, PlumX_snapshot!$A:$B, 2, FALSE), " ")</f>
        <v>5</v>
      </c>
      <c r="X680" s="11">
        <f>IFERROR(VLOOKUP(B680, PlumX_snapshot!$A:$C, 3, FALSE), " ")</f>
        <v>13</v>
      </c>
      <c r="Y680" s="12">
        <f>IFERROR(VLOOKUP(B680, PlumX_snapshot!$A:$D, 4, FALSE), " ")</f>
        <v>0</v>
      </c>
      <c r="Z680" s="12">
        <f>IFERROR(VLOOKUP(B680, PlumX_snapshot!$A:$E, 5, FALSE), " ")</f>
        <v>3</v>
      </c>
      <c r="AA680" s="12">
        <f>IFERROR(VLOOKUP(B680, PlumX_snapshot!$A:$F, 6, FALSE), " ")</f>
        <v>0</v>
      </c>
      <c r="AB680" s="13">
        <v>44978</v>
      </c>
      <c r="AH680" s="9"/>
      <c r="AI680" s="9"/>
      <c r="AJ680" s="9"/>
      <c r="AK680" s="11" t="str">
        <f t="shared" si="4"/>
        <v>2017</v>
      </c>
      <c r="AL680" s="11" t="e">
        <f>VLOOKUP(AK680, Exchange_rates!$C:$D, 2, FALSE)</f>
        <v>#N/A</v>
      </c>
      <c r="AM680" s="14" t="str">
        <f t="shared" si="5"/>
        <v/>
      </c>
      <c r="AN680" s="9"/>
      <c r="AO680" s="9"/>
      <c r="AP680" s="9"/>
      <c r="AQ680" s="15" t="s">
        <v>49</v>
      </c>
      <c r="AR680" t="s">
        <v>3314</v>
      </c>
      <c r="AS680" s="16"/>
    </row>
    <row r="681" spans="1:45" ht="14.5">
      <c r="A681" s="9" t="s">
        <v>3315</v>
      </c>
      <c r="B681" s="9" t="s">
        <v>3316</v>
      </c>
      <c r="C681" s="9" t="s">
        <v>3317</v>
      </c>
      <c r="D681" s="9" t="s">
        <v>2830</v>
      </c>
      <c r="E681" s="9" t="s">
        <v>49</v>
      </c>
      <c r="F681" s="9" t="s">
        <v>69</v>
      </c>
      <c r="G681" s="9" t="s">
        <v>70</v>
      </c>
      <c r="H681" s="9" t="s">
        <v>2899</v>
      </c>
      <c r="I681" s="9" t="s">
        <v>72</v>
      </c>
      <c r="J681" s="10">
        <v>42298</v>
      </c>
      <c r="K681" s="10">
        <v>42788</v>
      </c>
      <c r="L681" s="10">
        <v>42789.647175925929</v>
      </c>
      <c r="M681" s="10">
        <v>42795</v>
      </c>
      <c r="N681" s="9">
        <v>2017</v>
      </c>
      <c r="O681" s="9" t="s">
        <v>2832</v>
      </c>
      <c r="P681" s="9" t="s">
        <v>53</v>
      </c>
      <c r="Q681" s="9" t="s">
        <v>53</v>
      </c>
      <c r="T681" s="9"/>
      <c r="V681" s="9"/>
      <c r="W681" s="11">
        <f>IFERROR(VLOOKUP(B681, PlumX_snapshot!$A:$B, 2, FALSE), " ")</f>
        <v>14</v>
      </c>
      <c r="X681" s="11">
        <f>IFERROR(VLOOKUP(B681, PlumX_snapshot!$A:$C, 3, FALSE), " ")</f>
        <v>4</v>
      </c>
      <c r="Y681" s="12">
        <f>IFERROR(VLOOKUP(B681, PlumX_snapshot!$A:$D, 4, FALSE), " ")</f>
        <v>0</v>
      </c>
      <c r="Z681" s="12">
        <f>IFERROR(VLOOKUP(B681, PlumX_snapshot!$A:$E, 5, FALSE), " ")</f>
        <v>168</v>
      </c>
      <c r="AA681" s="12">
        <f>IFERROR(VLOOKUP(B681, PlumX_snapshot!$A:$F, 6, FALSE), " ")</f>
        <v>0</v>
      </c>
      <c r="AB681" s="13">
        <v>44978</v>
      </c>
      <c r="AH681" s="9"/>
      <c r="AI681" s="9"/>
      <c r="AJ681" s="9"/>
      <c r="AK681" s="11" t="str">
        <f t="shared" si="4"/>
        <v>2017</v>
      </c>
      <c r="AL681" s="11" t="e">
        <f>VLOOKUP(AK681, Exchange_rates!$C:$D, 2, FALSE)</f>
        <v>#N/A</v>
      </c>
      <c r="AM681" s="14" t="str">
        <f t="shared" si="5"/>
        <v/>
      </c>
      <c r="AN681" s="9"/>
      <c r="AO681" s="9"/>
      <c r="AP681" s="9"/>
      <c r="AQ681" s="15" t="s">
        <v>49</v>
      </c>
      <c r="AR681" t="s">
        <v>3318</v>
      </c>
      <c r="AS681" s="16"/>
    </row>
    <row r="682" spans="1:45" ht="14.5">
      <c r="A682" s="9" t="s">
        <v>3319</v>
      </c>
      <c r="B682" s="9" t="s">
        <v>3320</v>
      </c>
      <c r="C682" s="9" t="s">
        <v>3194</v>
      </c>
      <c r="D682" s="9" t="s">
        <v>2830</v>
      </c>
      <c r="E682" s="9" t="s">
        <v>49</v>
      </c>
      <c r="F682" s="9" t="s">
        <v>69</v>
      </c>
      <c r="G682" s="9" t="s">
        <v>70</v>
      </c>
      <c r="H682" s="9" t="s">
        <v>2871</v>
      </c>
      <c r="I682" s="9" t="s">
        <v>72</v>
      </c>
      <c r="J682" s="10">
        <v>43945</v>
      </c>
      <c r="K682" s="10">
        <v>44140</v>
      </c>
      <c r="L682" s="10">
        <v>44144.481041666666</v>
      </c>
      <c r="M682" s="10">
        <v>44241</v>
      </c>
      <c r="N682" s="9">
        <v>2020</v>
      </c>
      <c r="O682" s="9" t="s">
        <v>2832</v>
      </c>
      <c r="P682" s="9" t="s">
        <v>53</v>
      </c>
      <c r="Q682" s="9" t="s">
        <v>53</v>
      </c>
      <c r="T682" s="9"/>
      <c r="V682" s="9"/>
      <c r="W682" s="11">
        <f>IFERROR(VLOOKUP(B682, PlumX_snapshot!$A:$B, 2, FALSE), " ")</f>
        <v>57</v>
      </c>
      <c r="X682" s="11">
        <f>IFERROR(VLOOKUP(B682, PlumX_snapshot!$A:$C, 3, FALSE), " ")</f>
        <v>6</v>
      </c>
      <c r="Y682" s="12">
        <f>IFERROR(VLOOKUP(B682, PlumX_snapshot!$A:$D, 4, FALSE), " ")</f>
        <v>34</v>
      </c>
      <c r="Z682" s="12">
        <f>IFERROR(VLOOKUP(B682, PlumX_snapshot!$A:$E, 5, FALSE), " ")</f>
        <v>0</v>
      </c>
      <c r="AA682" s="12">
        <f>IFERROR(VLOOKUP(B682, PlumX_snapshot!$A:$F, 6, FALSE), " ")</f>
        <v>0</v>
      </c>
      <c r="AB682" s="13">
        <v>44978</v>
      </c>
      <c r="AH682" s="9">
        <v>2289</v>
      </c>
      <c r="AI682" s="9" t="s">
        <v>77</v>
      </c>
      <c r="AJ682" s="9" t="s">
        <v>1823</v>
      </c>
      <c r="AK682" s="11" t="str">
        <f t="shared" si="4"/>
        <v>2020EUR</v>
      </c>
      <c r="AL682" s="11">
        <f>VLOOKUP(AK682, Exchange_rates!$C:$D, 2, FALSE)</f>
        <v>0.88970000000000005</v>
      </c>
      <c r="AM682" s="14">
        <f t="shared" si="5"/>
        <v>2443.8279600000001</v>
      </c>
      <c r="AN682" s="9"/>
      <c r="AO682" s="9"/>
      <c r="AP682" s="9"/>
      <c r="AQ682" s="15" t="s">
        <v>49</v>
      </c>
      <c r="AR682" t="s">
        <v>3195</v>
      </c>
      <c r="AS682" s="16"/>
    </row>
    <row r="683" spans="1:45" ht="14.5">
      <c r="A683" s="9" t="s">
        <v>3321</v>
      </c>
      <c r="B683" s="9" t="s">
        <v>3322</v>
      </c>
      <c r="C683" s="9" t="s">
        <v>3323</v>
      </c>
      <c r="D683" s="9" t="s">
        <v>2830</v>
      </c>
      <c r="E683" s="9" t="s">
        <v>49</v>
      </c>
      <c r="F683" s="9" t="s">
        <v>69</v>
      </c>
      <c r="G683" s="9" t="s">
        <v>70</v>
      </c>
      <c r="H683" s="9" t="s">
        <v>2831</v>
      </c>
      <c r="I683" s="9" t="s">
        <v>72</v>
      </c>
      <c r="J683" s="10">
        <v>42997</v>
      </c>
      <c r="K683" s="10">
        <v>43372</v>
      </c>
      <c r="L683" s="10">
        <v>43374.560393518521</v>
      </c>
      <c r="M683" s="10">
        <v>43382</v>
      </c>
      <c r="N683" s="9">
        <v>2018</v>
      </c>
      <c r="O683" s="9" t="s">
        <v>2832</v>
      </c>
      <c r="P683" s="9" t="s">
        <v>53</v>
      </c>
      <c r="Q683" s="9" t="s">
        <v>53</v>
      </c>
      <c r="T683" s="9"/>
      <c r="V683" s="9"/>
      <c r="W683" s="11">
        <f>IFERROR(VLOOKUP(B683, PlumX_snapshot!$A:$B, 2, FALSE), " ")</f>
        <v>2</v>
      </c>
      <c r="X683" s="11">
        <f>IFERROR(VLOOKUP(B683, PlumX_snapshot!$A:$C, 3, FALSE), " ")</f>
        <v>1</v>
      </c>
      <c r="Y683" s="12">
        <f>IFERROR(VLOOKUP(B683, PlumX_snapshot!$A:$D, 4, FALSE), " ")</f>
        <v>0</v>
      </c>
      <c r="Z683" s="12">
        <f>IFERROR(VLOOKUP(B683, PlumX_snapshot!$A:$E, 5, FALSE), " ")</f>
        <v>0</v>
      </c>
      <c r="AA683" s="12">
        <f>IFERROR(VLOOKUP(B683, PlumX_snapshot!$A:$F, 6, FALSE), " ")</f>
        <v>0</v>
      </c>
      <c r="AB683" s="13">
        <v>44978</v>
      </c>
      <c r="AH683" s="9"/>
      <c r="AI683" s="9"/>
      <c r="AJ683" s="9"/>
      <c r="AK683" s="11" t="str">
        <f t="shared" si="4"/>
        <v>2018</v>
      </c>
      <c r="AL683" s="11" t="e">
        <f>VLOOKUP(AK683, Exchange_rates!$C:$D, 2, FALSE)</f>
        <v>#N/A</v>
      </c>
      <c r="AM683" s="14" t="str">
        <f t="shared" si="5"/>
        <v/>
      </c>
      <c r="AN683" s="9"/>
      <c r="AO683" s="9"/>
      <c r="AP683" s="9"/>
      <c r="AQ683" s="15" t="s">
        <v>49</v>
      </c>
      <c r="AR683" t="s">
        <v>3324</v>
      </c>
      <c r="AS683" s="16"/>
    </row>
    <row r="684" spans="1:45" ht="14.5">
      <c r="A684" s="9" t="s">
        <v>3325</v>
      </c>
      <c r="B684" s="9" t="s">
        <v>3326</v>
      </c>
      <c r="C684" s="9" t="s">
        <v>3137</v>
      </c>
      <c r="D684" s="9" t="s">
        <v>2830</v>
      </c>
      <c r="E684" s="9" t="s">
        <v>49</v>
      </c>
      <c r="F684" s="9" t="s">
        <v>69</v>
      </c>
      <c r="G684" s="9" t="s">
        <v>70</v>
      </c>
      <c r="H684" s="9" t="s">
        <v>2899</v>
      </c>
      <c r="I684" s="9" t="s">
        <v>72</v>
      </c>
      <c r="J684" s="10"/>
      <c r="K684" s="10"/>
      <c r="L684" s="10">
        <v>42899.595312500001</v>
      </c>
      <c r="M684" s="10">
        <v>42921</v>
      </c>
      <c r="N684" s="9">
        <v>2017</v>
      </c>
      <c r="O684" s="9" t="s">
        <v>2832</v>
      </c>
      <c r="P684" s="9" t="s">
        <v>53</v>
      </c>
      <c r="Q684" s="9" t="s">
        <v>53</v>
      </c>
      <c r="T684" s="9"/>
      <c r="V684" s="9"/>
      <c r="W684" s="11">
        <f>IFERROR(VLOOKUP(B684, PlumX_snapshot!$A:$B, 2, FALSE), " ")</f>
        <v>89</v>
      </c>
      <c r="X684" s="11">
        <f>IFERROR(VLOOKUP(B684, PlumX_snapshot!$A:$C, 3, FALSE), " ")</f>
        <v>24</v>
      </c>
      <c r="Y684" s="12">
        <f>IFERROR(VLOOKUP(B684, PlumX_snapshot!$A:$D, 4, FALSE), " ")</f>
        <v>2</v>
      </c>
      <c r="Z684" s="12">
        <f>IFERROR(VLOOKUP(B684, PlumX_snapshot!$A:$E, 5, FALSE), " ")</f>
        <v>196</v>
      </c>
      <c r="AA684" s="12">
        <f>IFERROR(VLOOKUP(B684, PlumX_snapshot!$A:$F, 6, FALSE), " ")</f>
        <v>0</v>
      </c>
      <c r="AB684" s="13">
        <v>44978</v>
      </c>
      <c r="AH684" s="9"/>
      <c r="AI684" s="9"/>
      <c r="AJ684" s="9"/>
      <c r="AK684" s="11" t="str">
        <f t="shared" si="4"/>
        <v>2017</v>
      </c>
      <c r="AL684" s="11" t="e">
        <f>VLOOKUP(AK684, Exchange_rates!$C:$D, 2, FALSE)</f>
        <v>#N/A</v>
      </c>
      <c r="AM684" s="14" t="str">
        <f t="shared" si="5"/>
        <v/>
      </c>
      <c r="AN684" s="9"/>
      <c r="AO684" s="9"/>
      <c r="AP684" s="9"/>
      <c r="AQ684" s="15" t="s">
        <v>49</v>
      </c>
      <c r="AR684" t="s">
        <v>3139</v>
      </c>
      <c r="AS684" s="16"/>
    </row>
    <row r="685" spans="1:45" ht="14.5">
      <c r="A685" s="9" t="s">
        <v>3327</v>
      </c>
      <c r="B685" s="9" t="s">
        <v>3328</v>
      </c>
      <c r="C685" s="9" t="s">
        <v>3041</v>
      </c>
      <c r="D685" s="9" t="s">
        <v>2830</v>
      </c>
      <c r="E685" s="9" t="s">
        <v>49</v>
      </c>
      <c r="F685" s="9" t="s">
        <v>69</v>
      </c>
      <c r="G685" s="9" t="s">
        <v>70</v>
      </c>
      <c r="H685" s="9" t="s">
        <v>2831</v>
      </c>
      <c r="I685" s="9" t="s">
        <v>72</v>
      </c>
      <c r="J685" s="10"/>
      <c r="K685" s="10"/>
      <c r="L685" s="10">
        <v>43264.645462962966</v>
      </c>
      <c r="M685" s="10">
        <v>43299</v>
      </c>
      <c r="N685" s="9">
        <v>2018</v>
      </c>
      <c r="O685" s="9" t="s">
        <v>2832</v>
      </c>
      <c r="P685" s="9" t="s">
        <v>53</v>
      </c>
      <c r="Q685" s="9" t="s">
        <v>53</v>
      </c>
      <c r="T685" s="9"/>
      <c r="V685" s="9"/>
      <c r="W685" s="11">
        <f>IFERROR(VLOOKUP(B685, PlumX_snapshot!$A:$B, 2, FALSE), " ")</f>
        <v>5</v>
      </c>
      <c r="X685" s="11">
        <f>IFERROR(VLOOKUP(B685, PlumX_snapshot!$A:$C, 3, FALSE), " ")</f>
        <v>3</v>
      </c>
      <c r="Y685" s="12">
        <f>IFERROR(VLOOKUP(B685, PlumX_snapshot!$A:$D, 4, FALSE), " ")</f>
        <v>1</v>
      </c>
      <c r="Z685" s="12">
        <f>IFERROR(VLOOKUP(B685, PlumX_snapshot!$A:$E, 5, FALSE), " ")</f>
        <v>24</v>
      </c>
      <c r="AA685" s="12">
        <f>IFERROR(VLOOKUP(B685, PlumX_snapshot!$A:$F, 6, FALSE), " ")</f>
        <v>0</v>
      </c>
      <c r="AB685" s="13">
        <v>44978</v>
      </c>
      <c r="AH685" s="9"/>
      <c r="AI685" s="9"/>
      <c r="AJ685" s="9"/>
      <c r="AK685" s="11" t="str">
        <f t="shared" si="4"/>
        <v>2018</v>
      </c>
      <c r="AL685" s="11" t="e">
        <f>VLOOKUP(AK685, Exchange_rates!$C:$D, 2, FALSE)</f>
        <v>#N/A</v>
      </c>
      <c r="AM685" s="14" t="str">
        <f t="shared" si="5"/>
        <v/>
      </c>
      <c r="AN685" s="9"/>
      <c r="AO685" s="9"/>
      <c r="AP685" s="9"/>
      <c r="AQ685" s="15" t="s">
        <v>49</v>
      </c>
      <c r="AR685" t="s">
        <v>3042</v>
      </c>
      <c r="AS685" s="16"/>
    </row>
    <row r="686" spans="1:45" ht="14.5">
      <c r="A686" s="9" t="s">
        <v>3329</v>
      </c>
      <c r="B686" s="9" t="s">
        <v>3330</v>
      </c>
      <c r="C686" s="9" t="s">
        <v>3137</v>
      </c>
      <c r="D686" s="9" t="s">
        <v>2830</v>
      </c>
      <c r="E686" s="9" t="s">
        <v>49</v>
      </c>
      <c r="F686" s="9" t="s">
        <v>69</v>
      </c>
      <c r="G686" s="9" t="s">
        <v>70</v>
      </c>
      <c r="H686" s="9" t="s">
        <v>2841</v>
      </c>
      <c r="I686" s="9" t="s">
        <v>72</v>
      </c>
      <c r="J686" s="10"/>
      <c r="K686" s="10"/>
      <c r="L686" s="10">
        <v>43726.574108796296</v>
      </c>
      <c r="M686" s="28">
        <v>43823</v>
      </c>
      <c r="N686" s="9">
        <v>2019</v>
      </c>
      <c r="O686" s="9" t="s">
        <v>2832</v>
      </c>
      <c r="P686" s="9" t="s">
        <v>53</v>
      </c>
      <c r="Q686" s="9" t="s">
        <v>53</v>
      </c>
      <c r="T686" s="9"/>
      <c r="V686" s="9"/>
      <c r="W686" s="11">
        <f>IFERROR(VLOOKUP(B686, PlumX_snapshot!$A:$B, 2, FALSE), " ")</f>
        <v>27</v>
      </c>
      <c r="X686" s="11">
        <f>IFERROR(VLOOKUP(B686, PlumX_snapshot!$A:$C, 3, FALSE), " ")</f>
        <v>97</v>
      </c>
      <c r="Y686" s="12">
        <f>IFERROR(VLOOKUP(B686, PlumX_snapshot!$A:$D, 4, FALSE), " ")</f>
        <v>66</v>
      </c>
      <c r="Z686" s="12">
        <f>IFERROR(VLOOKUP(B686, PlumX_snapshot!$A:$E, 5, FALSE), " ")</f>
        <v>0</v>
      </c>
      <c r="AA686" s="12">
        <f>IFERROR(VLOOKUP(B686, PlumX_snapshot!$A:$F, 6, FALSE), " ")</f>
        <v>0</v>
      </c>
      <c r="AB686" s="13">
        <v>44978</v>
      </c>
      <c r="AH686" s="9"/>
      <c r="AI686" s="9"/>
      <c r="AJ686" s="9"/>
      <c r="AK686" s="11" t="str">
        <f t="shared" si="4"/>
        <v>2019</v>
      </c>
      <c r="AL686" s="11" t="e">
        <f>VLOOKUP(AK686, Exchange_rates!$C:$D, 2, FALSE)</f>
        <v>#N/A</v>
      </c>
      <c r="AM686" s="14" t="str">
        <f t="shared" si="5"/>
        <v/>
      </c>
      <c r="AN686" s="9"/>
      <c r="AO686" s="9"/>
      <c r="AP686" s="9"/>
      <c r="AQ686" s="15" t="s">
        <v>49</v>
      </c>
      <c r="AR686" t="s">
        <v>3139</v>
      </c>
      <c r="AS686" s="16"/>
    </row>
    <row r="687" spans="1:45" ht="14.5">
      <c r="A687" s="9" t="s">
        <v>3331</v>
      </c>
      <c r="B687" s="9" t="s">
        <v>3332</v>
      </c>
      <c r="C687" s="9" t="s">
        <v>3333</v>
      </c>
      <c r="D687" s="9" t="s">
        <v>2830</v>
      </c>
      <c r="E687" s="9" t="s">
        <v>49</v>
      </c>
      <c r="F687" s="9" t="s">
        <v>69</v>
      </c>
      <c r="G687" s="9" t="s">
        <v>70</v>
      </c>
      <c r="H687" s="9" t="s">
        <v>2871</v>
      </c>
      <c r="I687" s="9" t="s">
        <v>72</v>
      </c>
      <c r="J687" s="10">
        <v>43895</v>
      </c>
      <c r="K687" s="10">
        <v>43986</v>
      </c>
      <c r="L687" s="10">
        <v>43990.441261574073</v>
      </c>
      <c r="M687" s="10">
        <v>43998</v>
      </c>
      <c r="N687" s="9">
        <v>2020</v>
      </c>
      <c r="O687" s="9" t="s">
        <v>2832</v>
      </c>
      <c r="P687" s="9" t="s">
        <v>53</v>
      </c>
      <c r="Q687" s="9" t="s">
        <v>53</v>
      </c>
      <c r="T687" s="9"/>
      <c r="V687" s="9"/>
      <c r="W687" s="11">
        <f>IFERROR(VLOOKUP(B687, PlumX_snapshot!$A:$B, 2, FALSE), " ")</f>
        <v>13</v>
      </c>
      <c r="X687" s="11">
        <f>IFERROR(VLOOKUP(B687, PlumX_snapshot!$A:$C, 3, FALSE), " ")</f>
        <v>3</v>
      </c>
      <c r="Y687" s="12">
        <f>IFERROR(VLOOKUP(B687, PlumX_snapshot!$A:$D, 4, FALSE), " ")</f>
        <v>13</v>
      </c>
      <c r="Z687" s="12">
        <f>IFERROR(VLOOKUP(B687, PlumX_snapshot!$A:$E, 5, FALSE), " ")</f>
        <v>0</v>
      </c>
      <c r="AA687" s="12">
        <f>IFERROR(VLOOKUP(B687, PlumX_snapshot!$A:$F, 6, FALSE), " ")</f>
        <v>0</v>
      </c>
      <c r="AB687" s="13">
        <v>44978</v>
      </c>
      <c r="AH687" s="9">
        <v>2289</v>
      </c>
      <c r="AI687" s="9" t="s">
        <v>77</v>
      </c>
      <c r="AJ687" s="9" t="s">
        <v>1823</v>
      </c>
      <c r="AK687" s="11" t="str">
        <f t="shared" si="4"/>
        <v>2020EUR</v>
      </c>
      <c r="AL687" s="11">
        <f>VLOOKUP(AK687, Exchange_rates!$C:$D, 2, FALSE)</f>
        <v>0.88970000000000005</v>
      </c>
      <c r="AM687" s="14">
        <f t="shared" si="5"/>
        <v>2443.8279600000001</v>
      </c>
      <c r="AN687" s="9"/>
      <c r="AO687" s="9"/>
      <c r="AP687" s="9"/>
      <c r="AQ687" s="15" t="s">
        <v>49</v>
      </c>
      <c r="AR687" t="s">
        <v>3334</v>
      </c>
      <c r="AS687" s="16"/>
    </row>
    <row r="688" spans="1:45" ht="14.5">
      <c r="A688" s="9" t="s">
        <v>3335</v>
      </c>
      <c r="B688" s="9" t="s">
        <v>3336</v>
      </c>
      <c r="C688" s="9" t="s">
        <v>3337</v>
      </c>
      <c r="D688" s="9" t="s">
        <v>2830</v>
      </c>
      <c r="E688" s="9" t="s">
        <v>49</v>
      </c>
      <c r="F688" s="9" t="s">
        <v>69</v>
      </c>
      <c r="G688" s="9" t="s">
        <v>70</v>
      </c>
      <c r="H688" s="9" t="s">
        <v>2899</v>
      </c>
      <c r="I688" s="9" t="s">
        <v>72</v>
      </c>
      <c r="J688" s="10"/>
      <c r="K688" s="10">
        <v>42797</v>
      </c>
      <c r="L688" s="10">
        <v>42802.376898148148</v>
      </c>
      <c r="M688" s="10">
        <v>42815</v>
      </c>
      <c r="N688" s="9">
        <v>2017</v>
      </c>
      <c r="O688" s="9" t="s">
        <v>2832</v>
      </c>
      <c r="P688" s="9" t="s">
        <v>53</v>
      </c>
      <c r="Q688" s="9" t="s">
        <v>53</v>
      </c>
      <c r="T688" s="9"/>
      <c r="V688" s="9"/>
      <c r="W688" s="11">
        <f>IFERROR(VLOOKUP(B688, PlumX_snapshot!$A:$B, 2, FALSE), " ")</f>
        <v>29</v>
      </c>
      <c r="X688" s="11">
        <f>IFERROR(VLOOKUP(B688, PlumX_snapshot!$A:$C, 3, FALSE), " ")</f>
        <v>0</v>
      </c>
      <c r="Y688" s="12">
        <f>IFERROR(VLOOKUP(B688, PlumX_snapshot!$A:$D, 4, FALSE), " ")</f>
        <v>9</v>
      </c>
      <c r="Z688" s="12">
        <f>IFERROR(VLOOKUP(B688, PlumX_snapshot!$A:$E, 5, FALSE), " ")</f>
        <v>434</v>
      </c>
      <c r="AA688" s="12">
        <f>IFERROR(VLOOKUP(B688, PlumX_snapshot!$A:$F, 6, FALSE), " ")</f>
        <v>0</v>
      </c>
      <c r="AB688" s="13">
        <v>44978</v>
      </c>
      <c r="AH688" s="9"/>
      <c r="AI688" s="9"/>
      <c r="AJ688" s="9"/>
      <c r="AK688" s="11" t="str">
        <f t="shared" si="4"/>
        <v>2017</v>
      </c>
      <c r="AL688" s="11" t="e">
        <f>VLOOKUP(AK688, Exchange_rates!$C:$D, 2, FALSE)</f>
        <v>#N/A</v>
      </c>
      <c r="AM688" s="14" t="str">
        <f t="shared" si="5"/>
        <v/>
      </c>
      <c r="AN688" s="9"/>
      <c r="AO688" s="9"/>
      <c r="AP688" s="9"/>
      <c r="AQ688" s="15" t="s">
        <v>49</v>
      </c>
      <c r="AR688" t="s">
        <v>3338</v>
      </c>
      <c r="AS688" s="16"/>
    </row>
    <row r="689" spans="1:45" ht="14.5">
      <c r="A689" s="9" t="s">
        <v>3339</v>
      </c>
      <c r="B689" s="9" t="s">
        <v>3340</v>
      </c>
      <c r="C689" s="9" t="s">
        <v>3341</v>
      </c>
      <c r="D689" s="9" t="s">
        <v>2830</v>
      </c>
      <c r="E689" s="9" t="s">
        <v>49</v>
      </c>
      <c r="F689" s="9" t="s">
        <v>69</v>
      </c>
      <c r="G689" s="9" t="s">
        <v>70</v>
      </c>
      <c r="H689" s="9" t="s">
        <v>2878</v>
      </c>
      <c r="I689" s="9" t="s">
        <v>72</v>
      </c>
      <c r="J689" s="10"/>
      <c r="K689" s="10">
        <v>44305</v>
      </c>
      <c r="L689" s="10">
        <v>44321.546759259261</v>
      </c>
      <c r="M689" s="10">
        <v>44328</v>
      </c>
      <c r="N689" s="9">
        <v>2021</v>
      </c>
      <c r="O689" s="9" t="s">
        <v>2832</v>
      </c>
      <c r="P689" s="9" t="s">
        <v>53</v>
      </c>
      <c r="Q689" s="9" t="s">
        <v>53</v>
      </c>
      <c r="R689" s="9" t="s">
        <v>92</v>
      </c>
      <c r="T689" s="9"/>
      <c r="V689" s="9"/>
      <c r="W689" s="11">
        <f>IFERROR(VLOOKUP(B689, PlumX_snapshot!$A:$B, 2, FALSE), " ")</f>
        <v>3</v>
      </c>
      <c r="X689" s="11">
        <f>IFERROR(VLOOKUP(B689, PlumX_snapshot!$A:$C, 3, FALSE), " ")</f>
        <v>0</v>
      </c>
      <c r="Y689" s="12">
        <f>IFERROR(VLOOKUP(B689, PlumX_snapshot!$A:$D, 4, FALSE), " ")</f>
        <v>0</v>
      </c>
      <c r="Z689" s="12">
        <f>IFERROR(VLOOKUP(B689, PlumX_snapshot!$A:$E, 5, FALSE), " ")</f>
        <v>0</v>
      </c>
      <c r="AA689" s="12">
        <f>IFERROR(VLOOKUP(B689, PlumX_snapshot!$A:$F, 6, FALSE), " ")</f>
        <v>0</v>
      </c>
      <c r="AB689" s="13">
        <v>44978</v>
      </c>
      <c r="AH689" s="9">
        <v>2380</v>
      </c>
      <c r="AI689" s="9" t="s">
        <v>77</v>
      </c>
      <c r="AJ689" s="9" t="s">
        <v>1823</v>
      </c>
      <c r="AK689" s="11" t="str">
        <f t="shared" si="4"/>
        <v>2021EUR</v>
      </c>
      <c r="AL689" s="11">
        <f>VLOOKUP(AK689, Exchange_rates!$C:$D, 2, FALSE)</f>
        <v>0.8599</v>
      </c>
      <c r="AM689" s="14">
        <f t="shared" si="5"/>
        <v>2455.8743999999997</v>
      </c>
      <c r="AN689" s="9"/>
      <c r="AO689" s="9"/>
      <c r="AP689" s="9"/>
      <c r="AQ689" s="15" t="s">
        <v>49</v>
      </c>
      <c r="AR689" t="s">
        <v>3342</v>
      </c>
      <c r="AS689" s="16"/>
    </row>
    <row r="690" spans="1:45" ht="14.5">
      <c r="A690" s="9" t="s">
        <v>3343</v>
      </c>
      <c r="B690" s="9" t="s">
        <v>3344</v>
      </c>
      <c r="C690" s="9" t="s">
        <v>2987</v>
      </c>
      <c r="D690" s="9" t="s">
        <v>2830</v>
      </c>
      <c r="E690" s="9" t="s">
        <v>49</v>
      </c>
      <c r="F690" s="9" t="s">
        <v>69</v>
      </c>
      <c r="G690" s="9" t="s">
        <v>70</v>
      </c>
      <c r="H690" s="9" t="s">
        <v>2841</v>
      </c>
      <c r="I690" s="9" t="s">
        <v>72</v>
      </c>
      <c r="J690" s="10">
        <v>43595</v>
      </c>
      <c r="K690" s="10">
        <v>43731</v>
      </c>
      <c r="L690" s="10">
        <v>43747.606481481482</v>
      </c>
      <c r="M690" s="28">
        <v>43762</v>
      </c>
      <c r="N690" s="9">
        <v>2019</v>
      </c>
      <c r="O690" s="9" t="s">
        <v>2832</v>
      </c>
      <c r="P690" s="9" t="s">
        <v>53</v>
      </c>
      <c r="Q690" s="9" t="s">
        <v>53</v>
      </c>
      <c r="T690" s="9"/>
      <c r="V690" s="9"/>
      <c r="W690" s="11">
        <f>IFERROR(VLOOKUP(B690, PlumX_snapshot!$A:$B, 2, FALSE), " ")</f>
        <v>54</v>
      </c>
      <c r="X690" s="11">
        <f>IFERROR(VLOOKUP(B690, PlumX_snapshot!$A:$C, 3, FALSE), " ")</f>
        <v>5</v>
      </c>
      <c r="Y690" s="12">
        <f>IFERROR(VLOOKUP(B690, PlumX_snapshot!$A:$D, 4, FALSE), " ")</f>
        <v>35</v>
      </c>
      <c r="Z690" s="12">
        <f>IFERROR(VLOOKUP(B690, PlumX_snapshot!$A:$E, 5, FALSE), " ")</f>
        <v>0</v>
      </c>
      <c r="AA690" s="12">
        <f>IFERROR(VLOOKUP(B690, PlumX_snapshot!$A:$F, 6, FALSE), " ")</f>
        <v>7</v>
      </c>
      <c r="AB690" s="13">
        <v>44978</v>
      </c>
      <c r="AH690" s="9"/>
      <c r="AI690" s="9"/>
      <c r="AJ690" s="9"/>
      <c r="AK690" s="11" t="str">
        <f t="shared" si="4"/>
        <v>2019</v>
      </c>
      <c r="AL690" s="11" t="e">
        <f>VLOOKUP(AK690, Exchange_rates!$C:$D, 2, FALSE)</f>
        <v>#N/A</v>
      </c>
      <c r="AM690" s="14" t="str">
        <f t="shared" si="5"/>
        <v/>
      </c>
      <c r="AN690" s="9"/>
      <c r="AO690" s="9"/>
      <c r="AP690" s="9"/>
      <c r="AQ690" s="15" t="s">
        <v>49</v>
      </c>
      <c r="AR690" t="s">
        <v>2989</v>
      </c>
      <c r="AS690" s="16"/>
    </row>
    <row r="691" spans="1:45" ht="14.5">
      <c r="A691" s="9" t="s">
        <v>3345</v>
      </c>
      <c r="B691" s="9" t="s">
        <v>3346</v>
      </c>
      <c r="C691" s="9" t="s">
        <v>3347</v>
      </c>
      <c r="D691" s="9" t="s">
        <v>2830</v>
      </c>
      <c r="E691" s="9" t="s">
        <v>49</v>
      </c>
      <c r="F691" s="9" t="s">
        <v>69</v>
      </c>
      <c r="G691" s="9" t="s">
        <v>70</v>
      </c>
      <c r="H691" s="9" t="s">
        <v>2899</v>
      </c>
      <c r="I691" s="9" t="s">
        <v>72</v>
      </c>
      <c r="J691" s="10"/>
      <c r="K691" s="10"/>
      <c r="L691" s="10">
        <v>42786.695740740739</v>
      </c>
      <c r="M691" s="10">
        <v>42803</v>
      </c>
      <c r="N691" s="9">
        <v>2017</v>
      </c>
      <c r="O691" s="9" t="s">
        <v>2832</v>
      </c>
      <c r="P691" s="9" t="s">
        <v>53</v>
      </c>
      <c r="Q691" s="9" t="s">
        <v>53</v>
      </c>
      <c r="T691" s="9"/>
      <c r="V691" s="9"/>
      <c r="W691" s="11">
        <f>IFERROR(VLOOKUP(B691, PlumX_snapshot!$A:$B, 2, FALSE), " ")</f>
        <v>14</v>
      </c>
      <c r="X691" s="11">
        <f>IFERROR(VLOOKUP(B691, PlumX_snapshot!$A:$C, 3, FALSE), " ")</f>
        <v>7</v>
      </c>
      <c r="Y691" s="12">
        <f>IFERROR(VLOOKUP(B691, PlumX_snapshot!$A:$D, 4, FALSE), " ")</f>
        <v>3</v>
      </c>
      <c r="Z691" s="12">
        <f>IFERROR(VLOOKUP(B691, PlumX_snapshot!$A:$E, 5, FALSE), " ")</f>
        <v>12</v>
      </c>
      <c r="AA691" s="12">
        <f>IFERROR(VLOOKUP(B691, PlumX_snapshot!$A:$F, 6, FALSE), " ")</f>
        <v>0</v>
      </c>
      <c r="AB691" s="13">
        <v>44978</v>
      </c>
      <c r="AH691" s="9"/>
      <c r="AI691" s="9"/>
      <c r="AJ691" s="9"/>
      <c r="AK691" s="11" t="str">
        <f t="shared" si="4"/>
        <v>2017</v>
      </c>
      <c r="AL691" s="11" t="e">
        <f>VLOOKUP(AK691, Exchange_rates!$C:$D, 2, FALSE)</f>
        <v>#N/A</v>
      </c>
      <c r="AM691" s="14" t="str">
        <f t="shared" si="5"/>
        <v/>
      </c>
      <c r="AN691" s="9"/>
      <c r="AO691" s="9"/>
      <c r="AP691" s="9"/>
      <c r="AQ691" s="15" t="s">
        <v>49</v>
      </c>
      <c r="AR691" t="s">
        <v>3348</v>
      </c>
      <c r="AS691" s="16"/>
    </row>
    <row r="692" spans="1:45" ht="14.5">
      <c r="A692" s="9" t="s">
        <v>3349</v>
      </c>
      <c r="B692" s="9" t="s">
        <v>3350</v>
      </c>
      <c r="C692" s="9" t="s">
        <v>3351</v>
      </c>
      <c r="D692" s="9" t="s">
        <v>2830</v>
      </c>
      <c r="E692" s="9" t="s">
        <v>49</v>
      </c>
      <c r="F692" s="9" t="s">
        <v>69</v>
      </c>
      <c r="G692" s="9" t="s">
        <v>70</v>
      </c>
      <c r="H692" s="9" t="s">
        <v>2899</v>
      </c>
      <c r="I692" s="9" t="s">
        <v>72</v>
      </c>
      <c r="J692" s="10">
        <v>42315</v>
      </c>
      <c r="K692" s="10">
        <v>42794</v>
      </c>
      <c r="L692" s="10">
        <v>42794.487511574072</v>
      </c>
      <c r="M692" s="10">
        <v>42801</v>
      </c>
      <c r="N692" s="9">
        <v>2017</v>
      </c>
      <c r="O692" s="9" t="s">
        <v>2832</v>
      </c>
      <c r="P692" s="9" t="s">
        <v>53</v>
      </c>
      <c r="Q692" s="9" t="s">
        <v>53</v>
      </c>
      <c r="T692" s="9"/>
      <c r="V692" s="9"/>
      <c r="W692" s="11">
        <f>IFERROR(VLOOKUP(B692, PlumX_snapshot!$A:$B, 2, FALSE), " ")</f>
        <v>15</v>
      </c>
      <c r="X692" s="11">
        <f>IFERROR(VLOOKUP(B692, PlumX_snapshot!$A:$C, 3, FALSE), " ")</f>
        <v>52</v>
      </c>
      <c r="Y692" s="12">
        <f>IFERROR(VLOOKUP(B692, PlumX_snapshot!$A:$D, 4, FALSE), " ")</f>
        <v>4</v>
      </c>
      <c r="Z692" s="12">
        <f>IFERROR(VLOOKUP(B692, PlumX_snapshot!$A:$E, 5, FALSE), " ")</f>
        <v>9</v>
      </c>
      <c r="AA692" s="12">
        <f>IFERROR(VLOOKUP(B692, PlumX_snapshot!$A:$F, 6, FALSE), " ")</f>
        <v>0</v>
      </c>
      <c r="AB692" s="13">
        <v>44978</v>
      </c>
      <c r="AH692" s="9"/>
      <c r="AI692" s="9"/>
      <c r="AJ692" s="9"/>
      <c r="AK692" s="11" t="str">
        <f t="shared" si="4"/>
        <v>2017</v>
      </c>
      <c r="AL692" s="11" t="e">
        <f>VLOOKUP(AK692, Exchange_rates!$C:$D, 2, FALSE)</f>
        <v>#N/A</v>
      </c>
      <c r="AM692" s="14" t="str">
        <f t="shared" si="5"/>
        <v/>
      </c>
      <c r="AN692" s="9"/>
      <c r="AO692" s="9"/>
      <c r="AP692" s="9"/>
      <c r="AQ692" s="15" t="s">
        <v>49</v>
      </c>
      <c r="AR692" t="s">
        <v>3352</v>
      </c>
      <c r="AS692" s="16"/>
    </row>
    <row r="693" spans="1:45" ht="14.5">
      <c r="A693" s="9" t="s">
        <v>3353</v>
      </c>
      <c r="B693" s="9" t="s">
        <v>3354</v>
      </c>
      <c r="C693" s="9" t="s">
        <v>3178</v>
      </c>
      <c r="D693" s="9" t="s">
        <v>2830</v>
      </c>
      <c r="E693" s="9" t="s">
        <v>49</v>
      </c>
      <c r="F693" s="9" t="s">
        <v>69</v>
      </c>
      <c r="G693" s="9" t="s">
        <v>70</v>
      </c>
      <c r="H693" s="9" t="s">
        <v>2831</v>
      </c>
      <c r="I693" s="9" t="s">
        <v>72</v>
      </c>
      <c r="J693" s="10">
        <v>43132</v>
      </c>
      <c r="K693" s="10">
        <v>43323</v>
      </c>
      <c r="L693" s="10">
        <v>43325.608993055554</v>
      </c>
      <c r="M693" s="10">
        <v>43341</v>
      </c>
      <c r="N693" s="9">
        <v>2018</v>
      </c>
      <c r="O693" s="9" t="s">
        <v>2832</v>
      </c>
      <c r="P693" s="9" t="s">
        <v>53</v>
      </c>
      <c r="Q693" s="9" t="s">
        <v>53</v>
      </c>
      <c r="R693" s="9" t="s">
        <v>3355</v>
      </c>
      <c r="T693" s="9"/>
      <c r="V693" s="9"/>
      <c r="W693" s="11">
        <f>IFERROR(VLOOKUP(B693, PlumX_snapshot!$A:$B, 2, FALSE), " ")</f>
        <v>190</v>
      </c>
      <c r="X693" s="11">
        <f>IFERROR(VLOOKUP(B693, PlumX_snapshot!$A:$C, 3, FALSE), " ")</f>
        <v>30</v>
      </c>
      <c r="Y693" s="12">
        <f>IFERROR(VLOOKUP(B693, PlumX_snapshot!$A:$D, 4, FALSE), " ")</f>
        <v>31</v>
      </c>
      <c r="Z693" s="12">
        <f>IFERROR(VLOOKUP(B693, PlumX_snapshot!$A:$E, 5, FALSE), " ")</f>
        <v>57</v>
      </c>
      <c r="AA693" s="12">
        <f>IFERROR(VLOOKUP(B693, PlumX_snapshot!$A:$F, 6, FALSE), " ")</f>
        <v>1</v>
      </c>
      <c r="AB693" s="13">
        <v>44978</v>
      </c>
      <c r="AH693" s="9"/>
      <c r="AI693" s="9"/>
      <c r="AJ693" s="9"/>
      <c r="AK693" s="11" t="str">
        <f t="shared" si="4"/>
        <v>2018</v>
      </c>
      <c r="AL693" s="11" t="e">
        <f>VLOOKUP(AK693, Exchange_rates!$C:$D, 2, FALSE)</f>
        <v>#N/A</v>
      </c>
      <c r="AM693" s="14" t="str">
        <f t="shared" si="5"/>
        <v/>
      </c>
      <c r="AN693" s="9"/>
      <c r="AO693" s="9"/>
      <c r="AP693" s="9"/>
      <c r="AQ693" s="15" t="s">
        <v>49</v>
      </c>
      <c r="AR693" t="s">
        <v>3179</v>
      </c>
      <c r="AS693" s="16"/>
    </row>
    <row r="694" spans="1:45" ht="14.5">
      <c r="A694" s="9" t="s">
        <v>3356</v>
      </c>
      <c r="B694" s="9" t="s">
        <v>3357</v>
      </c>
      <c r="C694" s="9" t="s">
        <v>3041</v>
      </c>
      <c r="D694" s="9" t="s">
        <v>2830</v>
      </c>
      <c r="E694" s="9" t="s">
        <v>49</v>
      </c>
      <c r="F694" s="9" t="s">
        <v>69</v>
      </c>
      <c r="G694" s="9" t="s">
        <v>70</v>
      </c>
      <c r="H694" s="9" t="s">
        <v>2899</v>
      </c>
      <c r="I694" s="9" t="s">
        <v>72</v>
      </c>
      <c r="J694" s="10"/>
      <c r="K694" s="10"/>
      <c r="L694" s="10">
        <v>42794.483055555553</v>
      </c>
      <c r="M694" s="10">
        <v>42802</v>
      </c>
      <c r="N694" s="9">
        <v>2017</v>
      </c>
      <c r="O694" s="9" t="s">
        <v>2832</v>
      </c>
      <c r="P694" s="9" t="s">
        <v>53</v>
      </c>
      <c r="Q694" s="9" t="s">
        <v>53</v>
      </c>
      <c r="T694" s="9"/>
      <c r="V694" s="9"/>
      <c r="W694" s="11">
        <f>IFERROR(VLOOKUP(B694, PlumX_snapshot!$A:$B, 2, FALSE), " ")</f>
        <v>13</v>
      </c>
      <c r="X694" s="11">
        <f>IFERROR(VLOOKUP(B694, PlumX_snapshot!$A:$C, 3, FALSE), " ")</f>
        <v>4</v>
      </c>
      <c r="Y694" s="12">
        <f>IFERROR(VLOOKUP(B694, PlumX_snapshot!$A:$D, 4, FALSE), " ")</f>
        <v>1</v>
      </c>
      <c r="Z694" s="12">
        <f>IFERROR(VLOOKUP(B694, PlumX_snapshot!$A:$E, 5, FALSE), " ")</f>
        <v>89</v>
      </c>
      <c r="AA694" s="12">
        <f>IFERROR(VLOOKUP(B694, PlumX_snapshot!$A:$F, 6, FALSE), " ")</f>
        <v>0</v>
      </c>
      <c r="AB694" s="13">
        <v>44978</v>
      </c>
      <c r="AH694" s="9"/>
      <c r="AI694" s="9"/>
      <c r="AJ694" s="9"/>
      <c r="AK694" s="11" t="str">
        <f t="shared" si="4"/>
        <v>2017</v>
      </c>
      <c r="AL694" s="11" t="e">
        <f>VLOOKUP(AK694, Exchange_rates!$C:$D, 2, FALSE)</f>
        <v>#N/A</v>
      </c>
      <c r="AM694" s="14" t="str">
        <f t="shared" si="5"/>
        <v/>
      </c>
      <c r="AN694" s="9"/>
      <c r="AO694" s="9"/>
      <c r="AP694" s="9"/>
      <c r="AQ694" s="15" t="s">
        <v>49</v>
      </c>
      <c r="AR694" t="s">
        <v>3042</v>
      </c>
      <c r="AS694" s="16"/>
    </row>
    <row r="695" spans="1:45" ht="14.5">
      <c r="A695" s="9" t="s">
        <v>3358</v>
      </c>
      <c r="B695" s="9" t="s">
        <v>3359</v>
      </c>
      <c r="C695" s="9" t="s">
        <v>2994</v>
      </c>
      <c r="D695" s="9" t="s">
        <v>2830</v>
      </c>
      <c r="E695" s="9" t="s">
        <v>49</v>
      </c>
      <c r="F695" s="9" t="s">
        <v>69</v>
      </c>
      <c r="G695" s="9" t="s">
        <v>70</v>
      </c>
      <c r="H695" s="9" t="s">
        <v>2831</v>
      </c>
      <c r="I695" s="9" t="s">
        <v>72</v>
      </c>
      <c r="J695" s="10"/>
      <c r="K695" s="10"/>
      <c r="L695" s="10">
        <v>43292.632094907407</v>
      </c>
      <c r="M695" s="10">
        <v>43321</v>
      </c>
      <c r="N695" s="9">
        <v>2018</v>
      </c>
      <c r="O695" s="9" t="s">
        <v>2832</v>
      </c>
      <c r="P695" s="9" t="s">
        <v>53</v>
      </c>
      <c r="Q695" s="9" t="s">
        <v>53</v>
      </c>
      <c r="T695" s="9"/>
      <c r="V695" s="9"/>
      <c r="W695" s="11">
        <f>IFERROR(VLOOKUP(B695, PlumX_snapshot!$A:$B, 2, FALSE), " ")</f>
        <v>5</v>
      </c>
      <c r="X695" s="11">
        <f>IFERROR(VLOOKUP(B695, PlumX_snapshot!$A:$C, 3, FALSE), " ")</f>
        <v>2</v>
      </c>
      <c r="Y695" s="12">
        <f>IFERROR(VLOOKUP(B695, PlumX_snapshot!$A:$D, 4, FALSE), " ")</f>
        <v>28</v>
      </c>
      <c r="Z695" s="12">
        <f>IFERROR(VLOOKUP(B695, PlumX_snapshot!$A:$E, 5, FALSE), " ")</f>
        <v>184</v>
      </c>
      <c r="AA695" s="12">
        <f>IFERROR(VLOOKUP(B695, PlumX_snapshot!$A:$F, 6, FALSE), " ")</f>
        <v>0</v>
      </c>
      <c r="AB695" s="13">
        <v>44978</v>
      </c>
      <c r="AH695" s="9"/>
      <c r="AI695" s="9"/>
      <c r="AJ695" s="9"/>
      <c r="AK695" s="11" t="str">
        <f t="shared" si="4"/>
        <v>2018</v>
      </c>
      <c r="AL695" s="11" t="e">
        <f>VLOOKUP(AK695, Exchange_rates!$C:$D, 2, FALSE)</f>
        <v>#N/A</v>
      </c>
      <c r="AM695" s="14" t="str">
        <f t="shared" si="5"/>
        <v/>
      </c>
      <c r="AN695" s="9"/>
      <c r="AO695" s="9"/>
      <c r="AP695" s="9"/>
      <c r="AQ695" s="15" t="s">
        <v>49</v>
      </c>
      <c r="AR695" t="s">
        <v>2995</v>
      </c>
      <c r="AS695" s="16"/>
    </row>
    <row r="696" spans="1:45" ht="14.5">
      <c r="A696" s="9" t="s">
        <v>3360</v>
      </c>
      <c r="B696" s="9" t="s">
        <v>3361</v>
      </c>
      <c r="C696" s="9" t="s">
        <v>3362</v>
      </c>
      <c r="D696" s="9" t="s">
        <v>2830</v>
      </c>
      <c r="E696" s="9" t="s">
        <v>49</v>
      </c>
      <c r="F696" s="9" t="s">
        <v>69</v>
      </c>
      <c r="G696" s="9" t="s">
        <v>70</v>
      </c>
      <c r="H696" s="9" t="s">
        <v>2831</v>
      </c>
      <c r="I696" s="9" t="s">
        <v>72</v>
      </c>
      <c r="J696" s="10">
        <v>43102</v>
      </c>
      <c r="K696" s="10"/>
      <c r="L696" s="10">
        <v>43395.351331018515</v>
      </c>
      <c r="M696" s="10">
        <v>43405</v>
      </c>
      <c r="N696" s="9">
        <v>2018</v>
      </c>
      <c r="O696" s="9" t="s">
        <v>2832</v>
      </c>
      <c r="P696" s="9" t="s">
        <v>53</v>
      </c>
      <c r="Q696" s="9" t="s">
        <v>53</v>
      </c>
      <c r="T696" s="9"/>
      <c r="V696" s="9"/>
      <c r="W696" s="11">
        <f>IFERROR(VLOOKUP(B696, PlumX_snapshot!$A:$B, 2, FALSE), " ")</f>
        <v>4</v>
      </c>
      <c r="X696" s="11">
        <f>IFERROR(VLOOKUP(B696, PlumX_snapshot!$A:$C, 3, FALSE), " ")</f>
        <v>10</v>
      </c>
      <c r="Y696" s="12">
        <f>IFERROR(VLOOKUP(B696, PlumX_snapshot!$A:$D, 4, FALSE), " ")</f>
        <v>0</v>
      </c>
      <c r="Z696" s="12">
        <f>IFERROR(VLOOKUP(B696, PlumX_snapshot!$A:$E, 5, FALSE), " ")</f>
        <v>0</v>
      </c>
      <c r="AA696" s="12">
        <f>IFERROR(VLOOKUP(B696, PlumX_snapshot!$A:$F, 6, FALSE), " ")</f>
        <v>0</v>
      </c>
      <c r="AB696" s="13">
        <v>44978</v>
      </c>
      <c r="AH696" s="9"/>
      <c r="AI696" s="9"/>
      <c r="AJ696" s="9"/>
      <c r="AK696" s="11" t="str">
        <f t="shared" si="4"/>
        <v>2018</v>
      </c>
      <c r="AL696" s="11" t="e">
        <f>VLOOKUP(AK696, Exchange_rates!$C:$D, 2, FALSE)</f>
        <v>#N/A</v>
      </c>
      <c r="AM696" s="14" t="str">
        <f t="shared" si="5"/>
        <v/>
      </c>
      <c r="AN696" s="9"/>
      <c r="AO696" s="9"/>
      <c r="AP696" s="9"/>
      <c r="AQ696" s="15" t="s">
        <v>49</v>
      </c>
      <c r="AR696" t="s">
        <v>3363</v>
      </c>
      <c r="AS696" s="16"/>
    </row>
    <row r="697" spans="1:45" ht="14.5">
      <c r="A697" s="9" t="s">
        <v>3364</v>
      </c>
      <c r="B697" s="9" t="s">
        <v>3365</v>
      </c>
      <c r="C697" s="9" t="s">
        <v>3366</v>
      </c>
      <c r="D697" s="9" t="s">
        <v>2830</v>
      </c>
      <c r="E697" s="9" t="s">
        <v>49</v>
      </c>
      <c r="F697" s="9" t="s">
        <v>69</v>
      </c>
      <c r="G697" s="9" t="s">
        <v>70</v>
      </c>
      <c r="H697" s="9" t="s">
        <v>2899</v>
      </c>
      <c r="I697" s="9" t="s">
        <v>72</v>
      </c>
      <c r="J697" s="10"/>
      <c r="K697" s="10"/>
      <c r="L697" s="10">
        <v>42968.616388888891</v>
      </c>
      <c r="M697" s="10">
        <v>42978</v>
      </c>
      <c r="N697" s="9">
        <v>2017</v>
      </c>
      <c r="O697" s="9" t="s">
        <v>2832</v>
      </c>
      <c r="P697" s="9" t="s">
        <v>53</v>
      </c>
      <c r="Q697" s="9" t="s">
        <v>53</v>
      </c>
      <c r="T697" s="9"/>
      <c r="V697" s="9"/>
      <c r="W697" s="11">
        <f>IFERROR(VLOOKUP(B697, PlumX_snapshot!$A:$B, 2, FALSE), " ")</f>
        <v>51</v>
      </c>
      <c r="X697" s="11">
        <f>IFERROR(VLOOKUP(B697, PlumX_snapshot!$A:$C, 3, FALSE), " ")</f>
        <v>15</v>
      </c>
      <c r="Y697" s="12">
        <f>IFERROR(VLOOKUP(B697, PlumX_snapshot!$A:$D, 4, FALSE), " ")</f>
        <v>72</v>
      </c>
      <c r="Z697" s="12">
        <f>IFERROR(VLOOKUP(B697, PlumX_snapshot!$A:$E, 5, FALSE), " ")</f>
        <v>8</v>
      </c>
      <c r="AA697" s="12">
        <f>IFERROR(VLOOKUP(B697, PlumX_snapshot!$A:$F, 6, FALSE), " ")</f>
        <v>0</v>
      </c>
      <c r="AB697" s="13">
        <v>44978</v>
      </c>
      <c r="AH697" s="9"/>
      <c r="AI697" s="9"/>
      <c r="AJ697" s="9"/>
      <c r="AK697" s="11" t="str">
        <f t="shared" si="4"/>
        <v>2017</v>
      </c>
      <c r="AL697" s="11" t="e">
        <f>VLOOKUP(AK697, Exchange_rates!$C:$D, 2, FALSE)</f>
        <v>#N/A</v>
      </c>
      <c r="AM697" s="14" t="str">
        <f t="shared" si="5"/>
        <v/>
      </c>
      <c r="AN697" s="9"/>
      <c r="AO697" s="9"/>
      <c r="AP697" s="9"/>
      <c r="AQ697" s="15" t="s">
        <v>49</v>
      </c>
      <c r="AR697" t="s">
        <v>3367</v>
      </c>
      <c r="AS697" s="16"/>
    </row>
    <row r="698" spans="1:45" ht="14.5">
      <c r="A698" s="9" t="s">
        <v>3368</v>
      </c>
      <c r="B698" s="9" t="s">
        <v>3369</v>
      </c>
      <c r="C698" s="9" t="s">
        <v>3370</v>
      </c>
      <c r="D698" s="9" t="s">
        <v>2830</v>
      </c>
      <c r="E698" s="9" t="s">
        <v>49</v>
      </c>
      <c r="F698" s="9" t="s">
        <v>69</v>
      </c>
      <c r="G698" s="9" t="s">
        <v>70</v>
      </c>
      <c r="H698" s="9" t="s">
        <v>2878</v>
      </c>
      <c r="I698" s="9" t="s">
        <v>72</v>
      </c>
      <c r="J698" s="10">
        <v>44178</v>
      </c>
      <c r="K698" s="10">
        <v>44343</v>
      </c>
      <c r="L698" s="10">
        <v>44355.6406712963</v>
      </c>
      <c r="M698" s="10">
        <v>44368</v>
      </c>
      <c r="N698" s="9">
        <v>2021</v>
      </c>
      <c r="O698" s="9" t="s">
        <v>2832</v>
      </c>
      <c r="P698" s="9" t="s">
        <v>53</v>
      </c>
      <c r="Q698" s="9" t="s">
        <v>53</v>
      </c>
      <c r="R698" s="9" t="s">
        <v>3371</v>
      </c>
      <c r="T698" s="9"/>
      <c r="V698" s="9"/>
      <c r="W698" s="11">
        <f>IFERROR(VLOOKUP(B698, PlumX_snapshot!$A:$B, 2, FALSE), " ")</f>
        <v>4</v>
      </c>
      <c r="X698" s="11">
        <f>IFERROR(VLOOKUP(B698, PlumX_snapshot!$A:$C, 3, FALSE), " ")</f>
        <v>0</v>
      </c>
      <c r="Y698" s="12">
        <f>IFERROR(VLOOKUP(B698, PlumX_snapshot!$A:$D, 4, FALSE), " ")</f>
        <v>0</v>
      </c>
      <c r="Z698" s="12">
        <f>IFERROR(VLOOKUP(B698, PlumX_snapshot!$A:$E, 5, FALSE), " ")</f>
        <v>0</v>
      </c>
      <c r="AA698" s="12">
        <f>IFERROR(VLOOKUP(B698, PlumX_snapshot!$A:$F, 6, FALSE), " ")</f>
        <v>0</v>
      </c>
      <c r="AB698" s="13">
        <v>44978</v>
      </c>
      <c r="AH698" s="9">
        <v>2380</v>
      </c>
      <c r="AI698" s="9" t="s">
        <v>77</v>
      </c>
      <c r="AJ698" s="9" t="s">
        <v>1823</v>
      </c>
      <c r="AK698" s="11" t="str">
        <f t="shared" si="4"/>
        <v>2021EUR</v>
      </c>
      <c r="AL698" s="11">
        <f>VLOOKUP(AK698, Exchange_rates!$C:$D, 2, FALSE)</f>
        <v>0.8599</v>
      </c>
      <c r="AM698" s="14">
        <f t="shared" si="5"/>
        <v>2455.8743999999997</v>
      </c>
      <c r="AN698" s="9"/>
      <c r="AO698" s="9"/>
      <c r="AP698" s="9"/>
      <c r="AQ698" s="15" t="s">
        <v>49</v>
      </c>
      <c r="AR698" t="s">
        <v>3372</v>
      </c>
      <c r="AS698" s="16"/>
    </row>
    <row r="699" spans="1:45" ht="14.5">
      <c r="A699" s="9" t="s">
        <v>3373</v>
      </c>
      <c r="B699" s="9" t="s">
        <v>3374</v>
      </c>
      <c r="C699" s="9" t="s">
        <v>3159</v>
      </c>
      <c r="D699" s="9" t="s">
        <v>2830</v>
      </c>
      <c r="E699" s="9" t="s">
        <v>49</v>
      </c>
      <c r="F699" s="9" t="s">
        <v>69</v>
      </c>
      <c r="G699" s="9" t="s">
        <v>70</v>
      </c>
      <c r="H699" s="9" t="s">
        <v>2831</v>
      </c>
      <c r="I699" s="9" t="s">
        <v>72</v>
      </c>
      <c r="J699" s="10">
        <v>43178</v>
      </c>
      <c r="K699" s="10"/>
      <c r="L699" s="10">
        <v>43306.542650462965</v>
      </c>
      <c r="M699" s="28">
        <v>43383</v>
      </c>
      <c r="N699" s="9">
        <v>2018</v>
      </c>
      <c r="O699" s="9" t="s">
        <v>2832</v>
      </c>
      <c r="P699" s="9" t="s">
        <v>53</v>
      </c>
      <c r="Q699" s="9" t="s">
        <v>53</v>
      </c>
      <c r="R699" s="9" t="s">
        <v>3375</v>
      </c>
      <c r="T699" s="9"/>
      <c r="V699" s="9"/>
      <c r="W699" s="11">
        <f>IFERROR(VLOOKUP(B699, PlumX_snapshot!$A:$B, 2, FALSE), " ")</f>
        <v>8</v>
      </c>
      <c r="X699" s="11">
        <f>IFERROR(VLOOKUP(B699, PlumX_snapshot!$A:$C, 3, FALSE), " ")</f>
        <v>7</v>
      </c>
      <c r="Y699" s="12">
        <f>IFERROR(VLOOKUP(B699, PlumX_snapshot!$A:$D, 4, FALSE), " ")</f>
        <v>5</v>
      </c>
      <c r="Z699" s="12">
        <f>IFERROR(VLOOKUP(B699, PlumX_snapshot!$A:$E, 5, FALSE), " ")</f>
        <v>3</v>
      </c>
      <c r="AA699" s="12">
        <f>IFERROR(VLOOKUP(B699, PlumX_snapshot!$A:$F, 6, FALSE), " ")</f>
        <v>0</v>
      </c>
      <c r="AB699" s="13">
        <v>44978</v>
      </c>
      <c r="AH699" s="9"/>
      <c r="AI699" s="9"/>
      <c r="AJ699" s="9"/>
      <c r="AK699" s="11" t="str">
        <f t="shared" si="4"/>
        <v>2018</v>
      </c>
      <c r="AL699" s="11" t="e">
        <f>VLOOKUP(AK699, Exchange_rates!$C:$D, 2, FALSE)</f>
        <v>#N/A</v>
      </c>
      <c r="AM699" s="14" t="str">
        <f t="shared" si="5"/>
        <v/>
      </c>
      <c r="AN699" s="9"/>
      <c r="AO699" s="9"/>
      <c r="AP699" s="9"/>
      <c r="AQ699" s="15" t="s">
        <v>49</v>
      </c>
      <c r="AR699" t="s">
        <v>3160</v>
      </c>
      <c r="AS699" s="16"/>
    </row>
    <row r="700" spans="1:45" ht="14.5">
      <c r="A700" s="9" t="s">
        <v>3376</v>
      </c>
      <c r="B700" s="9" t="s">
        <v>3377</v>
      </c>
      <c r="C700" s="9" t="s">
        <v>3378</v>
      </c>
      <c r="D700" s="9" t="s">
        <v>2830</v>
      </c>
      <c r="E700" s="9" t="s">
        <v>49</v>
      </c>
      <c r="F700" s="9" t="s">
        <v>69</v>
      </c>
      <c r="G700" s="9" t="s">
        <v>70</v>
      </c>
      <c r="H700" s="9" t="s">
        <v>2831</v>
      </c>
      <c r="I700" s="9" t="s">
        <v>72</v>
      </c>
      <c r="J700" s="10">
        <v>43250</v>
      </c>
      <c r="K700" s="10">
        <v>43355</v>
      </c>
      <c r="L700" s="10">
        <v>43367.49287037037</v>
      </c>
      <c r="M700" s="28">
        <v>43385</v>
      </c>
      <c r="N700" s="9">
        <v>2018</v>
      </c>
      <c r="O700" s="9" t="s">
        <v>2832</v>
      </c>
      <c r="P700" s="9" t="s">
        <v>83</v>
      </c>
      <c r="Q700" s="9" t="s">
        <v>53</v>
      </c>
      <c r="R700" s="9" t="s">
        <v>3379</v>
      </c>
      <c r="T700" s="9"/>
      <c r="V700" s="9"/>
      <c r="W700" s="11">
        <f>IFERROR(VLOOKUP(B700, PlumX_snapshot!$A:$B, 2, FALSE), " ")</f>
        <v>8</v>
      </c>
      <c r="X700" s="11">
        <f>IFERROR(VLOOKUP(B700, PlumX_snapshot!$A:$C, 3, FALSE), " ")</f>
        <v>1</v>
      </c>
      <c r="Y700" s="12">
        <f>IFERROR(VLOOKUP(B700, PlumX_snapshot!$A:$D, 4, FALSE), " ")</f>
        <v>0</v>
      </c>
      <c r="Z700" s="12">
        <f>IFERROR(VLOOKUP(B700, PlumX_snapshot!$A:$E, 5, FALSE), " ")</f>
        <v>0</v>
      </c>
      <c r="AA700" s="12">
        <f>IFERROR(VLOOKUP(B700, PlumX_snapshot!$A:$F, 6, FALSE), " ")</f>
        <v>0</v>
      </c>
      <c r="AB700" s="13">
        <v>44978</v>
      </c>
      <c r="AH700" s="9"/>
      <c r="AI700" s="9"/>
      <c r="AJ700" s="9"/>
      <c r="AK700" s="11" t="str">
        <f t="shared" si="4"/>
        <v>2018</v>
      </c>
      <c r="AL700" s="11" t="e">
        <f>VLOOKUP(AK700, Exchange_rates!$C:$D, 2, FALSE)</f>
        <v>#N/A</v>
      </c>
      <c r="AM700" s="14" t="str">
        <f t="shared" si="5"/>
        <v/>
      </c>
      <c r="AN700" s="9"/>
      <c r="AO700" s="9"/>
      <c r="AP700" s="9"/>
      <c r="AQ700" s="15" t="s">
        <v>49</v>
      </c>
      <c r="AR700" t="s">
        <v>3380</v>
      </c>
      <c r="AS700" s="16"/>
    </row>
    <row r="701" spans="1:45" ht="14.5">
      <c r="A701" s="9" t="s">
        <v>3381</v>
      </c>
      <c r="B701" s="9" t="s">
        <v>3382</v>
      </c>
      <c r="C701" s="9" t="s">
        <v>2864</v>
      </c>
      <c r="D701" s="9" t="s">
        <v>2830</v>
      </c>
      <c r="E701" s="9" t="s">
        <v>49</v>
      </c>
      <c r="F701" s="9" t="s">
        <v>69</v>
      </c>
      <c r="G701" s="9" t="s">
        <v>70</v>
      </c>
      <c r="H701" s="9" t="s">
        <v>2831</v>
      </c>
      <c r="I701" s="9" t="s">
        <v>72</v>
      </c>
      <c r="J701" s="10">
        <v>43206</v>
      </c>
      <c r="K701" s="10">
        <v>43410</v>
      </c>
      <c r="L701" s="10">
        <v>43411.418865740743</v>
      </c>
      <c r="M701" s="28">
        <v>43433</v>
      </c>
      <c r="N701" s="9">
        <v>2018</v>
      </c>
      <c r="O701" s="9" t="s">
        <v>2832</v>
      </c>
      <c r="P701" s="9" t="s">
        <v>53</v>
      </c>
      <c r="Q701" s="9" t="s">
        <v>53</v>
      </c>
      <c r="T701" s="9"/>
      <c r="V701" s="9"/>
      <c r="W701" s="11">
        <f>IFERROR(VLOOKUP(B701, PlumX_snapshot!$A:$B, 2, FALSE), " ")</f>
        <v>67</v>
      </c>
      <c r="X701" s="11">
        <f>IFERROR(VLOOKUP(B701, PlumX_snapshot!$A:$C, 3, FALSE), " ")</f>
        <v>22</v>
      </c>
      <c r="Y701" s="12">
        <f>IFERROR(VLOOKUP(B701, PlumX_snapshot!$A:$D, 4, FALSE), " ")</f>
        <v>57</v>
      </c>
      <c r="Z701" s="12">
        <f>IFERROR(VLOOKUP(B701, PlumX_snapshot!$A:$E, 5, FALSE), " ")</f>
        <v>10</v>
      </c>
      <c r="AA701" s="12">
        <f>IFERROR(VLOOKUP(B701, PlumX_snapshot!$A:$F, 6, FALSE), " ")</f>
        <v>0</v>
      </c>
      <c r="AB701" s="13">
        <v>44978</v>
      </c>
      <c r="AH701" s="9"/>
      <c r="AI701" s="9"/>
      <c r="AJ701" s="9"/>
      <c r="AK701" s="11" t="str">
        <f t="shared" si="4"/>
        <v>2018</v>
      </c>
      <c r="AL701" s="11" t="e">
        <f>VLOOKUP(AK701, Exchange_rates!$C:$D, 2, FALSE)</f>
        <v>#N/A</v>
      </c>
      <c r="AM701" s="14" t="str">
        <f t="shared" si="5"/>
        <v/>
      </c>
      <c r="AN701" s="9"/>
      <c r="AO701" s="9"/>
      <c r="AP701" s="9"/>
      <c r="AQ701" s="15" t="s">
        <v>49</v>
      </c>
      <c r="AR701" t="s">
        <v>2865</v>
      </c>
      <c r="AS701" s="16"/>
    </row>
    <row r="702" spans="1:45" ht="14.5">
      <c r="A702" s="9" t="s">
        <v>3383</v>
      </c>
      <c r="B702" s="9" t="s">
        <v>3384</v>
      </c>
      <c r="C702" s="9" t="s">
        <v>3385</v>
      </c>
      <c r="D702" s="9" t="s">
        <v>2830</v>
      </c>
      <c r="E702" s="9" t="s">
        <v>49</v>
      </c>
      <c r="F702" s="9" t="s">
        <v>69</v>
      </c>
      <c r="G702" s="9" t="s">
        <v>70</v>
      </c>
      <c r="H702" s="9" t="s">
        <v>2831</v>
      </c>
      <c r="I702" s="9" t="s">
        <v>72</v>
      </c>
      <c r="J702" s="10">
        <v>43116</v>
      </c>
      <c r="K702" s="10">
        <v>43348</v>
      </c>
      <c r="L702" s="10">
        <v>43349.460324074076</v>
      </c>
      <c r="M702" s="10">
        <v>43357</v>
      </c>
      <c r="N702" s="9">
        <v>2018</v>
      </c>
      <c r="O702" s="9" t="s">
        <v>2832</v>
      </c>
      <c r="P702" s="9" t="s">
        <v>53</v>
      </c>
      <c r="Q702" s="9" t="s">
        <v>53</v>
      </c>
      <c r="T702" s="9"/>
      <c r="V702" s="9"/>
      <c r="W702" s="11">
        <f>IFERROR(VLOOKUP(B702, PlumX_snapshot!$A:$B, 2, FALSE), " ")</f>
        <v>35</v>
      </c>
      <c r="X702" s="11">
        <f>IFERROR(VLOOKUP(B702, PlumX_snapshot!$A:$C, 3, FALSE), " ")</f>
        <v>7</v>
      </c>
      <c r="Y702" s="12">
        <f>IFERROR(VLOOKUP(B702, PlumX_snapshot!$A:$D, 4, FALSE), " ")</f>
        <v>8</v>
      </c>
      <c r="Z702" s="12">
        <f>IFERROR(VLOOKUP(B702, PlumX_snapshot!$A:$E, 5, FALSE), " ")</f>
        <v>0</v>
      </c>
      <c r="AA702" s="12">
        <f>IFERROR(VLOOKUP(B702, PlumX_snapshot!$A:$F, 6, FALSE), " ")</f>
        <v>0</v>
      </c>
      <c r="AB702" s="13">
        <v>44978</v>
      </c>
      <c r="AH702" s="9"/>
      <c r="AI702" s="9"/>
      <c r="AJ702" s="9"/>
      <c r="AK702" s="11" t="str">
        <f t="shared" si="4"/>
        <v>2018</v>
      </c>
      <c r="AL702" s="11" t="e">
        <f>VLOOKUP(AK702, Exchange_rates!$C:$D, 2, FALSE)</f>
        <v>#N/A</v>
      </c>
      <c r="AM702" s="14" t="str">
        <f t="shared" si="5"/>
        <v/>
      </c>
      <c r="AN702" s="9"/>
      <c r="AO702" s="9"/>
      <c r="AP702" s="9"/>
      <c r="AQ702" s="15" t="s">
        <v>49</v>
      </c>
      <c r="AR702" t="s">
        <v>3386</v>
      </c>
      <c r="AS702" s="16"/>
    </row>
    <row r="703" spans="1:45" ht="14.5">
      <c r="A703" s="9" t="s">
        <v>3387</v>
      </c>
      <c r="B703" s="9" t="s">
        <v>3388</v>
      </c>
      <c r="C703" s="9" t="s">
        <v>3389</v>
      </c>
      <c r="D703" s="9" t="s">
        <v>2830</v>
      </c>
      <c r="E703" s="9" t="s">
        <v>49</v>
      </c>
      <c r="F703" s="9" t="s">
        <v>69</v>
      </c>
      <c r="G703" s="9" t="s">
        <v>70</v>
      </c>
      <c r="H703" s="9" t="s">
        <v>2831</v>
      </c>
      <c r="I703" s="9" t="s">
        <v>72</v>
      </c>
      <c r="J703" s="10">
        <v>43183</v>
      </c>
      <c r="K703" s="10">
        <v>43346</v>
      </c>
      <c r="L703" s="10">
        <v>43348.63989583333</v>
      </c>
      <c r="M703" s="10">
        <v>43360</v>
      </c>
      <c r="N703" s="9">
        <v>2018</v>
      </c>
      <c r="O703" s="9" t="s">
        <v>2832</v>
      </c>
      <c r="P703" s="9" t="s">
        <v>53</v>
      </c>
      <c r="Q703" s="9" t="s">
        <v>53</v>
      </c>
      <c r="T703" s="9"/>
      <c r="V703" s="9"/>
      <c r="W703" s="11">
        <f>IFERROR(VLOOKUP(B703, PlumX_snapshot!$A:$B, 2, FALSE), " ")</f>
        <v>50</v>
      </c>
      <c r="X703" s="11">
        <f>IFERROR(VLOOKUP(B703, PlumX_snapshot!$A:$C, 3, FALSE), " ")</f>
        <v>12</v>
      </c>
      <c r="Y703" s="12">
        <f>IFERROR(VLOOKUP(B703, PlumX_snapshot!$A:$D, 4, FALSE), " ")</f>
        <v>59</v>
      </c>
      <c r="Z703" s="12">
        <f>IFERROR(VLOOKUP(B703, PlumX_snapshot!$A:$E, 5, FALSE), " ")</f>
        <v>12</v>
      </c>
      <c r="AA703" s="12">
        <f>IFERROR(VLOOKUP(B703, PlumX_snapshot!$A:$F, 6, FALSE), " ")</f>
        <v>0</v>
      </c>
      <c r="AB703" s="13">
        <v>44978</v>
      </c>
      <c r="AH703" s="9"/>
      <c r="AI703" s="9"/>
      <c r="AJ703" s="9"/>
      <c r="AK703" s="11" t="str">
        <f t="shared" si="4"/>
        <v>2018</v>
      </c>
      <c r="AL703" s="11" t="e">
        <f>VLOOKUP(AK703, Exchange_rates!$C:$D, 2, FALSE)</f>
        <v>#N/A</v>
      </c>
      <c r="AM703" s="14" t="str">
        <f t="shared" si="5"/>
        <v/>
      </c>
      <c r="AN703" s="9"/>
      <c r="AO703" s="9"/>
      <c r="AP703" s="9"/>
      <c r="AQ703" s="15" t="s">
        <v>49</v>
      </c>
      <c r="AR703" t="s">
        <v>3390</v>
      </c>
      <c r="AS703" s="16"/>
    </row>
    <row r="704" spans="1:45" ht="14.5">
      <c r="A704" s="9" t="s">
        <v>3391</v>
      </c>
      <c r="B704" s="9" t="s">
        <v>3392</v>
      </c>
      <c r="C704" s="9" t="s">
        <v>3393</v>
      </c>
      <c r="D704" s="9" t="s">
        <v>2830</v>
      </c>
      <c r="E704" s="9" t="s">
        <v>49</v>
      </c>
      <c r="F704" s="9" t="s">
        <v>69</v>
      </c>
      <c r="G704" s="9" t="s">
        <v>70</v>
      </c>
      <c r="H704" s="9" t="s">
        <v>2831</v>
      </c>
      <c r="I704" s="9" t="s">
        <v>72</v>
      </c>
      <c r="J704" s="10">
        <v>43130</v>
      </c>
      <c r="K704" s="10">
        <v>43413</v>
      </c>
      <c r="L704" s="10">
        <v>43425.393472222226</v>
      </c>
      <c r="M704" s="28">
        <v>43432</v>
      </c>
      <c r="N704" s="9">
        <v>2018</v>
      </c>
      <c r="O704" s="9" t="s">
        <v>2832</v>
      </c>
      <c r="P704" s="9" t="s">
        <v>53</v>
      </c>
      <c r="Q704" s="9" t="s">
        <v>53</v>
      </c>
      <c r="R704" s="9" t="s">
        <v>3394</v>
      </c>
      <c r="T704" s="9"/>
      <c r="V704" s="9"/>
      <c r="W704" s="11">
        <f>IFERROR(VLOOKUP(B704, PlumX_snapshot!$A:$B, 2, FALSE), " ")</f>
        <v>56</v>
      </c>
      <c r="X704" s="11">
        <f>IFERROR(VLOOKUP(B704, PlumX_snapshot!$A:$C, 3, FALSE), " ")</f>
        <v>9</v>
      </c>
      <c r="Y704" s="12">
        <f>IFERROR(VLOOKUP(B704, PlumX_snapshot!$A:$D, 4, FALSE), " ")</f>
        <v>172</v>
      </c>
      <c r="Z704" s="12">
        <f>IFERROR(VLOOKUP(B704, PlumX_snapshot!$A:$E, 5, FALSE), " ")</f>
        <v>206</v>
      </c>
      <c r="AA704" s="12">
        <f>IFERROR(VLOOKUP(B704, PlumX_snapshot!$A:$F, 6, FALSE), " ")</f>
        <v>0</v>
      </c>
      <c r="AB704" s="13">
        <v>44978</v>
      </c>
      <c r="AH704" s="9"/>
      <c r="AI704" s="9"/>
      <c r="AJ704" s="9"/>
      <c r="AK704" s="11" t="str">
        <f t="shared" si="4"/>
        <v>2018</v>
      </c>
      <c r="AL704" s="11" t="e">
        <f>VLOOKUP(AK704, Exchange_rates!$C:$D, 2, FALSE)</f>
        <v>#N/A</v>
      </c>
      <c r="AM704" s="14" t="str">
        <f t="shared" si="5"/>
        <v/>
      </c>
      <c r="AN704" s="9"/>
      <c r="AO704" s="9"/>
      <c r="AP704" s="9"/>
      <c r="AQ704" s="15" t="s">
        <v>49</v>
      </c>
      <c r="AR704" t="s">
        <v>3395</v>
      </c>
      <c r="AS704" s="16"/>
    </row>
    <row r="705" spans="1:45" ht="14.5">
      <c r="A705" s="9" t="s">
        <v>3396</v>
      </c>
      <c r="B705" s="9" t="s">
        <v>3397</v>
      </c>
      <c r="C705" s="9" t="s">
        <v>3292</v>
      </c>
      <c r="D705" s="9" t="s">
        <v>2830</v>
      </c>
      <c r="E705" s="9" t="s">
        <v>49</v>
      </c>
      <c r="F705" s="9" t="s">
        <v>69</v>
      </c>
      <c r="G705" s="9" t="s">
        <v>70</v>
      </c>
      <c r="H705" s="9" t="s">
        <v>2831</v>
      </c>
      <c r="I705" s="9" t="s">
        <v>72</v>
      </c>
      <c r="J705" s="10">
        <v>43238</v>
      </c>
      <c r="K705" s="10">
        <v>43340</v>
      </c>
      <c r="L705" s="10">
        <v>43343.55909722222</v>
      </c>
      <c r="M705" s="10">
        <v>43348</v>
      </c>
      <c r="N705" s="9">
        <v>2018</v>
      </c>
      <c r="O705" s="9" t="s">
        <v>2832</v>
      </c>
      <c r="P705" s="9" t="s">
        <v>53</v>
      </c>
      <c r="Q705" s="9" t="s">
        <v>53</v>
      </c>
      <c r="R705" s="9" t="s">
        <v>178</v>
      </c>
      <c r="T705" s="9"/>
      <c r="V705" s="9"/>
      <c r="W705" s="11">
        <f>IFERROR(VLOOKUP(B705, PlumX_snapshot!$A:$B, 2, FALSE), " ")</f>
        <v>8</v>
      </c>
      <c r="X705" s="11">
        <f>IFERROR(VLOOKUP(B705, PlumX_snapshot!$A:$C, 3, FALSE), " ")</f>
        <v>7</v>
      </c>
      <c r="Y705" s="12">
        <f>IFERROR(VLOOKUP(B705, PlumX_snapshot!$A:$D, 4, FALSE), " ")</f>
        <v>5</v>
      </c>
      <c r="Z705" s="12">
        <f>IFERROR(VLOOKUP(B705, PlumX_snapshot!$A:$E, 5, FALSE), " ")</f>
        <v>12</v>
      </c>
      <c r="AA705" s="12">
        <f>IFERROR(VLOOKUP(B705, PlumX_snapshot!$A:$F, 6, FALSE), " ")</f>
        <v>0</v>
      </c>
      <c r="AB705" s="13">
        <v>44978</v>
      </c>
      <c r="AH705" s="9"/>
      <c r="AI705" s="9"/>
      <c r="AJ705" s="9"/>
      <c r="AK705" s="11" t="str">
        <f t="shared" si="4"/>
        <v>2018</v>
      </c>
      <c r="AL705" s="11" t="e">
        <f>VLOOKUP(AK705, Exchange_rates!$C:$D, 2, FALSE)</f>
        <v>#N/A</v>
      </c>
      <c r="AM705" s="14" t="str">
        <f t="shared" si="5"/>
        <v/>
      </c>
      <c r="AN705" s="9"/>
      <c r="AO705" s="9"/>
      <c r="AP705" s="9"/>
      <c r="AQ705" s="15" t="s">
        <v>49</v>
      </c>
      <c r="AR705" t="s">
        <v>3293</v>
      </c>
      <c r="AS705" s="16"/>
    </row>
    <row r="706" spans="1:45" ht="14.5">
      <c r="A706" s="9" t="s">
        <v>3398</v>
      </c>
      <c r="B706" s="9" t="s">
        <v>3399</v>
      </c>
      <c r="C706" s="9" t="s">
        <v>2877</v>
      </c>
      <c r="D706" s="9" t="s">
        <v>2830</v>
      </c>
      <c r="E706" s="9" t="s">
        <v>49</v>
      </c>
      <c r="F706" s="9" t="s">
        <v>69</v>
      </c>
      <c r="G706" s="9" t="s">
        <v>70</v>
      </c>
      <c r="H706" s="9" t="s">
        <v>2878</v>
      </c>
      <c r="I706" s="9" t="s">
        <v>72</v>
      </c>
      <c r="J706" s="10">
        <v>43868</v>
      </c>
      <c r="K706" s="10">
        <v>44212</v>
      </c>
      <c r="L706" s="10">
        <v>44230.481620370374</v>
      </c>
      <c r="M706" s="10">
        <v>44234</v>
      </c>
      <c r="N706" s="9">
        <v>2021</v>
      </c>
      <c r="O706" s="9" t="s">
        <v>2832</v>
      </c>
      <c r="P706" s="9" t="s">
        <v>53</v>
      </c>
      <c r="Q706" s="9" t="s">
        <v>53</v>
      </c>
      <c r="R706" s="9" t="s">
        <v>92</v>
      </c>
      <c r="T706" s="9"/>
      <c r="V706" s="9"/>
      <c r="W706" s="11">
        <f>IFERROR(VLOOKUP(B706, PlumX_snapshot!$A:$B, 2, FALSE), " ")</f>
        <v>16</v>
      </c>
      <c r="X706" s="11">
        <f>IFERROR(VLOOKUP(B706, PlumX_snapshot!$A:$C, 3, FALSE), " ")</f>
        <v>2</v>
      </c>
      <c r="Y706" s="12">
        <f>IFERROR(VLOOKUP(B706, PlumX_snapshot!$A:$D, 4, FALSE), " ")</f>
        <v>7</v>
      </c>
      <c r="Z706" s="12">
        <f>IFERROR(VLOOKUP(B706, PlumX_snapshot!$A:$E, 5, FALSE), " ")</f>
        <v>0</v>
      </c>
      <c r="AA706" s="12">
        <f>IFERROR(VLOOKUP(B706, PlumX_snapshot!$A:$F, 6, FALSE), " ")</f>
        <v>0</v>
      </c>
      <c r="AB706" s="13">
        <v>44978</v>
      </c>
      <c r="AH706" s="9">
        <v>2380</v>
      </c>
      <c r="AI706" s="9" t="s">
        <v>77</v>
      </c>
      <c r="AJ706" s="9" t="s">
        <v>1823</v>
      </c>
      <c r="AK706" s="11" t="str">
        <f t="shared" si="4"/>
        <v>2021EUR</v>
      </c>
      <c r="AL706" s="11">
        <f>VLOOKUP(AK706, Exchange_rates!$C:$D, 2, FALSE)</f>
        <v>0.8599</v>
      </c>
      <c r="AM706" s="14">
        <f t="shared" si="5"/>
        <v>2455.8743999999997</v>
      </c>
      <c r="AN706" s="9"/>
      <c r="AO706" s="9"/>
      <c r="AP706" s="9"/>
      <c r="AQ706" s="15" t="s">
        <v>49</v>
      </c>
      <c r="AR706" t="s">
        <v>2879</v>
      </c>
      <c r="AS706" s="16"/>
    </row>
    <row r="707" spans="1:45" ht="14.5">
      <c r="A707" s="9" t="s">
        <v>3400</v>
      </c>
      <c r="B707" s="9" t="s">
        <v>3401</v>
      </c>
      <c r="C707" s="9" t="s">
        <v>3402</v>
      </c>
      <c r="D707" s="9" t="s">
        <v>2830</v>
      </c>
      <c r="E707" s="9" t="s">
        <v>49</v>
      </c>
      <c r="F707" s="9" t="s">
        <v>69</v>
      </c>
      <c r="G707" s="9" t="s">
        <v>70</v>
      </c>
      <c r="H707" s="9" t="s">
        <v>2899</v>
      </c>
      <c r="I707" s="9" t="s">
        <v>72</v>
      </c>
      <c r="J707" s="10"/>
      <c r="K707" s="10"/>
      <c r="L707" s="10">
        <v>42878.44054398148</v>
      </c>
      <c r="M707" s="10">
        <v>42919</v>
      </c>
      <c r="N707" s="9">
        <v>2017</v>
      </c>
      <c r="O707" s="9" t="s">
        <v>2832</v>
      </c>
      <c r="P707" s="9" t="s">
        <v>53</v>
      </c>
      <c r="Q707" s="9" t="s">
        <v>53</v>
      </c>
      <c r="T707" s="9"/>
      <c r="V707" s="9"/>
      <c r="W707" s="11">
        <f>IFERROR(VLOOKUP(B707, PlumX_snapshot!$A:$B, 2, FALSE), " ")</f>
        <v>3</v>
      </c>
      <c r="X707" s="11">
        <f>IFERROR(VLOOKUP(B707, PlumX_snapshot!$A:$C, 3, FALSE), " ")</f>
        <v>7</v>
      </c>
      <c r="Y707" s="12">
        <f>IFERROR(VLOOKUP(B707, PlumX_snapshot!$A:$D, 4, FALSE), " ")</f>
        <v>59</v>
      </c>
      <c r="Z707" s="12">
        <f>IFERROR(VLOOKUP(B707, PlumX_snapshot!$A:$E, 5, FALSE), " ")</f>
        <v>27</v>
      </c>
      <c r="AA707" s="12">
        <f>IFERROR(VLOOKUP(B707, PlumX_snapshot!$A:$F, 6, FALSE), " ")</f>
        <v>0</v>
      </c>
      <c r="AB707" s="13">
        <v>44978</v>
      </c>
      <c r="AH707" s="9"/>
      <c r="AI707" s="9"/>
      <c r="AJ707" s="9"/>
      <c r="AK707" s="11" t="str">
        <f t="shared" si="4"/>
        <v>2017</v>
      </c>
      <c r="AL707" s="11" t="e">
        <f>VLOOKUP(AK707, Exchange_rates!$C:$D, 2, FALSE)</f>
        <v>#N/A</v>
      </c>
      <c r="AM707" s="14" t="str">
        <f t="shared" si="5"/>
        <v/>
      </c>
      <c r="AN707" s="9"/>
      <c r="AO707" s="9"/>
      <c r="AP707" s="9"/>
      <c r="AQ707" s="15" t="s">
        <v>49</v>
      </c>
      <c r="AR707" t="s">
        <v>3403</v>
      </c>
      <c r="AS707" s="16"/>
    </row>
    <row r="708" spans="1:45" ht="14.5">
      <c r="A708" s="9" t="s">
        <v>3404</v>
      </c>
      <c r="B708" s="9" t="s">
        <v>3405</v>
      </c>
      <c r="C708" s="9" t="s">
        <v>2890</v>
      </c>
      <c r="D708" s="9" t="s">
        <v>2830</v>
      </c>
      <c r="E708" s="9" t="s">
        <v>49</v>
      </c>
      <c r="F708" s="9" t="s">
        <v>69</v>
      </c>
      <c r="G708" s="9" t="s">
        <v>70</v>
      </c>
      <c r="H708" s="9" t="s">
        <v>2899</v>
      </c>
      <c r="I708" s="9" t="s">
        <v>72</v>
      </c>
      <c r="J708" s="10">
        <v>42618</v>
      </c>
      <c r="K708" s="10">
        <v>42700</v>
      </c>
      <c r="L708" s="10">
        <v>42921.584317129629</v>
      </c>
      <c r="M708" s="10">
        <v>42935</v>
      </c>
      <c r="N708" s="9">
        <v>2017</v>
      </c>
      <c r="O708" s="9" t="s">
        <v>2832</v>
      </c>
      <c r="P708" s="9" t="s">
        <v>53</v>
      </c>
      <c r="Q708" s="9" t="s">
        <v>53</v>
      </c>
      <c r="T708" s="9"/>
      <c r="V708" s="9"/>
      <c r="W708" s="11">
        <f>IFERROR(VLOOKUP(B708, PlumX_snapshot!$A:$B, 2, FALSE), " ")</f>
        <v>17</v>
      </c>
      <c r="X708" s="11">
        <f>IFERROR(VLOOKUP(B708, PlumX_snapshot!$A:$C, 3, FALSE), " ")</f>
        <v>2</v>
      </c>
      <c r="Y708" s="12">
        <f>IFERROR(VLOOKUP(B708, PlumX_snapshot!$A:$D, 4, FALSE), " ")</f>
        <v>15</v>
      </c>
      <c r="Z708" s="12">
        <f>IFERROR(VLOOKUP(B708, PlumX_snapshot!$A:$E, 5, FALSE), " ")</f>
        <v>37</v>
      </c>
      <c r="AA708" s="12">
        <f>IFERROR(VLOOKUP(B708, PlumX_snapshot!$A:$F, 6, FALSE), " ")</f>
        <v>0</v>
      </c>
      <c r="AB708" s="13">
        <v>44978</v>
      </c>
      <c r="AH708" s="9"/>
      <c r="AI708" s="9"/>
      <c r="AJ708" s="9"/>
      <c r="AK708" s="11" t="str">
        <f t="shared" si="4"/>
        <v>2017</v>
      </c>
      <c r="AL708" s="11" t="e">
        <f>VLOOKUP(AK708, Exchange_rates!$C:$D, 2, FALSE)</f>
        <v>#N/A</v>
      </c>
      <c r="AM708" s="14" t="str">
        <f t="shared" si="5"/>
        <v/>
      </c>
      <c r="AN708" s="9"/>
      <c r="AO708" s="9"/>
      <c r="AP708" s="9"/>
      <c r="AQ708" s="15" t="s">
        <v>49</v>
      </c>
      <c r="AR708" t="s">
        <v>2891</v>
      </c>
      <c r="AS708" s="16"/>
    </row>
    <row r="709" spans="1:45" ht="14.5">
      <c r="A709" s="9" t="s">
        <v>3406</v>
      </c>
      <c r="B709" s="9" t="s">
        <v>3407</v>
      </c>
      <c r="C709" s="9" t="s">
        <v>3408</v>
      </c>
      <c r="D709" s="9" t="s">
        <v>2830</v>
      </c>
      <c r="E709" s="9" t="s">
        <v>49</v>
      </c>
      <c r="F709" s="9" t="s">
        <v>69</v>
      </c>
      <c r="G709" s="9" t="s">
        <v>70</v>
      </c>
      <c r="H709" s="9" t="s">
        <v>2899</v>
      </c>
      <c r="I709" s="9" t="s">
        <v>72</v>
      </c>
      <c r="J709" s="10">
        <v>42562</v>
      </c>
      <c r="K709" s="10">
        <v>42912</v>
      </c>
      <c r="L709" s="10">
        <v>42919.572627314818</v>
      </c>
      <c r="M709" s="10">
        <v>42923</v>
      </c>
      <c r="N709" s="9">
        <v>2017</v>
      </c>
      <c r="O709" s="9" t="s">
        <v>2832</v>
      </c>
      <c r="P709" s="9" t="s">
        <v>53</v>
      </c>
      <c r="Q709" s="9" t="s">
        <v>53</v>
      </c>
      <c r="T709" s="9"/>
      <c r="V709" s="9"/>
      <c r="W709" s="11">
        <f>IFERROR(VLOOKUP(B709, PlumX_snapshot!$A:$B, 2, FALSE), " ")</f>
        <v>7</v>
      </c>
      <c r="X709" s="11">
        <f>IFERROR(VLOOKUP(B709, PlumX_snapshot!$A:$C, 3, FALSE), " ")</f>
        <v>1</v>
      </c>
      <c r="Y709" s="12">
        <f>IFERROR(VLOOKUP(B709, PlumX_snapshot!$A:$D, 4, FALSE), " ")</f>
        <v>0</v>
      </c>
      <c r="Z709" s="12">
        <f>IFERROR(VLOOKUP(B709, PlumX_snapshot!$A:$E, 5, FALSE), " ")</f>
        <v>14</v>
      </c>
      <c r="AA709" s="12">
        <f>IFERROR(VLOOKUP(B709, PlumX_snapshot!$A:$F, 6, FALSE), " ")</f>
        <v>0</v>
      </c>
      <c r="AB709" s="13">
        <v>44978</v>
      </c>
      <c r="AH709" s="9"/>
      <c r="AI709" s="9"/>
      <c r="AJ709" s="9"/>
      <c r="AK709" s="11" t="str">
        <f t="shared" si="4"/>
        <v>2017</v>
      </c>
      <c r="AL709" s="11" t="e">
        <f>VLOOKUP(AK709, Exchange_rates!$C:$D, 2, FALSE)</f>
        <v>#N/A</v>
      </c>
      <c r="AM709" s="14" t="str">
        <f t="shared" si="5"/>
        <v/>
      </c>
      <c r="AN709" s="9"/>
      <c r="AO709" s="9"/>
      <c r="AP709" s="9"/>
      <c r="AQ709" s="15" t="s">
        <v>49</v>
      </c>
      <c r="AR709" t="s">
        <v>3409</v>
      </c>
      <c r="AS709" s="16"/>
    </row>
    <row r="710" spans="1:45" ht="14.5">
      <c r="A710" s="9" t="s">
        <v>3410</v>
      </c>
      <c r="B710" s="9" t="s">
        <v>3411</v>
      </c>
      <c r="C710" s="9" t="s">
        <v>3412</v>
      </c>
      <c r="D710" s="9" t="s">
        <v>2830</v>
      </c>
      <c r="E710" s="9" t="s">
        <v>49</v>
      </c>
      <c r="F710" s="9" t="s">
        <v>69</v>
      </c>
      <c r="G710" s="9" t="s">
        <v>70</v>
      </c>
      <c r="H710" s="9" t="s">
        <v>2899</v>
      </c>
      <c r="I710" s="9" t="s">
        <v>72</v>
      </c>
      <c r="J710" s="10">
        <v>42599</v>
      </c>
      <c r="K710" s="10">
        <v>42738</v>
      </c>
      <c r="L710" s="10">
        <v>42739.709189814814</v>
      </c>
      <c r="M710" s="10">
        <v>42755</v>
      </c>
      <c r="N710" s="9">
        <v>2017</v>
      </c>
      <c r="O710" s="9" t="s">
        <v>2832</v>
      </c>
      <c r="P710" s="9" t="s">
        <v>53</v>
      </c>
      <c r="Q710" s="9" t="s">
        <v>53</v>
      </c>
      <c r="T710" s="9"/>
      <c r="V710" s="9"/>
      <c r="W710" s="11">
        <f>IFERROR(VLOOKUP(B710, PlumX_snapshot!$A:$B, 2, FALSE), " ")</f>
        <v>59</v>
      </c>
      <c r="X710" s="11">
        <f>IFERROR(VLOOKUP(B710, PlumX_snapshot!$A:$C, 3, FALSE), " ")</f>
        <v>23</v>
      </c>
      <c r="Y710" s="12">
        <f>IFERROR(VLOOKUP(B710, PlumX_snapshot!$A:$D, 4, FALSE), " ")</f>
        <v>0</v>
      </c>
      <c r="Z710" s="12">
        <f>IFERROR(VLOOKUP(B710, PlumX_snapshot!$A:$E, 5, FALSE), " ")</f>
        <v>38</v>
      </c>
      <c r="AA710" s="12">
        <f>IFERROR(VLOOKUP(B710, PlumX_snapshot!$A:$F, 6, FALSE), " ")</f>
        <v>0</v>
      </c>
      <c r="AB710" s="13">
        <v>44978</v>
      </c>
      <c r="AH710" s="9"/>
      <c r="AI710" s="9"/>
      <c r="AJ710" s="9"/>
      <c r="AK710" s="11" t="str">
        <f t="shared" si="4"/>
        <v>2017</v>
      </c>
      <c r="AL710" s="11" t="e">
        <f>VLOOKUP(AK710, Exchange_rates!$C:$D, 2, FALSE)</f>
        <v>#N/A</v>
      </c>
      <c r="AM710" s="14" t="str">
        <f t="shared" si="5"/>
        <v/>
      </c>
      <c r="AN710" s="9"/>
      <c r="AO710" s="9"/>
      <c r="AP710" s="9"/>
      <c r="AQ710" s="15" t="s">
        <v>49</v>
      </c>
      <c r="AR710" t="s">
        <v>3413</v>
      </c>
      <c r="AS710" s="16"/>
    </row>
    <row r="711" spans="1:45" ht="14.5">
      <c r="A711" s="9" t="s">
        <v>3414</v>
      </c>
      <c r="B711" s="9" t="s">
        <v>3415</v>
      </c>
      <c r="C711" s="9" t="s">
        <v>3121</v>
      </c>
      <c r="D711" s="9" t="s">
        <v>2830</v>
      </c>
      <c r="E711" s="9" t="s">
        <v>49</v>
      </c>
      <c r="F711" s="9" t="s">
        <v>69</v>
      </c>
      <c r="G711" s="9" t="s">
        <v>70</v>
      </c>
      <c r="H711" s="9" t="s">
        <v>2899</v>
      </c>
      <c r="I711" s="9" t="s">
        <v>72</v>
      </c>
      <c r="J711" s="10">
        <v>42591</v>
      </c>
      <c r="K711" s="10">
        <v>42727</v>
      </c>
      <c r="L711" s="10">
        <v>42744.591365740744</v>
      </c>
      <c r="M711" s="10">
        <v>42748</v>
      </c>
      <c r="N711" s="9">
        <v>2017</v>
      </c>
      <c r="O711" s="9" t="s">
        <v>2832</v>
      </c>
      <c r="P711" s="9" t="s">
        <v>53</v>
      </c>
      <c r="Q711" s="9" t="s">
        <v>53</v>
      </c>
      <c r="T711" s="9"/>
      <c r="V711" s="9"/>
      <c r="W711" s="11">
        <f>IFERROR(VLOOKUP(B711, PlumX_snapshot!$A:$B, 2, FALSE), " ")</f>
        <v>3</v>
      </c>
      <c r="X711" s="11">
        <f>IFERROR(VLOOKUP(B711, PlumX_snapshot!$A:$C, 3, FALSE), " ")</f>
        <v>10</v>
      </c>
      <c r="Y711" s="12">
        <f>IFERROR(VLOOKUP(B711, PlumX_snapshot!$A:$D, 4, FALSE), " ")</f>
        <v>0</v>
      </c>
      <c r="Z711" s="12">
        <f>IFERROR(VLOOKUP(B711, PlumX_snapshot!$A:$E, 5, FALSE), " ")</f>
        <v>13</v>
      </c>
      <c r="AA711" s="12">
        <f>IFERROR(VLOOKUP(B711, PlumX_snapshot!$A:$F, 6, FALSE), " ")</f>
        <v>0</v>
      </c>
      <c r="AB711" s="13">
        <v>44978</v>
      </c>
      <c r="AH711" s="9"/>
      <c r="AI711" s="9"/>
      <c r="AJ711" s="9"/>
      <c r="AK711" s="11" t="str">
        <f t="shared" si="4"/>
        <v>2017</v>
      </c>
      <c r="AL711" s="11" t="e">
        <f>VLOOKUP(AK711, Exchange_rates!$C:$D, 2, FALSE)</f>
        <v>#N/A</v>
      </c>
      <c r="AM711" s="14" t="str">
        <f t="shared" si="5"/>
        <v/>
      </c>
      <c r="AN711" s="9"/>
      <c r="AO711" s="9"/>
      <c r="AP711" s="9"/>
      <c r="AQ711" s="15" t="s">
        <v>49</v>
      </c>
      <c r="AR711" t="s">
        <v>3122</v>
      </c>
      <c r="AS711" s="16"/>
    </row>
    <row r="712" spans="1:45" ht="14.5">
      <c r="A712" s="9" t="s">
        <v>3416</v>
      </c>
      <c r="B712" s="9" t="s">
        <v>3417</v>
      </c>
      <c r="C712" s="9" t="s">
        <v>2890</v>
      </c>
      <c r="D712" s="9" t="s">
        <v>2830</v>
      </c>
      <c r="E712" s="9" t="s">
        <v>49</v>
      </c>
      <c r="F712" s="9" t="s">
        <v>69</v>
      </c>
      <c r="G712" s="9" t="s">
        <v>70</v>
      </c>
      <c r="H712" s="9" t="s">
        <v>2899</v>
      </c>
      <c r="I712" s="9" t="s">
        <v>72</v>
      </c>
      <c r="J712" s="10">
        <v>42639</v>
      </c>
      <c r="K712" s="10">
        <v>42780</v>
      </c>
      <c r="L712" s="10">
        <v>42921.578240740739</v>
      </c>
      <c r="M712" s="10">
        <v>42970</v>
      </c>
      <c r="N712" s="9">
        <v>2017</v>
      </c>
      <c r="O712" s="9" t="s">
        <v>2832</v>
      </c>
      <c r="P712" s="9" t="s">
        <v>53</v>
      </c>
      <c r="Q712" s="9" t="s">
        <v>53</v>
      </c>
      <c r="T712" s="9"/>
      <c r="V712" s="9"/>
      <c r="W712" s="11">
        <f>IFERROR(VLOOKUP(B712, PlumX_snapshot!$A:$B, 2, FALSE), " ")</f>
        <v>6</v>
      </c>
      <c r="X712" s="11">
        <f>IFERROR(VLOOKUP(B712, PlumX_snapshot!$A:$C, 3, FALSE), " ")</f>
        <v>11</v>
      </c>
      <c r="Y712" s="12">
        <f>IFERROR(VLOOKUP(B712, PlumX_snapshot!$A:$D, 4, FALSE), " ")</f>
        <v>1</v>
      </c>
      <c r="Z712" s="12">
        <f>IFERROR(VLOOKUP(B712, PlumX_snapshot!$A:$E, 5, FALSE), " ")</f>
        <v>49</v>
      </c>
      <c r="AA712" s="12">
        <f>IFERROR(VLOOKUP(B712, PlumX_snapshot!$A:$F, 6, FALSE), " ")</f>
        <v>0</v>
      </c>
      <c r="AB712" s="13">
        <v>44978</v>
      </c>
      <c r="AH712" s="9"/>
      <c r="AI712" s="9"/>
      <c r="AJ712" s="9"/>
      <c r="AK712" s="11" t="str">
        <f t="shared" si="4"/>
        <v>2017</v>
      </c>
      <c r="AL712" s="11" t="e">
        <f>VLOOKUP(AK712, Exchange_rates!$C:$D, 2, FALSE)</f>
        <v>#N/A</v>
      </c>
      <c r="AM712" s="14" t="str">
        <f t="shared" si="5"/>
        <v/>
      </c>
      <c r="AN712" s="9"/>
      <c r="AO712" s="9"/>
      <c r="AP712" s="9"/>
      <c r="AQ712" s="15" t="s">
        <v>49</v>
      </c>
      <c r="AR712" t="s">
        <v>2891</v>
      </c>
      <c r="AS712" s="16"/>
    </row>
    <row r="713" spans="1:45" ht="14.5">
      <c r="A713" s="9" t="s">
        <v>3418</v>
      </c>
      <c r="B713" s="9" t="s">
        <v>3419</v>
      </c>
      <c r="C713" s="9" t="s">
        <v>3420</v>
      </c>
      <c r="D713" s="9" t="s">
        <v>2830</v>
      </c>
      <c r="E713" s="9" t="s">
        <v>49</v>
      </c>
      <c r="F713" s="9" t="s">
        <v>69</v>
      </c>
      <c r="G713" s="9" t="s">
        <v>70</v>
      </c>
      <c r="H713" s="9" t="s">
        <v>2899</v>
      </c>
      <c r="I713" s="9" t="s">
        <v>72</v>
      </c>
      <c r="J713" s="10"/>
      <c r="K713" s="10"/>
      <c r="L713" s="10">
        <v>42745.411145833335</v>
      </c>
      <c r="M713" s="10">
        <v>42767</v>
      </c>
      <c r="N713" s="9">
        <v>2017</v>
      </c>
      <c r="O713" s="9" t="s">
        <v>2832</v>
      </c>
      <c r="P713" s="9" t="s">
        <v>53</v>
      </c>
      <c r="Q713" s="9" t="s">
        <v>53</v>
      </c>
      <c r="T713" s="9"/>
      <c r="V713" s="9"/>
      <c r="W713" s="11">
        <f>IFERROR(VLOOKUP(B713, PlumX_snapshot!$A:$B, 2, FALSE), " ")</f>
        <v>60</v>
      </c>
      <c r="X713" s="11">
        <f>IFERROR(VLOOKUP(B713, PlumX_snapshot!$A:$C, 3, FALSE), " ")</f>
        <v>4</v>
      </c>
      <c r="Y713" s="12">
        <f>IFERROR(VLOOKUP(B713, PlumX_snapshot!$A:$D, 4, FALSE), " ")</f>
        <v>0</v>
      </c>
      <c r="Z713" s="12">
        <f>IFERROR(VLOOKUP(B713, PlumX_snapshot!$A:$E, 5, FALSE), " ")</f>
        <v>369</v>
      </c>
      <c r="AA713" s="12">
        <f>IFERROR(VLOOKUP(B713, PlumX_snapshot!$A:$F, 6, FALSE), " ")</f>
        <v>0</v>
      </c>
      <c r="AB713" s="13">
        <v>44978</v>
      </c>
      <c r="AH713" s="9"/>
      <c r="AI713" s="9"/>
      <c r="AJ713" s="9"/>
      <c r="AK713" s="11" t="str">
        <f t="shared" si="4"/>
        <v>2017</v>
      </c>
      <c r="AL713" s="11" t="e">
        <f>VLOOKUP(AK713, Exchange_rates!$C:$D, 2, FALSE)</f>
        <v>#N/A</v>
      </c>
      <c r="AM713" s="14" t="str">
        <f t="shared" si="5"/>
        <v/>
      </c>
      <c r="AN713" s="9"/>
      <c r="AO713" s="9"/>
      <c r="AP713" s="9"/>
      <c r="AQ713" s="15" t="s">
        <v>49</v>
      </c>
      <c r="AR713" t="s">
        <v>3421</v>
      </c>
      <c r="AS713" s="16"/>
    </row>
    <row r="714" spans="1:45" ht="14.5">
      <c r="A714" s="9" t="s">
        <v>3422</v>
      </c>
      <c r="B714" s="9" t="s">
        <v>3423</v>
      </c>
      <c r="C714" s="9" t="s">
        <v>3424</v>
      </c>
      <c r="D714" s="9" t="s">
        <v>2830</v>
      </c>
      <c r="E714" s="9" t="s">
        <v>49</v>
      </c>
      <c r="F714" s="9" t="s">
        <v>69</v>
      </c>
      <c r="G714" s="9" t="s">
        <v>70</v>
      </c>
      <c r="H714" s="9" t="s">
        <v>2899</v>
      </c>
      <c r="I714" s="9" t="s">
        <v>72</v>
      </c>
      <c r="J714" s="10">
        <v>42167</v>
      </c>
      <c r="K714" s="10">
        <v>42832</v>
      </c>
      <c r="L714" s="10">
        <v>42836.415914351855</v>
      </c>
      <c r="M714" s="10">
        <v>42851</v>
      </c>
      <c r="N714" s="9">
        <v>2017</v>
      </c>
      <c r="O714" s="9" t="s">
        <v>2832</v>
      </c>
      <c r="P714" s="9" t="s">
        <v>53</v>
      </c>
      <c r="Q714" s="9" t="s">
        <v>53</v>
      </c>
      <c r="T714" s="9"/>
      <c r="V714" s="9"/>
      <c r="W714" s="11">
        <f>IFERROR(VLOOKUP(B714, PlumX_snapshot!$A:$B, 2, FALSE), " ")</f>
        <v>54</v>
      </c>
      <c r="X714" s="11">
        <f>IFERROR(VLOOKUP(B714, PlumX_snapshot!$A:$C, 3, FALSE), " ")</f>
        <v>11</v>
      </c>
      <c r="Y714" s="12">
        <f>IFERROR(VLOOKUP(B714, PlumX_snapshot!$A:$D, 4, FALSE), " ")</f>
        <v>28</v>
      </c>
      <c r="Z714" s="12">
        <f>IFERROR(VLOOKUP(B714, PlumX_snapshot!$A:$E, 5, FALSE), " ")</f>
        <v>33</v>
      </c>
      <c r="AA714" s="12">
        <f>IFERROR(VLOOKUP(B714, PlumX_snapshot!$A:$F, 6, FALSE), " ")</f>
        <v>0</v>
      </c>
      <c r="AB714" s="13">
        <v>44978</v>
      </c>
      <c r="AH714" s="9"/>
      <c r="AI714" s="9"/>
      <c r="AJ714" s="9"/>
      <c r="AK714" s="11" t="str">
        <f t="shared" si="4"/>
        <v>2017</v>
      </c>
      <c r="AL714" s="11" t="e">
        <f>VLOOKUP(AK714, Exchange_rates!$C:$D, 2, FALSE)</f>
        <v>#N/A</v>
      </c>
      <c r="AM714" s="14" t="str">
        <f t="shared" si="5"/>
        <v/>
      </c>
      <c r="AN714" s="9"/>
      <c r="AO714" s="9"/>
      <c r="AP714" s="9"/>
      <c r="AQ714" s="15" t="s">
        <v>49</v>
      </c>
      <c r="AR714" t="s">
        <v>3425</v>
      </c>
      <c r="AS714" s="16"/>
    </row>
    <row r="715" spans="1:45" ht="14.5">
      <c r="A715" s="9" t="s">
        <v>3426</v>
      </c>
      <c r="B715" s="9" t="s">
        <v>3427</v>
      </c>
      <c r="C715" s="9" t="s">
        <v>2925</v>
      </c>
      <c r="D715" s="9" t="s">
        <v>2830</v>
      </c>
      <c r="E715" s="9" t="s">
        <v>49</v>
      </c>
      <c r="F715" s="9" t="s">
        <v>69</v>
      </c>
      <c r="G715" s="9" t="s">
        <v>70</v>
      </c>
      <c r="H715" s="9" t="s">
        <v>2899</v>
      </c>
      <c r="I715" s="9" t="s">
        <v>72</v>
      </c>
      <c r="J715" s="10"/>
      <c r="K715" s="10"/>
      <c r="L715" s="10">
        <v>42937.350347222222</v>
      </c>
      <c r="M715" s="10">
        <v>42989</v>
      </c>
      <c r="N715" s="9">
        <v>2017</v>
      </c>
      <c r="O715" s="9" t="s">
        <v>2832</v>
      </c>
      <c r="P715" s="9" t="s">
        <v>83</v>
      </c>
      <c r="Q715" s="9" t="s">
        <v>53</v>
      </c>
      <c r="R715" s="9" t="s">
        <v>117</v>
      </c>
      <c r="T715" s="9"/>
      <c r="V715" s="9"/>
      <c r="W715" s="11">
        <f>IFERROR(VLOOKUP(B715, PlumX_snapshot!$A:$B, 2, FALSE), " ")</f>
        <v>236</v>
      </c>
      <c r="X715" s="11">
        <f>IFERROR(VLOOKUP(B715, PlumX_snapshot!$A:$C, 3, FALSE), " ")</f>
        <v>66</v>
      </c>
      <c r="Y715" s="12">
        <f>IFERROR(VLOOKUP(B715, PlumX_snapshot!$A:$D, 4, FALSE), " ")</f>
        <v>30</v>
      </c>
      <c r="Z715" s="12">
        <f>IFERROR(VLOOKUP(B715, PlumX_snapshot!$A:$E, 5, FALSE), " ")</f>
        <v>227</v>
      </c>
      <c r="AA715" s="12">
        <f>IFERROR(VLOOKUP(B715, PlumX_snapshot!$A:$F, 6, FALSE), " ")</f>
        <v>1</v>
      </c>
      <c r="AB715" s="13">
        <v>44978</v>
      </c>
      <c r="AH715" s="9"/>
      <c r="AI715" s="9"/>
      <c r="AJ715" s="9"/>
      <c r="AK715" s="11" t="str">
        <f t="shared" si="4"/>
        <v>2017</v>
      </c>
      <c r="AL715" s="11" t="e">
        <f>VLOOKUP(AK715, Exchange_rates!$C:$D, 2, FALSE)</f>
        <v>#N/A</v>
      </c>
      <c r="AM715" s="14" t="str">
        <f t="shared" si="5"/>
        <v/>
      </c>
      <c r="AN715" s="9"/>
      <c r="AO715" s="9"/>
      <c r="AP715" s="9"/>
      <c r="AQ715" s="15" t="s">
        <v>49</v>
      </c>
      <c r="AR715" t="s">
        <v>2926</v>
      </c>
      <c r="AS715" s="16"/>
    </row>
    <row r="716" spans="1:45" ht="14.5">
      <c r="A716" s="9" t="s">
        <v>3428</v>
      </c>
      <c r="B716" s="9" t="s">
        <v>3429</v>
      </c>
      <c r="C716" s="9" t="s">
        <v>3099</v>
      </c>
      <c r="D716" s="9" t="s">
        <v>2830</v>
      </c>
      <c r="E716" s="9" t="s">
        <v>49</v>
      </c>
      <c r="F716" s="9" t="s">
        <v>69</v>
      </c>
      <c r="G716" s="9" t="s">
        <v>70</v>
      </c>
      <c r="H716" s="9" t="s">
        <v>2899</v>
      </c>
      <c r="I716" s="9" t="s">
        <v>72</v>
      </c>
      <c r="J716" s="10">
        <v>42622</v>
      </c>
      <c r="K716" s="10">
        <v>42814</v>
      </c>
      <c r="L716" s="10">
        <v>42817.601412037038</v>
      </c>
      <c r="M716" s="10">
        <v>42828</v>
      </c>
      <c r="N716" s="9">
        <v>2017</v>
      </c>
      <c r="O716" s="9" t="s">
        <v>2832</v>
      </c>
      <c r="P716" s="9" t="s">
        <v>53</v>
      </c>
      <c r="Q716" s="9" t="s">
        <v>53</v>
      </c>
      <c r="T716" s="9"/>
      <c r="V716" s="9"/>
      <c r="W716" s="11">
        <f>IFERROR(VLOOKUP(B716, PlumX_snapshot!$A:$B, 2, FALSE), " ")</f>
        <v>148</v>
      </c>
      <c r="X716" s="11">
        <f>IFERROR(VLOOKUP(B716, PlumX_snapshot!$A:$C, 3, FALSE), " ")</f>
        <v>39</v>
      </c>
      <c r="Y716" s="12">
        <f>IFERROR(VLOOKUP(B716, PlumX_snapshot!$A:$D, 4, FALSE), " ")</f>
        <v>0</v>
      </c>
      <c r="Z716" s="12">
        <f>IFERROR(VLOOKUP(B716, PlumX_snapshot!$A:$E, 5, FALSE), " ")</f>
        <v>10</v>
      </c>
      <c r="AA716" s="12">
        <f>IFERROR(VLOOKUP(B716, PlumX_snapshot!$A:$F, 6, FALSE), " ")</f>
        <v>0</v>
      </c>
      <c r="AB716" s="13">
        <v>44978</v>
      </c>
      <c r="AH716" s="9"/>
      <c r="AI716" s="9"/>
      <c r="AJ716" s="9"/>
      <c r="AK716" s="11" t="str">
        <f t="shared" si="4"/>
        <v>2017</v>
      </c>
      <c r="AL716" s="11" t="e">
        <f>VLOOKUP(AK716, Exchange_rates!$C:$D, 2, FALSE)</f>
        <v>#N/A</v>
      </c>
      <c r="AM716" s="14" t="str">
        <f t="shared" si="5"/>
        <v/>
      </c>
      <c r="AN716" s="9"/>
      <c r="AO716" s="9"/>
      <c r="AP716" s="9"/>
      <c r="AQ716" s="15" t="s">
        <v>49</v>
      </c>
      <c r="AR716" t="s">
        <v>3100</v>
      </c>
      <c r="AS716" s="16"/>
    </row>
    <row r="717" spans="1:45" ht="14.5">
      <c r="A717" s="9" t="s">
        <v>3430</v>
      </c>
      <c r="B717" s="9" t="s">
        <v>3431</v>
      </c>
      <c r="C717" s="9" t="s">
        <v>3412</v>
      </c>
      <c r="D717" s="9" t="s">
        <v>2830</v>
      </c>
      <c r="E717" s="9" t="s">
        <v>49</v>
      </c>
      <c r="F717" s="9" t="s">
        <v>69</v>
      </c>
      <c r="G717" s="9" t="s">
        <v>70</v>
      </c>
      <c r="H717" s="9" t="s">
        <v>2899</v>
      </c>
      <c r="I717" s="9" t="s">
        <v>72</v>
      </c>
      <c r="J717" s="10">
        <v>42795</v>
      </c>
      <c r="K717" s="10">
        <v>42979</v>
      </c>
      <c r="L717" s="10">
        <v>42990.661296296297</v>
      </c>
      <c r="M717" s="10">
        <v>43003</v>
      </c>
      <c r="N717" s="9">
        <v>2017</v>
      </c>
      <c r="O717" s="9" t="s">
        <v>2832</v>
      </c>
      <c r="P717" s="9" t="s">
        <v>53</v>
      </c>
      <c r="Q717" s="9" t="s">
        <v>53</v>
      </c>
      <c r="T717" s="9"/>
      <c r="V717" s="9"/>
      <c r="W717" s="11">
        <f>IFERROR(VLOOKUP(B717, PlumX_snapshot!$A:$B, 2, FALSE), " ")</f>
        <v>39</v>
      </c>
      <c r="X717" s="11">
        <f>IFERROR(VLOOKUP(B717, PlumX_snapshot!$A:$C, 3, FALSE), " ")</f>
        <v>9</v>
      </c>
      <c r="Y717" s="12">
        <f>IFERROR(VLOOKUP(B717, PlumX_snapshot!$A:$D, 4, FALSE), " ")</f>
        <v>75</v>
      </c>
      <c r="Z717" s="12">
        <f>IFERROR(VLOOKUP(B717, PlumX_snapshot!$A:$E, 5, FALSE), " ")</f>
        <v>24</v>
      </c>
      <c r="AA717" s="12">
        <f>IFERROR(VLOOKUP(B717, PlumX_snapshot!$A:$F, 6, FALSE), " ")</f>
        <v>0</v>
      </c>
      <c r="AB717" s="13">
        <v>44978</v>
      </c>
      <c r="AH717" s="9"/>
      <c r="AI717" s="9"/>
      <c r="AJ717" s="9"/>
      <c r="AK717" s="11" t="str">
        <f t="shared" si="4"/>
        <v>2017</v>
      </c>
      <c r="AL717" s="11" t="e">
        <f>VLOOKUP(AK717, Exchange_rates!$C:$D, 2, FALSE)</f>
        <v>#N/A</v>
      </c>
      <c r="AM717" s="14" t="str">
        <f t="shared" si="5"/>
        <v/>
      </c>
      <c r="AN717" s="9"/>
      <c r="AO717" s="9"/>
      <c r="AP717" s="9"/>
      <c r="AQ717" s="15" t="s">
        <v>49</v>
      </c>
      <c r="AR717" t="s">
        <v>3413</v>
      </c>
      <c r="AS717" s="16"/>
    </row>
    <row r="718" spans="1:45" ht="14.5">
      <c r="A718" s="9" t="s">
        <v>3432</v>
      </c>
      <c r="B718" s="9" t="s">
        <v>3433</v>
      </c>
      <c r="C718" s="9" t="s">
        <v>3434</v>
      </c>
      <c r="D718" s="9" t="s">
        <v>2830</v>
      </c>
      <c r="E718" s="9" t="s">
        <v>49</v>
      </c>
      <c r="F718" s="9" t="s">
        <v>69</v>
      </c>
      <c r="G718" s="9" t="s">
        <v>70</v>
      </c>
      <c r="H718" s="9" t="s">
        <v>2899</v>
      </c>
      <c r="I718" s="9" t="s">
        <v>72</v>
      </c>
      <c r="J718" s="10"/>
      <c r="K718" s="10"/>
      <c r="L718" s="10">
        <v>42990.696527777778</v>
      </c>
      <c r="M718" s="10">
        <v>43004</v>
      </c>
      <c r="N718" s="9">
        <v>2017</v>
      </c>
      <c r="O718" s="9" t="s">
        <v>2832</v>
      </c>
      <c r="P718" s="9" t="s">
        <v>53</v>
      </c>
      <c r="Q718" s="9" t="s">
        <v>53</v>
      </c>
      <c r="T718" s="9"/>
      <c r="V718" s="9"/>
      <c r="W718" s="11">
        <f>IFERROR(VLOOKUP(B718, PlumX_snapshot!$A:$B, 2, FALSE), " ")</f>
        <v>290</v>
      </c>
      <c r="X718" s="11">
        <f>IFERROR(VLOOKUP(B718, PlumX_snapshot!$A:$C, 3, FALSE), " ")</f>
        <v>46</v>
      </c>
      <c r="Y718" s="12">
        <f>IFERROR(VLOOKUP(B718, PlumX_snapshot!$A:$D, 4, FALSE), " ")</f>
        <v>54</v>
      </c>
      <c r="Z718" s="12">
        <f>IFERROR(VLOOKUP(B718, PlumX_snapshot!$A:$E, 5, FALSE), " ")</f>
        <v>2093</v>
      </c>
      <c r="AA718" s="12">
        <f>IFERROR(VLOOKUP(B718, PlumX_snapshot!$A:$F, 6, FALSE), " ")</f>
        <v>0</v>
      </c>
      <c r="AB718" s="13">
        <v>44978</v>
      </c>
      <c r="AH718" s="9"/>
      <c r="AI718" s="9"/>
      <c r="AJ718" s="9"/>
      <c r="AK718" s="11" t="str">
        <f t="shared" si="4"/>
        <v>2017</v>
      </c>
      <c r="AL718" s="11" t="e">
        <f>VLOOKUP(AK718, Exchange_rates!$C:$D, 2, FALSE)</f>
        <v>#N/A</v>
      </c>
      <c r="AM718" s="14" t="str">
        <f t="shared" si="5"/>
        <v/>
      </c>
      <c r="AN718" s="9"/>
      <c r="AO718" s="9"/>
      <c r="AP718" s="9"/>
      <c r="AQ718" s="15" t="s">
        <v>49</v>
      </c>
      <c r="AR718" t="s">
        <v>3435</v>
      </c>
      <c r="AS718" s="16"/>
    </row>
    <row r="719" spans="1:45" ht="14.5">
      <c r="A719" s="9" t="s">
        <v>3436</v>
      </c>
      <c r="B719" s="9" t="s">
        <v>3437</v>
      </c>
      <c r="C719" s="9" t="s">
        <v>3438</v>
      </c>
      <c r="D719" s="9" t="s">
        <v>2830</v>
      </c>
      <c r="E719" s="9" t="s">
        <v>49</v>
      </c>
      <c r="F719" s="9" t="s">
        <v>69</v>
      </c>
      <c r="G719" s="9" t="s">
        <v>70</v>
      </c>
      <c r="H719" s="9" t="s">
        <v>2899</v>
      </c>
      <c r="I719" s="9" t="s">
        <v>72</v>
      </c>
      <c r="J719" s="10"/>
      <c r="K719" s="10"/>
      <c r="L719" s="10">
        <v>42844.578715277778</v>
      </c>
      <c r="M719" s="10">
        <v>42898</v>
      </c>
      <c r="N719" s="9">
        <v>2017</v>
      </c>
      <c r="O719" s="9" t="s">
        <v>2832</v>
      </c>
      <c r="P719" s="9" t="s">
        <v>53</v>
      </c>
      <c r="Q719" s="9" t="s">
        <v>53</v>
      </c>
      <c r="T719" s="9"/>
      <c r="V719" s="9"/>
      <c r="W719" s="11">
        <f>IFERROR(VLOOKUP(B719, PlumX_snapshot!$A:$B, 2, FALSE), " ")</f>
        <v>17</v>
      </c>
      <c r="X719" s="11">
        <f>IFERROR(VLOOKUP(B719, PlumX_snapshot!$A:$C, 3, FALSE), " ")</f>
        <v>8</v>
      </c>
      <c r="Y719" s="12">
        <f>IFERROR(VLOOKUP(B719, PlumX_snapshot!$A:$D, 4, FALSE), " ")</f>
        <v>0</v>
      </c>
      <c r="Z719" s="12">
        <f>IFERROR(VLOOKUP(B719, PlumX_snapshot!$A:$E, 5, FALSE), " ")</f>
        <v>64</v>
      </c>
      <c r="AA719" s="12">
        <f>IFERROR(VLOOKUP(B719, PlumX_snapshot!$A:$F, 6, FALSE), " ")</f>
        <v>0</v>
      </c>
      <c r="AB719" s="13">
        <v>44978</v>
      </c>
      <c r="AH719" s="9"/>
      <c r="AI719" s="9"/>
      <c r="AJ719" s="9"/>
      <c r="AK719" s="11" t="str">
        <f t="shared" si="4"/>
        <v>2017</v>
      </c>
      <c r="AL719" s="11" t="e">
        <f>VLOOKUP(AK719, Exchange_rates!$C:$D, 2, FALSE)</f>
        <v>#N/A</v>
      </c>
      <c r="AM719" s="14" t="str">
        <f t="shared" si="5"/>
        <v/>
      </c>
      <c r="AN719" s="9"/>
      <c r="AO719" s="9"/>
      <c r="AP719" s="9"/>
      <c r="AQ719" s="15" t="s">
        <v>49</v>
      </c>
      <c r="AR719" t="s">
        <v>3439</v>
      </c>
      <c r="AS719" s="16"/>
    </row>
    <row r="720" spans="1:45" ht="14.5">
      <c r="A720" s="9" t="s">
        <v>3440</v>
      </c>
      <c r="B720" s="9" t="s">
        <v>3441</v>
      </c>
      <c r="C720" s="9" t="s">
        <v>3041</v>
      </c>
      <c r="D720" s="9" t="s">
        <v>2830</v>
      </c>
      <c r="E720" s="9" t="s">
        <v>49</v>
      </c>
      <c r="F720" s="9" t="s">
        <v>69</v>
      </c>
      <c r="G720" s="9" t="s">
        <v>70</v>
      </c>
      <c r="H720" s="9" t="s">
        <v>2899</v>
      </c>
      <c r="I720" s="9" t="s">
        <v>72</v>
      </c>
      <c r="J720" s="10"/>
      <c r="K720" s="10"/>
      <c r="L720" s="10">
        <v>43021.387962962966</v>
      </c>
      <c r="M720" s="28">
        <v>43033</v>
      </c>
      <c r="N720" s="9">
        <v>2017</v>
      </c>
      <c r="O720" s="9" t="s">
        <v>2832</v>
      </c>
      <c r="P720" s="9" t="s">
        <v>53</v>
      </c>
      <c r="Q720" s="9" t="s">
        <v>53</v>
      </c>
      <c r="T720" s="9"/>
      <c r="V720" s="9"/>
      <c r="W720" s="11">
        <f>IFERROR(VLOOKUP(B720, PlumX_snapshot!$A:$B, 2, FALSE), " ")</f>
        <v>1</v>
      </c>
      <c r="X720" s="11">
        <f>IFERROR(VLOOKUP(B720, PlumX_snapshot!$A:$C, 3, FALSE), " ")</f>
        <v>5</v>
      </c>
      <c r="Y720" s="12">
        <f>IFERROR(VLOOKUP(B720, PlumX_snapshot!$A:$D, 4, FALSE), " ")</f>
        <v>3</v>
      </c>
      <c r="Z720" s="12">
        <f>IFERROR(VLOOKUP(B720, PlumX_snapshot!$A:$E, 5, FALSE), " ")</f>
        <v>10</v>
      </c>
      <c r="AA720" s="12">
        <f>IFERROR(VLOOKUP(B720, PlumX_snapshot!$A:$F, 6, FALSE), " ")</f>
        <v>0</v>
      </c>
      <c r="AB720" s="13">
        <v>44978</v>
      </c>
      <c r="AH720" s="9"/>
      <c r="AI720" s="9"/>
      <c r="AJ720" s="9"/>
      <c r="AK720" s="11" t="str">
        <f t="shared" si="4"/>
        <v>2017</v>
      </c>
      <c r="AL720" s="11" t="e">
        <f>VLOOKUP(AK720, Exchange_rates!$C:$D, 2, FALSE)</f>
        <v>#N/A</v>
      </c>
      <c r="AM720" s="14" t="str">
        <f t="shared" si="5"/>
        <v/>
      </c>
      <c r="AN720" s="9"/>
      <c r="AO720" s="9"/>
      <c r="AP720" s="9"/>
      <c r="AQ720" s="15" t="s">
        <v>49</v>
      </c>
      <c r="AR720" t="s">
        <v>3042</v>
      </c>
      <c r="AS720" s="16"/>
    </row>
    <row r="721" spans="1:45" ht="14.5">
      <c r="A721" s="9" t="s">
        <v>3442</v>
      </c>
      <c r="B721" s="9" t="s">
        <v>3443</v>
      </c>
      <c r="C721" s="9" t="s">
        <v>2937</v>
      </c>
      <c r="D721" s="9" t="s">
        <v>2830</v>
      </c>
      <c r="E721" s="9" t="s">
        <v>49</v>
      </c>
      <c r="F721" s="9" t="s">
        <v>69</v>
      </c>
      <c r="G721" s="9" t="s">
        <v>70</v>
      </c>
      <c r="H721" s="9" t="s">
        <v>2899</v>
      </c>
      <c r="I721" s="9" t="s">
        <v>72</v>
      </c>
      <c r="J721" s="10"/>
      <c r="K721" s="10"/>
      <c r="L721" s="10">
        <v>43020.676863425928</v>
      </c>
      <c r="M721" s="28">
        <v>43036</v>
      </c>
      <c r="N721" s="9">
        <v>2017</v>
      </c>
      <c r="O721" s="9" t="s">
        <v>2832</v>
      </c>
      <c r="P721" s="9" t="s">
        <v>53</v>
      </c>
      <c r="Q721" s="9" t="s">
        <v>53</v>
      </c>
      <c r="T721" s="9"/>
      <c r="V721" s="9"/>
      <c r="W721" s="11">
        <f>IFERROR(VLOOKUP(B721, PlumX_snapshot!$A:$B, 2, FALSE), " ")</f>
        <v>6</v>
      </c>
      <c r="X721" s="11">
        <f>IFERROR(VLOOKUP(B721, PlumX_snapshot!$A:$C, 3, FALSE), " ")</f>
        <v>3</v>
      </c>
      <c r="Y721" s="12">
        <f>IFERROR(VLOOKUP(B721, PlumX_snapshot!$A:$D, 4, FALSE), " ")</f>
        <v>0</v>
      </c>
      <c r="Z721" s="12">
        <f>IFERROR(VLOOKUP(B721, PlumX_snapshot!$A:$E, 5, FALSE), " ")</f>
        <v>8</v>
      </c>
      <c r="AA721" s="12">
        <f>IFERROR(VLOOKUP(B721, PlumX_snapshot!$A:$F, 6, FALSE), " ")</f>
        <v>0</v>
      </c>
      <c r="AB721" s="13">
        <v>44978</v>
      </c>
      <c r="AH721" s="9"/>
      <c r="AI721" s="9"/>
      <c r="AJ721" s="9"/>
      <c r="AK721" s="11" t="str">
        <f t="shared" si="4"/>
        <v>2017</v>
      </c>
      <c r="AL721" s="11" t="e">
        <f>VLOOKUP(AK721, Exchange_rates!$C:$D, 2, FALSE)</f>
        <v>#N/A</v>
      </c>
      <c r="AM721" s="14" t="str">
        <f t="shared" si="5"/>
        <v/>
      </c>
      <c r="AN721" s="9"/>
      <c r="AO721" s="9"/>
      <c r="AP721" s="9"/>
      <c r="AQ721" s="15" t="s">
        <v>49</v>
      </c>
      <c r="AR721" t="s">
        <v>2938</v>
      </c>
      <c r="AS721" s="16"/>
    </row>
    <row r="722" spans="1:45" ht="14.5">
      <c r="A722" s="9" t="s">
        <v>3444</v>
      </c>
      <c r="B722" s="9" t="s">
        <v>3445</v>
      </c>
      <c r="C722" s="9" t="s">
        <v>3446</v>
      </c>
      <c r="D722" s="9" t="s">
        <v>2830</v>
      </c>
      <c r="E722" s="9" t="s">
        <v>49</v>
      </c>
      <c r="F722" s="9" t="s">
        <v>69</v>
      </c>
      <c r="G722" s="9" t="s">
        <v>70</v>
      </c>
      <c r="H722" s="9" t="s">
        <v>2899</v>
      </c>
      <c r="I722" s="9" t="s">
        <v>72</v>
      </c>
      <c r="J722" s="10">
        <v>42656</v>
      </c>
      <c r="K722" s="10">
        <v>43014</v>
      </c>
      <c r="L722" s="10">
        <v>43018.580046296294</v>
      </c>
      <c r="M722" s="28">
        <v>43033</v>
      </c>
      <c r="N722" s="9">
        <v>2017</v>
      </c>
      <c r="O722" s="9" t="s">
        <v>2832</v>
      </c>
      <c r="P722" s="9" t="s">
        <v>53</v>
      </c>
      <c r="Q722" s="9" t="s">
        <v>53</v>
      </c>
      <c r="T722" s="9"/>
      <c r="V722" s="9"/>
      <c r="W722" s="11">
        <f>IFERROR(VLOOKUP(B722, PlumX_snapshot!$A:$B, 2, FALSE), " ")</f>
        <v>43</v>
      </c>
      <c r="X722" s="11">
        <f>IFERROR(VLOOKUP(B722, PlumX_snapshot!$A:$C, 3, FALSE), " ")</f>
        <v>21</v>
      </c>
      <c r="Y722" s="12">
        <f>IFERROR(VLOOKUP(B722, PlumX_snapshot!$A:$D, 4, FALSE), " ")</f>
        <v>4</v>
      </c>
      <c r="Z722" s="12">
        <f>IFERROR(VLOOKUP(B722, PlumX_snapshot!$A:$E, 5, FALSE), " ")</f>
        <v>21</v>
      </c>
      <c r="AA722" s="12">
        <f>IFERROR(VLOOKUP(B722, PlumX_snapshot!$A:$F, 6, FALSE), " ")</f>
        <v>0</v>
      </c>
      <c r="AB722" s="13">
        <v>44978</v>
      </c>
      <c r="AH722" s="9"/>
      <c r="AI722" s="9"/>
      <c r="AJ722" s="9"/>
      <c r="AK722" s="11" t="str">
        <f t="shared" si="4"/>
        <v>2017</v>
      </c>
      <c r="AL722" s="11" t="e">
        <f>VLOOKUP(AK722, Exchange_rates!$C:$D, 2, FALSE)</f>
        <v>#N/A</v>
      </c>
      <c r="AM722" s="14" t="str">
        <f t="shared" si="5"/>
        <v/>
      </c>
      <c r="AN722" s="9"/>
      <c r="AO722" s="9"/>
      <c r="AP722" s="9"/>
      <c r="AQ722" s="15" t="s">
        <v>49</v>
      </c>
      <c r="AR722" t="s">
        <v>3447</v>
      </c>
      <c r="AS722" s="16"/>
    </row>
    <row r="723" spans="1:45" ht="14.5">
      <c r="A723" s="9" t="s">
        <v>3448</v>
      </c>
      <c r="B723" s="9" t="s">
        <v>3449</v>
      </c>
      <c r="C723" s="9" t="s">
        <v>3450</v>
      </c>
      <c r="D723" s="9" t="s">
        <v>2830</v>
      </c>
      <c r="E723" s="9" t="s">
        <v>49</v>
      </c>
      <c r="F723" s="9" t="s">
        <v>69</v>
      </c>
      <c r="G723" s="9" t="s">
        <v>70</v>
      </c>
      <c r="H723" s="9" t="s">
        <v>2899</v>
      </c>
      <c r="I723" s="9" t="s">
        <v>72</v>
      </c>
      <c r="J723" s="10">
        <v>42788</v>
      </c>
      <c r="K723" s="10">
        <v>43031</v>
      </c>
      <c r="L723" s="10">
        <v>43033.65084490741</v>
      </c>
      <c r="M723" s="10">
        <v>43045</v>
      </c>
      <c r="N723" s="9">
        <v>2017</v>
      </c>
      <c r="O723" s="9" t="s">
        <v>2832</v>
      </c>
      <c r="P723" s="9" t="s">
        <v>53</v>
      </c>
      <c r="Q723" s="9" t="s">
        <v>53</v>
      </c>
      <c r="R723" s="9" t="s">
        <v>3451</v>
      </c>
      <c r="T723" s="9"/>
      <c r="V723" s="9"/>
      <c r="W723" s="11">
        <f>IFERROR(VLOOKUP(B723, PlumX_snapshot!$A:$B, 2, FALSE), " ")</f>
        <v>32</v>
      </c>
      <c r="X723" s="11">
        <f>IFERROR(VLOOKUP(B723, PlumX_snapshot!$A:$C, 3, FALSE), " ")</f>
        <v>3</v>
      </c>
      <c r="Y723" s="12">
        <f>IFERROR(VLOOKUP(B723, PlumX_snapshot!$A:$D, 4, FALSE), " ")</f>
        <v>2</v>
      </c>
      <c r="Z723" s="12">
        <f>IFERROR(VLOOKUP(B723, PlumX_snapshot!$A:$E, 5, FALSE), " ")</f>
        <v>72</v>
      </c>
      <c r="AA723" s="12">
        <f>IFERROR(VLOOKUP(B723, PlumX_snapshot!$A:$F, 6, FALSE), " ")</f>
        <v>0</v>
      </c>
      <c r="AB723" s="13">
        <v>44978</v>
      </c>
      <c r="AH723" s="9"/>
      <c r="AI723" s="9"/>
      <c r="AJ723" s="9"/>
      <c r="AK723" s="11" t="str">
        <f t="shared" si="4"/>
        <v>2017</v>
      </c>
      <c r="AL723" s="11" t="e">
        <f>VLOOKUP(AK723, Exchange_rates!$C:$D, 2, FALSE)</f>
        <v>#N/A</v>
      </c>
      <c r="AM723" s="14" t="str">
        <f t="shared" si="5"/>
        <v/>
      </c>
      <c r="AN723" s="9"/>
      <c r="AO723" s="9"/>
      <c r="AP723" s="9"/>
      <c r="AQ723" s="15" t="s">
        <v>49</v>
      </c>
      <c r="AS723" s="16" t="s">
        <v>3452</v>
      </c>
    </row>
    <row r="724" spans="1:45" ht="14.5">
      <c r="A724" s="9" t="s">
        <v>3453</v>
      </c>
      <c r="B724" s="9" t="s">
        <v>3454</v>
      </c>
      <c r="C724" s="9" t="s">
        <v>3455</v>
      </c>
      <c r="D724" s="9" t="s">
        <v>2830</v>
      </c>
      <c r="E724" s="9" t="s">
        <v>49</v>
      </c>
      <c r="F724" s="9" t="s">
        <v>69</v>
      </c>
      <c r="G724" s="9" t="s">
        <v>70</v>
      </c>
      <c r="H724" s="9" t="s">
        <v>2899</v>
      </c>
      <c r="I724" s="9" t="s">
        <v>72</v>
      </c>
      <c r="J724" s="10">
        <v>42809</v>
      </c>
      <c r="K724" s="10">
        <v>43031</v>
      </c>
      <c r="L724" s="10">
        <v>43035.388773148145</v>
      </c>
      <c r="M724" s="28">
        <v>43057</v>
      </c>
      <c r="N724" s="9">
        <v>2017</v>
      </c>
      <c r="O724" s="9" t="s">
        <v>2832</v>
      </c>
      <c r="P724" s="9" t="s">
        <v>53</v>
      </c>
      <c r="Q724" s="9" t="s">
        <v>53</v>
      </c>
      <c r="T724" s="9"/>
      <c r="V724" s="9"/>
      <c r="W724" s="11">
        <f>IFERROR(VLOOKUP(B724, PlumX_snapshot!$A:$B, 2, FALSE), " ")</f>
        <v>104</v>
      </c>
      <c r="X724" s="11">
        <f>IFERROR(VLOOKUP(B724, PlumX_snapshot!$A:$C, 3, FALSE), " ")</f>
        <v>14</v>
      </c>
      <c r="Y724" s="12">
        <f>IFERROR(VLOOKUP(B724, PlumX_snapshot!$A:$D, 4, FALSE), " ")</f>
        <v>2</v>
      </c>
      <c r="Z724" s="12">
        <f>IFERROR(VLOOKUP(B724, PlumX_snapshot!$A:$E, 5, FALSE), " ")</f>
        <v>189</v>
      </c>
      <c r="AA724" s="12">
        <f>IFERROR(VLOOKUP(B724, PlumX_snapshot!$A:$F, 6, FALSE), " ")</f>
        <v>1</v>
      </c>
      <c r="AB724" s="13">
        <v>44978</v>
      </c>
      <c r="AH724" s="9"/>
      <c r="AI724" s="9"/>
      <c r="AJ724" s="9"/>
      <c r="AK724" s="11" t="str">
        <f t="shared" si="4"/>
        <v>2017</v>
      </c>
      <c r="AL724" s="11" t="e">
        <f>VLOOKUP(AK724, Exchange_rates!$C:$D, 2, FALSE)</f>
        <v>#N/A</v>
      </c>
      <c r="AM724" s="14" t="str">
        <f t="shared" si="5"/>
        <v/>
      </c>
      <c r="AN724" s="9"/>
      <c r="AO724" s="9"/>
      <c r="AP724" s="9"/>
      <c r="AQ724" s="15" t="s">
        <v>49</v>
      </c>
      <c r="AR724" t="s">
        <v>3456</v>
      </c>
      <c r="AS724" s="16"/>
    </row>
    <row r="725" spans="1:45" ht="14.5">
      <c r="A725" s="9" t="s">
        <v>3457</v>
      </c>
      <c r="B725" s="9" t="s">
        <v>3458</v>
      </c>
      <c r="C725" s="9" t="s">
        <v>2929</v>
      </c>
      <c r="D725" s="9" t="s">
        <v>2830</v>
      </c>
      <c r="E725" s="9" t="s">
        <v>49</v>
      </c>
      <c r="F725" s="9" t="s">
        <v>69</v>
      </c>
      <c r="G725" s="9" t="s">
        <v>70</v>
      </c>
      <c r="H725" s="9" t="s">
        <v>2899</v>
      </c>
      <c r="I725" s="9" t="s">
        <v>72</v>
      </c>
      <c r="J725" s="10"/>
      <c r="K725" s="10"/>
      <c r="L725" s="10">
        <v>43069.664976851855</v>
      </c>
      <c r="M725" s="10">
        <v>43075</v>
      </c>
      <c r="N725" s="9">
        <v>2017</v>
      </c>
      <c r="O725" s="9" t="s">
        <v>2832</v>
      </c>
      <c r="P725" s="9" t="s">
        <v>53</v>
      </c>
      <c r="Q725" s="9" t="s">
        <v>53</v>
      </c>
      <c r="T725" s="9"/>
      <c r="V725" s="9"/>
      <c r="W725" s="11">
        <f>IFERROR(VLOOKUP(B725, PlumX_snapshot!$A:$B, 2, FALSE), " ")</f>
        <v>131</v>
      </c>
      <c r="X725" s="11">
        <f>IFERROR(VLOOKUP(B725, PlumX_snapshot!$A:$C, 3, FALSE), " ")</f>
        <v>14</v>
      </c>
      <c r="Y725" s="12">
        <f>IFERROR(VLOOKUP(B725, PlumX_snapshot!$A:$D, 4, FALSE), " ")</f>
        <v>9</v>
      </c>
      <c r="Z725" s="12">
        <f>IFERROR(VLOOKUP(B725, PlumX_snapshot!$A:$E, 5, FALSE), " ")</f>
        <v>1218</v>
      </c>
      <c r="AA725" s="12">
        <f>IFERROR(VLOOKUP(B725, PlumX_snapshot!$A:$F, 6, FALSE), " ")</f>
        <v>0</v>
      </c>
      <c r="AB725" s="13">
        <v>44978</v>
      </c>
      <c r="AH725" s="9"/>
      <c r="AI725" s="9"/>
      <c r="AJ725" s="9"/>
      <c r="AK725" s="11" t="str">
        <f t="shared" si="4"/>
        <v>2017</v>
      </c>
      <c r="AL725" s="11" t="e">
        <f>VLOOKUP(AK725, Exchange_rates!$C:$D, 2, FALSE)</f>
        <v>#N/A</v>
      </c>
      <c r="AM725" s="14" t="str">
        <f t="shared" si="5"/>
        <v/>
      </c>
      <c r="AN725" s="9"/>
      <c r="AO725" s="9"/>
      <c r="AP725" s="9"/>
      <c r="AQ725" s="15" t="s">
        <v>49</v>
      </c>
      <c r="AR725" t="s">
        <v>2930</v>
      </c>
      <c r="AS725" s="16"/>
    </row>
    <row r="726" spans="1:45" ht="14.5">
      <c r="A726" s="9" t="s">
        <v>3459</v>
      </c>
      <c r="B726" s="9" t="s">
        <v>3460</v>
      </c>
      <c r="C726" s="9" t="s">
        <v>3045</v>
      </c>
      <c r="D726" s="9" t="s">
        <v>2830</v>
      </c>
      <c r="E726" s="9" t="s">
        <v>49</v>
      </c>
      <c r="F726" s="9" t="s">
        <v>69</v>
      </c>
      <c r="G726" s="9" t="s">
        <v>70</v>
      </c>
      <c r="H726" s="9" t="s">
        <v>2878</v>
      </c>
      <c r="I726" s="9" t="s">
        <v>72</v>
      </c>
      <c r="J726" s="10"/>
      <c r="K726" s="10">
        <v>44306</v>
      </c>
      <c r="L726" s="10">
        <v>44320.518923611111</v>
      </c>
      <c r="M726" s="10">
        <v>44331</v>
      </c>
      <c r="N726" s="9">
        <v>2021</v>
      </c>
      <c r="O726" s="9" t="s">
        <v>2832</v>
      </c>
      <c r="P726" s="9" t="s">
        <v>53</v>
      </c>
      <c r="Q726" s="9" t="s">
        <v>53</v>
      </c>
      <c r="R726" s="9" t="s">
        <v>3461</v>
      </c>
      <c r="T726" s="9"/>
      <c r="V726" s="9"/>
      <c r="W726" s="11">
        <f>IFERROR(VLOOKUP(B726, PlumX_snapshot!$A:$B, 2, FALSE), " ")</f>
        <v>13</v>
      </c>
      <c r="X726" s="11">
        <f>IFERROR(VLOOKUP(B726, PlumX_snapshot!$A:$C, 3, FALSE), " ")</f>
        <v>0</v>
      </c>
      <c r="Y726" s="12">
        <f>IFERROR(VLOOKUP(B726, PlumX_snapshot!$A:$D, 4, FALSE), " ")</f>
        <v>0</v>
      </c>
      <c r="Z726" s="12">
        <f>IFERROR(VLOOKUP(B726, PlumX_snapshot!$A:$E, 5, FALSE), " ")</f>
        <v>0</v>
      </c>
      <c r="AA726" s="12">
        <f>IFERROR(VLOOKUP(B726, PlumX_snapshot!$A:$F, 6, FALSE), " ")</f>
        <v>0</v>
      </c>
      <c r="AB726" s="13">
        <v>44978</v>
      </c>
      <c r="AH726" s="9">
        <v>2380</v>
      </c>
      <c r="AI726" s="9" t="s">
        <v>77</v>
      </c>
      <c r="AJ726" s="9" t="s">
        <v>1823</v>
      </c>
      <c r="AK726" s="11" t="str">
        <f t="shared" si="4"/>
        <v>2021EUR</v>
      </c>
      <c r="AL726" s="11">
        <f>VLOOKUP(AK726, Exchange_rates!$C:$D, 2, FALSE)</f>
        <v>0.8599</v>
      </c>
      <c r="AM726" s="14">
        <f t="shared" si="5"/>
        <v>2455.8743999999997</v>
      </c>
      <c r="AN726" s="9"/>
      <c r="AO726" s="9"/>
      <c r="AP726" s="9"/>
      <c r="AQ726" s="15" t="s">
        <v>49</v>
      </c>
      <c r="AR726" t="s">
        <v>3046</v>
      </c>
      <c r="AS726" s="16"/>
    </row>
    <row r="727" spans="1:45" ht="14.5">
      <c r="A727" s="9" t="s">
        <v>3462</v>
      </c>
      <c r="B727" s="9" t="s">
        <v>3463</v>
      </c>
      <c r="C727" s="9" t="s">
        <v>3292</v>
      </c>
      <c r="D727" s="9" t="s">
        <v>2830</v>
      </c>
      <c r="E727" s="9" t="s">
        <v>49</v>
      </c>
      <c r="F727" s="9" t="s">
        <v>69</v>
      </c>
      <c r="G727" s="9" t="s">
        <v>70</v>
      </c>
      <c r="H727" s="9" t="s">
        <v>2871</v>
      </c>
      <c r="I727" s="9" t="s">
        <v>72</v>
      </c>
      <c r="J727" s="10">
        <v>43761</v>
      </c>
      <c r="K727" s="10">
        <v>43866</v>
      </c>
      <c r="L727" s="10">
        <v>43866.68582175926</v>
      </c>
      <c r="M727" s="10">
        <v>43876</v>
      </c>
      <c r="N727" s="9">
        <v>2020</v>
      </c>
      <c r="O727" s="9" t="s">
        <v>2832</v>
      </c>
      <c r="P727" s="9" t="s">
        <v>53</v>
      </c>
      <c r="Q727" s="9" t="s">
        <v>53</v>
      </c>
      <c r="T727" s="9"/>
      <c r="V727" s="9"/>
      <c r="W727" s="11">
        <f>IFERROR(VLOOKUP(B727, PlumX_snapshot!$A:$B, 2, FALSE), " ")</f>
        <v>5</v>
      </c>
      <c r="X727" s="11">
        <f>IFERROR(VLOOKUP(B727, PlumX_snapshot!$A:$C, 3, FALSE), " ")</f>
        <v>16</v>
      </c>
      <c r="Y727" s="12">
        <f>IFERROR(VLOOKUP(B727, PlumX_snapshot!$A:$D, 4, FALSE), " ")</f>
        <v>19</v>
      </c>
      <c r="Z727" s="12">
        <f>IFERROR(VLOOKUP(B727, PlumX_snapshot!$A:$E, 5, FALSE), " ")</f>
        <v>0</v>
      </c>
      <c r="AA727" s="12">
        <f>IFERROR(VLOOKUP(B727, PlumX_snapshot!$A:$F, 6, FALSE), " ")</f>
        <v>0</v>
      </c>
      <c r="AB727" s="13">
        <v>44978</v>
      </c>
      <c r="AH727" s="9">
        <v>2289</v>
      </c>
      <c r="AI727" s="9" t="s">
        <v>77</v>
      </c>
      <c r="AJ727" s="9" t="s">
        <v>1823</v>
      </c>
      <c r="AK727" s="11" t="str">
        <f t="shared" si="4"/>
        <v>2020EUR</v>
      </c>
      <c r="AL727" s="11">
        <f>VLOOKUP(AK727, Exchange_rates!$C:$D, 2, FALSE)</f>
        <v>0.88970000000000005</v>
      </c>
      <c r="AM727" s="14">
        <f t="shared" si="5"/>
        <v>2443.8279600000001</v>
      </c>
      <c r="AN727" s="9"/>
      <c r="AO727" s="9"/>
      <c r="AP727" s="9"/>
      <c r="AQ727" s="15" t="s">
        <v>49</v>
      </c>
      <c r="AR727" t="s">
        <v>3293</v>
      </c>
      <c r="AS727" s="16"/>
    </row>
    <row r="728" spans="1:45" ht="14.5">
      <c r="A728" s="9" t="s">
        <v>3464</v>
      </c>
      <c r="B728" s="9" t="s">
        <v>3465</v>
      </c>
      <c r="C728" s="9" t="s">
        <v>2969</v>
      </c>
      <c r="D728" s="9" t="s">
        <v>2830</v>
      </c>
      <c r="E728" s="9" t="s">
        <v>49</v>
      </c>
      <c r="F728" s="9" t="s">
        <v>69</v>
      </c>
      <c r="G728" s="9" t="s">
        <v>70</v>
      </c>
      <c r="H728" s="9" t="s">
        <v>2871</v>
      </c>
      <c r="I728" s="9" t="s">
        <v>72</v>
      </c>
      <c r="J728" s="10">
        <v>43747</v>
      </c>
      <c r="K728" s="10">
        <v>43851</v>
      </c>
      <c r="L728" s="10">
        <v>43859.469340277778</v>
      </c>
      <c r="M728" s="10">
        <v>43885</v>
      </c>
      <c r="N728" s="9">
        <v>2020</v>
      </c>
      <c r="O728" s="9" t="s">
        <v>2832</v>
      </c>
      <c r="P728" s="9" t="s">
        <v>53</v>
      </c>
      <c r="Q728" s="9" t="s">
        <v>53</v>
      </c>
      <c r="T728" s="9"/>
      <c r="V728" s="9"/>
      <c r="W728" s="11">
        <f>IFERROR(VLOOKUP(B728, PlumX_snapshot!$A:$B, 2, FALSE), " ")</f>
        <v>8</v>
      </c>
      <c r="X728" s="11">
        <f>IFERROR(VLOOKUP(B728, PlumX_snapshot!$A:$C, 3, FALSE), " ")</f>
        <v>4</v>
      </c>
      <c r="Y728" s="12">
        <f>IFERROR(VLOOKUP(B728, PlumX_snapshot!$A:$D, 4, FALSE), " ")</f>
        <v>4</v>
      </c>
      <c r="Z728" s="12">
        <f>IFERROR(VLOOKUP(B728, PlumX_snapshot!$A:$E, 5, FALSE), " ")</f>
        <v>0</v>
      </c>
      <c r="AA728" s="12">
        <f>IFERROR(VLOOKUP(B728, PlumX_snapshot!$A:$F, 6, FALSE), " ")</f>
        <v>0</v>
      </c>
      <c r="AB728" s="13">
        <v>44978</v>
      </c>
      <c r="AH728" s="9">
        <v>2289</v>
      </c>
      <c r="AI728" s="9" t="s">
        <v>77</v>
      </c>
      <c r="AJ728" s="9" t="s">
        <v>1823</v>
      </c>
      <c r="AK728" s="11" t="str">
        <f t="shared" si="4"/>
        <v>2020EUR</v>
      </c>
      <c r="AL728" s="11">
        <f>VLOOKUP(AK728, Exchange_rates!$C:$D, 2, FALSE)</f>
        <v>0.88970000000000005</v>
      </c>
      <c r="AM728" s="14">
        <f t="shared" si="5"/>
        <v>2443.8279600000001</v>
      </c>
      <c r="AN728" s="9"/>
      <c r="AO728" s="9"/>
      <c r="AP728" s="9"/>
      <c r="AQ728" s="15" t="s">
        <v>49</v>
      </c>
      <c r="AR728" t="s">
        <v>2970</v>
      </c>
      <c r="AS728" s="16"/>
    </row>
    <row r="729" spans="1:45" ht="14.5">
      <c r="A729" s="9" t="s">
        <v>3466</v>
      </c>
      <c r="B729" s="9" t="s">
        <v>3467</v>
      </c>
      <c r="C729" s="9" t="s">
        <v>2949</v>
      </c>
      <c r="D729" s="9" t="s">
        <v>2830</v>
      </c>
      <c r="E729" s="9" t="s">
        <v>49</v>
      </c>
      <c r="F729" s="9" t="s">
        <v>69</v>
      </c>
      <c r="G729" s="9" t="s">
        <v>70</v>
      </c>
      <c r="H729" s="9" t="s">
        <v>2871</v>
      </c>
      <c r="I729" s="9" t="s">
        <v>72</v>
      </c>
      <c r="J729" s="10"/>
      <c r="K729" s="10"/>
      <c r="L729" s="10">
        <v>43865.696620370371</v>
      </c>
      <c r="M729" s="10">
        <v>43872</v>
      </c>
      <c r="N729" s="9">
        <v>2020</v>
      </c>
      <c r="O729" s="9" t="s">
        <v>2832</v>
      </c>
      <c r="P729" s="9" t="s">
        <v>53</v>
      </c>
      <c r="Q729" s="9" t="s">
        <v>53</v>
      </c>
      <c r="T729" s="9"/>
      <c r="V729" s="9"/>
      <c r="W729" s="11">
        <f>IFERROR(VLOOKUP(B729, PlumX_snapshot!$A:$B, 2, FALSE), " ")</f>
        <v>146</v>
      </c>
      <c r="X729" s="11">
        <f>IFERROR(VLOOKUP(B729, PlumX_snapshot!$A:$C, 3, FALSE), " ")</f>
        <v>45</v>
      </c>
      <c r="Y729" s="12">
        <f>IFERROR(VLOOKUP(B729, PlumX_snapshot!$A:$D, 4, FALSE), " ")</f>
        <v>76</v>
      </c>
      <c r="Z729" s="12">
        <f>IFERROR(VLOOKUP(B729, PlumX_snapshot!$A:$E, 5, FALSE), " ")</f>
        <v>0</v>
      </c>
      <c r="AA729" s="12">
        <f>IFERROR(VLOOKUP(B729, PlumX_snapshot!$A:$F, 6, FALSE), " ")</f>
        <v>0</v>
      </c>
      <c r="AB729" s="13">
        <v>44978</v>
      </c>
      <c r="AH729" s="9">
        <v>2289</v>
      </c>
      <c r="AI729" s="9" t="s">
        <v>77</v>
      </c>
      <c r="AJ729" s="9" t="s">
        <v>1823</v>
      </c>
      <c r="AK729" s="11" t="str">
        <f t="shared" si="4"/>
        <v>2020EUR</v>
      </c>
      <c r="AL729" s="11">
        <f>VLOOKUP(AK729, Exchange_rates!$C:$D, 2, FALSE)</f>
        <v>0.88970000000000005</v>
      </c>
      <c r="AM729" s="14">
        <f t="shared" si="5"/>
        <v>2443.8279600000001</v>
      </c>
      <c r="AN729" s="9"/>
      <c r="AO729" s="9"/>
      <c r="AP729" s="9"/>
      <c r="AQ729" s="15" t="s">
        <v>49</v>
      </c>
      <c r="AR729" t="s">
        <v>2950</v>
      </c>
      <c r="AS729" s="16"/>
    </row>
    <row r="730" spans="1:45" ht="14.5">
      <c r="A730" s="9" t="s">
        <v>3468</v>
      </c>
      <c r="B730" s="9" t="s">
        <v>3469</v>
      </c>
      <c r="C730" s="9" t="s">
        <v>3470</v>
      </c>
      <c r="D730" s="9" t="s">
        <v>2830</v>
      </c>
      <c r="E730" s="9" t="s">
        <v>49</v>
      </c>
      <c r="F730" s="9" t="s">
        <v>69</v>
      </c>
      <c r="G730" s="9" t="s">
        <v>70</v>
      </c>
      <c r="H730" s="9" t="s">
        <v>2871</v>
      </c>
      <c r="I730" s="9" t="s">
        <v>72</v>
      </c>
      <c r="J730" s="10">
        <v>43900</v>
      </c>
      <c r="K730" s="10">
        <v>43967</v>
      </c>
      <c r="L730" s="10">
        <v>43998.454201388886</v>
      </c>
      <c r="M730" s="10">
        <v>44001</v>
      </c>
      <c r="N730" s="9">
        <v>2020</v>
      </c>
      <c r="O730" s="9" t="s">
        <v>2832</v>
      </c>
      <c r="P730" s="9" t="s">
        <v>53</v>
      </c>
      <c r="Q730" s="9" t="s">
        <v>53</v>
      </c>
      <c r="T730" s="9"/>
      <c r="V730" s="9"/>
      <c r="W730" s="11">
        <f>IFERROR(VLOOKUP(B730, PlumX_snapshot!$A:$B, 2, FALSE), " ")</f>
        <v>5</v>
      </c>
      <c r="X730" s="11">
        <f>IFERROR(VLOOKUP(B730, PlumX_snapshot!$A:$C, 3, FALSE), " ")</f>
        <v>1</v>
      </c>
      <c r="Y730" s="12">
        <f>IFERROR(VLOOKUP(B730, PlumX_snapshot!$A:$D, 4, FALSE), " ")</f>
        <v>0</v>
      </c>
      <c r="Z730" s="12">
        <f>IFERROR(VLOOKUP(B730, PlumX_snapshot!$A:$E, 5, FALSE), " ")</f>
        <v>0</v>
      </c>
      <c r="AA730" s="12">
        <f>IFERROR(VLOOKUP(B730, PlumX_snapshot!$A:$F, 6, FALSE), " ")</f>
        <v>0</v>
      </c>
      <c r="AB730" s="13">
        <v>44978</v>
      </c>
      <c r="AH730" s="9">
        <v>2289</v>
      </c>
      <c r="AI730" s="9" t="s">
        <v>77</v>
      </c>
      <c r="AJ730" s="9" t="s">
        <v>1823</v>
      </c>
      <c r="AK730" s="11" t="str">
        <f t="shared" si="4"/>
        <v>2020EUR</v>
      </c>
      <c r="AL730" s="11">
        <f>VLOOKUP(AK730, Exchange_rates!$C:$D, 2, FALSE)</f>
        <v>0.88970000000000005</v>
      </c>
      <c r="AM730" s="14">
        <f t="shared" si="5"/>
        <v>2443.8279600000001</v>
      </c>
      <c r="AN730" s="9"/>
      <c r="AO730" s="9"/>
      <c r="AP730" s="9"/>
      <c r="AQ730" s="15" t="s">
        <v>49</v>
      </c>
      <c r="AR730" t="s">
        <v>3471</v>
      </c>
      <c r="AS730" s="16"/>
    </row>
    <row r="731" spans="1:45" ht="14.5">
      <c r="A731" s="9" t="s">
        <v>3472</v>
      </c>
      <c r="B731" s="9" t="s">
        <v>3473</v>
      </c>
      <c r="C731" s="9" t="s">
        <v>3015</v>
      </c>
      <c r="D731" s="9" t="s">
        <v>2830</v>
      </c>
      <c r="E731" s="9" t="s">
        <v>49</v>
      </c>
      <c r="F731" s="9" t="s">
        <v>69</v>
      </c>
      <c r="G731" s="9" t="s">
        <v>70</v>
      </c>
      <c r="H731" s="9" t="s">
        <v>2831</v>
      </c>
      <c r="I731" s="9" t="s">
        <v>72</v>
      </c>
      <c r="J731" s="10">
        <v>42538</v>
      </c>
      <c r="K731" s="10">
        <v>43111</v>
      </c>
      <c r="L731" s="10">
        <v>43115.707974537036</v>
      </c>
      <c r="M731" s="10">
        <v>43123</v>
      </c>
      <c r="N731" s="9">
        <v>2018</v>
      </c>
      <c r="O731" s="9" t="s">
        <v>2832</v>
      </c>
      <c r="P731" s="9" t="s">
        <v>83</v>
      </c>
      <c r="Q731" s="9" t="s">
        <v>53</v>
      </c>
      <c r="R731" s="9" t="s">
        <v>3474</v>
      </c>
      <c r="T731" s="9"/>
      <c r="V731" s="9"/>
      <c r="W731" s="11">
        <f>IFERROR(VLOOKUP(B731, PlumX_snapshot!$A:$B, 2, FALSE), " ")</f>
        <v>18</v>
      </c>
      <c r="X731" s="11">
        <f>IFERROR(VLOOKUP(B731, PlumX_snapshot!$A:$C, 3, FALSE), " ")</f>
        <v>3</v>
      </c>
      <c r="Y731" s="12">
        <f>IFERROR(VLOOKUP(B731, PlumX_snapshot!$A:$D, 4, FALSE), " ")</f>
        <v>5</v>
      </c>
      <c r="Z731" s="12">
        <f>IFERROR(VLOOKUP(B731, PlumX_snapshot!$A:$E, 5, FALSE), " ")</f>
        <v>4</v>
      </c>
      <c r="AA731" s="12">
        <f>IFERROR(VLOOKUP(B731, PlumX_snapshot!$A:$F, 6, FALSE), " ")</f>
        <v>0</v>
      </c>
      <c r="AB731" s="13">
        <v>44978</v>
      </c>
      <c r="AH731" s="9"/>
      <c r="AI731" s="9"/>
      <c r="AJ731" s="9"/>
      <c r="AK731" s="11" t="str">
        <f t="shared" si="4"/>
        <v>2018</v>
      </c>
      <c r="AL731" s="11" t="e">
        <f>VLOOKUP(AK731, Exchange_rates!$C:$D, 2, FALSE)</f>
        <v>#N/A</v>
      </c>
      <c r="AM731" s="14" t="str">
        <f t="shared" si="5"/>
        <v/>
      </c>
      <c r="AN731" s="9"/>
      <c r="AO731" s="9"/>
      <c r="AP731" s="9"/>
      <c r="AQ731" s="15" t="s">
        <v>49</v>
      </c>
      <c r="AR731" t="s">
        <v>3016</v>
      </c>
      <c r="AS731" s="16"/>
    </row>
    <row r="732" spans="1:45" ht="14.5">
      <c r="A732" s="9" t="s">
        <v>3475</v>
      </c>
      <c r="B732" s="9" t="s">
        <v>3476</v>
      </c>
      <c r="C732" s="9" t="s">
        <v>2850</v>
      </c>
      <c r="D732" s="9" t="s">
        <v>2830</v>
      </c>
      <c r="E732" s="9" t="s">
        <v>49</v>
      </c>
      <c r="F732" s="9" t="s">
        <v>69</v>
      </c>
      <c r="G732" s="9" t="s">
        <v>70</v>
      </c>
      <c r="H732" s="9" t="s">
        <v>2899</v>
      </c>
      <c r="I732" s="9" t="s">
        <v>72</v>
      </c>
      <c r="J732" s="10">
        <v>42688</v>
      </c>
      <c r="K732" s="10">
        <v>42812</v>
      </c>
      <c r="L732" s="10">
        <v>42821.332870370374</v>
      </c>
      <c r="M732" s="10">
        <v>42832</v>
      </c>
      <c r="N732" s="9">
        <v>2017</v>
      </c>
      <c r="O732" s="9" t="s">
        <v>2832</v>
      </c>
      <c r="P732" s="9" t="s">
        <v>53</v>
      </c>
      <c r="Q732" s="9" t="s">
        <v>53</v>
      </c>
      <c r="T732" s="9"/>
      <c r="V732" s="9"/>
      <c r="W732" s="11">
        <f>IFERROR(VLOOKUP(B732, PlumX_snapshot!$A:$B, 2, FALSE), " ")</f>
        <v>31</v>
      </c>
      <c r="X732" s="11">
        <f>IFERROR(VLOOKUP(B732, PlumX_snapshot!$A:$C, 3, FALSE), " ")</f>
        <v>26</v>
      </c>
      <c r="Y732" s="12">
        <f>IFERROR(VLOOKUP(B732, PlumX_snapshot!$A:$D, 4, FALSE), " ")</f>
        <v>24</v>
      </c>
      <c r="Z732" s="12">
        <f>IFERROR(VLOOKUP(B732, PlumX_snapshot!$A:$E, 5, FALSE), " ")</f>
        <v>36</v>
      </c>
      <c r="AA732" s="12">
        <f>IFERROR(VLOOKUP(B732, PlumX_snapshot!$A:$F, 6, FALSE), " ")</f>
        <v>2</v>
      </c>
      <c r="AB732" s="13">
        <v>44978</v>
      </c>
      <c r="AH732" s="9"/>
      <c r="AI732" s="9"/>
      <c r="AJ732" s="9"/>
      <c r="AK732" s="11" t="str">
        <f t="shared" si="4"/>
        <v>2017</v>
      </c>
      <c r="AL732" s="11" t="e">
        <f>VLOOKUP(AK732, Exchange_rates!$C:$D, 2, FALSE)</f>
        <v>#N/A</v>
      </c>
      <c r="AM732" s="14" t="str">
        <f t="shared" si="5"/>
        <v/>
      </c>
      <c r="AN732" s="9"/>
      <c r="AO732" s="9"/>
      <c r="AP732" s="9"/>
      <c r="AQ732" s="15" t="s">
        <v>49</v>
      </c>
      <c r="AR732" t="s">
        <v>2851</v>
      </c>
      <c r="AS732" s="16"/>
    </row>
    <row r="733" spans="1:45" ht="14.5">
      <c r="A733" s="9" t="s">
        <v>3477</v>
      </c>
      <c r="B733" s="9" t="s">
        <v>3478</v>
      </c>
      <c r="C733" s="9" t="s">
        <v>2973</v>
      </c>
      <c r="D733" s="9" t="s">
        <v>2830</v>
      </c>
      <c r="E733" s="9" t="s">
        <v>49</v>
      </c>
      <c r="F733" s="9" t="s">
        <v>69</v>
      </c>
      <c r="G733" s="9" t="s">
        <v>70</v>
      </c>
      <c r="H733" s="9" t="s">
        <v>2831</v>
      </c>
      <c r="I733" s="9" t="s">
        <v>72</v>
      </c>
      <c r="J733" s="10">
        <v>43376</v>
      </c>
      <c r="K733" s="10">
        <v>43437</v>
      </c>
      <c r="L733" s="10">
        <v>43440.573159722226</v>
      </c>
      <c r="M733" s="10">
        <v>43442</v>
      </c>
      <c r="N733" s="9">
        <v>2018</v>
      </c>
      <c r="O733" s="9" t="s">
        <v>2832</v>
      </c>
      <c r="P733" s="9" t="s">
        <v>53</v>
      </c>
      <c r="Q733" s="9" t="s">
        <v>53</v>
      </c>
      <c r="T733" s="9"/>
      <c r="V733" s="9"/>
      <c r="W733" s="11">
        <f>IFERROR(VLOOKUP(B733, PlumX_snapshot!$A:$B, 2, FALSE), " ")</f>
        <v>84</v>
      </c>
      <c r="X733" s="11">
        <f>IFERROR(VLOOKUP(B733, PlumX_snapshot!$A:$C, 3, FALSE), " ")</f>
        <v>14</v>
      </c>
      <c r="Y733" s="12">
        <f>IFERROR(VLOOKUP(B733, PlumX_snapshot!$A:$D, 4, FALSE), " ")</f>
        <v>85</v>
      </c>
      <c r="Z733" s="12">
        <f>IFERROR(VLOOKUP(B733, PlumX_snapshot!$A:$E, 5, FALSE), " ")</f>
        <v>275</v>
      </c>
      <c r="AA733" s="12">
        <f>IFERROR(VLOOKUP(B733, PlumX_snapshot!$A:$F, 6, FALSE), " ")</f>
        <v>3</v>
      </c>
      <c r="AB733" s="13">
        <v>44978</v>
      </c>
      <c r="AH733" s="9"/>
      <c r="AI733" s="9"/>
      <c r="AJ733" s="9"/>
      <c r="AK733" s="11" t="str">
        <f t="shared" si="4"/>
        <v>2018</v>
      </c>
      <c r="AL733" s="11" t="e">
        <f>VLOOKUP(AK733, Exchange_rates!$C:$D, 2, FALSE)</f>
        <v>#N/A</v>
      </c>
      <c r="AM733" s="14" t="str">
        <f t="shared" si="5"/>
        <v/>
      </c>
      <c r="AN733" s="9"/>
      <c r="AO733" s="9"/>
      <c r="AP733" s="9"/>
      <c r="AQ733" s="15" t="s">
        <v>49</v>
      </c>
      <c r="AR733" t="s">
        <v>2974</v>
      </c>
      <c r="AS733" s="16"/>
    </row>
    <row r="734" spans="1:45" ht="14.5">
      <c r="A734" s="9" t="s">
        <v>3479</v>
      </c>
      <c r="B734" s="9" t="s">
        <v>3480</v>
      </c>
      <c r="C734" s="9" t="s">
        <v>3481</v>
      </c>
      <c r="D734" s="9" t="s">
        <v>2830</v>
      </c>
      <c r="E734" s="9" t="s">
        <v>49</v>
      </c>
      <c r="F734" s="9" t="s">
        <v>69</v>
      </c>
      <c r="G734" s="9" t="s">
        <v>70</v>
      </c>
      <c r="H734" s="9" t="s">
        <v>2899</v>
      </c>
      <c r="I734" s="9" t="s">
        <v>72</v>
      </c>
      <c r="J734" s="10">
        <v>42774</v>
      </c>
      <c r="K734" s="10">
        <v>42913</v>
      </c>
      <c r="L734" s="10">
        <v>42919.604756944442</v>
      </c>
      <c r="M734" s="10">
        <v>42921</v>
      </c>
      <c r="N734" s="9">
        <v>2017</v>
      </c>
      <c r="O734" s="9" t="s">
        <v>2832</v>
      </c>
      <c r="P734" s="9" t="s">
        <v>53</v>
      </c>
      <c r="Q734" s="9" t="s">
        <v>53</v>
      </c>
      <c r="T734" s="9"/>
      <c r="V734" s="9"/>
      <c r="W734" s="11">
        <f>IFERROR(VLOOKUP(B734, PlumX_snapshot!$A:$B, 2, FALSE), " ")</f>
        <v>96</v>
      </c>
      <c r="X734" s="11">
        <f>IFERROR(VLOOKUP(B734, PlumX_snapshot!$A:$C, 3, FALSE), " ")</f>
        <v>29</v>
      </c>
      <c r="Y734" s="12">
        <f>IFERROR(VLOOKUP(B734, PlumX_snapshot!$A:$D, 4, FALSE), " ")</f>
        <v>155</v>
      </c>
      <c r="Z734" s="12">
        <f>IFERROR(VLOOKUP(B734, PlumX_snapshot!$A:$E, 5, FALSE), " ")</f>
        <v>19</v>
      </c>
      <c r="AA734" s="12">
        <f>IFERROR(VLOOKUP(B734, PlumX_snapshot!$A:$F, 6, FALSE), " ")</f>
        <v>0</v>
      </c>
      <c r="AB734" s="13">
        <v>44978</v>
      </c>
      <c r="AH734" s="9"/>
      <c r="AI734" s="9"/>
      <c r="AJ734" s="9"/>
      <c r="AK734" s="11" t="str">
        <f t="shared" si="4"/>
        <v>2017</v>
      </c>
      <c r="AL734" s="11" t="e">
        <f>VLOOKUP(AK734, Exchange_rates!$C:$D, 2, FALSE)</f>
        <v>#N/A</v>
      </c>
      <c r="AM734" s="14" t="str">
        <f t="shared" si="5"/>
        <v/>
      </c>
      <c r="AN734" s="9"/>
      <c r="AO734" s="9"/>
      <c r="AP734" s="9"/>
      <c r="AQ734" s="15" t="s">
        <v>49</v>
      </c>
      <c r="AR734" t="s">
        <v>3482</v>
      </c>
      <c r="AS734" s="16"/>
    </row>
    <row r="735" spans="1:45" ht="14.5">
      <c r="A735" s="9" t="s">
        <v>3483</v>
      </c>
      <c r="B735" s="9" t="s">
        <v>3484</v>
      </c>
      <c r="C735" s="9" t="s">
        <v>3041</v>
      </c>
      <c r="D735" s="9" t="s">
        <v>2830</v>
      </c>
      <c r="E735" s="9" t="s">
        <v>49</v>
      </c>
      <c r="F735" s="9" t="s">
        <v>69</v>
      </c>
      <c r="G735" s="9" t="s">
        <v>70</v>
      </c>
      <c r="H735" s="9" t="s">
        <v>2899</v>
      </c>
      <c r="I735" s="9" t="s">
        <v>72</v>
      </c>
      <c r="J735" s="10"/>
      <c r="K735" s="10"/>
      <c r="L735" s="10">
        <v>42922.600011574075</v>
      </c>
      <c r="M735" s="10">
        <v>42927</v>
      </c>
      <c r="N735" s="9">
        <v>2017</v>
      </c>
      <c r="O735" s="9" t="s">
        <v>2832</v>
      </c>
      <c r="P735" s="9" t="s">
        <v>53</v>
      </c>
      <c r="Q735" s="9" t="s">
        <v>53</v>
      </c>
      <c r="T735" s="9"/>
      <c r="V735" s="9"/>
      <c r="W735" s="11">
        <f>IFERROR(VLOOKUP(B735, PlumX_snapshot!$A:$B, 2, FALSE), " ")</f>
        <v>2</v>
      </c>
      <c r="X735" s="11">
        <f>IFERROR(VLOOKUP(B735, PlumX_snapshot!$A:$C, 3, FALSE), " ")</f>
        <v>8</v>
      </c>
      <c r="Y735" s="12">
        <f>IFERROR(VLOOKUP(B735, PlumX_snapshot!$A:$D, 4, FALSE), " ")</f>
        <v>5</v>
      </c>
      <c r="Z735" s="12">
        <f>IFERROR(VLOOKUP(B735, PlumX_snapshot!$A:$E, 5, FALSE), " ")</f>
        <v>123</v>
      </c>
      <c r="AA735" s="12">
        <f>IFERROR(VLOOKUP(B735, PlumX_snapshot!$A:$F, 6, FALSE), " ")</f>
        <v>0</v>
      </c>
      <c r="AB735" s="13">
        <v>44978</v>
      </c>
      <c r="AH735" s="9"/>
      <c r="AI735" s="9"/>
      <c r="AJ735" s="9"/>
      <c r="AK735" s="11" t="str">
        <f t="shared" si="4"/>
        <v>2017</v>
      </c>
      <c r="AL735" s="11" t="e">
        <f>VLOOKUP(AK735, Exchange_rates!$C:$D, 2, FALSE)</f>
        <v>#N/A</v>
      </c>
      <c r="AM735" s="14" t="str">
        <f t="shared" si="5"/>
        <v/>
      </c>
      <c r="AN735" s="9"/>
      <c r="AO735" s="9"/>
      <c r="AP735" s="9"/>
      <c r="AQ735" s="15" t="s">
        <v>49</v>
      </c>
      <c r="AR735" t="s">
        <v>3042</v>
      </c>
      <c r="AS735" s="16"/>
    </row>
    <row r="736" spans="1:45" ht="14.5">
      <c r="A736" s="9" t="s">
        <v>3485</v>
      </c>
      <c r="B736" s="9" t="s">
        <v>3486</v>
      </c>
      <c r="C736" s="9" t="s">
        <v>3487</v>
      </c>
      <c r="D736" s="9" t="s">
        <v>2830</v>
      </c>
      <c r="E736" s="9" t="s">
        <v>49</v>
      </c>
      <c r="F736" s="9" t="s">
        <v>69</v>
      </c>
      <c r="G736" s="9" t="s">
        <v>70</v>
      </c>
      <c r="H736" s="9" t="s">
        <v>2899</v>
      </c>
      <c r="I736" s="9" t="s">
        <v>72</v>
      </c>
      <c r="J736" s="10"/>
      <c r="K736" s="10"/>
      <c r="L736" s="10">
        <v>42739.697916666664</v>
      </c>
      <c r="M736" s="10">
        <v>42746</v>
      </c>
      <c r="N736" s="9">
        <v>2017</v>
      </c>
      <c r="O736" s="9" t="s">
        <v>2832</v>
      </c>
      <c r="P736" s="9" t="s">
        <v>53</v>
      </c>
      <c r="Q736" s="9" t="s">
        <v>53</v>
      </c>
      <c r="T736" s="9"/>
      <c r="V736" s="9"/>
      <c r="W736" s="11">
        <f>IFERROR(VLOOKUP(B736, PlumX_snapshot!$A:$B, 2, FALSE), " ")</f>
        <v>162</v>
      </c>
      <c r="X736" s="11">
        <f>IFERROR(VLOOKUP(B736, PlumX_snapshot!$A:$C, 3, FALSE), " ")</f>
        <v>14</v>
      </c>
      <c r="Y736" s="12">
        <f>IFERROR(VLOOKUP(B736, PlumX_snapshot!$A:$D, 4, FALSE), " ")</f>
        <v>4</v>
      </c>
      <c r="Z736" s="12">
        <f>IFERROR(VLOOKUP(B736, PlumX_snapshot!$A:$E, 5, FALSE), " ")</f>
        <v>226</v>
      </c>
      <c r="AA736" s="12">
        <f>IFERROR(VLOOKUP(B736, PlumX_snapshot!$A:$F, 6, FALSE), " ")</f>
        <v>0</v>
      </c>
      <c r="AB736" s="13">
        <v>44978</v>
      </c>
      <c r="AH736" s="9"/>
      <c r="AI736" s="9"/>
      <c r="AJ736" s="9"/>
      <c r="AK736" s="11" t="str">
        <f t="shared" si="4"/>
        <v>2017</v>
      </c>
      <c r="AL736" s="11" t="e">
        <f>VLOOKUP(AK736, Exchange_rates!$C:$D, 2, FALSE)</f>
        <v>#N/A</v>
      </c>
      <c r="AM736" s="14" t="str">
        <f t="shared" si="5"/>
        <v/>
      </c>
      <c r="AN736" s="9"/>
      <c r="AO736" s="9"/>
      <c r="AP736" s="9"/>
      <c r="AQ736" s="15" t="s">
        <v>49</v>
      </c>
      <c r="AR736" t="s">
        <v>3488</v>
      </c>
      <c r="AS736" s="16"/>
    </row>
    <row r="737" spans="1:45" ht="14.5">
      <c r="A737" s="9" t="s">
        <v>3489</v>
      </c>
      <c r="B737" s="9" t="s">
        <v>3490</v>
      </c>
      <c r="C737" s="9" t="s">
        <v>3491</v>
      </c>
      <c r="D737" s="9" t="s">
        <v>2830</v>
      </c>
      <c r="E737" s="9" t="s">
        <v>49</v>
      </c>
      <c r="F737" s="9" t="s">
        <v>69</v>
      </c>
      <c r="G737" s="9" t="s">
        <v>70</v>
      </c>
      <c r="H737" s="9" t="s">
        <v>2899</v>
      </c>
      <c r="I737" s="9" t="s">
        <v>72</v>
      </c>
      <c r="J737" s="10">
        <v>42741</v>
      </c>
      <c r="K737" s="10">
        <v>42900</v>
      </c>
      <c r="L737" s="10">
        <v>42907.424571759257</v>
      </c>
      <c r="M737" s="10">
        <v>42928</v>
      </c>
      <c r="N737" s="9">
        <v>2017</v>
      </c>
      <c r="O737" s="9" t="s">
        <v>2832</v>
      </c>
      <c r="P737" s="9" t="s">
        <v>53</v>
      </c>
      <c r="Q737" s="9" t="s">
        <v>53</v>
      </c>
      <c r="T737" s="9"/>
      <c r="V737" s="9"/>
      <c r="W737" s="11">
        <f>IFERROR(VLOOKUP(B737, PlumX_snapshot!$A:$B, 2, FALSE), " ")</f>
        <v>85</v>
      </c>
      <c r="X737" s="11">
        <f>IFERROR(VLOOKUP(B737, PlumX_snapshot!$A:$C, 3, FALSE), " ")</f>
        <v>10</v>
      </c>
      <c r="Y737" s="12">
        <f>IFERROR(VLOOKUP(B737, PlumX_snapshot!$A:$D, 4, FALSE), " ")</f>
        <v>5</v>
      </c>
      <c r="Z737" s="12">
        <f>IFERROR(VLOOKUP(B737, PlumX_snapshot!$A:$E, 5, FALSE), " ")</f>
        <v>86</v>
      </c>
      <c r="AA737" s="12">
        <f>IFERROR(VLOOKUP(B737, PlumX_snapshot!$A:$F, 6, FALSE), " ")</f>
        <v>0</v>
      </c>
      <c r="AB737" s="13">
        <v>44978</v>
      </c>
      <c r="AH737" s="9"/>
      <c r="AI737" s="9"/>
      <c r="AJ737" s="9"/>
      <c r="AK737" s="11" t="str">
        <f t="shared" si="4"/>
        <v>2017</v>
      </c>
      <c r="AL737" s="11" t="e">
        <f>VLOOKUP(AK737, Exchange_rates!$C:$D, 2, FALSE)</f>
        <v>#N/A</v>
      </c>
      <c r="AM737" s="14" t="str">
        <f t="shared" si="5"/>
        <v/>
      </c>
      <c r="AN737" s="9"/>
      <c r="AO737" s="9"/>
      <c r="AP737" s="9"/>
      <c r="AQ737" s="15" t="s">
        <v>49</v>
      </c>
      <c r="AR737" t="s">
        <v>3492</v>
      </c>
      <c r="AS737" s="16"/>
    </row>
    <row r="738" spans="1:45" ht="14.5">
      <c r="A738" s="9" t="s">
        <v>3493</v>
      </c>
      <c r="B738" s="9" t="s">
        <v>3494</v>
      </c>
      <c r="C738" s="9" t="s">
        <v>3495</v>
      </c>
      <c r="D738" s="9" t="s">
        <v>2830</v>
      </c>
      <c r="E738" s="9" t="s">
        <v>49</v>
      </c>
      <c r="F738" s="9" t="s">
        <v>69</v>
      </c>
      <c r="G738" s="9" t="s">
        <v>70</v>
      </c>
      <c r="H738" s="9" t="s">
        <v>2899</v>
      </c>
      <c r="I738" s="9" t="s">
        <v>72</v>
      </c>
      <c r="J738" s="10">
        <v>42725</v>
      </c>
      <c r="K738" s="10">
        <v>42762</v>
      </c>
      <c r="L738" s="10">
        <v>42765.418321759258</v>
      </c>
      <c r="M738" s="10">
        <v>42787</v>
      </c>
      <c r="N738" s="9">
        <v>2017</v>
      </c>
      <c r="O738" s="9" t="s">
        <v>2832</v>
      </c>
      <c r="P738" s="9" t="s">
        <v>53</v>
      </c>
      <c r="Q738" s="9" t="s">
        <v>53</v>
      </c>
      <c r="T738" s="9"/>
      <c r="V738" s="9"/>
      <c r="W738" s="11">
        <f>IFERROR(VLOOKUP(B738, PlumX_snapshot!$A:$B, 2, FALSE), " ")</f>
        <v>23</v>
      </c>
      <c r="X738" s="11">
        <f>IFERROR(VLOOKUP(B738, PlumX_snapshot!$A:$C, 3, FALSE), " ")</f>
        <v>6</v>
      </c>
      <c r="Y738" s="12">
        <f>IFERROR(VLOOKUP(B738, PlumX_snapshot!$A:$D, 4, FALSE), " ")</f>
        <v>39</v>
      </c>
      <c r="Z738" s="12">
        <f>IFERROR(VLOOKUP(B738, PlumX_snapshot!$A:$E, 5, FALSE), " ")</f>
        <v>32</v>
      </c>
      <c r="AA738" s="12">
        <f>IFERROR(VLOOKUP(B738, PlumX_snapshot!$A:$F, 6, FALSE), " ")</f>
        <v>0</v>
      </c>
      <c r="AB738" s="13">
        <v>44978</v>
      </c>
      <c r="AH738" s="9"/>
      <c r="AI738" s="9"/>
      <c r="AJ738" s="9"/>
      <c r="AK738" s="11" t="str">
        <f t="shared" si="4"/>
        <v>2017</v>
      </c>
      <c r="AL738" s="11" t="e">
        <f>VLOOKUP(AK738, Exchange_rates!$C:$D, 2, FALSE)</f>
        <v>#N/A</v>
      </c>
      <c r="AM738" s="14" t="str">
        <f t="shared" si="5"/>
        <v/>
      </c>
      <c r="AN738" s="9"/>
      <c r="AO738" s="9"/>
      <c r="AP738" s="9"/>
      <c r="AQ738" s="15" t="s">
        <v>49</v>
      </c>
      <c r="AR738" t="s">
        <v>3496</v>
      </c>
      <c r="AS738" s="16"/>
    </row>
    <row r="739" spans="1:45" ht="14.5">
      <c r="A739" s="9" t="s">
        <v>3497</v>
      </c>
      <c r="B739" s="9" t="s">
        <v>3498</v>
      </c>
      <c r="C739" s="9" t="s">
        <v>3499</v>
      </c>
      <c r="D739" s="9" t="s">
        <v>2830</v>
      </c>
      <c r="E739" s="9" t="s">
        <v>49</v>
      </c>
      <c r="F739" s="9" t="s">
        <v>69</v>
      </c>
      <c r="G739" s="9" t="s">
        <v>70</v>
      </c>
      <c r="H739" s="9" t="s">
        <v>2899</v>
      </c>
      <c r="I739" s="9" t="s">
        <v>72</v>
      </c>
      <c r="J739" s="10">
        <v>42786</v>
      </c>
      <c r="K739" s="10">
        <v>42936</v>
      </c>
      <c r="L739" s="10">
        <v>42940.381898148145</v>
      </c>
      <c r="M739" s="10">
        <v>42971</v>
      </c>
      <c r="N739" s="9">
        <v>2017</v>
      </c>
      <c r="O739" s="9" t="s">
        <v>2832</v>
      </c>
      <c r="P739" s="9" t="s">
        <v>53</v>
      </c>
      <c r="Q739" s="9" t="s">
        <v>53</v>
      </c>
      <c r="T739" s="9"/>
      <c r="V739" s="9"/>
      <c r="W739" s="11">
        <f>IFERROR(VLOOKUP(B739, PlumX_snapshot!$A:$B, 2, FALSE), " ")</f>
        <v>3</v>
      </c>
      <c r="X739" s="11">
        <f>IFERROR(VLOOKUP(B739, PlumX_snapshot!$A:$C, 3, FALSE), " ")</f>
        <v>2</v>
      </c>
      <c r="Y739" s="12">
        <f>IFERROR(VLOOKUP(B739, PlumX_snapshot!$A:$D, 4, FALSE), " ")</f>
        <v>1</v>
      </c>
      <c r="Z739" s="12">
        <f>IFERROR(VLOOKUP(B739, PlumX_snapshot!$A:$E, 5, FALSE), " ")</f>
        <v>7</v>
      </c>
      <c r="AA739" s="12">
        <f>IFERROR(VLOOKUP(B739, PlumX_snapshot!$A:$F, 6, FALSE), " ")</f>
        <v>0</v>
      </c>
      <c r="AB739" s="13">
        <v>44978</v>
      </c>
      <c r="AH739" s="9"/>
      <c r="AI739" s="9"/>
      <c r="AJ739" s="9"/>
      <c r="AK739" s="11" t="str">
        <f t="shared" si="4"/>
        <v>2017</v>
      </c>
      <c r="AL739" s="11" t="e">
        <f>VLOOKUP(AK739, Exchange_rates!$C:$D, 2, FALSE)</f>
        <v>#N/A</v>
      </c>
      <c r="AM739" s="14" t="str">
        <f t="shared" si="5"/>
        <v/>
      </c>
      <c r="AN739" s="9"/>
      <c r="AO739" s="9"/>
      <c r="AP739" s="9"/>
      <c r="AQ739" s="15" t="s">
        <v>49</v>
      </c>
      <c r="AR739" t="s">
        <v>3500</v>
      </c>
      <c r="AS739" s="16"/>
    </row>
    <row r="740" spans="1:45" ht="14.5">
      <c r="A740" s="9" t="s">
        <v>3501</v>
      </c>
      <c r="B740" s="9" t="s">
        <v>3502</v>
      </c>
      <c r="C740" s="9" t="s">
        <v>3450</v>
      </c>
      <c r="D740" s="9" t="s">
        <v>2830</v>
      </c>
      <c r="E740" s="9" t="s">
        <v>49</v>
      </c>
      <c r="F740" s="9" t="s">
        <v>69</v>
      </c>
      <c r="G740" s="9" t="s">
        <v>70</v>
      </c>
      <c r="H740" s="9" t="s">
        <v>2899</v>
      </c>
      <c r="I740" s="9" t="s">
        <v>72</v>
      </c>
      <c r="J740" s="10">
        <v>42586</v>
      </c>
      <c r="K740" s="10">
        <v>42835</v>
      </c>
      <c r="L740" s="10">
        <v>42836.488379629627</v>
      </c>
      <c r="M740" s="10">
        <v>42846</v>
      </c>
      <c r="N740" s="9">
        <v>2017</v>
      </c>
      <c r="O740" s="9" t="s">
        <v>2832</v>
      </c>
      <c r="P740" s="9" t="s">
        <v>53</v>
      </c>
      <c r="Q740" s="9" t="s">
        <v>53</v>
      </c>
      <c r="T740" s="9"/>
      <c r="V740" s="9"/>
      <c r="W740" s="11">
        <f>IFERROR(VLOOKUP(B740, PlumX_snapshot!$A:$B, 2, FALSE), " ")</f>
        <v>54</v>
      </c>
      <c r="X740" s="11">
        <f>IFERROR(VLOOKUP(B740, PlumX_snapshot!$A:$C, 3, FALSE), " ")</f>
        <v>9</v>
      </c>
      <c r="Y740" s="12">
        <f>IFERROR(VLOOKUP(B740, PlumX_snapshot!$A:$D, 4, FALSE), " ")</f>
        <v>42</v>
      </c>
      <c r="Z740" s="12">
        <f>IFERROR(VLOOKUP(B740, PlumX_snapshot!$A:$E, 5, FALSE), " ")</f>
        <v>99</v>
      </c>
      <c r="AA740" s="12">
        <f>IFERROR(VLOOKUP(B740, PlumX_snapshot!$A:$F, 6, FALSE), " ")</f>
        <v>0</v>
      </c>
      <c r="AB740" s="13">
        <v>44978</v>
      </c>
      <c r="AH740" s="9"/>
      <c r="AI740" s="9"/>
      <c r="AJ740" s="9"/>
      <c r="AK740" s="11" t="str">
        <f t="shared" si="4"/>
        <v>2017</v>
      </c>
      <c r="AL740" s="11" t="e">
        <f>VLOOKUP(AK740, Exchange_rates!$C:$D, 2, FALSE)</f>
        <v>#N/A</v>
      </c>
      <c r="AM740" s="14" t="str">
        <f t="shared" si="5"/>
        <v/>
      </c>
      <c r="AN740" s="9"/>
      <c r="AO740" s="9"/>
      <c r="AP740" s="9"/>
      <c r="AQ740" s="15" t="s">
        <v>49</v>
      </c>
      <c r="AS740" s="16" t="s">
        <v>3452</v>
      </c>
    </row>
    <row r="741" spans="1:45" ht="14.5">
      <c r="A741" s="9" t="s">
        <v>3503</v>
      </c>
      <c r="B741" s="9" t="s">
        <v>3504</v>
      </c>
      <c r="C741" s="9" t="s">
        <v>3505</v>
      </c>
      <c r="D741" s="9" t="s">
        <v>2830</v>
      </c>
      <c r="E741" s="9" t="s">
        <v>49</v>
      </c>
      <c r="F741" s="9" t="s">
        <v>69</v>
      </c>
      <c r="G741" s="9" t="s">
        <v>70</v>
      </c>
      <c r="H741" s="9" t="s">
        <v>2899</v>
      </c>
      <c r="I741" s="9" t="s">
        <v>72</v>
      </c>
      <c r="J741" s="10"/>
      <c r="K741" s="10"/>
      <c r="L741" s="10">
        <v>42821.49013888889</v>
      </c>
      <c r="M741" s="10">
        <v>42832</v>
      </c>
      <c r="N741" s="9">
        <v>2017</v>
      </c>
      <c r="O741" s="9" t="s">
        <v>2832</v>
      </c>
      <c r="P741" s="9" t="s">
        <v>53</v>
      </c>
      <c r="Q741" s="9" t="s">
        <v>53</v>
      </c>
      <c r="T741" s="9"/>
      <c r="V741" s="9"/>
      <c r="W741" s="11">
        <f>IFERROR(VLOOKUP(B741, PlumX_snapshot!$A:$B, 2, FALSE), " ")</f>
        <v>5</v>
      </c>
      <c r="X741" s="11">
        <f>IFERROR(VLOOKUP(B741, PlumX_snapshot!$A:$C, 3, FALSE), " ")</f>
        <v>5</v>
      </c>
      <c r="Y741" s="12">
        <f>IFERROR(VLOOKUP(B741, PlumX_snapshot!$A:$D, 4, FALSE), " ")</f>
        <v>0</v>
      </c>
      <c r="Z741" s="12">
        <f>IFERROR(VLOOKUP(B741, PlumX_snapshot!$A:$E, 5, FALSE), " ")</f>
        <v>0</v>
      </c>
      <c r="AA741" s="12">
        <f>IFERROR(VLOOKUP(B741, PlumX_snapshot!$A:$F, 6, FALSE), " ")</f>
        <v>0</v>
      </c>
      <c r="AB741" s="13">
        <v>44978</v>
      </c>
      <c r="AH741" s="9"/>
      <c r="AI741" s="9"/>
      <c r="AJ741" s="9"/>
      <c r="AK741" s="11" t="str">
        <f t="shared" si="4"/>
        <v>2017</v>
      </c>
      <c r="AL741" s="11" t="e">
        <f>VLOOKUP(AK741, Exchange_rates!$C:$D, 2, FALSE)</f>
        <v>#N/A</v>
      </c>
      <c r="AM741" s="14" t="str">
        <f t="shared" si="5"/>
        <v/>
      </c>
      <c r="AN741" s="9"/>
      <c r="AO741" s="9"/>
      <c r="AP741" s="9"/>
      <c r="AQ741" s="15" t="s">
        <v>49</v>
      </c>
      <c r="AR741" t="s">
        <v>3506</v>
      </c>
      <c r="AS741" s="16"/>
    </row>
    <row r="742" spans="1:45" ht="14.5">
      <c r="A742" s="9" t="s">
        <v>3507</v>
      </c>
      <c r="B742" s="9" t="s">
        <v>3508</v>
      </c>
      <c r="C742" s="9" t="s">
        <v>2983</v>
      </c>
      <c r="D742" s="9" t="s">
        <v>2830</v>
      </c>
      <c r="E742" s="9" t="s">
        <v>49</v>
      </c>
      <c r="F742" s="9" t="s">
        <v>69</v>
      </c>
      <c r="G742" s="9" t="s">
        <v>70</v>
      </c>
      <c r="H742" s="9" t="s">
        <v>2899</v>
      </c>
      <c r="I742" s="9" t="s">
        <v>72</v>
      </c>
      <c r="J742" s="10"/>
      <c r="K742" s="10">
        <v>42875</v>
      </c>
      <c r="L742" s="10">
        <v>42878.451273148145</v>
      </c>
      <c r="M742" s="10">
        <v>42886</v>
      </c>
      <c r="N742" s="9">
        <v>2017</v>
      </c>
      <c r="O742" s="9" t="s">
        <v>2832</v>
      </c>
      <c r="P742" s="9" t="s">
        <v>53</v>
      </c>
      <c r="Q742" s="9" t="s">
        <v>53</v>
      </c>
      <c r="T742" s="9"/>
      <c r="V742" s="9"/>
      <c r="W742" s="11">
        <f>IFERROR(VLOOKUP(B742, PlumX_snapshot!$A:$B, 2, FALSE), " ")</f>
        <v>88</v>
      </c>
      <c r="X742" s="11">
        <f>IFERROR(VLOOKUP(B742, PlumX_snapshot!$A:$C, 3, FALSE), " ")</f>
        <v>18</v>
      </c>
      <c r="Y742" s="12">
        <f>IFERROR(VLOOKUP(B742, PlumX_snapshot!$A:$D, 4, FALSE), " ")</f>
        <v>19</v>
      </c>
      <c r="Z742" s="12">
        <f>IFERROR(VLOOKUP(B742, PlumX_snapshot!$A:$E, 5, FALSE), " ")</f>
        <v>313</v>
      </c>
      <c r="AA742" s="12">
        <f>IFERROR(VLOOKUP(B742, PlumX_snapshot!$A:$F, 6, FALSE), " ")</f>
        <v>1</v>
      </c>
      <c r="AB742" s="13">
        <v>44978</v>
      </c>
      <c r="AH742" s="9"/>
      <c r="AI742" s="9"/>
      <c r="AJ742" s="9"/>
      <c r="AK742" s="11" t="str">
        <f t="shared" si="4"/>
        <v>2017</v>
      </c>
      <c r="AL742" s="11" t="e">
        <f>VLOOKUP(AK742, Exchange_rates!$C:$D, 2, FALSE)</f>
        <v>#N/A</v>
      </c>
      <c r="AM742" s="14" t="str">
        <f t="shared" si="5"/>
        <v/>
      </c>
      <c r="AN742" s="9"/>
      <c r="AO742" s="9"/>
      <c r="AP742" s="9"/>
      <c r="AQ742" s="15" t="s">
        <v>49</v>
      </c>
      <c r="AR742" t="s">
        <v>2984</v>
      </c>
      <c r="AS742" s="16"/>
    </row>
    <row r="743" spans="1:45" ht="14.5">
      <c r="A743" s="9" t="s">
        <v>3509</v>
      </c>
      <c r="B743" s="9" t="s">
        <v>3510</v>
      </c>
      <c r="C743" s="9" t="s">
        <v>3511</v>
      </c>
      <c r="D743" s="9" t="s">
        <v>2830</v>
      </c>
      <c r="E743" s="9" t="s">
        <v>49</v>
      </c>
      <c r="F743" s="9" t="s">
        <v>69</v>
      </c>
      <c r="G743" s="9" t="s">
        <v>70</v>
      </c>
      <c r="H743" s="9" t="s">
        <v>2899</v>
      </c>
      <c r="I743" s="9" t="s">
        <v>72</v>
      </c>
      <c r="J743" s="10">
        <v>42641</v>
      </c>
      <c r="K743" s="10">
        <v>42858</v>
      </c>
      <c r="L743" s="10">
        <v>42867.540532407409</v>
      </c>
      <c r="M743" s="10">
        <v>42874</v>
      </c>
      <c r="N743" s="9">
        <v>2017</v>
      </c>
      <c r="O743" s="9" t="s">
        <v>2832</v>
      </c>
      <c r="P743" s="9" t="s">
        <v>53</v>
      </c>
      <c r="Q743" s="9" t="s">
        <v>53</v>
      </c>
      <c r="T743" s="9"/>
      <c r="V743" s="9"/>
      <c r="W743" s="11">
        <f>IFERROR(VLOOKUP(B743, PlumX_snapshot!$A:$B, 2, FALSE), " ")</f>
        <v>28</v>
      </c>
      <c r="X743" s="11">
        <f>IFERROR(VLOOKUP(B743, PlumX_snapshot!$A:$C, 3, FALSE), " ")</f>
        <v>2</v>
      </c>
      <c r="Y743" s="12">
        <f>IFERROR(VLOOKUP(B743, PlumX_snapshot!$A:$D, 4, FALSE), " ")</f>
        <v>159</v>
      </c>
      <c r="Z743" s="12">
        <f>IFERROR(VLOOKUP(B743, PlumX_snapshot!$A:$E, 5, FALSE), " ")</f>
        <v>34</v>
      </c>
      <c r="AA743" s="12">
        <f>IFERROR(VLOOKUP(B743, PlumX_snapshot!$A:$F, 6, FALSE), " ")</f>
        <v>0</v>
      </c>
      <c r="AB743" s="13">
        <v>44978</v>
      </c>
      <c r="AH743" s="9"/>
      <c r="AI743" s="9"/>
      <c r="AJ743" s="9"/>
      <c r="AK743" s="11" t="str">
        <f t="shared" si="4"/>
        <v>2017</v>
      </c>
      <c r="AL743" s="11" t="e">
        <f>VLOOKUP(AK743, Exchange_rates!$C:$D, 2, FALSE)</f>
        <v>#N/A</v>
      </c>
      <c r="AM743" s="14" t="str">
        <f t="shared" si="5"/>
        <v/>
      </c>
      <c r="AN743" s="9"/>
      <c r="AO743" s="9"/>
      <c r="AP743" s="9"/>
      <c r="AQ743" s="15" t="s">
        <v>49</v>
      </c>
      <c r="AR743" t="s">
        <v>3512</v>
      </c>
      <c r="AS743" s="16"/>
    </row>
    <row r="744" spans="1:45" ht="14.5">
      <c r="A744" s="9" t="s">
        <v>3513</v>
      </c>
      <c r="B744" s="9" t="s">
        <v>3514</v>
      </c>
      <c r="C744" s="9" t="s">
        <v>3515</v>
      </c>
      <c r="D744" s="9" t="s">
        <v>2830</v>
      </c>
      <c r="E744" s="9" t="s">
        <v>49</v>
      </c>
      <c r="F744" s="9" t="s">
        <v>69</v>
      </c>
      <c r="G744" s="9" t="s">
        <v>70</v>
      </c>
      <c r="H744" s="9" t="s">
        <v>2899</v>
      </c>
      <c r="I744" s="9" t="s">
        <v>72</v>
      </c>
      <c r="J744" s="10">
        <v>42873</v>
      </c>
      <c r="K744" s="10">
        <v>42879</v>
      </c>
      <c r="L744" s="10">
        <v>42880.425833333335</v>
      </c>
      <c r="M744" s="10">
        <v>42899</v>
      </c>
      <c r="N744" s="9">
        <v>2017</v>
      </c>
      <c r="O744" s="9" t="s">
        <v>2832</v>
      </c>
      <c r="P744" s="9" t="s">
        <v>53</v>
      </c>
      <c r="Q744" s="9" t="s">
        <v>53</v>
      </c>
      <c r="T744" s="9"/>
      <c r="V744" s="9"/>
      <c r="W744" s="11">
        <f>IFERROR(VLOOKUP(B744, PlumX_snapshot!$A:$B, 2, FALSE), " ")</f>
        <v>24</v>
      </c>
      <c r="X744" s="11">
        <f>IFERROR(VLOOKUP(B744, PlumX_snapshot!$A:$C, 3, FALSE), " ")</f>
        <v>0</v>
      </c>
      <c r="Y744" s="12">
        <f>IFERROR(VLOOKUP(B744, PlumX_snapshot!$A:$D, 4, FALSE), " ")</f>
        <v>8</v>
      </c>
      <c r="Z744" s="12">
        <f>IFERROR(VLOOKUP(B744, PlumX_snapshot!$A:$E, 5, FALSE), " ")</f>
        <v>23</v>
      </c>
      <c r="AA744" s="12">
        <f>IFERROR(VLOOKUP(B744, PlumX_snapshot!$A:$F, 6, FALSE), " ")</f>
        <v>0</v>
      </c>
      <c r="AB744" s="13">
        <v>44978</v>
      </c>
      <c r="AH744" s="9"/>
      <c r="AI744" s="9"/>
      <c r="AJ744" s="9"/>
      <c r="AK744" s="11" t="str">
        <f t="shared" si="4"/>
        <v>2017</v>
      </c>
      <c r="AL744" s="11" t="e">
        <f>VLOOKUP(AK744, Exchange_rates!$C:$D, 2, FALSE)</f>
        <v>#N/A</v>
      </c>
      <c r="AM744" s="14" t="str">
        <f t="shared" si="5"/>
        <v/>
      </c>
      <c r="AN744" s="9"/>
      <c r="AO744" s="9"/>
      <c r="AP744" s="9"/>
      <c r="AQ744" s="15" t="s">
        <v>49</v>
      </c>
      <c r="AR744" t="s">
        <v>3516</v>
      </c>
      <c r="AS744" s="16"/>
    </row>
    <row r="745" spans="1:45" ht="14.5">
      <c r="A745" s="9" t="s">
        <v>3517</v>
      </c>
      <c r="B745" s="9" t="s">
        <v>3518</v>
      </c>
      <c r="C745" s="9" t="s">
        <v>3263</v>
      </c>
      <c r="D745" s="9" t="s">
        <v>2830</v>
      </c>
      <c r="E745" s="9" t="s">
        <v>49</v>
      </c>
      <c r="F745" s="9" t="s">
        <v>69</v>
      </c>
      <c r="G745" s="9" t="s">
        <v>70</v>
      </c>
      <c r="H745" s="9" t="s">
        <v>2899</v>
      </c>
      <c r="I745" s="9" t="s">
        <v>72</v>
      </c>
      <c r="J745" s="10">
        <v>42772</v>
      </c>
      <c r="K745" s="10">
        <v>42899</v>
      </c>
      <c r="L745" s="10">
        <v>42907.412638888891</v>
      </c>
      <c r="M745" s="10">
        <v>42910</v>
      </c>
      <c r="N745" s="9">
        <v>2017</v>
      </c>
      <c r="O745" s="9" t="s">
        <v>2832</v>
      </c>
      <c r="P745" s="9" t="s">
        <v>53</v>
      </c>
      <c r="Q745" s="9" t="s">
        <v>53</v>
      </c>
      <c r="T745" s="9"/>
      <c r="V745" s="9"/>
      <c r="W745" s="11">
        <f>IFERROR(VLOOKUP(B745, PlumX_snapshot!$A:$B, 2, FALSE), " ")</f>
        <v>10</v>
      </c>
      <c r="X745" s="11">
        <f>IFERROR(VLOOKUP(B745, PlumX_snapshot!$A:$C, 3, FALSE), " ")</f>
        <v>11</v>
      </c>
      <c r="Y745" s="12">
        <f>IFERROR(VLOOKUP(B745, PlumX_snapshot!$A:$D, 4, FALSE), " ")</f>
        <v>2</v>
      </c>
      <c r="Z745" s="12">
        <f>IFERROR(VLOOKUP(B745, PlumX_snapshot!$A:$E, 5, FALSE), " ")</f>
        <v>9</v>
      </c>
      <c r="AA745" s="12">
        <f>IFERROR(VLOOKUP(B745, PlumX_snapshot!$A:$F, 6, FALSE), " ")</f>
        <v>0</v>
      </c>
      <c r="AB745" s="13">
        <v>44978</v>
      </c>
      <c r="AH745" s="9"/>
      <c r="AI745" s="9"/>
      <c r="AJ745" s="9"/>
      <c r="AK745" s="11" t="str">
        <f t="shared" si="4"/>
        <v>2017</v>
      </c>
      <c r="AL745" s="11" t="e">
        <f>VLOOKUP(AK745, Exchange_rates!$C:$D, 2, FALSE)</f>
        <v>#N/A</v>
      </c>
      <c r="AM745" s="14" t="str">
        <f t="shared" si="5"/>
        <v/>
      </c>
      <c r="AN745" s="9"/>
      <c r="AO745" s="9"/>
      <c r="AP745" s="9"/>
      <c r="AQ745" s="15" t="s">
        <v>49</v>
      </c>
      <c r="AR745" t="s">
        <v>3264</v>
      </c>
      <c r="AS745" s="16"/>
    </row>
    <row r="746" spans="1:45" ht="14.5">
      <c r="A746" s="9" t="s">
        <v>3519</v>
      </c>
      <c r="B746" s="9" t="s">
        <v>3520</v>
      </c>
      <c r="C746" s="9" t="s">
        <v>3178</v>
      </c>
      <c r="D746" s="9" t="s">
        <v>2830</v>
      </c>
      <c r="E746" s="9" t="s">
        <v>49</v>
      </c>
      <c r="F746" s="9" t="s">
        <v>69</v>
      </c>
      <c r="G746" s="9" t="s">
        <v>70</v>
      </c>
      <c r="H746" s="9" t="s">
        <v>2841</v>
      </c>
      <c r="I746" s="9" t="s">
        <v>72</v>
      </c>
      <c r="J746" s="10">
        <v>43602</v>
      </c>
      <c r="K746" s="10">
        <v>43686</v>
      </c>
      <c r="L746" s="10">
        <v>43689.633993055555</v>
      </c>
      <c r="M746" s="10">
        <v>43701</v>
      </c>
      <c r="N746" s="9">
        <v>2019</v>
      </c>
      <c r="O746" s="9" t="s">
        <v>2832</v>
      </c>
      <c r="P746" s="9" t="s">
        <v>83</v>
      </c>
      <c r="Q746" s="9" t="s">
        <v>53</v>
      </c>
      <c r="R746" s="9" t="s">
        <v>1980</v>
      </c>
      <c r="T746" s="9"/>
      <c r="V746" s="9"/>
      <c r="W746" s="11">
        <f>IFERROR(VLOOKUP(B746, PlumX_snapshot!$A:$B, 2, FALSE), " ")</f>
        <v>250</v>
      </c>
      <c r="X746" s="11">
        <f>IFERROR(VLOOKUP(B746, PlumX_snapshot!$A:$C, 3, FALSE), " ")</f>
        <v>92</v>
      </c>
      <c r="Y746" s="12">
        <f>IFERROR(VLOOKUP(B746, PlumX_snapshot!$A:$D, 4, FALSE), " ")</f>
        <v>73</v>
      </c>
      <c r="Z746" s="12">
        <f>IFERROR(VLOOKUP(B746, PlumX_snapshot!$A:$E, 5, FALSE), " ")</f>
        <v>83</v>
      </c>
      <c r="AA746" s="12">
        <f>IFERROR(VLOOKUP(B746, PlumX_snapshot!$A:$F, 6, FALSE), " ")</f>
        <v>0</v>
      </c>
      <c r="AB746" s="13">
        <v>44978</v>
      </c>
      <c r="AH746" s="9"/>
      <c r="AI746" s="9"/>
      <c r="AJ746" s="9"/>
      <c r="AK746" s="11" t="str">
        <f t="shared" si="4"/>
        <v>2019</v>
      </c>
      <c r="AL746" s="11" t="e">
        <f>VLOOKUP(AK746, Exchange_rates!$C:$D, 2, FALSE)</f>
        <v>#N/A</v>
      </c>
      <c r="AM746" s="14" t="str">
        <f t="shared" si="5"/>
        <v/>
      </c>
      <c r="AN746" s="9"/>
      <c r="AO746" s="9"/>
      <c r="AP746" s="9"/>
      <c r="AQ746" s="15" t="s">
        <v>49</v>
      </c>
      <c r="AR746" t="s">
        <v>3179</v>
      </c>
      <c r="AS746" s="16"/>
    </row>
    <row r="747" spans="1:45" ht="14.5">
      <c r="A747" s="9" t="s">
        <v>3521</v>
      </c>
      <c r="B747" s="9" t="s">
        <v>3522</v>
      </c>
      <c r="C747" s="9" t="s">
        <v>3523</v>
      </c>
      <c r="D747" s="9" t="s">
        <v>2830</v>
      </c>
      <c r="E747" s="9" t="s">
        <v>49</v>
      </c>
      <c r="F747" s="9" t="s">
        <v>69</v>
      </c>
      <c r="G747" s="9" t="s">
        <v>70</v>
      </c>
      <c r="H747" s="9" t="s">
        <v>2899</v>
      </c>
      <c r="I747" s="9" t="s">
        <v>72</v>
      </c>
      <c r="J747" s="10">
        <v>42746</v>
      </c>
      <c r="K747" s="10">
        <v>42996</v>
      </c>
      <c r="L747" s="10">
        <v>43012.397002314814</v>
      </c>
      <c r="M747" s="28">
        <v>43020</v>
      </c>
      <c r="N747" s="9">
        <v>2017</v>
      </c>
      <c r="O747" s="9" t="s">
        <v>2832</v>
      </c>
      <c r="P747" s="9" t="s">
        <v>53</v>
      </c>
      <c r="Q747" s="9" t="s">
        <v>53</v>
      </c>
      <c r="T747" s="9"/>
      <c r="V747" s="9"/>
      <c r="W747" s="11">
        <f>IFERROR(VLOOKUP(B747, PlumX_snapshot!$A:$B, 2, FALSE), " ")</f>
        <v>180</v>
      </c>
      <c r="X747" s="11">
        <f>IFERROR(VLOOKUP(B747, PlumX_snapshot!$A:$C, 3, FALSE), " ")</f>
        <v>38</v>
      </c>
      <c r="Y747" s="12">
        <f>IFERROR(VLOOKUP(B747, PlumX_snapshot!$A:$D, 4, FALSE), " ")</f>
        <v>14</v>
      </c>
      <c r="Z747" s="12">
        <f>IFERROR(VLOOKUP(B747, PlumX_snapshot!$A:$E, 5, FALSE), " ")</f>
        <v>261</v>
      </c>
      <c r="AA747" s="12">
        <f>IFERROR(VLOOKUP(B747, PlumX_snapshot!$A:$F, 6, FALSE), " ")</f>
        <v>0</v>
      </c>
      <c r="AB747" s="13">
        <v>44978</v>
      </c>
      <c r="AH747" s="9"/>
      <c r="AI747" s="9"/>
      <c r="AJ747" s="9"/>
      <c r="AK747" s="11" t="str">
        <f t="shared" si="4"/>
        <v>2017</v>
      </c>
      <c r="AL747" s="11" t="e">
        <f>VLOOKUP(AK747, Exchange_rates!$C:$D, 2, FALSE)</f>
        <v>#N/A</v>
      </c>
      <c r="AM747" s="14" t="str">
        <f t="shared" si="5"/>
        <v/>
      </c>
      <c r="AN747" s="9"/>
      <c r="AO747" s="9"/>
      <c r="AP747" s="9"/>
      <c r="AQ747" s="15" t="s">
        <v>49</v>
      </c>
      <c r="AR747" t="s">
        <v>3524</v>
      </c>
      <c r="AS747" s="16"/>
    </row>
    <row r="748" spans="1:45" ht="14.5">
      <c r="A748" s="9" t="s">
        <v>3525</v>
      </c>
      <c r="B748" s="9" t="s">
        <v>3526</v>
      </c>
      <c r="C748" s="9" t="s">
        <v>2983</v>
      </c>
      <c r="D748" s="9" t="s">
        <v>2830</v>
      </c>
      <c r="E748" s="9" t="s">
        <v>49</v>
      </c>
      <c r="F748" s="9" t="s">
        <v>69</v>
      </c>
      <c r="G748" s="9" t="s">
        <v>70</v>
      </c>
      <c r="H748" s="9" t="s">
        <v>2899</v>
      </c>
      <c r="I748" s="9" t="s">
        <v>72</v>
      </c>
      <c r="J748" s="10"/>
      <c r="K748" s="10">
        <v>43020</v>
      </c>
      <c r="L748" s="10">
        <v>43020.66609953704</v>
      </c>
      <c r="M748" s="28">
        <v>43032</v>
      </c>
      <c r="N748" s="9">
        <v>2017</v>
      </c>
      <c r="O748" s="9" t="s">
        <v>2832</v>
      </c>
      <c r="P748" s="9" t="s">
        <v>53</v>
      </c>
      <c r="Q748" s="9" t="s">
        <v>53</v>
      </c>
      <c r="T748" s="9"/>
      <c r="V748" s="9"/>
      <c r="W748" s="11">
        <f>IFERROR(VLOOKUP(B748, PlumX_snapshot!$A:$B, 2, FALSE), " ")</f>
        <v>236</v>
      </c>
      <c r="X748" s="11">
        <f>IFERROR(VLOOKUP(B748, PlumX_snapshot!$A:$C, 3, FALSE), " ")</f>
        <v>77</v>
      </c>
      <c r="Y748" s="12">
        <f>IFERROR(VLOOKUP(B748, PlumX_snapshot!$A:$D, 4, FALSE), " ")</f>
        <v>59</v>
      </c>
      <c r="Z748" s="12">
        <f>IFERROR(VLOOKUP(B748, PlumX_snapshot!$A:$E, 5, FALSE), " ")</f>
        <v>860</v>
      </c>
      <c r="AA748" s="12">
        <f>IFERROR(VLOOKUP(B748, PlumX_snapshot!$A:$F, 6, FALSE), " ")</f>
        <v>0</v>
      </c>
      <c r="AB748" s="13">
        <v>44978</v>
      </c>
      <c r="AH748" s="9"/>
      <c r="AI748" s="9"/>
      <c r="AJ748" s="9"/>
      <c r="AK748" s="11" t="str">
        <f t="shared" si="4"/>
        <v>2017</v>
      </c>
      <c r="AL748" s="11" t="e">
        <f>VLOOKUP(AK748, Exchange_rates!$C:$D, 2, FALSE)</f>
        <v>#N/A</v>
      </c>
      <c r="AM748" s="14" t="str">
        <f t="shared" si="5"/>
        <v/>
      </c>
      <c r="AN748" s="9"/>
      <c r="AO748" s="9"/>
      <c r="AP748" s="9"/>
      <c r="AQ748" s="15" t="s">
        <v>49</v>
      </c>
      <c r="AR748" t="s">
        <v>2984</v>
      </c>
      <c r="AS748" s="16"/>
    </row>
    <row r="749" spans="1:45" ht="14.5">
      <c r="A749" s="9" t="s">
        <v>3527</v>
      </c>
      <c r="B749" s="9" t="s">
        <v>3528</v>
      </c>
      <c r="C749" s="9" t="s">
        <v>2987</v>
      </c>
      <c r="D749" s="9" t="s">
        <v>2830</v>
      </c>
      <c r="E749" s="9" t="s">
        <v>49</v>
      </c>
      <c r="F749" s="9" t="s">
        <v>69</v>
      </c>
      <c r="G749" s="9" t="s">
        <v>70</v>
      </c>
      <c r="H749" s="9" t="s">
        <v>2899</v>
      </c>
      <c r="I749" s="9" t="s">
        <v>72</v>
      </c>
      <c r="J749" s="10">
        <v>42719</v>
      </c>
      <c r="K749" s="10">
        <v>43012</v>
      </c>
      <c r="L749" s="10">
        <v>43018.584305555552</v>
      </c>
      <c r="M749" s="28">
        <v>43031</v>
      </c>
      <c r="N749" s="9">
        <v>2017</v>
      </c>
      <c r="O749" s="9" t="s">
        <v>2832</v>
      </c>
      <c r="P749" s="9" t="s">
        <v>83</v>
      </c>
      <c r="Q749" s="9" t="s">
        <v>53</v>
      </c>
      <c r="R749" s="9" t="s">
        <v>3529</v>
      </c>
      <c r="T749" s="9"/>
      <c r="V749" s="9"/>
      <c r="W749" s="11">
        <f>IFERROR(VLOOKUP(B749, PlumX_snapshot!$A:$B, 2, FALSE), " ")</f>
        <v>20</v>
      </c>
      <c r="X749" s="11">
        <f>IFERROR(VLOOKUP(B749, PlumX_snapshot!$A:$C, 3, FALSE), " ")</f>
        <v>3</v>
      </c>
      <c r="Y749" s="12">
        <f>IFERROR(VLOOKUP(B749, PlumX_snapshot!$A:$D, 4, FALSE), " ")</f>
        <v>8</v>
      </c>
      <c r="Z749" s="12">
        <f>IFERROR(VLOOKUP(B749, PlumX_snapshot!$A:$E, 5, FALSE), " ")</f>
        <v>43</v>
      </c>
      <c r="AA749" s="12">
        <f>IFERROR(VLOOKUP(B749, PlumX_snapshot!$A:$F, 6, FALSE), " ")</f>
        <v>0</v>
      </c>
      <c r="AB749" s="13">
        <v>44978</v>
      </c>
      <c r="AH749" s="9"/>
      <c r="AI749" s="9"/>
      <c r="AJ749" s="9"/>
      <c r="AK749" s="11" t="str">
        <f t="shared" si="4"/>
        <v>2017</v>
      </c>
      <c r="AL749" s="11" t="e">
        <f>VLOOKUP(AK749, Exchange_rates!$C:$D, 2, FALSE)</f>
        <v>#N/A</v>
      </c>
      <c r="AM749" s="14" t="str">
        <f t="shared" si="5"/>
        <v/>
      </c>
      <c r="AN749" s="9"/>
      <c r="AO749" s="9"/>
      <c r="AP749" s="9"/>
      <c r="AQ749" s="15" t="s">
        <v>49</v>
      </c>
      <c r="AR749" t="s">
        <v>2989</v>
      </c>
      <c r="AS749" s="16"/>
    </row>
    <row r="750" spans="1:45" ht="14.5">
      <c r="A750" s="9" t="s">
        <v>3530</v>
      </c>
      <c r="B750" s="9" t="s">
        <v>3531</v>
      </c>
      <c r="C750" s="9" t="s">
        <v>3532</v>
      </c>
      <c r="D750" s="9" t="s">
        <v>2830</v>
      </c>
      <c r="E750" s="9" t="s">
        <v>49</v>
      </c>
      <c r="F750" s="9" t="s">
        <v>69</v>
      </c>
      <c r="G750" s="9" t="s">
        <v>70</v>
      </c>
      <c r="H750" s="9" t="s">
        <v>2899</v>
      </c>
      <c r="I750" s="9" t="s">
        <v>72</v>
      </c>
      <c r="J750" s="10"/>
      <c r="K750" s="10"/>
      <c r="L750" s="10">
        <v>43038.598738425928</v>
      </c>
      <c r="M750" s="10">
        <v>43045</v>
      </c>
      <c r="N750" s="9">
        <v>2017</v>
      </c>
      <c r="O750" s="9" t="s">
        <v>2832</v>
      </c>
      <c r="P750" s="9" t="s">
        <v>53</v>
      </c>
      <c r="Q750" s="9" t="s">
        <v>53</v>
      </c>
      <c r="T750" s="9"/>
      <c r="V750" s="9"/>
      <c r="W750" s="11">
        <f>IFERROR(VLOOKUP(B750, PlumX_snapshot!$A:$B, 2, FALSE), " ")</f>
        <v>62</v>
      </c>
      <c r="X750" s="11">
        <f>IFERROR(VLOOKUP(B750, PlumX_snapshot!$A:$C, 3, FALSE), " ")</f>
        <v>12</v>
      </c>
      <c r="Y750" s="12">
        <f>IFERROR(VLOOKUP(B750, PlumX_snapshot!$A:$D, 4, FALSE), " ")</f>
        <v>64</v>
      </c>
      <c r="Z750" s="12">
        <f>IFERROR(VLOOKUP(B750, PlumX_snapshot!$A:$E, 5, FALSE), " ")</f>
        <v>247</v>
      </c>
      <c r="AA750" s="12">
        <f>IFERROR(VLOOKUP(B750, PlumX_snapshot!$A:$F, 6, FALSE), " ")</f>
        <v>0</v>
      </c>
      <c r="AB750" s="13">
        <v>44978</v>
      </c>
      <c r="AH750" s="9"/>
      <c r="AI750" s="9"/>
      <c r="AJ750" s="9"/>
      <c r="AK750" s="11" t="str">
        <f t="shared" si="4"/>
        <v>2017</v>
      </c>
      <c r="AL750" s="11" t="e">
        <f>VLOOKUP(AK750, Exchange_rates!$C:$D, 2, FALSE)</f>
        <v>#N/A</v>
      </c>
      <c r="AM750" s="14" t="str">
        <f t="shared" si="5"/>
        <v/>
      </c>
      <c r="AN750" s="9"/>
      <c r="AO750" s="9"/>
      <c r="AP750" s="9"/>
      <c r="AQ750" s="15" t="s">
        <v>49</v>
      </c>
      <c r="AR750" t="s">
        <v>3533</v>
      </c>
      <c r="AS750" s="16"/>
    </row>
    <row r="751" spans="1:45" ht="14.5">
      <c r="A751" s="9" t="s">
        <v>3534</v>
      </c>
      <c r="B751" s="9" t="s">
        <v>3535</v>
      </c>
      <c r="C751" s="9" t="s">
        <v>2987</v>
      </c>
      <c r="D751" s="9" t="s">
        <v>2830</v>
      </c>
      <c r="E751" s="9" t="s">
        <v>49</v>
      </c>
      <c r="F751" s="9" t="s">
        <v>69</v>
      </c>
      <c r="G751" s="9" t="s">
        <v>70</v>
      </c>
      <c r="H751" s="9" t="s">
        <v>2899</v>
      </c>
      <c r="I751" s="9" t="s">
        <v>72</v>
      </c>
      <c r="J751" s="10">
        <v>42817</v>
      </c>
      <c r="K751" s="10">
        <v>43083</v>
      </c>
      <c r="L751" s="10">
        <v>43087.716979166667</v>
      </c>
      <c r="M751" s="28">
        <v>43096</v>
      </c>
      <c r="N751" s="9">
        <v>2017</v>
      </c>
      <c r="O751" s="9" t="s">
        <v>2832</v>
      </c>
      <c r="P751" s="9" t="s">
        <v>53</v>
      </c>
      <c r="Q751" s="9" t="s">
        <v>53</v>
      </c>
      <c r="T751" s="9"/>
      <c r="V751" s="9"/>
      <c r="W751" s="11">
        <f>IFERROR(VLOOKUP(B751, PlumX_snapshot!$A:$B, 2, FALSE), " ")</f>
        <v>36</v>
      </c>
      <c r="X751" s="11">
        <f>IFERROR(VLOOKUP(B751, PlumX_snapshot!$A:$C, 3, FALSE), " ")</f>
        <v>4</v>
      </c>
      <c r="Y751" s="12">
        <f>IFERROR(VLOOKUP(B751, PlumX_snapshot!$A:$D, 4, FALSE), " ")</f>
        <v>48</v>
      </c>
      <c r="Z751" s="12">
        <f>IFERROR(VLOOKUP(B751, PlumX_snapshot!$A:$E, 5, FALSE), " ")</f>
        <v>108</v>
      </c>
      <c r="AA751" s="12">
        <f>IFERROR(VLOOKUP(B751, PlumX_snapshot!$A:$F, 6, FALSE), " ")</f>
        <v>0</v>
      </c>
      <c r="AB751" s="13">
        <v>44978</v>
      </c>
      <c r="AH751" s="9"/>
      <c r="AI751" s="9"/>
      <c r="AJ751" s="9"/>
      <c r="AK751" s="11" t="str">
        <f t="shared" si="4"/>
        <v>2017</v>
      </c>
      <c r="AL751" s="11" t="e">
        <f>VLOOKUP(AK751, Exchange_rates!$C:$D, 2, FALSE)</f>
        <v>#N/A</v>
      </c>
      <c r="AM751" s="14" t="str">
        <f t="shared" si="5"/>
        <v/>
      </c>
      <c r="AN751" s="9"/>
      <c r="AO751" s="9"/>
      <c r="AP751" s="9"/>
      <c r="AQ751" s="15" t="s">
        <v>49</v>
      </c>
      <c r="AR751" t="s">
        <v>2989</v>
      </c>
      <c r="AS751" s="16"/>
    </row>
    <row r="752" spans="1:45" ht="14.5">
      <c r="A752" s="9" t="s">
        <v>3536</v>
      </c>
      <c r="B752" s="9" t="s">
        <v>3537</v>
      </c>
      <c r="C752" s="9" t="s">
        <v>2937</v>
      </c>
      <c r="D752" s="9" t="s">
        <v>2830</v>
      </c>
      <c r="E752" s="9" t="s">
        <v>49</v>
      </c>
      <c r="F752" s="9" t="s">
        <v>69</v>
      </c>
      <c r="G752" s="9" t="s">
        <v>70</v>
      </c>
      <c r="H752" s="9" t="s">
        <v>2899</v>
      </c>
      <c r="I752" s="9" t="s">
        <v>72</v>
      </c>
      <c r="J752" s="10"/>
      <c r="K752" s="10"/>
      <c r="L752" s="10">
        <v>43024.46130787037</v>
      </c>
      <c r="M752" s="28">
        <v>43087</v>
      </c>
      <c r="N752" s="9">
        <v>2017</v>
      </c>
      <c r="O752" s="9" t="s">
        <v>2832</v>
      </c>
      <c r="P752" s="9" t="s">
        <v>53</v>
      </c>
      <c r="Q752" s="9" t="s">
        <v>53</v>
      </c>
      <c r="T752" s="9"/>
      <c r="V752" s="9"/>
      <c r="W752" s="11">
        <f>IFERROR(VLOOKUP(B752, PlumX_snapshot!$A:$B, 2, FALSE), " ")</f>
        <v>12</v>
      </c>
      <c r="X752" s="11">
        <f>IFERROR(VLOOKUP(B752, PlumX_snapshot!$A:$C, 3, FALSE), " ")</f>
        <v>6</v>
      </c>
      <c r="Y752" s="12">
        <f>IFERROR(VLOOKUP(B752, PlumX_snapshot!$A:$D, 4, FALSE), " ")</f>
        <v>0</v>
      </c>
      <c r="Z752" s="12">
        <f>IFERROR(VLOOKUP(B752, PlumX_snapshot!$A:$E, 5, FALSE), " ")</f>
        <v>19</v>
      </c>
      <c r="AA752" s="12">
        <f>IFERROR(VLOOKUP(B752, PlumX_snapshot!$A:$F, 6, FALSE), " ")</f>
        <v>0</v>
      </c>
      <c r="AB752" s="13">
        <v>44978</v>
      </c>
      <c r="AH752" s="9"/>
      <c r="AI752" s="9"/>
      <c r="AJ752" s="9"/>
      <c r="AK752" s="11" t="str">
        <f t="shared" si="4"/>
        <v>2017</v>
      </c>
      <c r="AL752" s="11" t="e">
        <f>VLOOKUP(AK752, Exchange_rates!$C:$D, 2, FALSE)</f>
        <v>#N/A</v>
      </c>
      <c r="AM752" s="14" t="str">
        <f t="shared" si="5"/>
        <v/>
      </c>
      <c r="AN752" s="9"/>
      <c r="AO752" s="9"/>
      <c r="AP752" s="9"/>
      <c r="AQ752" s="15" t="s">
        <v>49</v>
      </c>
      <c r="AR752" t="s">
        <v>2938</v>
      </c>
      <c r="AS752" s="16"/>
    </row>
    <row r="753" spans="1:45" ht="14.5">
      <c r="A753" s="9" t="s">
        <v>3538</v>
      </c>
      <c r="B753" s="9" t="s">
        <v>3539</v>
      </c>
      <c r="C753" s="9" t="s">
        <v>3540</v>
      </c>
      <c r="D753" s="9" t="s">
        <v>2830</v>
      </c>
      <c r="E753" s="9" t="s">
        <v>49</v>
      </c>
      <c r="F753" s="9" t="s">
        <v>69</v>
      </c>
      <c r="G753" s="9" t="s">
        <v>70</v>
      </c>
      <c r="H753" s="9" t="s">
        <v>2841</v>
      </c>
      <c r="I753" s="9" t="s">
        <v>72</v>
      </c>
      <c r="J753" s="10">
        <v>43627</v>
      </c>
      <c r="K753" s="10">
        <v>43699</v>
      </c>
      <c r="L753" s="10">
        <v>43700.387662037036</v>
      </c>
      <c r="M753" s="10">
        <v>43713</v>
      </c>
      <c r="N753" s="9">
        <v>2019</v>
      </c>
      <c r="O753" s="9" t="s">
        <v>2832</v>
      </c>
      <c r="P753" s="9" t="s">
        <v>53</v>
      </c>
      <c r="Q753" s="9" t="s">
        <v>53</v>
      </c>
      <c r="T753" s="9"/>
      <c r="V753" s="9"/>
      <c r="W753" s="11">
        <f>IFERROR(VLOOKUP(B753, PlumX_snapshot!$A:$B, 2, FALSE), " ")</f>
        <v>38</v>
      </c>
      <c r="X753" s="11">
        <f>IFERROR(VLOOKUP(B753, PlumX_snapshot!$A:$C, 3, FALSE), " ")</f>
        <v>8</v>
      </c>
      <c r="Y753" s="12">
        <f>IFERROR(VLOOKUP(B753, PlumX_snapshot!$A:$D, 4, FALSE), " ")</f>
        <v>9</v>
      </c>
      <c r="Z753" s="12">
        <f>IFERROR(VLOOKUP(B753, PlumX_snapshot!$A:$E, 5, FALSE), " ")</f>
        <v>0</v>
      </c>
      <c r="AA753" s="12">
        <f>IFERROR(VLOOKUP(B753, PlumX_snapshot!$A:$F, 6, FALSE), " ")</f>
        <v>0</v>
      </c>
      <c r="AB753" s="13">
        <v>44978</v>
      </c>
      <c r="AH753" s="9"/>
      <c r="AI753" s="9"/>
      <c r="AJ753" s="9"/>
      <c r="AK753" s="11" t="str">
        <f t="shared" si="4"/>
        <v>2019</v>
      </c>
      <c r="AL753" s="11" t="e">
        <f>VLOOKUP(AK753, Exchange_rates!$C:$D, 2, FALSE)</f>
        <v>#N/A</v>
      </c>
      <c r="AM753" s="14" t="str">
        <f t="shared" si="5"/>
        <v/>
      </c>
      <c r="AN753" s="9"/>
      <c r="AO753" s="9"/>
      <c r="AP753" s="9"/>
      <c r="AQ753" s="15" t="s">
        <v>49</v>
      </c>
      <c r="AR753" t="s">
        <v>3541</v>
      </c>
      <c r="AS753" s="16"/>
    </row>
    <row r="754" spans="1:45" ht="14.5">
      <c r="A754" s="9" t="s">
        <v>3542</v>
      </c>
      <c r="B754" s="9" t="s">
        <v>3543</v>
      </c>
      <c r="C754" s="9" t="s">
        <v>3544</v>
      </c>
      <c r="D754" s="9" t="s">
        <v>2830</v>
      </c>
      <c r="E754" s="9" t="s">
        <v>49</v>
      </c>
      <c r="F754" s="9" t="s">
        <v>69</v>
      </c>
      <c r="G754" s="9" t="s">
        <v>70</v>
      </c>
      <c r="H754" s="9" t="s">
        <v>2841</v>
      </c>
      <c r="I754" s="9" t="s">
        <v>72</v>
      </c>
      <c r="J754" s="10"/>
      <c r="K754" s="10"/>
      <c r="L754" s="10">
        <v>43556.421249999999</v>
      </c>
      <c r="M754" s="10">
        <v>43577</v>
      </c>
      <c r="N754" s="9">
        <v>2019</v>
      </c>
      <c r="O754" s="9" t="s">
        <v>2832</v>
      </c>
      <c r="P754" s="9" t="s">
        <v>53</v>
      </c>
      <c r="Q754" s="9" t="s">
        <v>53</v>
      </c>
      <c r="T754" s="9"/>
      <c r="V754" s="9"/>
      <c r="W754" s="11">
        <f>IFERROR(VLOOKUP(B754, PlumX_snapshot!$A:$B, 2, FALSE), " ")</f>
        <v>18</v>
      </c>
      <c r="X754" s="11">
        <f>IFERROR(VLOOKUP(B754, PlumX_snapshot!$A:$C, 3, FALSE), " ")</f>
        <v>4</v>
      </c>
      <c r="Y754" s="12">
        <f>IFERROR(VLOOKUP(B754, PlumX_snapshot!$A:$D, 4, FALSE), " ")</f>
        <v>114</v>
      </c>
      <c r="Z754" s="12">
        <f>IFERROR(VLOOKUP(B754, PlumX_snapshot!$A:$E, 5, FALSE), " ")</f>
        <v>0</v>
      </c>
      <c r="AA754" s="12">
        <f>IFERROR(VLOOKUP(B754, PlumX_snapshot!$A:$F, 6, FALSE), " ")</f>
        <v>0</v>
      </c>
      <c r="AB754" s="13">
        <v>44978</v>
      </c>
      <c r="AH754" s="9"/>
      <c r="AI754" s="9"/>
      <c r="AJ754" s="9"/>
      <c r="AK754" s="11" t="str">
        <f t="shared" si="4"/>
        <v>2019</v>
      </c>
      <c r="AL754" s="11" t="e">
        <f>VLOOKUP(AK754, Exchange_rates!$C:$D, 2, FALSE)</f>
        <v>#N/A</v>
      </c>
      <c r="AM754" s="14" t="str">
        <f t="shared" si="5"/>
        <v/>
      </c>
      <c r="AN754" s="9"/>
      <c r="AO754" s="9"/>
      <c r="AP754" s="9"/>
      <c r="AQ754" s="15" t="s">
        <v>49</v>
      </c>
      <c r="AR754" t="s">
        <v>3545</v>
      </c>
      <c r="AS754" s="16"/>
    </row>
    <row r="755" spans="1:45" ht="14.5">
      <c r="A755" s="9" t="s">
        <v>3546</v>
      </c>
      <c r="B755" s="9" t="s">
        <v>3547</v>
      </c>
      <c r="C755" s="9" t="s">
        <v>3548</v>
      </c>
      <c r="D755" s="9" t="s">
        <v>2830</v>
      </c>
      <c r="E755" s="9" t="s">
        <v>49</v>
      </c>
      <c r="F755" s="9" t="s">
        <v>69</v>
      </c>
      <c r="G755" s="9" t="s">
        <v>70</v>
      </c>
      <c r="H755" s="9" t="s">
        <v>2841</v>
      </c>
      <c r="I755" s="9" t="s">
        <v>72</v>
      </c>
      <c r="J755" s="10">
        <v>43491</v>
      </c>
      <c r="K755" s="10">
        <v>43670</v>
      </c>
      <c r="L755" s="10">
        <v>43677.507523148146</v>
      </c>
      <c r="M755" s="10">
        <v>43690</v>
      </c>
      <c r="N755" s="9">
        <v>2019</v>
      </c>
      <c r="O755" s="9" t="s">
        <v>2832</v>
      </c>
      <c r="P755" s="9" t="s">
        <v>53</v>
      </c>
      <c r="Q755" s="9" t="s">
        <v>53</v>
      </c>
      <c r="T755" s="9"/>
      <c r="V755" s="9"/>
      <c r="W755" s="11">
        <f>IFERROR(VLOOKUP(B755, PlumX_snapshot!$A:$B, 2, FALSE), " ")</f>
        <v>60</v>
      </c>
      <c r="X755" s="11">
        <f>IFERROR(VLOOKUP(B755, PlumX_snapshot!$A:$C, 3, FALSE), " ")</f>
        <v>13</v>
      </c>
      <c r="Y755" s="12">
        <f>IFERROR(VLOOKUP(B755, PlumX_snapshot!$A:$D, 4, FALSE), " ")</f>
        <v>0</v>
      </c>
      <c r="Z755" s="12">
        <f>IFERROR(VLOOKUP(B755, PlumX_snapshot!$A:$E, 5, FALSE), " ")</f>
        <v>0</v>
      </c>
      <c r="AA755" s="12">
        <f>IFERROR(VLOOKUP(B755, PlumX_snapshot!$A:$F, 6, FALSE), " ")</f>
        <v>0</v>
      </c>
      <c r="AB755" s="13">
        <v>44978</v>
      </c>
      <c r="AH755" s="9"/>
      <c r="AI755" s="9"/>
      <c r="AJ755" s="9"/>
      <c r="AK755" s="11" t="str">
        <f t="shared" si="4"/>
        <v>2019</v>
      </c>
      <c r="AL755" s="11" t="e">
        <f>VLOOKUP(AK755, Exchange_rates!$C:$D, 2, FALSE)</f>
        <v>#N/A</v>
      </c>
      <c r="AM755" s="14" t="str">
        <f t="shared" si="5"/>
        <v/>
      </c>
      <c r="AN755" s="9"/>
      <c r="AO755" s="9"/>
      <c r="AP755" s="9"/>
      <c r="AQ755" s="15" t="s">
        <v>49</v>
      </c>
      <c r="AR755" t="s">
        <v>3549</v>
      </c>
      <c r="AS755" s="16"/>
    </row>
    <row r="756" spans="1:45" ht="14.5">
      <c r="A756" s="9" t="s">
        <v>3550</v>
      </c>
      <c r="B756" s="9" t="s">
        <v>3551</v>
      </c>
      <c r="C756" s="9" t="s">
        <v>2870</v>
      </c>
      <c r="D756" s="9" t="s">
        <v>2830</v>
      </c>
      <c r="E756" s="9" t="s">
        <v>49</v>
      </c>
      <c r="F756" s="9" t="s">
        <v>69</v>
      </c>
      <c r="G756" s="9" t="s">
        <v>70</v>
      </c>
      <c r="H756" s="9" t="s">
        <v>2871</v>
      </c>
      <c r="I756" s="9" t="s">
        <v>72</v>
      </c>
      <c r="J756" s="10"/>
      <c r="K756" s="10">
        <v>44119</v>
      </c>
      <c r="L756" s="10">
        <v>44120.566192129627</v>
      </c>
      <c r="M756" s="28">
        <v>44151</v>
      </c>
      <c r="N756" s="9">
        <v>2020</v>
      </c>
      <c r="O756" s="9" t="s">
        <v>2832</v>
      </c>
      <c r="P756" s="9" t="s">
        <v>53</v>
      </c>
      <c r="Q756" s="9" t="s">
        <v>53</v>
      </c>
      <c r="T756" s="9"/>
      <c r="V756" s="9"/>
      <c r="W756" s="11">
        <f>IFERROR(VLOOKUP(B756, PlumX_snapshot!$A:$B, 2, FALSE), " ")</f>
        <v>19</v>
      </c>
      <c r="X756" s="11">
        <f>IFERROR(VLOOKUP(B756, PlumX_snapshot!$A:$C, 3, FALSE), " ")</f>
        <v>2</v>
      </c>
      <c r="Y756" s="12">
        <f>IFERROR(VLOOKUP(B756, PlumX_snapshot!$A:$D, 4, FALSE), " ")</f>
        <v>4</v>
      </c>
      <c r="Z756" s="12">
        <f>IFERROR(VLOOKUP(B756, PlumX_snapshot!$A:$E, 5, FALSE), " ")</f>
        <v>0</v>
      </c>
      <c r="AA756" s="12">
        <f>IFERROR(VLOOKUP(B756, PlumX_snapshot!$A:$F, 6, FALSE), " ")</f>
        <v>0</v>
      </c>
      <c r="AB756" s="13">
        <v>44978</v>
      </c>
      <c r="AH756" s="9">
        <v>2289</v>
      </c>
      <c r="AI756" s="9" t="s">
        <v>77</v>
      </c>
      <c r="AJ756" s="9" t="s">
        <v>1823</v>
      </c>
      <c r="AK756" s="11" t="str">
        <f t="shared" si="4"/>
        <v>2020EUR</v>
      </c>
      <c r="AL756" s="11">
        <f>VLOOKUP(AK756, Exchange_rates!$C:$D, 2, FALSE)</f>
        <v>0.88970000000000005</v>
      </c>
      <c r="AM756" s="14">
        <f t="shared" si="5"/>
        <v>2443.8279600000001</v>
      </c>
      <c r="AN756" s="9"/>
      <c r="AO756" s="9"/>
      <c r="AP756" s="9"/>
      <c r="AQ756" s="15" t="s">
        <v>49</v>
      </c>
      <c r="AR756" t="s">
        <v>2872</v>
      </c>
      <c r="AS756" s="16"/>
    </row>
    <row r="757" spans="1:45" ht="14.5">
      <c r="A757" s="9" t="s">
        <v>3552</v>
      </c>
      <c r="B757" s="9" t="s">
        <v>3553</v>
      </c>
      <c r="C757" s="9" t="s">
        <v>3023</v>
      </c>
      <c r="D757" s="9" t="s">
        <v>2830</v>
      </c>
      <c r="E757" s="9" t="s">
        <v>49</v>
      </c>
      <c r="F757" s="9" t="s">
        <v>69</v>
      </c>
      <c r="G757" s="9" t="s">
        <v>70</v>
      </c>
      <c r="H757" s="9" t="s">
        <v>2871</v>
      </c>
      <c r="I757" s="9" t="s">
        <v>72</v>
      </c>
      <c r="J757" s="10">
        <v>43752</v>
      </c>
      <c r="K757" s="10"/>
      <c r="L757" s="10">
        <v>43853.424756944441</v>
      </c>
      <c r="M757" s="10">
        <v>43864</v>
      </c>
      <c r="N757" s="9">
        <v>2020</v>
      </c>
      <c r="O757" s="9" t="s">
        <v>2832</v>
      </c>
      <c r="P757" s="9" t="s">
        <v>53</v>
      </c>
      <c r="Q757" s="9" t="s">
        <v>53</v>
      </c>
      <c r="T757" s="9"/>
      <c r="V757" s="9"/>
      <c r="W757" s="11">
        <f>IFERROR(VLOOKUP(B757, PlumX_snapshot!$A:$B, 2, FALSE), " ")</f>
        <v>6</v>
      </c>
      <c r="X757" s="11">
        <f>IFERROR(VLOOKUP(B757, PlumX_snapshot!$A:$C, 3, FALSE), " ")</f>
        <v>6</v>
      </c>
      <c r="Y757" s="12">
        <f>IFERROR(VLOOKUP(B757, PlumX_snapshot!$A:$D, 4, FALSE), " ")</f>
        <v>1</v>
      </c>
      <c r="Z757" s="12">
        <f>IFERROR(VLOOKUP(B757, PlumX_snapshot!$A:$E, 5, FALSE), " ")</f>
        <v>0</v>
      </c>
      <c r="AA757" s="12">
        <f>IFERROR(VLOOKUP(B757, PlumX_snapshot!$A:$F, 6, FALSE), " ")</f>
        <v>0</v>
      </c>
      <c r="AB757" s="13">
        <v>44978</v>
      </c>
      <c r="AH757" s="9">
        <v>2289</v>
      </c>
      <c r="AI757" s="9" t="s">
        <v>77</v>
      </c>
      <c r="AJ757" s="9" t="s">
        <v>1823</v>
      </c>
      <c r="AK757" s="11" t="str">
        <f t="shared" si="4"/>
        <v>2020EUR</v>
      </c>
      <c r="AL757" s="11">
        <f>VLOOKUP(AK757, Exchange_rates!$C:$D, 2, FALSE)</f>
        <v>0.88970000000000005</v>
      </c>
      <c r="AM757" s="14">
        <f t="shared" si="5"/>
        <v>2443.8279600000001</v>
      </c>
      <c r="AN757" s="9"/>
      <c r="AO757" s="9"/>
      <c r="AP757" s="9"/>
      <c r="AQ757" s="15" t="s">
        <v>49</v>
      </c>
      <c r="AR757" t="s">
        <v>3024</v>
      </c>
      <c r="AS757" s="16"/>
    </row>
    <row r="758" spans="1:45" ht="14.5">
      <c r="A758" s="9" t="s">
        <v>3554</v>
      </c>
      <c r="B758" s="9" t="s">
        <v>3555</v>
      </c>
      <c r="C758" s="9" t="s">
        <v>3556</v>
      </c>
      <c r="D758" s="9" t="s">
        <v>2830</v>
      </c>
      <c r="E758" s="9" t="s">
        <v>49</v>
      </c>
      <c r="F758" s="9" t="s">
        <v>69</v>
      </c>
      <c r="G758" s="9" t="s">
        <v>70</v>
      </c>
      <c r="H758" s="9" t="s">
        <v>2871</v>
      </c>
      <c r="I758" s="9" t="s">
        <v>72</v>
      </c>
      <c r="J758" s="10">
        <v>43813</v>
      </c>
      <c r="K758" s="10">
        <v>44011</v>
      </c>
      <c r="L758" s="10">
        <v>44012.588854166665</v>
      </c>
      <c r="M758" s="10">
        <v>44040</v>
      </c>
      <c r="N758" s="9">
        <v>2020</v>
      </c>
      <c r="O758" s="9" t="s">
        <v>2832</v>
      </c>
      <c r="P758" s="9" t="s">
        <v>53</v>
      </c>
      <c r="Q758" s="9" t="s">
        <v>53</v>
      </c>
      <c r="T758" s="9"/>
      <c r="V758" s="9"/>
      <c r="W758" s="11">
        <f>IFERROR(VLOOKUP(B758, PlumX_snapshot!$A:$B, 2, FALSE), " ")</f>
        <v>63</v>
      </c>
      <c r="X758" s="11">
        <f>IFERROR(VLOOKUP(B758, PlumX_snapshot!$A:$C, 3, FALSE), " ")</f>
        <v>10</v>
      </c>
      <c r="Y758" s="12">
        <f>IFERROR(VLOOKUP(B758, PlumX_snapshot!$A:$D, 4, FALSE), " ")</f>
        <v>36</v>
      </c>
      <c r="Z758" s="12">
        <f>IFERROR(VLOOKUP(B758, PlumX_snapshot!$A:$E, 5, FALSE), " ")</f>
        <v>0</v>
      </c>
      <c r="AA758" s="12">
        <f>IFERROR(VLOOKUP(B758, PlumX_snapshot!$A:$F, 6, FALSE), " ")</f>
        <v>0</v>
      </c>
      <c r="AB758" s="13">
        <v>44978</v>
      </c>
      <c r="AH758" s="9">
        <v>2289</v>
      </c>
      <c r="AI758" s="9" t="s">
        <v>77</v>
      </c>
      <c r="AJ758" s="9" t="s">
        <v>1823</v>
      </c>
      <c r="AK758" s="11" t="str">
        <f t="shared" si="4"/>
        <v>2020EUR</v>
      </c>
      <c r="AL758" s="11">
        <f>VLOOKUP(AK758, Exchange_rates!$C:$D, 2, FALSE)</f>
        <v>0.88970000000000005</v>
      </c>
      <c r="AM758" s="14">
        <f t="shared" si="5"/>
        <v>2443.8279600000001</v>
      </c>
      <c r="AN758" s="9"/>
      <c r="AO758" s="9"/>
      <c r="AP758" s="9"/>
      <c r="AQ758" s="15" t="s">
        <v>49</v>
      </c>
      <c r="AR758" t="s">
        <v>3557</v>
      </c>
      <c r="AS758" s="16"/>
    </row>
    <row r="759" spans="1:45" ht="14.5">
      <c r="A759" s="9" t="s">
        <v>3558</v>
      </c>
      <c r="B759" s="9" t="s">
        <v>3559</v>
      </c>
      <c r="C759" s="9" t="s">
        <v>3532</v>
      </c>
      <c r="D759" s="9" t="s">
        <v>2830</v>
      </c>
      <c r="E759" s="9" t="s">
        <v>49</v>
      </c>
      <c r="F759" s="9" t="s">
        <v>69</v>
      </c>
      <c r="G759" s="9" t="s">
        <v>70</v>
      </c>
      <c r="H759" s="9" t="s">
        <v>2878</v>
      </c>
      <c r="I759" s="9" t="s">
        <v>72</v>
      </c>
      <c r="J759" s="10"/>
      <c r="K759" s="10">
        <v>44215</v>
      </c>
      <c r="L759" s="10">
        <v>44277.414363425924</v>
      </c>
      <c r="M759" s="10">
        <v>44285</v>
      </c>
      <c r="N759" s="9">
        <v>2021</v>
      </c>
      <c r="O759" s="9" t="s">
        <v>2832</v>
      </c>
      <c r="P759" s="9" t="s">
        <v>53</v>
      </c>
      <c r="Q759" s="9" t="s">
        <v>53</v>
      </c>
      <c r="R759" s="9" t="s">
        <v>3560</v>
      </c>
      <c r="T759" s="9"/>
      <c r="V759" s="9"/>
      <c r="W759" s="11">
        <f>IFERROR(VLOOKUP(B759, PlumX_snapshot!$A:$B, 2, FALSE), " ")</f>
        <v>9</v>
      </c>
      <c r="X759" s="11">
        <f>IFERROR(VLOOKUP(B759, PlumX_snapshot!$A:$C, 3, FALSE), " ")</f>
        <v>4</v>
      </c>
      <c r="Y759" s="12">
        <f>IFERROR(VLOOKUP(B759, PlumX_snapshot!$A:$D, 4, FALSE), " ")</f>
        <v>0</v>
      </c>
      <c r="Z759" s="12">
        <f>IFERROR(VLOOKUP(B759, PlumX_snapshot!$A:$E, 5, FALSE), " ")</f>
        <v>0</v>
      </c>
      <c r="AA759" s="12">
        <f>IFERROR(VLOOKUP(B759, PlumX_snapshot!$A:$F, 6, FALSE), " ")</f>
        <v>0</v>
      </c>
      <c r="AB759" s="13">
        <v>44978</v>
      </c>
      <c r="AH759" s="9">
        <v>2380</v>
      </c>
      <c r="AI759" s="9" t="s">
        <v>77</v>
      </c>
      <c r="AJ759" s="9" t="s">
        <v>1823</v>
      </c>
      <c r="AK759" s="11" t="str">
        <f t="shared" si="4"/>
        <v>2021EUR</v>
      </c>
      <c r="AL759" s="11">
        <f>VLOOKUP(AK759, Exchange_rates!$C:$D, 2, FALSE)</f>
        <v>0.8599</v>
      </c>
      <c r="AM759" s="14">
        <f t="shared" si="5"/>
        <v>2455.8743999999997</v>
      </c>
      <c r="AN759" s="9"/>
      <c r="AO759" s="9"/>
      <c r="AP759" s="9"/>
      <c r="AQ759" s="15" t="s">
        <v>49</v>
      </c>
      <c r="AR759" t="s">
        <v>3533</v>
      </c>
      <c r="AS759" s="16"/>
    </row>
    <row r="760" spans="1:45" ht="14.5">
      <c r="A760" s="9" t="s">
        <v>3561</v>
      </c>
      <c r="B760" s="9" t="s">
        <v>3562</v>
      </c>
      <c r="C760" s="9" t="s">
        <v>3532</v>
      </c>
      <c r="D760" s="9" t="s">
        <v>2830</v>
      </c>
      <c r="E760" s="9" t="s">
        <v>49</v>
      </c>
      <c r="F760" s="9" t="s">
        <v>69</v>
      </c>
      <c r="G760" s="9" t="s">
        <v>70</v>
      </c>
      <c r="H760" s="9" t="s">
        <v>2871</v>
      </c>
      <c r="I760" s="9" t="s">
        <v>72</v>
      </c>
      <c r="J760" s="10"/>
      <c r="K760" s="10"/>
      <c r="L760" s="10">
        <v>44008.564375000002</v>
      </c>
      <c r="M760" s="10">
        <v>44021</v>
      </c>
      <c r="N760" s="9">
        <v>2020</v>
      </c>
      <c r="O760" s="9" t="s">
        <v>2832</v>
      </c>
      <c r="P760" s="9" t="s">
        <v>53</v>
      </c>
      <c r="Q760" s="9" t="s">
        <v>53</v>
      </c>
      <c r="T760" s="9"/>
      <c r="V760" s="9"/>
      <c r="W760" s="11">
        <f>IFERROR(VLOOKUP(B760, PlumX_snapshot!$A:$B, 2, FALSE), " ")</f>
        <v>12</v>
      </c>
      <c r="X760" s="11">
        <f>IFERROR(VLOOKUP(B760, PlumX_snapshot!$A:$C, 3, FALSE), " ")</f>
        <v>2</v>
      </c>
      <c r="Y760" s="12">
        <f>IFERROR(VLOOKUP(B760, PlumX_snapshot!$A:$D, 4, FALSE), " ")</f>
        <v>0</v>
      </c>
      <c r="Z760" s="12">
        <f>IFERROR(VLOOKUP(B760, PlumX_snapshot!$A:$E, 5, FALSE), " ")</f>
        <v>0</v>
      </c>
      <c r="AA760" s="12">
        <f>IFERROR(VLOOKUP(B760, PlumX_snapshot!$A:$F, 6, FALSE), " ")</f>
        <v>0</v>
      </c>
      <c r="AB760" s="13">
        <v>44978</v>
      </c>
      <c r="AH760" s="9">
        <v>2289</v>
      </c>
      <c r="AI760" s="9" t="s">
        <v>77</v>
      </c>
      <c r="AJ760" s="9" t="s">
        <v>1823</v>
      </c>
      <c r="AK760" s="11" t="str">
        <f t="shared" si="4"/>
        <v>2020EUR</v>
      </c>
      <c r="AL760" s="11">
        <f>VLOOKUP(AK760, Exchange_rates!$C:$D, 2, FALSE)</f>
        <v>0.88970000000000005</v>
      </c>
      <c r="AM760" s="14">
        <f t="shared" si="5"/>
        <v>2443.8279600000001</v>
      </c>
      <c r="AN760" s="9"/>
      <c r="AO760" s="9"/>
      <c r="AP760" s="9"/>
      <c r="AQ760" s="15" t="s">
        <v>49</v>
      </c>
      <c r="AR760" t="s">
        <v>3533</v>
      </c>
      <c r="AS760" s="16"/>
    </row>
    <row r="761" spans="1:45" ht="14.5">
      <c r="A761" s="9" t="s">
        <v>3563</v>
      </c>
      <c r="B761" s="9" t="s">
        <v>3564</v>
      </c>
      <c r="C761" s="9" t="s">
        <v>3242</v>
      </c>
      <c r="D761" s="9" t="s">
        <v>2830</v>
      </c>
      <c r="E761" s="9" t="s">
        <v>49</v>
      </c>
      <c r="F761" s="9" t="s">
        <v>69</v>
      </c>
      <c r="G761" s="9" t="s">
        <v>70</v>
      </c>
      <c r="H761" s="9" t="s">
        <v>2878</v>
      </c>
      <c r="I761" s="9" t="s">
        <v>72</v>
      </c>
      <c r="J761" s="10"/>
      <c r="K761" s="10">
        <v>44229</v>
      </c>
      <c r="L761" s="10">
        <v>44270.595821759256</v>
      </c>
      <c r="M761" s="10">
        <v>44295</v>
      </c>
      <c r="N761" s="9">
        <v>2021</v>
      </c>
      <c r="O761" s="9" t="s">
        <v>2832</v>
      </c>
      <c r="P761" s="9" t="s">
        <v>53</v>
      </c>
      <c r="Q761" s="9" t="s">
        <v>53</v>
      </c>
      <c r="R761" s="9" t="s">
        <v>92</v>
      </c>
      <c r="T761" s="9"/>
      <c r="V761" s="9"/>
      <c r="W761" s="11">
        <f>IFERROR(VLOOKUP(B761, PlumX_snapshot!$A:$B, 2, FALSE), " ")</f>
        <v>23</v>
      </c>
      <c r="X761" s="11">
        <f>IFERROR(VLOOKUP(B761, PlumX_snapshot!$A:$C, 3, FALSE), " ")</f>
        <v>9</v>
      </c>
      <c r="Y761" s="12">
        <f>IFERROR(VLOOKUP(B761, PlumX_snapshot!$A:$D, 4, FALSE), " ")</f>
        <v>2</v>
      </c>
      <c r="Z761" s="12">
        <f>IFERROR(VLOOKUP(B761, PlumX_snapshot!$A:$E, 5, FALSE), " ")</f>
        <v>0</v>
      </c>
      <c r="AA761" s="12">
        <f>IFERROR(VLOOKUP(B761, PlumX_snapshot!$A:$F, 6, FALSE), " ")</f>
        <v>0</v>
      </c>
      <c r="AB761" s="13">
        <v>44978</v>
      </c>
      <c r="AH761" s="9">
        <v>2380</v>
      </c>
      <c r="AI761" s="9" t="s">
        <v>77</v>
      </c>
      <c r="AJ761" s="9" t="s">
        <v>1823</v>
      </c>
      <c r="AK761" s="11" t="str">
        <f t="shared" si="4"/>
        <v>2021EUR</v>
      </c>
      <c r="AL761" s="11">
        <f>VLOOKUP(AK761, Exchange_rates!$C:$D, 2, FALSE)</f>
        <v>0.8599</v>
      </c>
      <c r="AM761" s="14">
        <f t="shared" si="5"/>
        <v>2455.8743999999997</v>
      </c>
      <c r="AN761" s="9"/>
      <c r="AO761" s="9"/>
      <c r="AP761" s="9"/>
      <c r="AQ761" s="15" t="s">
        <v>49</v>
      </c>
      <c r="AR761" t="s">
        <v>3243</v>
      </c>
      <c r="AS761" s="16"/>
    </row>
    <row r="762" spans="1:45" ht="14.5">
      <c r="A762" s="9" t="s">
        <v>3565</v>
      </c>
      <c r="B762" s="9" t="s">
        <v>3566</v>
      </c>
      <c r="C762" s="9" t="s">
        <v>3121</v>
      </c>
      <c r="D762" s="9" t="s">
        <v>2830</v>
      </c>
      <c r="E762" s="9" t="s">
        <v>49</v>
      </c>
      <c r="F762" s="9" t="s">
        <v>69</v>
      </c>
      <c r="G762" s="9" t="s">
        <v>70</v>
      </c>
      <c r="H762" s="9" t="s">
        <v>2871</v>
      </c>
      <c r="I762" s="9" t="s">
        <v>72</v>
      </c>
      <c r="J762" s="10">
        <v>44091</v>
      </c>
      <c r="K762" s="10">
        <v>44153</v>
      </c>
      <c r="L762" s="10">
        <v>44160.490879629629</v>
      </c>
      <c r="M762" s="28">
        <v>44181</v>
      </c>
      <c r="N762" s="9">
        <v>2020</v>
      </c>
      <c r="O762" s="9" t="s">
        <v>2832</v>
      </c>
      <c r="P762" s="9" t="s">
        <v>53</v>
      </c>
      <c r="Q762" s="9" t="s">
        <v>53</v>
      </c>
      <c r="T762" s="9"/>
      <c r="V762" s="9"/>
      <c r="W762" s="11">
        <f>IFERROR(VLOOKUP(B762, PlumX_snapshot!$A:$B, 2, FALSE), " ")</f>
        <v>4</v>
      </c>
      <c r="X762" s="11">
        <f>IFERROR(VLOOKUP(B762, PlumX_snapshot!$A:$C, 3, FALSE), " ")</f>
        <v>3</v>
      </c>
      <c r="Y762" s="12">
        <f>IFERROR(VLOOKUP(B762, PlumX_snapshot!$A:$D, 4, FALSE), " ")</f>
        <v>24</v>
      </c>
      <c r="Z762" s="12">
        <f>IFERROR(VLOOKUP(B762, PlumX_snapshot!$A:$E, 5, FALSE), " ")</f>
        <v>0</v>
      </c>
      <c r="AA762" s="12">
        <f>IFERROR(VLOOKUP(B762, PlumX_snapshot!$A:$F, 6, FALSE), " ")</f>
        <v>0</v>
      </c>
      <c r="AB762" s="13">
        <v>44978</v>
      </c>
      <c r="AH762" s="9">
        <v>2289</v>
      </c>
      <c r="AI762" s="9" t="s">
        <v>77</v>
      </c>
      <c r="AJ762" s="9" t="s">
        <v>1823</v>
      </c>
      <c r="AK762" s="11" t="str">
        <f t="shared" si="4"/>
        <v>2020EUR</v>
      </c>
      <c r="AL762" s="11">
        <f>VLOOKUP(AK762, Exchange_rates!$C:$D, 2, FALSE)</f>
        <v>0.88970000000000005</v>
      </c>
      <c r="AM762" s="14">
        <f t="shared" si="5"/>
        <v>2443.8279600000001</v>
      </c>
      <c r="AN762" s="9"/>
      <c r="AO762" s="9"/>
      <c r="AP762" s="9"/>
      <c r="AQ762" s="15" t="s">
        <v>49</v>
      </c>
      <c r="AR762" t="s">
        <v>3122</v>
      </c>
      <c r="AS762" s="16"/>
    </row>
    <row r="763" spans="1:45" ht="14.5">
      <c r="A763" s="9" t="s">
        <v>3567</v>
      </c>
      <c r="B763" s="9" t="s">
        <v>3568</v>
      </c>
      <c r="C763" s="9" t="s">
        <v>2929</v>
      </c>
      <c r="D763" s="9" t="s">
        <v>2830</v>
      </c>
      <c r="E763" s="9" t="s">
        <v>49</v>
      </c>
      <c r="F763" s="9" t="s">
        <v>69</v>
      </c>
      <c r="G763" s="9" t="s">
        <v>70</v>
      </c>
      <c r="H763" s="9" t="s">
        <v>2871</v>
      </c>
      <c r="I763" s="9" t="s">
        <v>72</v>
      </c>
      <c r="J763" s="10"/>
      <c r="K763" s="10"/>
      <c r="L763" s="10">
        <v>44014.378472222219</v>
      </c>
      <c r="M763" s="10">
        <v>44023</v>
      </c>
      <c r="N763" s="9">
        <v>2020</v>
      </c>
      <c r="O763" s="9" t="s">
        <v>2832</v>
      </c>
      <c r="P763" s="9" t="s">
        <v>53</v>
      </c>
      <c r="Q763" s="9" t="s">
        <v>53</v>
      </c>
      <c r="T763" s="9"/>
      <c r="V763" s="9"/>
      <c r="W763" s="11">
        <f>IFERROR(VLOOKUP(B763, PlumX_snapshot!$A:$B, 2, FALSE), " ")</f>
        <v>31</v>
      </c>
      <c r="X763" s="11">
        <f>IFERROR(VLOOKUP(B763, PlumX_snapshot!$A:$C, 3, FALSE), " ")</f>
        <v>2</v>
      </c>
      <c r="Y763" s="12">
        <f>IFERROR(VLOOKUP(B763, PlumX_snapshot!$A:$D, 4, FALSE), " ")</f>
        <v>5</v>
      </c>
      <c r="Z763" s="12">
        <f>IFERROR(VLOOKUP(B763, PlumX_snapshot!$A:$E, 5, FALSE), " ")</f>
        <v>0</v>
      </c>
      <c r="AA763" s="12">
        <f>IFERROR(VLOOKUP(B763, PlumX_snapshot!$A:$F, 6, FALSE), " ")</f>
        <v>0</v>
      </c>
      <c r="AB763" s="13">
        <v>44978</v>
      </c>
      <c r="AH763" s="9">
        <v>2289</v>
      </c>
      <c r="AI763" s="9" t="s">
        <v>77</v>
      </c>
      <c r="AJ763" s="9" t="s">
        <v>1823</v>
      </c>
      <c r="AK763" s="11" t="str">
        <f t="shared" si="4"/>
        <v>2020EUR</v>
      </c>
      <c r="AL763" s="11">
        <f>VLOOKUP(AK763, Exchange_rates!$C:$D, 2, FALSE)</f>
        <v>0.88970000000000005</v>
      </c>
      <c r="AM763" s="14">
        <f t="shared" si="5"/>
        <v>2443.8279600000001</v>
      </c>
      <c r="AN763" s="9"/>
      <c r="AO763" s="9"/>
      <c r="AP763" s="9"/>
      <c r="AQ763" s="15" t="s">
        <v>49</v>
      </c>
      <c r="AR763" t="s">
        <v>2930</v>
      </c>
      <c r="AS763" s="16"/>
    </row>
    <row r="764" spans="1:45" ht="14.5">
      <c r="A764" s="9" t="s">
        <v>3569</v>
      </c>
      <c r="B764" s="9" t="s">
        <v>3570</v>
      </c>
      <c r="C764" s="9" t="s">
        <v>2890</v>
      </c>
      <c r="D764" s="9" t="s">
        <v>2830</v>
      </c>
      <c r="E764" s="9" t="s">
        <v>49</v>
      </c>
      <c r="F764" s="9" t="s">
        <v>69</v>
      </c>
      <c r="G764" s="9" t="s">
        <v>70</v>
      </c>
      <c r="H764" s="9" t="s">
        <v>2871</v>
      </c>
      <c r="I764" s="9" t="s">
        <v>72</v>
      </c>
      <c r="J764" s="10">
        <v>43482</v>
      </c>
      <c r="K764" s="10">
        <v>43951</v>
      </c>
      <c r="L764" s="10">
        <v>44005.390775462962</v>
      </c>
      <c r="M764" s="10">
        <v>44039</v>
      </c>
      <c r="N764" s="9">
        <v>2020</v>
      </c>
      <c r="O764" s="9" t="s">
        <v>2832</v>
      </c>
      <c r="P764" s="9" t="s">
        <v>53</v>
      </c>
      <c r="Q764" s="9" t="s">
        <v>53</v>
      </c>
      <c r="T764" s="9"/>
      <c r="V764" s="9"/>
      <c r="W764" s="11">
        <f>IFERROR(VLOOKUP(B764, PlumX_snapshot!$A:$B, 2, FALSE), " ")</f>
        <v>28</v>
      </c>
      <c r="X764" s="11">
        <f>IFERROR(VLOOKUP(B764, PlumX_snapshot!$A:$C, 3, FALSE), " ")</f>
        <v>20</v>
      </c>
      <c r="Y764" s="12">
        <f>IFERROR(VLOOKUP(B764, PlumX_snapshot!$A:$D, 4, FALSE), " ")</f>
        <v>0</v>
      </c>
      <c r="Z764" s="12">
        <f>IFERROR(VLOOKUP(B764, PlumX_snapshot!$A:$E, 5, FALSE), " ")</f>
        <v>0</v>
      </c>
      <c r="AA764" s="12">
        <f>IFERROR(VLOOKUP(B764, PlumX_snapshot!$A:$F, 6, FALSE), " ")</f>
        <v>0</v>
      </c>
      <c r="AB764" s="13">
        <v>44978</v>
      </c>
      <c r="AH764" s="9">
        <v>2289</v>
      </c>
      <c r="AI764" s="9" t="s">
        <v>77</v>
      </c>
      <c r="AJ764" s="9" t="s">
        <v>1823</v>
      </c>
      <c r="AK764" s="11" t="str">
        <f t="shared" si="4"/>
        <v>2020EUR</v>
      </c>
      <c r="AL764" s="11">
        <f>VLOOKUP(AK764, Exchange_rates!$C:$D, 2, FALSE)</f>
        <v>0.88970000000000005</v>
      </c>
      <c r="AM764" s="14">
        <f t="shared" si="5"/>
        <v>2443.8279600000001</v>
      </c>
      <c r="AN764" s="9"/>
      <c r="AO764" s="9"/>
      <c r="AP764" s="9"/>
      <c r="AQ764" s="15" t="s">
        <v>49</v>
      </c>
      <c r="AR764" t="s">
        <v>2891</v>
      </c>
      <c r="AS764" s="16"/>
    </row>
    <row r="765" spans="1:45" ht="14.5">
      <c r="A765" s="9" t="s">
        <v>3571</v>
      </c>
      <c r="B765" s="9" t="s">
        <v>3572</v>
      </c>
      <c r="C765" s="9" t="s">
        <v>3573</v>
      </c>
      <c r="D765" s="9" t="s">
        <v>2830</v>
      </c>
      <c r="E765" s="9" t="s">
        <v>49</v>
      </c>
      <c r="F765" s="9" t="s">
        <v>69</v>
      </c>
      <c r="G765" s="9" t="s">
        <v>70</v>
      </c>
      <c r="H765" s="9" t="s">
        <v>2871</v>
      </c>
      <c r="I765" s="9" t="s">
        <v>72</v>
      </c>
      <c r="J765" s="10">
        <v>43812</v>
      </c>
      <c r="K765" s="10">
        <v>44014</v>
      </c>
      <c r="L765" s="10">
        <v>44018.367569444446</v>
      </c>
      <c r="M765" s="10">
        <v>44023</v>
      </c>
      <c r="N765" s="9">
        <v>2020</v>
      </c>
      <c r="O765" s="9" t="s">
        <v>2832</v>
      </c>
      <c r="P765" s="9" t="s">
        <v>53</v>
      </c>
      <c r="Q765" s="9" t="s">
        <v>53</v>
      </c>
      <c r="T765" s="9"/>
      <c r="V765" s="9"/>
      <c r="W765" s="11">
        <f>IFERROR(VLOOKUP(B765, PlumX_snapshot!$A:$B, 2, FALSE), " ")</f>
        <v>17</v>
      </c>
      <c r="X765" s="11">
        <f>IFERROR(VLOOKUP(B765, PlumX_snapshot!$A:$C, 3, FALSE), " ")</f>
        <v>5</v>
      </c>
      <c r="Y765" s="12">
        <f>IFERROR(VLOOKUP(B765, PlumX_snapshot!$A:$D, 4, FALSE), " ")</f>
        <v>44</v>
      </c>
      <c r="Z765" s="12">
        <f>IFERROR(VLOOKUP(B765, PlumX_snapshot!$A:$E, 5, FALSE), " ")</f>
        <v>0</v>
      </c>
      <c r="AA765" s="12">
        <f>IFERROR(VLOOKUP(B765, PlumX_snapshot!$A:$F, 6, FALSE), " ")</f>
        <v>0</v>
      </c>
      <c r="AB765" s="13">
        <v>44978</v>
      </c>
      <c r="AH765" s="9">
        <v>2289</v>
      </c>
      <c r="AI765" s="9" t="s">
        <v>77</v>
      </c>
      <c r="AJ765" s="9" t="s">
        <v>1823</v>
      </c>
      <c r="AK765" s="11" t="str">
        <f t="shared" si="4"/>
        <v>2020EUR</v>
      </c>
      <c r="AL765" s="11">
        <f>VLOOKUP(AK765, Exchange_rates!$C:$D, 2, FALSE)</f>
        <v>0.88970000000000005</v>
      </c>
      <c r="AM765" s="14">
        <f t="shared" si="5"/>
        <v>2443.8279600000001</v>
      </c>
      <c r="AN765" s="9"/>
      <c r="AO765" s="9"/>
      <c r="AP765" s="9"/>
      <c r="AQ765" s="15" t="s">
        <v>49</v>
      </c>
      <c r="AR765" t="s">
        <v>3574</v>
      </c>
      <c r="AS765" s="16"/>
    </row>
    <row r="766" spans="1:45" ht="14.5">
      <c r="A766" s="9" t="s">
        <v>3575</v>
      </c>
      <c r="B766" s="9" t="s">
        <v>3576</v>
      </c>
      <c r="C766" s="9" t="s">
        <v>3577</v>
      </c>
      <c r="D766" s="9" t="s">
        <v>2830</v>
      </c>
      <c r="E766" s="9" t="s">
        <v>49</v>
      </c>
      <c r="F766" s="9" t="s">
        <v>69</v>
      </c>
      <c r="G766" s="9" t="s">
        <v>70</v>
      </c>
      <c r="H766" s="9" t="s">
        <v>2871</v>
      </c>
      <c r="I766" s="9" t="s">
        <v>72</v>
      </c>
      <c r="J766" s="10">
        <v>43857</v>
      </c>
      <c r="K766" s="10">
        <v>44077</v>
      </c>
      <c r="L766" s="10">
        <v>44077.635729166665</v>
      </c>
      <c r="M766" s="10">
        <v>44086</v>
      </c>
      <c r="N766" s="9">
        <v>2020</v>
      </c>
      <c r="O766" s="9" t="s">
        <v>2832</v>
      </c>
      <c r="P766" s="9" t="s">
        <v>53</v>
      </c>
      <c r="Q766" s="9" t="s">
        <v>53</v>
      </c>
      <c r="T766" s="9"/>
      <c r="V766" s="9"/>
      <c r="W766" s="11">
        <f>IFERROR(VLOOKUP(B766, PlumX_snapshot!$A:$B, 2, FALSE), " ")</f>
        <v>28</v>
      </c>
      <c r="X766" s="11">
        <f>IFERROR(VLOOKUP(B766, PlumX_snapshot!$A:$C, 3, FALSE), " ")</f>
        <v>13</v>
      </c>
      <c r="Y766" s="12">
        <f>IFERROR(VLOOKUP(B766, PlumX_snapshot!$A:$D, 4, FALSE), " ")</f>
        <v>0</v>
      </c>
      <c r="Z766" s="12">
        <f>IFERROR(VLOOKUP(B766, PlumX_snapshot!$A:$E, 5, FALSE), " ")</f>
        <v>0</v>
      </c>
      <c r="AA766" s="12">
        <f>IFERROR(VLOOKUP(B766, PlumX_snapshot!$A:$F, 6, FALSE), " ")</f>
        <v>0</v>
      </c>
      <c r="AB766" s="13">
        <v>44978</v>
      </c>
      <c r="AH766" s="9">
        <v>2289</v>
      </c>
      <c r="AI766" s="9" t="s">
        <v>77</v>
      </c>
      <c r="AJ766" s="9" t="s">
        <v>1823</v>
      </c>
      <c r="AK766" s="11" t="str">
        <f t="shared" si="4"/>
        <v>2020EUR</v>
      </c>
      <c r="AL766" s="11">
        <f>VLOOKUP(AK766, Exchange_rates!$C:$D, 2, FALSE)</f>
        <v>0.88970000000000005</v>
      </c>
      <c r="AM766" s="14">
        <f t="shared" si="5"/>
        <v>2443.8279600000001</v>
      </c>
      <c r="AN766" s="9"/>
      <c r="AO766" s="9"/>
      <c r="AP766" s="9"/>
      <c r="AQ766" s="15" t="s">
        <v>49</v>
      </c>
      <c r="AR766" t="s">
        <v>3578</v>
      </c>
      <c r="AS766" s="16"/>
    </row>
    <row r="767" spans="1:45" ht="14.5">
      <c r="A767" s="9" t="s">
        <v>3579</v>
      </c>
      <c r="B767" s="9" t="s">
        <v>3580</v>
      </c>
      <c r="C767" s="9" t="s">
        <v>3581</v>
      </c>
      <c r="D767" s="9" t="s">
        <v>2830</v>
      </c>
      <c r="E767" s="9" t="s">
        <v>49</v>
      </c>
      <c r="F767" s="9" t="s">
        <v>69</v>
      </c>
      <c r="G767" s="9" t="s">
        <v>70</v>
      </c>
      <c r="H767" s="9" t="s">
        <v>2871</v>
      </c>
      <c r="I767" s="9" t="s">
        <v>72</v>
      </c>
      <c r="J767" s="10">
        <v>43676</v>
      </c>
      <c r="K767" s="10">
        <v>44073</v>
      </c>
      <c r="L767" s="10">
        <v>44082.641840277778</v>
      </c>
      <c r="M767" s="10">
        <v>44089</v>
      </c>
      <c r="N767" s="9">
        <v>2020</v>
      </c>
      <c r="O767" s="9" t="s">
        <v>2832</v>
      </c>
      <c r="P767" s="9" t="s">
        <v>53</v>
      </c>
      <c r="Q767" s="9" t="s">
        <v>53</v>
      </c>
      <c r="T767" s="9"/>
      <c r="V767" s="9"/>
      <c r="W767" s="11">
        <f>IFERROR(VLOOKUP(B767, PlumX_snapshot!$A:$B, 2, FALSE), " ")</f>
        <v>29</v>
      </c>
      <c r="X767" s="11">
        <f>IFERROR(VLOOKUP(B767, PlumX_snapshot!$A:$C, 3, FALSE), " ")</f>
        <v>3</v>
      </c>
      <c r="Y767" s="12">
        <f>IFERROR(VLOOKUP(B767, PlumX_snapshot!$A:$D, 4, FALSE), " ")</f>
        <v>11</v>
      </c>
      <c r="Z767" s="12">
        <f>IFERROR(VLOOKUP(B767, PlumX_snapshot!$A:$E, 5, FALSE), " ")</f>
        <v>0</v>
      </c>
      <c r="AA767" s="12">
        <f>IFERROR(VLOOKUP(B767, PlumX_snapshot!$A:$F, 6, FALSE), " ")</f>
        <v>2</v>
      </c>
      <c r="AB767" s="13">
        <v>44978</v>
      </c>
      <c r="AH767" s="9">
        <v>2289</v>
      </c>
      <c r="AI767" s="9" t="s">
        <v>77</v>
      </c>
      <c r="AJ767" s="9" t="s">
        <v>1823</v>
      </c>
      <c r="AK767" s="11" t="str">
        <f t="shared" ref="AK767:AK1021" si="6">CONCATENATE(N767,AJ767)</f>
        <v>2020EUR</v>
      </c>
      <c r="AL767" s="11">
        <f>VLOOKUP(AK767, Exchange_rates!$C:$D, 2, FALSE)</f>
        <v>0.88970000000000005</v>
      </c>
      <c r="AM767" s="14">
        <f t="shared" ref="AM767:AM1021" si="7">IFERROR(((AH767*AL767)*1.2), "")</f>
        <v>2443.8279600000001</v>
      </c>
      <c r="AN767" s="9"/>
      <c r="AO767" s="9"/>
      <c r="AP767" s="9"/>
      <c r="AQ767" s="15" t="s">
        <v>49</v>
      </c>
      <c r="AR767" t="s">
        <v>3582</v>
      </c>
      <c r="AS767" s="16"/>
    </row>
    <row r="768" spans="1:45" ht="14.5">
      <c r="A768" s="9" t="s">
        <v>3583</v>
      </c>
      <c r="B768" s="9" t="s">
        <v>3584</v>
      </c>
      <c r="C768" s="9" t="s">
        <v>3585</v>
      </c>
      <c r="D768" s="9" t="s">
        <v>2830</v>
      </c>
      <c r="E768" s="9" t="s">
        <v>49</v>
      </c>
      <c r="F768" s="9" t="s">
        <v>69</v>
      </c>
      <c r="G768" s="9" t="s">
        <v>70</v>
      </c>
      <c r="H768" s="9" t="s">
        <v>2871</v>
      </c>
      <c r="I768" s="9" t="s">
        <v>72</v>
      </c>
      <c r="J768" s="10"/>
      <c r="K768" s="10">
        <v>43883</v>
      </c>
      <c r="L768" s="10">
        <v>44078.537141203706</v>
      </c>
      <c r="M768" s="28">
        <v>44177</v>
      </c>
      <c r="N768" s="9">
        <v>2020</v>
      </c>
      <c r="O768" s="9" t="s">
        <v>2832</v>
      </c>
      <c r="P768" s="9" t="s">
        <v>53</v>
      </c>
      <c r="Q768" s="9" t="s">
        <v>53</v>
      </c>
      <c r="T768" s="9"/>
      <c r="V768" s="9"/>
      <c r="W768" s="11">
        <f>IFERROR(VLOOKUP(B768, PlumX_snapshot!$A:$B, 2, FALSE), " ")</f>
        <v>15</v>
      </c>
      <c r="X768" s="11">
        <f>IFERROR(VLOOKUP(B768, PlumX_snapshot!$A:$C, 3, FALSE), " ")</f>
        <v>0</v>
      </c>
      <c r="Y768" s="12">
        <f>IFERROR(VLOOKUP(B768, PlumX_snapshot!$A:$D, 4, FALSE), " ")</f>
        <v>0</v>
      </c>
      <c r="Z768" s="12">
        <f>IFERROR(VLOOKUP(B768, PlumX_snapshot!$A:$E, 5, FALSE), " ")</f>
        <v>0</v>
      </c>
      <c r="AA768" s="12">
        <f>IFERROR(VLOOKUP(B768, PlumX_snapshot!$A:$F, 6, FALSE), " ")</f>
        <v>0</v>
      </c>
      <c r="AB768" s="13">
        <v>44978</v>
      </c>
      <c r="AH768" s="9">
        <v>2289</v>
      </c>
      <c r="AI768" s="9" t="s">
        <v>77</v>
      </c>
      <c r="AJ768" s="9" t="s">
        <v>1823</v>
      </c>
      <c r="AK768" s="11" t="str">
        <f t="shared" si="6"/>
        <v>2020EUR</v>
      </c>
      <c r="AL768" s="11">
        <f>VLOOKUP(AK768, Exchange_rates!$C:$D, 2, FALSE)</f>
        <v>0.88970000000000005</v>
      </c>
      <c r="AM768" s="14">
        <f t="shared" si="7"/>
        <v>2443.8279600000001</v>
      </c>
      <c r="AN768" s="9"/>
      <c r="AO768" s="9"/>
      <c r="AP768" s="9"/>
      <c r="AQ768" s="15" t="s">
        <v>49</v>
      </c>
      <c r="AR768" t="s">
        <v>3586</v>
      </c>
      <c r="AS768" s="16"/>
    </row>
    <row r="769" spans="1:45" ht="14.5">
      <c r="A769" s="9" t="s">
        <v>3587</v>
      </c>
      <c r="B769" s="9" t="s">
        <v>3588</v>
      </c>
      <c r="C769" s="9" t="s">
        <v>3015</v>
      </c>
      <c r="D769" s="9" t="s">
        <v>2830</v>
      </c>
      <c r="E769" s="9" t="s">
        <v>49</v>
      </c>
      <c r="F769" s="9" t="s">
        <v>69</v>
      </c>
      <c r="G769" s="9" t="s">
        <v>70</v>
      </c>
      <c r="H769" s="9" t="s">
        <v>2871</v>
      </c>
      <c r="I769" s="9" t="s">
        <v>72</v>
      </c>
      <c r="J769" s="10">
        <v>43527</v>
      </c>
      <c r="K769" s="10">
        <v>43992</v>
      </c>
      <c r="L769" s="10">
        <v>44018.470289351855</v>
      </c>
      <c r="M769" s="10">
        <v>44054</v>
      </c>
      <c r="N769" s="9">
        <v>2020</v>
      </c>
      <c r="O769" s="9" t="s">
        <v>2832</v>
      </c>
      <c r="P769" s="9" t="s">
        <v>53</v>
      </c>
      <c r="Q769" s="9" t="s">
        <v>53</v>
      </c>
      <c r="T769" s="9"/>
      <c r="V769" s="9"/>
      <c r="W769" s="11">
        <f>IFERROR(VLOOKUP(B769, PlumX_snapshot!$A:$B, 2, FALSE), " ")</f>
        <v>16</v>
      </c>
      <c r="X769" s="11">
        <f>IFERROR(VLOOKUP(B769, PlumX_snapshot!$A:$C, 3, FALSE), " ")</f>
        <v>0</v>
      </c>
      <c r="Y769" s="12">
        <f>IFERROR(VLOOKUP(B769, PlumX_snapshot!$A:$D, 4, FALSE), " ")</f>
        <v>10</v>
      </c>
      <c r="Z769" s="12">
        <f>IFERROR(VLOOKUP(B769, PlumX_snapshot!$A:$E, 5, FALSE), " ")</f>
        <v>0</v>
      </c>
      <c r="AA769" s="12">
        <f>IFERROR(VLOOKUP(B769, PlumX_snapshot!$A:$F, 6, FALSE), " ")</f>
        <v>0</v>
      </c>
      <c r="AB769" s="13">
        <v>44978</v>
      </c>
      <c r="AH769" s="9">
        <v>2289</v>
      </c>
      <c r="AI769" s="9" t="s">
        <v>77</v>
      </c>
      <c r="AJ769" s="9" t="s">
        <v>1823</v>
      </c>
      <c r="AK769" s="11" t="str">
        <f t="shared" si="6"/>
        <v>2020EUR</v>
      </c>
      <c r="AL769" s="11">
        <f>VLOOKUP(AK769, Exchange_rates!$C:$D, 2, FALSE)</f>
        <v>0.88970000000000005</v>
      </c>
      <c r="AM769" s="14">
        <f t="shared" si="7"/>
        <v>2443.8279600000001</v>
      </c>
      <c r="AN769" s="9"/>
      <c r="AO769" s="9"/>
      <c r="AP769" s="9"/>
      <c r="AQ769" s="15" t="s">
        <v>49</v>
      </c>
      <c r="AR769" t="s">
        <v>3016</v>
      </c>
      <c r="AS769" s="16"/>
    </row>
    <row r="770" spans="1:45" ht="14.5">
      <c r="A770" s="9" t="s">
        <v>3589</v>
      </c>
      <c r="B770" s="9" t="s">
        <v>3590</v>
      </c>
      <c r="C770" s="9" t="s">
        <v>3155</v>
      </c>
      <c r="D770" s="9" t="s">
        <v>2830</v>
      </c>
      <c r="E770" s="9" t="s">
        <v>49</v>
      </c>
      <c r="F770" s="9" t="s">
        <v>69</v>
      </c>
      <c r="G770" s="9" t="s">
        <v>70</v>
      </c>
      <c r="H770" s="9" t="s">
        <v>2878</v>
      </c>
      <c r="I770" s="9" t="s">
        <v>72</v>
      </c>
      <c r="J770" s="10"/>
      <c r="K770" s="10">
        <v>44306</v>
      </c>
      <c r="L770" s="10">
        <v>44313.438067129631</v>
      </c>
      <c r="M770" s="10">
        <v>44324</v>
      </c>
      <c r="N770" s="9">
        <v>2021</v>
      </c>
      <c r="O770" s="9" t="s">
        <v>2832</v>
      </c>
      <c r="P770" s="9" t="s">
        <v>53</v>
      </c>
      <c r="Q770" s="9" t="s">
        <v>53</v>
      </c>
      <c r="R770" s="9" t="s">
        <v>92</v>
      </c>
      <c r="T770" s="9"/>
      <c r="V770" s="9"/>
      <c r="W770" s="11">
        <f>IFERROR(VLOOKUP(B770, PlumX_snapshot!$A:$B, 2, FALSE), " ")</f>
        <v>93</v>
      </c>
      <c r="X770" s="11">
        <f>IFERROR(VLOOKUP(B770, PlumX_snapshot!$A:$C, 3, FALSE), " ")</f>
        <v>14</v>
      </c>
      <c r="Y770" s="12">
        <f>IFERROR(VLOOKUP(B770, PlumX_snapshot!$A:$D, 4, FALSE), " ")</f>
        <v>2</v>
      </c>
      <c r="Z770" s="12">
        <f>IFERROR(VLOOKUP(B770, PlumX_snapshot!$A:$E, 5, FALSE), " ")</f>
        <v>0</v>
      </c>
      <c r="AA770" s="12">
        <f>IFERROR(VLOOKUP(B770, PlumX_snapshot!$A:$F, 6, FALSE), " ")</f>
        <v>0</v>
      </c>
      <c r="AB770" s="13">
        <v>44978</v>
      </c>
      <c r="AH770" s="9">
        <v>2380</v>
      </c>
      <c r="AI770" s="9" t="s">
        <v>77</v>
      </c>
      <c r="AJ770" s="9" t="s">
        <v>1823</v>
      </c>
      <c r="AK770" s="11" t="str">
        <f t="shared" si="6"/>
        <v>2021EUR</v>
      </c>
      <c r="AL770" s="11">
        <f>VLOOKUP(AK770, Exchange_rates!$C:$D, 2, FALSE)</f>
        <v>0.8599</v>
      </c>
      <c r="AM770" s="14">
        <f t="shared" si="7"/>
        <v>2455.8743999999997</v>
      </c>
      <c r="AN770" s="9"/>
      <c r="AO770" s="9"/>
      <c r="AP770" s="9"/>
      <c r="AQ770" s="15" t="s">
        <v>49</v>
      </c>
      <c r="AR770" t="s">
        <v>3156</v>
      </c>
      <c r="AS770" s="16"/>
    </row>
    <row r="771" spans="1:45" ht="14.5">
      <c r="A771" s="9" t="s">
        <v>3591</v>
      </c>
      <c r="B771" s="9" t="s">
        <v>3592</v>
      </c>
      <c r="C771" s="9" t="s">
        <v>3593</v>
      </c>
      <c r="D771" s="9" t="s">
        <v>2830</v>
      </c>
      <c r="E771" s="9" t="s">
        <v>49</v>
      </c>
      <c r="F771" s="9" t="s">
        <v>69</v>
      </c>
      <c r="G771" s="9" t="s">
        <v>70</v>
      </c>
      <c r="H771" s="9" t="s">
        <v>2871</v>
      </c>
      <c r="I771" s="9" t="s">
        <v>72</v>
      </c>
      <c r="J771" s="10"/>
      <c r="K771" s="10"/>
      <c r="L771" s="10">
        <v>43969.559351851851</v>
      </c>
      <c r="M771" s="10">
        <v>44083</v>
      </c>
      <c r="N771" s="9">
        <v>2020</v>
      </c>
      <c r="O771" s="9" t="s">
        <v>2832</v>
      </c>
      <c r="P771" s="9" t="s">
        <v>53</v>
      </c>
      <c r="Q771" s="9" t="s">
        <v>53</v>
      </c>
      <c r="T771" s="9"/>
      <c r="V771" s="9"/>
      <c r="W771" s="11">
        <f>IFERROR(VLOOKUP(B771, PlumX_snapshot!$A:$B, 2, FALSE), " ")</f>
        <v>11</v>
      </c>
      <c r="X771" s="11">
        <f>IFERROR(VLOOKUP(B771, PlumX_snapshot!$A:$C, 3, FALSE), " ")</f>
        <v>18</v>
      </c>
      <c r="Y771" s="12">
        <f>IFERROR(VLOOKUP(B771, PlumX_snapshot!$A:$D, 4, FALSE), " ")</f>
        <v>37</v>
      </c>
      <c r="Z771" s="12">
        <f>IFERROR(VLOOKUP(B771, PlumX_snapshot!$A:$E, 5, FALSE), " ")</f>
        <v>0</v>
      </c>
      <c r="AA771" s="12">
        <f>IFERROR(VLOOKUP(B771, PlumX_snapshot!$A:$F, 6, FALSE), " ")</f>
        <v>1</v>
      </c>
      <c r="AB771" s="13">
        <v>44978</v>
      </c>
      <c r="AH771" s="9">
        <v>2289</v>
      </c>
      <c r="AI771" s="9" t="s">
        <v>77</v>
      </c>
      <c r="AJ771" s="9" t="s">
        <v>1823</v>
      </c>
      <c r="AK771" s="11" t="str">
        <f t="shared" si="6"/>
        <v>2020EUR</v>
      </c>
      <c r="AL771" s="11">
        <f>VLOOKUP(AK771, Exchange_rates!$C:$D, 2, FALSE)</f>
        <v>0.88970000000000005</v>
      </c>
      <c r="AM771" s="14">
        <f t="shared" si="7"/>
        <v>2443.8279600000001</v>
      </c>
      <c r="AN771" s="9"/>
      <c r="AO771" s="9"/>
      <c r="AP771" s="9"/>
      <c r="AQ771" s="15" t="s">
        <v>49</v>
      </c>
      <c r="AR771" t="s">
        <v>3594</v>
      </c>
      <c r="AS771" s="16"/>
    </row>
    <row r="772" spans="1:45" ht="14.5">
      <c r="A772" s="9" t="s">
        <v>3595</v>
      </c>
      <c r="B772" s="9" t="s">
        <v>3596</v>
      </c>
      <c r="C772" s="9" t="s">
        <v>3137</v>
      </c>
      <c r="D772" s="9" t="s">
        <v>2830</v>
      </c>
      <c r="E772" s="9" t="s">
        <v>49</v>
      </c>
      <c r="F772" s="9" t="s">
        <v>69</v>
      </c>
      <c r="G772" s="9" t="s">
        <v>70</v>
      </c>
      <c r="H772" s="9" t="s">
        <v>2871</v>
      </c>
      <c r="I772" s="9" t="s">
        <v>72</v>
      </c>
      <c r="J772" s="10"/>
      <c r="K772" s="10"/>
      <c r="L772" s="10">
        <v>44070.555092592593</v>
      </c>
      <c r="M772" s="10">
        <v>44085</v>
      </c>
      <c r="N772" s="9">
        <v>2020</v>
      </c>
      <c r="O772" s="9" t="s">
        <v>2832</v>
      </c>
      <c r="P772" s="9" t="s">
        <v>53</v>
      </c>
      <c r="Q772" s="9" t="s">
        <v>53</v>
      </c>
      <c r="T772" s="9"/>
      <c r="V772" s="9"/>
      <c r="W772" s="11">
        <f>IFERROR(VLOOKUP(B772, PlumX_snapshot!$A:$B, 2, FALSE), " ")</f>
        <v>22</v>
      </c>
      <c r="X772" s="11">
        <f>IFERROR(VLOOKUP(B772, PlumX_snapshot!$A:$C, 3, FALSE), " ")</f>
        <v>3</v>
      </c>
      <c r="Y772" s="12">
        <f>IFERROR(VLOOKUP(B772, PlumX_snapshot!$A:$D, 4, FALSE), " ")</f>
        <v>6</v>
      </c>
      <c r="Z772" s="12">
        <f>IFERROR(VLOOKUP(B772, PlumX_snapshot!$A:$E, 5, FALSE), " ")</f>
        <v>0</v>
      </c>
      <c r="AA772" s="12">
        <f>IFERROR(VLOOKUP(B772, PlumX_snapshot!$A:$F, 6, FALSE), " ")</f>
        <v>0</v>
      </c>
      <c r="AB772" s="13">
        <v>44978</v>
      </c>
      <c r="AH772" s="9">
        <v>2289</v>
      </c>
      <c r="AI772" s="9" t="s">
        <v>77</v>
      </c>
      <c r="AJ772" s="9" t="s">
        <v>1823</v>
      </c>
      <c r="AK772" s="11" t="str">
        <f t="shared" si="6"/>
        <v>2020EUR</v>
      </c>
      <c r="AL772" s="11">
        <f>VLOOKUP(AK772, Exchange_rates!$C:$D, 2, FALSE)</f>
        <v>0.88970000000000005</v>
      </c>
      <c r="AM772" s="14">
        <f t="shared" si="7"/>
        <v>2443.8279600000001</v>
      </c>
      <c r="AN772" s="9"/>
      <c r="AO772" s="9"/>
      <c r="AP772" s="9"/>
      <c r="AQ772" s="15" t="s">
        <v>49</v>
      </c>
      <c r="AR772" t="s">
        <v>3139</v>
      </c>
      <c r="AS772" s="16"/>
    </row>
    <row r="773" spans="1:45" ht="14.5">
      <c r="A773" s="9" t="s">
        <v>3597</v>
      </c>
      <c r="B773" s="9" t="s">
        <v>3598</v>
      </c>
      <c r="C773" s="9" t="s">
        <v>3242</v>
      </c>
      <c r="D773" s="9" t="s">
        <v>2830</v>
      </c>
      <c r="E773" s="9" t="s">
        <v>49</v>
      </c>
      <c r="F773" s="9" t="s">
        <v>69</v>
      </c>
      <c r="G773" s="9" t="s">
        <v>70</v>
      </c>
      <c r="H773" s="9" t="s">
        <v>2871</v>
      </c>
      <c r="I773" s="9" t="s">
        <v>72</v>
      </c>
      <c r="J773" s="10"/>
      <c r="K773" s="10"/>
      <c r="L773" s="10">
        <v>43873.540150462963</v>
      </c>
      <c r="M773" s="10">
        <v>43876</v>
      </c>
      <c r="N773" s="9">
        <v>2020</v>
      </c>
      <c r="O773" s="9" t="s">
        <v>2832</v>
      </c>
      <c r="P773" s="9" t="s">
        <v>53</v>
      </c>
      <c r="Q773" s="9" t="s">
        <v>53</v>
      </c>
      <c r="T773" s="9"/>
      <c r="V773" s="9"/>
      <c r="W773" s="11">
        <f>IFERROR(VLOOKUP(B773, PlumX_snapshot!$A:$B, 2, FALSE), " ")</f>
        <v>72</v>
      </c>
      <c r="X773" s="11">
        <f>IFERROR(VLOOKUP(B773, PlumX_snapshot!$A:$C, 3, FALSE), " ")</f>
        <v>26</v>
      </c>
      <c r="Y773" s="12">
        <f>IFERROR(VLOOKUP(B773, PlumX_snapshot!$A:$D, 4, FALSE), " ")</f>
        <v>61</v>
      </c>
      <c r="Z773" s="12">
        <f>IFERROR(VLOOKUP(B773, PlumX_snapshot!$A:$E, 5, FALSE), " ")</f>
        <v>0</v>
      </c>
      <c r="AA773" s="12">
        <f>IFERROR(VLOOKUP(B773, PlumX_snapshot!$A:$F, 6, FALSE), " ")</f>
        <v>0</v>
      </c>
      <c r="AB773" s="13">
        <v>44978</v>
      </c>
      <c r="AH773" s="9">
        <v>2289</v>
      </c>
      <c r="AI773" s="9" t="s">
        <v>77</v>
      </c>
      <c r="AJ773" s="9" t="s">
        <v>1823</v>
      </c>
      <c r="AK773" s="11" t="str">
        <f t="shared" si="6"/>
        <v>2020EUR</v>
      </c>
      <c r="AL773" s="11">
        <f>VLOOKUP(AK773, Exchange_rates!$C:$D, 2, FALSE)</f>
        <v>0.88970000000000005</v>
      </c>
      <c r="AM773" s="14">
        <f t="shared" si="7"/>
        <v>2443.8279600000001</v>
      </c>
      <c r="AN773" s="9"/>
      <c r="AO773" s="9"/>
      <c r="AP773" s="9"/>
      <c r="AQ773" s="15" t="s">
        <v>49</v>
      </c>
      <c r="AR773" t="s">
        <v>3243</v>
      </c>
      <c r="AS773" s="16"/>
    </row>
    <row r="774" spans="1:45" ht="14.5">
      <c r="A774" s="9" t="s">
        <v>3599</v>
      </c>
      <c r="B774" s="9" t="s">
        <v>3600</v>
      </c>
      <c r="C774" s="9" t="s">
        <v>3601</v>
      </c>
      <c r="D774" s="9" t="s">
        <v>2830</v>
      </c>
      <c r="E774" s="9" t="s">
        <v>49</v>
      </c>
      <c r="F774" s="9" t="s">
        <v>69</v>
      </c>
      <c r="G774" s="9" t="s">
        <v>70</v>
      </c>
      <c r="H774" s="9" t="s">
        <v>2878</v>
      </c>
      <c r="I774" s="9" t="s">
        <v>72</v>
      </c>
      <c r="J774" s="10">
        <v>44117</v>
      </c>
      <c r="K774" s="10">
        <v>44202</v>
      </c>
      <c r="L774" s="10">
        <v>44293.357893518521</v>
      </c>
      <c r="M774" s="10">
        <v>44321</v>
      </c>
      <c r="N774" s="9">
        <v>2021</v>
      </c>
      <c r="O774" s="9" t="s">
        <v>2832</v>
      </c>
      <c r="P774" s="9" t="s">
        <v>53</v>
      </c>
      <c r="Q774" s="9" t="s">
        <v>53</v>
      </c>
      <c r="R774" s="9" t="s">
        <v>3602</v>
      </c>
      <c r="T774" s="9"/>
      <c r="V774" s="9"/>
      <c r="W774" s="11">
        <f>IFERROR(VLOOKUP(B774, PlumX_snapshot!$A:$B, 2, FALSE), " ")</f>
        <v>27</v>
      </c>
      <c r="X774" s="11">
        <f>IFERROR(VLOOKUP(B774, PlumX_snapshot!$A:$C, 3, FALSE), " ")</f>
        <v>2</v>
      </c>
      <c r="Y774" s="12">
        <f>IFERROR(VLOOKUP(B774, PlumX_snapshot!$A:$D, 4, FALSE), " ")</f>
        <v>18</v>
      </c>
      <c r="Z774" s="12">
        <f>IFERROR(VLOOKUP(B774, PlumX_snapshot!$A:$E, 5, FALSE), " ")</f>
        <v>0</v>
      </c>
      <c r="AA774" s="12">
        <f>IFERROR(VLOOKUP(B774, PlumX_snapshot!$A:$F, 6, FALSE), " ")</f>
        <v>0</v>
      </c>
      <c r="AB774" s="13">
        <v>44978</v>
      </c>
      <c r="AH774" s="9">
        <v>2380</v>
      </c>
      <c r="AI774" s="9" t="s">
        <v>77</v>
      </c>
      <c r="AJ774" s="9" t="s">
        <v>1823</v>
      </c>
      <c r="AK774" s="11" t="str">
        <f t="shared" si="6"/>
        <v>2021EUR</v>
      </c>
      <c r="AL774" s="11">
        <f>VLOOKUP(AK774, Exchange_rates!$C:$D, 2, FALSE)</f>
        <v>0.8599</v>
      </c>
      <c r="AM774" s="14">
        <f t="shared" si="7"/>
        <v>2455.8743999999997</v>
      </c>
      <c r="AN774" s="9"/>
      <c r="AO774" s="9"/>
      <c r="AP774" s="9"/>
      <c r="AQ774" s="15" t="s">
        <v>49</v>
      </c>
      <c r="AR774" t="s">
        <v>3603</v>
      </c>
      <c r="AS774" s="16"/>
    </row>
    <row r="775" spans="1:45" ht="14.5">
      <c r="A775" s="9" t="s">
        <v>3604</v>
      </c>
      <c r="B775" s="9" t="s">
        <v>3605</v>
      </c>
      <c r="C775" s="9" t="s">
        <v>3606</v>
      </c>
      <c r="D775" s="9" t="s">
        <v>2830</v>
      </c>
      <c r="E775" s="9" t="s">
        <v>49</v>
      </c>
      <c r="F775" s="9" t="s">
        <v>69</v>
      </c>
      <c r="G775" s="9" t="s">
        <v>70</v>
      </c>
      <c r="H775" s="9" t="s">
        <v>2841</v>
      </c>
      <c r="I775" s="9" t="s">
        <v>72</v>
      </c>
      <c r="J775" s="10">
        <v>43343</v>
      </c>
      <c r="K775" s="10">
        <v>43791</v>
      </c>
      <c r="L775" s="10">
        <v>43794.542372685188</v>
      </c>
      <c r="M775" s="28">
        <v>43796</v>
      </c>
      <c r="N775" s="9">
        <v>2019</v>
      </c>
      <c r="O775" s="9" t="s">
        <v>2832</v>
      </c>
      <c r="P775" s="9" t="s">
        <v>53</v>
      </c>
      <c r="Q775" s="9" t="s">
        <v>53</v>
      </c>
      <c r="T775" s="9"/>
      <c r="V775" s="9"/>
      <c r="W775" s="11">
        <f>IFERROR(VLOOKUP(B775, PlumX_snapshot!$A:$B, 2, FALSE), " ")</f>
        <v>2</v>
      </c>
      <c r="X775" s="11">
        <f>IFERROR(VLOOKUP(B775, PlumX_snapshot!$A:$C, 3, FALSE), " ")</f>
        <v>0</v>
      </c>
      <c r="Y775" s="12">
        <f>IFERROR(VLOOKUP(B775, PlumX_snapshot!$A:$D, 4, FALSE), " ")</f>
        <v>0</v>
      </c>
      <c r="Z775" s="12">
        <f>IFERROR(VLOOKUP(B775, PlumX_snapshot!$A:$E, 5, FALSE), " ")</f>
        <v>0</v>
      </c>
      <c r="AA775" s="12">
        <f>IFERROR(VLOOKUP(B775, PlumX_snapshot!$A:$F, 6, FALSE), " ")</f>
        <v>0</v>
      </c>
      <c r="AB775" s="13">
        <v>44978</v>
      </c>
      <c r="AH775" s="9"/>
      <c r="AI775" s="9"/>
      <c r="AJ775" s="9"/>
      <c r="AK775" s="11" t="str">
        <f t="shared" si="6"/>
        <v>2019</v>
      </c>
      <c r="AL775" s="11" t="e">
        <f>VLOOKUP(AK775, Exchange_rates!$C:$D, 2, FALSE)</f>
        <v>#N/A</v>
      </c>
      <c r="AM775" s="14" t="str">
        <f t="shared" si="7"/>
        <v/>
      </c>
      <c r="AN775" s="9"/>
      <c r="AO775" s="9"/>
      <c r="AP775" s="9"/>
      <c r="AQ775" s="15" t="s">
        <v>49</v>
      </c>
      <c r="AR775" t="s">
        <v>3607</v>
      </c>
      <c r="AS775" s="16"/>
    </row>
    <row r="776" spans="1:45" ht="14.5">
      <c r="A776" s="9" t="s">
        <v>3608</v>
      </c>
      <c r="B776" s="9" t="s">
        <v>3609</v>
      </c>
      <c r="C776" s="9" t="s">
        <v>3610</v>
      </c>
      <c r="D776" s="9" t="s">
        <v>2830</v>
      </c>
      <c r="E776" s="9" t="s">
        <v>49</v>
      </c>
      <c r="F776" s="9" t="s">
        <v>69</v>
      </c>
      <c r="G776" s="9" t="s">
        <v>70</v>
      </c>
      <c r="H776" s="9" t="s">
        <v>2871</v>
      </c>
      <c r="I776" s="9" t="s">
        <v>72</v>
      </c>
      <c r="J776" s="10">
        <v>43796</v>
      </c>
      <c r="K776" s="10">
        <v>43951</v>
      </c>
      <c r="L776" s="10">
        <v>43957.561331018522</v>
      </c>
      <c r="M776" s="10">
        <v>43979</v>
      </c>
      <c r="N776" s="9">
        <v>2020</v>
      </c>
      <c r="O776" s="9" t="s">
        <v>2832</v>
      </c>
      <c r="P776" s="9" t="s">
        <v>53</v>
      </c>
      <c r="Q776" s="9" t="s">
        <v>53</v>
      </c>
      <c r="T776" s="9"/>
      <c r="V776" s="9"/>
      <c r="W776" s="11">
        <f>IFERROR(VLOOKUP(B776, PlumX_snapshot!$A:$B, 2, FALSE), " ")</f>
        <v>3</v>
      </c>
      <c r="X776" s="11">
        <f>IFERROR(VLOOKUP(B776, PlumX_snapshot!$A:$C, 3, FALSE), " ")</f>
        <v>0</v>
      </c>
      <c r="Y776" s="12">
        <f>IFERROR(VLOOKUP(B776, PlumX_snapshot!$A:$D, 4, FALSE), " ")</f>
        <v>0</v>
      </c>
      <c r="Z776" s="12">
        <f>IFERROR(VLOOKUP(B776, PlumX_snapshot!$A:$E, 5, FALSE), " ")</f>
        <v>0</v>
      </c>
      <c r="AA776" s="12">
        <f>IFERROR(VLOOKUP(B776, PlumX_snapshot!$A:$F, 6, FALSE), " ")</f>
        <v>0</v>
      </c>
      <c r="AB776" s="13">
        <v>44978</v>
      </c>
      <c r="AH776" s="9">
        <v>2289</v>
      </c>
      <c r="AI776" s="9" t="s">
        <v>77</v>
      </c>
      <c r="AJ776" s="9" t="s">
        <v>1823</v>
      </c>
      <c r="AK776" s="11" t="str">
        <f t="shared" si="6"/>
        <v>2020EUR</v>
      </c>
      <c r="AL776" s="11">
        <f>VLOOKUP(AK776, Exchange_rates!$C:$D, 2, FALSE)</f>
        <v>0.88970000000000005</v>
      </c>
      <c r="AM776" s="14">
        <f t="shared" si="7"/>
        <v>2443.8279600000001</v>
      </c>
      <c r="AN776" s="9"/>
      <c r="AO776" s="9"/>
      <c r="AP776" s="9"/>
      <c r="AQ776" s="15" t="s">
        <v>49</v>
      </c>
      <c r="AR776" t="s">
        <v>3611</v>
      </c>
      <c r="AS776" s="16"/>
    </row>
    <row r="777" spans="1:45" ht="14.5">
      <c r="A777" s="9" t="s">
        <v>3612</v>
      </c>
      <c r="B777" s="9" t="s">
        <v>3613</v>
      </c>
      <c r="C777" s="9" t="s">
        <v>3614</v>
      </c>
      <c r="D777" s="9" t="s">
        <v>2830</v>
      </c>
      <c r="E777" s="9" t="s">
        <v>49</v>
      </c>
      <c r="F777" s="9" t="s">
        <v>69</v>
      </c>
      <c r="G777" s="9" t="s">
        <v>70</v>
      </c>
      <c r="H777" s="9" t="s">
        <v>2878</v>
      </c>
      <c r="I777" s="9" t="s">
        <v>72</v>
      </c>
      <c r="J777" s="10"/>
      <c r="K777" s="10">
        <v>44282</v>
      </c>
      <c r="L777" s="10">
        <v>44293.412627314814</v>
      </c>
      <c r="M777" s="10">
        <v>44302</v>
      </c>
      <c r="N777" s="9">
        <v>2021</v>
      </c>
      <c r="O777" s="9" t="s">
        <v>2832</v>
      </c>
      <c r="P777" s="9" t="s">
        <v>53</v>
      </c>
      <c r="Q777" s="9" t="s">
        <v>53</v>
      </c>
      <c r="R777" s="9" t="s">
        <v>92</v>
      </c>
      <c r="T777" s="9"/>
      <c r="V777" s="9"/>
      <c r="W777" s="11">
        <f>IFERROR(VLOOKUP(B777, PlumX_snapshot!$A:$B, 2, FALSE), " ")</f>
        <v>0</v>
      </c>
      <c r="X777" s="11">
        <f>IFERROR(VLOOKUP(B777, PlumX_snapshot!$A:$C, 3, FALSE), " ")</f>
        <v>0</v>
      </c>
      <c r="Y777" s="12">
        <f>IFERROR(VLOOKUP(B777, PlumX_snapshot!$A:$D, 4, FALSE), " ")</f>
        <v>3</v>
      </c>
      <c r="Z777" s="12">
        <f>IFERROR(VLOOKUP(B777, PlumX_snapshot!$A:$E, 5, FALSE), " ")</f>
        <v>0</v>
      </c>
      <c r="AA777" s="12">
        <f>IFERROR(VLOOKUP(B777, PlumX_snapshot!$A:$F, 6, FALSE), " ")</f>
        <v>0</v>
      </c>
      <c r="AB777" s="13">
        <v>44978</v>
      </c>
      <c r="AH777" s="9">
        <v>2380</v>
      </c>
      <c r="AI777" s="9" t="s">
        <v>77</v>
      </c>
      <c r="AJ777" s="9" t="s">
        <v>1823</v>
      </c>
      <c r="AK777" s="11" t="str">
        <f t="shared" si="6"/>
        <v>2021EUR</v>
      </c>
      <c r="AL777" s="11">
        <f>VLOOKUP(AK777, Exchange_rates!$C:$D, 2, FALSE)</f>
        <v>0.8599</v>
      </c>
      <c r="AM777" s="14">
        <f t="shared" si="7"/>
        <v>2455.8743999999997</v>
      </c>
      <c r="AN777" s="9"/>
      <c r="AO777" s="9"/>
      <c r="AP777" s="9"/>
      <c r="AQ777" s="15" t="s">
        <v>49</v>
      </c>
      <c r="AR777" t="s">
        <v>3615</v>
      </c>
      <c r="AS777" s="16"/>
    </row>
    <row r="778" spans="1:45" ht="14.5">
      <c r="A778" s="9" t="s">
        <v>3616</v>
      </c>
      <c r="B778" s="9" t="s">
        <v>3617</v>
      </c>
      <c r="C778" s="9" t="s">
        <v>3618</v>
      </c>
      <c r="D778" s="9" t="s">
        <v>2830</v>
      </c>
      <c r="E778" s="9" t="s">
        <v>49</v>
      </c>
      <c r="F778" s="9" t="s">
        <v>69</v>
      </c>
      <c r="G778" s="9" t="s">
        <v>70</v>
      </c>
      <c r="H778" s="9" t="s">
        <v>2878</v>
      </c>
      <c r="I778" s="9" t="s">
        <v>72</v>
      </c>
      <c r="J778" s="10">
        <v>43959</v>
      </c>
      <c r="K778" s="10">
        <v>44203</v>
      </c>
      <c r="L778" s="10">
        <v>44217.38071759259</v>
      </c>
      <c r="M778" s="10">
        <v>44238</v>
      </c>
      <c r="N778" s="9">
        <v>2021</v>
      </c>
      <c r="O778" s="9" t="s">
        <v>2832</v>
      </c>
      <c r="P778" s="9" t="s">
        <v>53</v>
      </c>
      <c r="Q778" s="9" t="s">
        <v>53</v>
      </c>
      <c r="R778" s="9" t="s">
        <v>3619</v>
      </c>
      <c r="T778" s="9"/>
      <c r="V778" s="9"/>
      <c r="W778" s="11">
        <f>IFERROR(VLOOKUP(B778, PlumX_snapshot!$A:$B, 2, FALSE), " ")</f>
        <v>59</v>
      </c>
      <c r="X778" s="11">
        <f>IFERROR(VLOOKUP(B778, PlumX_snapshot!$A:$C, 3, FALSE), " ")</f>
        <v>4</v>
      </c>
      <c r="Y778" s="12">
        <f>IFERROR(VLOOKUP(B778, PlumX_snapshot!$A:$D, 4, FALSE), " ")</f>
        <v>0</v>
      </c>
      <c r="Z778" s="12">
        <f>IFERROR(VLOOKUP(B778, PlumX_snapshot!$A:$E, 5, FALSE), " ")</f>
        <v>0</v>
      </c>
      <c r="AA778" s="12">
        <f>IFERROR(VLOOKUP(B778, PlumX_snapshot!$A:$F, 6, FALSE), " ")</f>
        <v>0</v>
      </c>
      <c r="AB778" s="13">
        <v>44978</v>
      </c>
      <c r="AH778" s="9">
        <v>2380</v>
      </c>
      <c r="AI778" s="9" t="s">
        <v>77</v>
      </c>
      <c r="AJ778" s="9" t="s">
        <v>1823</v>
      </c>
      <c r="AK778" s="11" t="str">
        <f t="shared" si="6"/>
        <v>2021EUR</v>
      </c>
      <c r="AL778" s="11">
        <f>VLOOKUP(AK778, Exchange_rates!$C:$D, 2, FALSE)</f>
        <v>0.8599</v>
      </c>
      <c r="AM778" s="14">
        <f t="shared" si="7"/>
        <v>2455.8743999999997</v>
      </c>
      <c r="AN778" s="9"/>
      <c r="AO778" s="9"/>
      <c r="AP778" s="9"/>
      <c r="AQ778" s="15" t="s">
        <v>49</v>
      </c>
      <c r="AR778" t="s">
        <v>3620</v>
      </c>
      <c r="AS778" s="16"/>
    </row>
    <row r="779" spans="1:45" ht="14.5">
      <c r="A779" s="9" t="s">
        <v>3621</v>
      </c>
      <c r="B779" s="9" t="s">
        <v>3622</v>
      </c>
      <c r="C779" s="9" t="s">
        <v>3623</v>
      </c>
      <c r="D779" s="9" t="s">
        <v>2830</v>
      </c>
      <c r="E779" s="9" t="s">
        <v>49</v>
      </c>
      <c r="F779" s="9" t="s">
        <v>69</v>
      </c>
      <c r="G779" s="9" t="s">
        <v>70</v>
      </c>
      <c r="H779" s="9" t="s">
        <v>2878</v>
      </c>
      <c r="I779" s="9" t="s">
        <v>72</v>
      </c>
      <c r="J779" s="10">
        <v>44147</v>
      </c>
      <c r="K779" s="10">
        <v>44267</v>
      </c>
      <c r="L779" s="10">
        <v>44277.39634259259</v>
      </c>
      <c r="M779" s="10">
        <v>44280</v>
      </c>
      <c r="N779" s="9">
        <v>2021</v>
      </c>
      <c r="O779" s="9" t="s">
        <v>2832</v>
      </c>
      <c r="P779" s="9" t="s">
        <v>53</v>
      </c>
      <c r="Q779" s="9" t="s">
        <v>53</v>
      </c>
      <c r="R779" s="9" t="s">
        <v>3624</v>
      </c>
      <c r="T779" s="9"/>
      <c r="V779" s="9"/>
      <c r="W779" s="11">
        <f>IFERROR(VLOOKUP(B779, PlumX_snapshot!$A:$B, 2, FALSE), " ")</f>
        <v>1</v>
      </c>
      <c r="X779" s="11">
        <f>IFERROR(VLOOKUP(B779, PlumX_snapshot!$A:$C, 3, FALSE), " ")</f>
        <v>0</v>
      </c>
      <c r="Y779" s="12">
        <f>IFERROR(VLOOKUP(B779, PlumX_snapshot!$A:$D, 4, FALSE), " ")</f>
        <v>1</v>
      </c>
      <c r="Z779" s="12">
        <f>IFERROR(VLOOKUP(B779, PlumX_snapshot!$A:$E, 5, FALSE), " ")</f>
        <v>0</v>
      </c>
      <c r="AA779" s="12">
        <f>IFERROR(VLOOKUP(B779, PlumX_snapshot!$A:$F, 6, FALSE), " ")</f>
        <v>0</v>
      </c>
      <c r="AB779" s="13">
        <v>44978</v>
      </c>
      <c r="AH779" s="9">
        <v>2380</v>
      </c>
      <c r="AI779" s="9" t="s">
        <v>77</v>
      </c>
      <c r="AJ779" s="9" t="s">
        <v>1823</v>
      </c>
      <c r="AK779" s="11" t="str">
        <f t="shared" si="6"/>
        <v>2021EUR</v>
      </c>
      <c r="AL779" s="11">
        <f>VLOOKUP(AK779, Exchange_rates!$C:$D, 2, FALSE)</f>
        <v>0.8599</v>
      </c>
      <c r="AM779" s="14">
        <f t="shared" si="7"/>
        <v>2455.8743999999997</v>
      </c>
      <c r="AN779" s="9"/>
      <c r="AO779" s="9"/>
      <c r="AP779" s="9"/>
      <c r="AQ779" s="15" t="s">
        <v>49</v>
      </c>
      <c r="AR779" t="s">
        <v>3625</v>
      </c>
      <c r="AS779" s="16"/>
    </row>
    <row r="780" spans="1:45" ht="14.5">
      <c r="A780" s="9" t="s">
        <v>3626</v>
      </c>
      <c r="B780" s="9" t="s">
        <v>3627</v>
      </c>
      <c r="C780" s="9" t="s">
        <v>3628</v>
      </c>
      <c r="D780" s="9" t="s">
        <v>2830</v>
      </c>
      <c r="E780" s="9" t="s">
        <v>49</v>
      </c>
      <c r="F780" s="9" t="s">
        <v>69</v>
      </c>
      <c r="G780" s="9" t="s">
        <v>70</v>
      </c>
      <c r="H780" s="9" t="s">
        <v>2871</v>
      </c>
      <c r="I780" s="9" t="s">
        <v>72</v>
      </c>
      <c r="J780" s="10"/>
      <c r="K780" s="10">
        <v>44113</v>
      </c>
      <c r="L780" s="10">
        <v>44116.578125</v>
      </c>
      <c r="M780" s="28">
        <v>44154</v>
      </c>
      <c r="N780" s="9">
        <v>2020</v>
      </c>
      <c r="O780" s="9" t="s">
        <v>2832</v>
      </c>
      <c r="P780" s="9" t="s">
        <v>53</v>
      </c>
      <c r="Q780" s="9" t="s">
        <v>53</v>
      </c>
      <c r="T780" s="9"/>
      <c r="V780" s="9"/>
      <c r="W780" s="11">
        <f>IFERROR(VLOOKUP(B780, PlumX_snapshot!$A:$B, 2, FALSE), " ")</f>
        <v>28</v>
      </c>
      <c r="X780" s="11">
        <f>IFERROR(VLOOKUP(B780, PlumX_snapshot!$A:$C, 3, FALSE), " ")</f>
        <v>53</v>
      </c>
      <c r="Y780" s="12">
        <f>IFERROR(VLOOKUP(B780, PlumX_snapshot!$A:$D, 4, FALSE), " ")</f>
        <v>3</v>
      </c>
      <c r="Z780" s="12">
        <f>IFERROR(VLOOKUP(B780, PlumX_snapshot!$A:$E, 5, FALSE), " ")</f>
        <v>0</v>
      </c>
      <c r="AA780" s="12">
        <f>IFERROR(VLOOKUP(B780, PlumX_snapshot!$A:$F, 6, FALSE), " ")</f>
        <v>0</v>
      </c>
      <c r="AB780" s="13">
        <v>44978</v>
      </c>
      <c r="AH780" s="9">
        <v>2289</v>
      </c>
      <c r="AI780" s="9" t="s">
        <v>77</v>
      </c>
      <c r="AJ780" s="9" t="s">
        <v>1823</v>
      </c>
      <c r="AK780" s="11" t="str">
        <f t="shared" si="6"/>
        <v>2020EUR</v>
      </c>
      <c r="AL780" s="11">
        <f>VLOOKUP(AK780, Exchange_rates!$C:$D, 2, FALSE)</f>
        <v>0.88970000000000005</v>
      </c>
      <c r="AM780" s="14">
        <f t="shared" si="7"/>
        <v>2443.8279600000001</v>
      </c>
      <c r="AN780" s="9"/>
      <c r="AO780" s="9"/>
      <c r="AP780" s="9"/>
      <c r="AQ780" s="15" t="s">
        <v>49</v>
      </c>
      <c r="AR780" t="s">
        <v>3629</v>
      </c>
      <c r="AS780" s="16"/>
    </row>
    <row r="781" spans="1:45" ht="14.5">
      <c r="A781" s="9" t="s">
        <v>3630</v>
      </c>
      <c r="B781" s="9" t="s">
        <v>3631</v>
      </c>
      <c r="C781" s="9" t="s">
        <v>3455</v>
      </c>
      <c r="D781" s="9" t="s">
        <v>2830</v>
      </c>
      <c r="E781" s="9" t="s">
        <v>49</v>
      </c>
      <c r="F781" s="9" t="s">
        <v>69</v>
      </c>
      <c r="G781" s="9" t="s">
        <v>70</v>
      </c>
      <c r="H781" s="9" t="s">
        <v>2871</v>
      </c>
      <c r="I781" s="9" t="s">
        <v>72</v>
      </c>
      <c r="J781" s="10">
        <v>43560</v>
      </c>
      <c r="K781" s="10">
        <v>44170</v>
      </c>
      <c r="L781" s="10">
        <v>44176.671261574076</v>
      </c>
      <c r="M781" s="28">
        <v>44184</v>
      </c>
      <c r="N781" s="9">
        <v>2020</v>
      </c>
      <c r="O781" s="9" t="s">
        <v>2832</v>
      </c>
      <c r="P781" s="9" t="s">
        <v>53</v>
      </c>
      <c r="Q781" s="9" t="s">
        <v>53</v>
      </c>
      <c r="T781" s="9"/>
      <c r="V781" s="9"/>
      <c r="W781" s="11">
        <f>IFERROR(VLOOKUP(B781, PlumX_snapshot!$A:$B, 2, FALSE), " ")</f>
        <v>120</v>
      </c>
      <c r="X781" s="11">
        <f>IFERROR(VLOOKUP(B781, PlumX_snapshot!$A:$C, 3, FALSE), " ")</f>
        <v>14</v>
      </c>
      <c r="Y781" s="12">
        <f>IFERROR(VLOOKUP(B781, PlumX_snapshot!$A:$D, 4, FALSE), " ")</f>
        <v>13</v>
      </c>
      <c r="Z781" s="12">
        <f>IFERROR(VLOOKUP(B781, PlumX_snapshot!$A:$E, 5, FALSE), " ")</f>
        <v>0</v>
      </c>
      <c r="AA781" s="12">
        <f>IFERROR(VLOOKUP(B781, PlumX_snapshot!$A:$F, 6, FALSE), " ")</f>
        <v>4</v>
      </c>
      <c r="AB781" s="13">
        <v>44978</v>
      </c>
      <c r="AH781" s="9">
        <v>2289</v>
      </c>
      <c r="AI781" s="9" t="s">
        <v>77</v>
      </c>
      <c r="AJ781" s="9" t="s">
        <v>1823</v>
      </c>
      <c r="AK781" s="11" t="str">
        <f t="shared" si="6"/>
        <v>2020EUR</v>
      </c>
      <c r="AL781" s="11">
        <f>VLOOKUP(AK781, Exchange_rates!$C:$D, 2, FALSE)</f>
        <v>0.88970000000000005</v>
      </c>
      <c r="AM781" s="14">
        <f t="shared" si="7"/>
        <v>2443.8279600000001</v>
      </c>
      <c r="AN781" s="9"/>
      <c r="AO781" s="9"/>
      <c r="AP781" s="9"/>
      <c r="AQ781" s="15" t="s">
        <v>49</v>
      </c>
      <c r="AR781" t="s">
        <v>3456</v>
      </c>
      <c r="AS781" s="16"/>
    </row>
    <row r="782" spans="1:45" ht="14.5">
      <c r="A782" s="9" t="s">
        <v>3632</v>
      </c>
      <c r="B782" s="9" t="s">
        <v>3633</v>
      </c>
      <c r="C782" s="9" t="s">
        <v>2903</v>
      </c>
      <c r="D782" s="9" t="s">
        <v>2830</v>
      </c>
      <c r="E782" s="9" t="s">
        <v>49</v>
      </c>
      <c r="F782" s="9" t="s">
        <v>69</v>
      </c>
      <c r="G782" s="9" t="s">
        <v>70</v>
      </c>
      <c r="H782" s="9" t="s">
        <v>2841</v>
      </c>
      <c r="I782" s="9" t="s">
        <v>72</v>
      </c>
      <c r="J782" s="10"/>
      <c r="K782" s="10"/>
      <c r="L782" s="10">
        <v>43817.602268518516</v>
      </c>
      <c r="M782" s="28">
        <v>43819</v>
      </c>
      <c r="N782" s="9">
        <v>2019</v>
      </c>
      <c r="O782" s="9" t="s">
        <v>2832</v>
      </c>
      <c r="P782" s="9" t="s">
        <v>53</v>
      </c>
      <c r="Q782" s="9" t="s">
        <v>53</v>
      </c>
      <c r="T782" s="9"/>
      <c r="V782" s="9"/>
      <c r="W782" s="11">
        <f>IFERROR(VLOOKUP(B782, PlumX_snapshot!$A:$B, 2, FALSE), " ")</f>
        <v>89</v>
      </c>
      <c r="X782" s="11">
        <f>IFERROR(VLOOKUP(B782, PlumX_snapshot!$A:$C, 3, FALSE), " ")</f>
        <v>7</v>
      </c>
      <c r="Y782" s="12">
        <f>IFERROR(VLOOKUP(B782, PlumX_snapshot!$A:$D, 4, FALSE), " ")</f>
        <v>13</v>
      </c>
      <c r="Z782" s="12">
        <f>IFERROR(VLOOKUP(B782, PlumX_snapshot!$A:$E, 5, FALSE), " ")</f>
        <v>0</v>
      </c>
      <c r="AA782" s="12">
        <f>IFERROR(VLOOKUP(B782, PlumX_snapshot!$A:$F, 6, FALSE), " ")</f>
        <v>2</v>
      </c>
      <c r="AB782" s="13">
        <v>44978</v>
      </c>
      <c r="AH782" s="9"/>
      <c r="AI782" s="9"/>
      <c r="AJ782" s="9"/>
      <c r="AK782" s="11" t="str">
        <f t="shared" si="6"/>
        <v>2019</v>
      </c>
      <c r="AL782" s="11" t="e">
        <f>VLOOKUP(AK782, Exchange_rates!$C:$D, 2, FALSE)</f>
        <v>#N/A</v>
      </c>
      <c r="AM782" s="14" t="str">
        <f t="shared" si="7"/>
        <v/>
      </c>
      <c r="AN782" s="9"/>
      <c r="AO782" s="9"/>
      <c r="AP782" s="9"/>
      <c r="AQ782" s="15" t="s">
        <v>49</v>
      </c>
      <c r="AR782" t="s">
        <v>2904</v>
      </c>
      <c r="AS782" s="16"/>
    </row>
    <row r="783" spans="1:45" ht="14.5">
      <c r="A783" s="9" t="s">
        <v>3634</v>
      </c>
      <c r="B783" s="9" t="s">
        <v>3635</v>
      </c>
      <c r="C783" s="9" t="s">
        <v>3636</v>
      </c>
      <c r="D783" s="9" t="s">
        <v>2830</v>
      </c>
      <c r="E783" s="9" t="s">
        <v>49</v>
      </c>
      <c r="F783" s="9" t="s">
        <v>69</v>
      </c>
      <c r="G783" s="9" t="s">
        <v>70</v>
      </c>
      <c r="H783" s="9" t="s">
        <v>2871</v>
      </c>
      <c r="I783" s="9" t="s">
        <v>72</v>
      </c>
      <c r="J783" s="10">
        <v>43878</v>
      </c>
      <c r="K783" s="10">
        <v>44151</v>
      </c>
      <c r="L783" s="10">
        <v>44152.652291666665</v>
      </c>
      <c r="M783" s="28">
        <v>44183</v>
      </c>
      <c r="N783" s="9">
        <v>2020</v>
      </c>
      <c r="O783" s="9" t="s">
        <v>2832</v>
      </c>
      <c r="P783" s="9" t="s">
        <v>53</v>
      </c>
      <c r="Q783" s="9" t="s">
        <v>53</v>
      </c>
      <c r="T783" s="9"/>
      <c r="V783" s="9"/>
      <c r="W783" s="11">
        <f>IFERROR(VLOOKUP(B783, PlumX_snapshot!$A:$B, 2, FALSE), " ")</f>
        <v>3</v>
      </c>
      <c r="X783" s="11">
        <f>IFERROR(VLOOKUP(B783, PlumX_snapshot!$A:$C, 3, FALSE), " ")</f>
        <v>2</v>
      </c>
      <c r="Y783" s="12">
        <f>IFERROR(VLOOKUP(B783, PlumX_snapshot!$A:$D, 4, FALSE), " ")</f>
        <v>0</v>
      </c>
      <c r="Z783" s="12">
        <f>IFERROR(VLOOKUP(B783, PlumX_snapshot!$A:$E, 5, FALSE), " ")</f>
        <v>0</v>
      </c>
      <c r="AA783" s="12">
        <f>IFERROR(VLOOKUP(B783, PlumX_snapshot!$A:$F, 6, FALSE), " ")</f>
        <v>0</v>
      </c>
      <c r="AB783" s="13">
        <v>44978</v>
      </c>
      <c r="AH783" s="9">
        <v>2289</v>
      </c>
      <c r="AI783" s="9" t="s">
        <v>77</v>
      </c>
      <c r="AJ783" s="9" t="s">
        <v>1823</v>
      </c>
      <c r="AK783" s="11" t="str">
        <f t="shared" si="6"/>
        <v>2020EUR</v>
      </c>
      <c r="AL783" s="11">
        <f>VLOOKUP(AK783, Exchange_rates!$C:$D, 2, FALSE)</f>
        <v>0.88970000000000005</v>
      </c>
      <c r="AM783" s="14">
        <f t="shared" si="7"/>
        <v>2443.8279600000001</v>
      </c>
      <c r="AN783" s="9"/>
      <c r="AO783" s="9"/>
      <c r="AP783" s="9"/>
      <c r="AQ783" s="15" t="s">
        <v>49</v>
      </c>
      <c r="AR783" t="s">
        <v>3637</v>
      </c>
      <c r="AS783" s="16"/>
    </row>
    <row r="784" spans="1:45" ht="14.5">
      <c r="A784" s="9" t="s">
        <v>3638</v>
      </c>
      <c r="B784" s="9" t="s">
        <v>3639</v>
      </c>
      <c r="C784" s="9" t="s">
        <v>3640</v>
      </c>
      <c r="D784" s="9" t="s">
        <v>2830</v>
      </c>
      <c r="E784" s="9" t="s">
        <v>49</v>
      </c>
      <c r="F784" s="9" t="s">
        <v>69</v>
      </c>
      <c r="G784" s="9" t="s">
        <v>70</v>
      </c>
      <c r="H784" s="9" t="s">
        <v>2878</v>
      </c>
      <c r="I784" s="9" t="s">
        <v>72</v>
      </c>
      <c r="J784" s="10"/>
      <c r="K784" s="10">
        <v>44180</v>
      </c>
      <c r="L784" s="10">
        <v>44201.418437499997</v>
      </c>
      <c r="M784" s="10">
        <v>44209</v>
      </c>
      <c r="N784" s="9">
        <v>2021</v>
      </c>
      <c r="O784" s="9" t="s">
        <v>2832</v>
      </c>
      <c r="P784" s="9" t="s">
        <v>53</v>
      </c>
      <c r="Q784" s="9" t="s">
        <v>53</v>
      </c>
      <c r="R784" s="9" t="s">
        <v>3641</v>
      </c>
      <c r="T784" s="9"/>
      <c r="V784" s="9"/>
      <c r="W784" s="11">
        <f>IFERROR(VLOOKUP(B784, PlumX_snapshot!$A:$B, 2, FALSE), " ")</f>
        <v>5</v>
      </c>
      <c r="X784" s="11">
        <f>IFERROR(VLOOKUP(B784, PlumX_snapshot!$A:$C, 3, FALSE), " ")</f>
        <v>2</v>
      </c>
      <c r="Y784" s="12">
        <f>IFERROR(VLOOKUP(B784, PlumX_snapshot!$A:$D, 4, FALSE), " ")</f>
        <v>73</v>
      </c>
      <c r="Z784" s="12">
        <f>IFERROR(VLOOKUP(B784, PlumX_snapshot!$A:$E, 5, FALSE), " ")</f>
        <v>0</v>
      </c>
      <c r="AA784" s="12">
        <f>IFERROR(VLOOKUP(B784, PlumX_snapshot!$A:$F, 6, FALSE), " ")</f>
        <v>0</v>
      </c>
      <c r="AB784" s="13">
        <v>44978</v>
      </c>
      <c r="AH784" s="9">
        <v>2289</v>
      </c>
      <c r="AI784" s="9" t="s">
        <v>77</v>
      </c>
      <c r="AJ784" s="9" t="s">
        <v>1823</v>
      </c>
      <c r="AK784" s="11" t="str">
        <f t="shared" si="6"/>
        <v>2021EUR</v>
      </c>
      <c r="AL784" s="11">
        <f>VLOOKUP(AK784, Exchange_rates!$C:$D, 2, FALSE)</f>
        <v>0.8599</v>
      </c>
      <c r="AM784" s="14">
        <f t="shared" si="7"/>
        <v>2361.9733199999996</v>
      </c>
      <c r="AN784" s="9"/>
      <c r="AO784" s="9"/>
      <c r="AP784" s="9"/>
      <c r="AQ784" s="15" t="s">
        <v>49</v>
      </c>
      <c r="AR784" t="s">
        <v>3642</v>
      </c>
      <c r="AS784" s="16"/>
    </row>
    <row r="785" spans="1:45" ht="14.5">
      <c r="A785" s="9" t="s">
        <v>3643</v>
      </c>
      <c r="B785" s="9" t="s">
        <v>3644</v>
      </c>
      <c r="C785" s="9" t="s">
        <v>2877</v>
      </c>
      <c r="D785" s="9" t="s">
        <v>2830</v>
      </c>
      <c r="E785" s="9" t="s">
        <v>49</v>
      </c>
      <c r="F785" s="9" t="s">
        <v>69</v>
      </c>
      <c r="G785" s="9" t="s">
        <v>70</v>
      </c>
      <c r="H785" s="9" t="s">
        <v>2878</v>
      </c>
      <c r="I785" s="9" t="s">
        <v>72</v>
      </c>
      <c r="J785" s="10">
        <v>43955</v>
      </c>
      <c r="K785" s="10">
        <v>44177</v>
      </c>
      <c r="L785" s="10">
        <v>44200.486458333333</v>
      </c>
      <c r="M785" s="10">
        <v>44212</v>
      </c>
      <c r="N785" s="9">
        <v>2021</v>
      </c>
      <c r="O785" s="9" t="s">
        <v>2832</v>
      </c>
      <c r="P785" s="9" t="s">
        <v>53</v>
      </c>
      <c r="Q785" s="9" t="s">
        <v>53</v>
      </c>
      <c r="R785" s="9" t="s">
        <v>92</v>
      </c>
      <c r="T785" s="9"/>
      <c r="V785" s="9"/>
      <c r="W785" s="11">
        <f>IFERROR(VLOOKUP(B785, PlumX_snapshot!$A:$B, 2, FALSE), " ")</f>
        <v>20</v>
      </c>
      <c r="X785" s="11">
        <f>IFERROR(VLOOKUP(B785, PlumX_snapshot!$A:$C, 3, FALSE), " ")</f>
        <v>6</v>
      </c>
      <c r="Y785" s="12">
        <f>IFERROR(VLOOKUP(B785, PlumX_snapshot!$A:$D, 4, FALSE), " ")</f>
        <v>11</v>
      </c>
      <c r="Z785" s="12">
        <f>IFERROR(VLOOKUP(B785, PlumX_snapshot!$A:$E, 5, FALSE), " ")</f>
        <v>0</v>
      </c>
      <c r="AA785" s="12">
        <f>IFERROR(VLOOKUP(B785, PlumX_snapshot!$A:$F, 6, FALSE), " ")</f>
        <v>0</v>
      </c>
      <c r="AB785" s="13">
        <v>44978</v>
      </c>
      <c r="AH785" s="9">
        <v>2289</v>
      </c>
      <c r="AI785" s="9" t="s">
        <v>77</v>
      </c>
      <c r="AJ785" s="9" t="s">
        <v>1823</v>
      </c>
      <c r="AK785" s="11" t="str">
        <f t="shared" si="6"/>
        <v>2021EUR</v>
      </c>
      <c r="AL785" s="11">
        <f>VLOOKUP(AK785, Exchange_rates!$C:$D, 2, FALSE)</f>
        <v>0.8599</v>
      </c>
      <c r="AM785" s="14">
        <f t="shared" si="7"/>
        <v>2361.9733199999996</v>
      </c>
      <c r="AN785" s="9"/>
      <c r="AO785" s="9"/>
      <c r="AP785" s="9"/>
      <c r="AQ785" s="15" t="s">
        <v>49</v>
      </c>
      <c r="AR785" t="s">
        <v>2879</v>
      </c>
      <c r="AS785" s="16"/>
    </row>
    <row r="786" spans="1:45" ht="14.5">
      <c r="A786" s="9" t="s">
        <v>3645</v>
      </c>
      <c r="B786" s="9" t="s">
        <v>3646</v>
      </c>
      <c r="C786" s="9" t="s">
        <v>3015</v>
      </c>
      <c r="D786" s="9" t="s">
        <v>2830</v>
      </c>
      <c r="E786" s="9" t="s">
        <v>49</v>
      </c>
      <c r="F786" s="9" t="s">
        <v>69</v>
      </c>
      <c r="G786" s="9" t="s">
        <v>70</v>
      </c>
      <c r="H786" s="9" t="s">
        <v>2878</v>
      </c>
      <c r="I786" s="9" t="s">
        <v>72</v>
      </c>
      <c r="J786" s="10">
        <v>43898</v>
      </c>
      <c r="K786" s="10">
        <v>44245</v>
      </c>
      <c r="L786" s="10">
        <v>44274.541331018518</v>
      </c>
      <c r="M786" s="10">
        <v>44280</v>
      </c>
      <c r="N786" s="9">
        <v>2021</v>
      </c>
      <c r="O786" s="9" t="s">
        <v>2832</v>
      </c>
      <c r="P786" s="9" t="s">
        <v>53</v>
      </c>
      <c r="Q786" s="9" t="s">
        <v>53</v>
      </c>
      <c r="R786" s="9" t="s">
        <v>3647</v>
      </c>
      <c r="T786" s="9"/>
      <c r="V786" s="9"/>
      <c r="W786" s="11">
        <f>IFERROR(VLOOKUP(B786, PlumX_snapshot!$A:$B, 2, FALSE), " ")</f>
        <v>5</v>
      </c>
      <c r="X786" s="11">
        <f>IFERROR(VLOOKUP(B786, PlumX_snapshot!$A:$C, 3, FALSE), " ")</f>
        <v>1</v>
      </c>
      <c r="Y786" s="12">
        <f>IFERROR(VLOOKUP(B786, PlumX_snapshot!$A:$D, 4, FALSE), " ")</f>
        <v>8</v>
      </c>
      <c r="Z786" s="12">
        <f>IFERROR(VLOOKUP(B786, PlumX_snapshot!$A:$E, 5, FALSE), " ")</f>
        <v>0</v>
      </c>
      <c r="AA786" s="12">
        <f>IFERROR(VLOOKUP(B786, PlumX_snapshot!$A:$F, 6, FALSE), " ")</f>
        <v>0</v>
      </c>
      <c r="AB786" s="13">
        <v>44978</v>
      </c>
      <c r="AH786" s="9">
        <v>2380</v>
      </c>
      <c r="AI786" s="9" t="s">
        <v>77</v>
      </c>
      <c r="AJ786" s="9" t="s">
        <v>1823</v>
      </c>
      <c r="AK786" s="11" t="str">
        <f t="shared" si="6"/>
        <v>2021EUR</v>
      </c>
      <c r="AL786" s="11">
        <f>VLOOKUP(AK786, Exchange_rates!$C:$D, 2, FALSE)</f>
        <v>0.8599</v>
      </c>
      <c r="AM786" s="14">
        <f t="shared" si="7"/>
        <v>2455.8743999999997</v>
      </c>
      <c r="AN786" s="9"/>
      <c r="AO786" s="9"/>
      <c r="AP786" s="9"/>
      <c r="AQ786" s="15" t="s">
        <v>49</v>
      </c>
      <c r="AR786" t="s">
        <v>3016</v>
      </c>
      <c r="AS786" s="16"/>
    </row>
    <row r="787" spans="1:45" ht="14.5">
      <c r="A787" s="9" t="s">
        <v>3648</v>
      </c>
      <c r="B787" s="9" t="s">
        <v>3649</v>
      </c>
      <c r="C787" s="9" t="s">
        <v>2912</v>
      </c>
      <c r="D787" s="9" t="s">
        <v>2830</v>
      </c>
      <c r="E787" s="9" t="s">
        <v>49</v>
      </c>
      <c r="F787" s="9" t="s">
        <v>69</v>
      </c>
      <c r="G787" s="9" t="s">
        <v>70</v>
      </c>
      <c r="H787" s="9" t="s">
        <v>2878</v>
      </c>
      <c r="I787" s="9" t="s">
        <v>72</v>
      </c>
      <c r="J787" s="10"/>
      <c r="K787" s="10">
        <v>44180</v>
      </c>
      <c r="L787" s="10">
        <v>44207.671273148146</v>
      </c>
      <c r="M787" s="10">
        <v>44230</v>
      </c>
      <c r="N787" s="9">
        <v>2021</v>
      </c>
      <c r="O787" s="9" t="s">
        <v>2832</v>
      </c>
      <c r="P787" s="9" t="s">
        <v>53</v>
      </c>
      <c r="Q787" s="9" t="s">
        <v>53</v>
      </c>
      <c r="R787" s="9" t="s">
        <v>3650</v>
      </c>
      <c r="T787" s="9"/>
      <c r="V787" s="9"/>
      <c r="W787" s="11">
        <f>IFERROR(VLOOKUP(B787, PlumX_snapshot!$A:$B, 2, FALSE), " ")</f>
        <v>35</v>
      </c>
      <c r="X787" s="11">
        <f>IFERROR(VLOOKUP(B787, PlumX_snapshot!$A:$C, 3, FALSE), " ")</f>
        <v>11</v>
      </c>
      <c r="Y787" s="12">
        <f>IFERROR(VLOOKUP(B787, PlumX_snapshot!$A:$D, 4, FALSE), " ")</f>
        <v>86</v>
      </c>
      <c r="Z787" s="12">
        <f>IFERROR(VLOOKUP(B787, PlumX_snapshot!$A:$E, 5, FALSE), " ")</f>
        <v>0</v>
      </c>
      <c r="AA787" s="12">
        <f>IFERROR(VLOOKUP(B787, PlumX_snapshot!$A:$F, 6, FALSE), " ")</f>
        <v>16</v>
      </c>
      <c r="AB787" s="13">
        <v>44978</v>
      </c>
      <c r="AH787" s="9">
        <v>2380</v>
      </c>
      <c r="AI787" s="9" t="s">
        <v>77</v>
      </c>
      <c r="AJ787" s="9" t="s">
        <v>1823</v>
      </c>
      <c r="AK787" s="11" t="str">
        <f t="shared" si="6"/>
        <v>2021EUR</v>
      </c>
      <c r="AL787" s="11">
        <f>VLOOKUP(AK787, Exchange_rates!$C:$D, 2, FALSE)</f>
        <v>0.8599</v>
      </c>
      <c r="AM787" s="14">
        <f t="shared" si="7"/>
        <v>2455.8743999999997</v>
      </c>
      <c r="AN787" s="9"/>
      <c r="AO787" s="9"/>
      <c r="AP787" s="9"/>
      <c r="AQ787" s="15" t="s">
        <v>49</v>
      </c>
      <c r="AR787" t="s">
        <v>2914</v>
      </c>
      <c r="AS787" s="16"/>
    </row>
    <row r="788" spans="1:45" ht="14.5">
      <c r="A788" s="9" t="s">
        <v>3651</v>
      </c>
      <c r="B788" s="9" t="s">
        <v>3652</v>
      </c>
      <c r="C788" s="9" t="s">
        <v>3653</v>
      </c>
      <c r="D788" s="9" t="s">
        <v>2830</v>
      </c>
      <c r="E788" s="9" t="s">
        <v>49</v>
      </c>
      <c r="F788" s="9" t="s">
        <v>69</v>
      </c>
      <c r="G788" s="9" t="s">
        <v>70</v>
      </c>
      <c r="H788" s="9" t="s">
        <v>2878</v>
      </c>
      <c r="I788" s="9" t="s">
        <v>72</v>
      </c>
      <c r="J788" s="10"/>
      <c r="K788" s="10">
        <v>44172</v>
      </c>
      <c r="L788" s="10">
        <v>44214.438333333332</v>
      </c>
      <c r="M788" s="10">
        <v>44242</v>
      </c>
      <c r="N788" s="9">
        <v>2021</v>
      </c>
      <c r="O788" s="9" t="s">
        <v>2832</v>
      </c>
      <c r="P788" s="9" t="s">
        <v>53</v>
      </c>
      <c r="Q788" s="9" t="s">
        <v>53</v>
      </c>
      <c r="R788" s="9" t="s">
        <v>92</v>
      </c>
      <c r="T788" s="9"/>
      <c r="V788" s="9"/>
      <c r="W788" s="11">
        <f>IFERROR(VLOOKUP(B788, PlumX_snapshot!$A:$B, 2, FALSE), " ")</f>
        <v>9</v>
      </c>
      <c r="X788" s="11">
        <f>IFERROR(VLOOKUP(B788, PlumX_snapshot!$A:$C, 3, FALSE), " ")</f>
        <v>2</v>
      </c>
      <c r="Y788" s="12">
        <f>IFERROR(VLOOKUP(B788, PlumX_snapshot!$A:$D, 4, FALSE), " ")</f>
        <v>5</v>
      </c>
      <c r="Z788" s="12">
        <f>IFERROR(VLOOKUP(B788, PlumX_snapshot!$A:$E, 5, FALSE), " ")</f>
        <v>0</v>
      </c>
      <c r="AA788" s="12">
        <f>IFERROR(VLOOKUP(B788, PlumX_snapshot!$A:$F, 6, FALSE), " ")</f>
        <v>0</v>
      </c>
      <c r="AB788" s="13">
        <v>44978</v>
      </c>
      <c r="AH788" s="9">
        <v>2380</v>
      </c>
      <c r="AI788" s="9" t="s">
        <v>77</v>
      </c>
      <c r="AJ788" s="9" t="s">
        <v>1823</v>
      </c>
      <c r="AK788" s="11" t="str">
        <f t="shared" si="6"/>
        <v>2021EUR</v>
      </c>
      <c r="AL788" s="11">
        <f>VLOOKUP(AK788, Exchange_rates!$C:$D, 2, FALSE)</f>
        <v>0.8599</v>
      </c>
      <c r="AM788" s="14">
        <f t="shared" si="7"/>
        <v>2455.8743999999997</v>
      </c>
      <c r="AN788" s="9"/>
      <c r="AO788" s="9"/>
      <c r="AP788" s="9"/>
      <c r="AQ788" s="15" t="s">
        <v>49</v>
      </c>
      <c r="AR788" t="s">
        <v>3654</v>
      </c>
      <c r="AS788" s="16"/>
    </row>
    <row r="789" spans="1:45" ht="14.5">
      <c r="A789" s="9" t="s">
        <v>3655</v>
      </c>
      <c r="B789" s="9" t="s">
        <v>3656</v>
      </c>
      <c r="C789" s="9" t="s">
        <v>2929</v>
      </c>
      <c r="D789" s="9" t="s">
        <v>2830</v>
      </c>
      <c r="E789" s="9" t="s">
        <v>49</v>
      </c>
      <c r="F789" s="9" t="s">
        <v>69</v>
      </c>
      <c r="G789" s="9" t="s">
        <v>70</v>
      </c>
      <c r="H789" s="9" t="s">
        <v>2871</v>
      </c>
      <c r="I789" s="9" t="s">
        <v>72</v>
      </c>
      <c r="J789" s="10"/>
      <c r="K789" s="10"/>
      <c r="L789" s="10">
        <v>43997.459444444445</v>
      </c>
      <c r="M789" s="10">
        <v>44001</v>
      </c>
      <c r="N789" s="9">
        <v>2020</v>
      </c>
      <c r="O789" s="9" t="s">
        <v>2832</v>
      </c>
      <c r="P789" s="9" t="s">
        <v>53</v>
      </c>
      <c r="Q789" s="9" t="s">
        <v>53</v>
      </c>
      <c r="T789" s="9"/>
      <c r="V789" s="9"/>
      <c r="W789" s="11">
        <f>IFERROR(VLOOKUP(B789, PlumX_snapshot!$A:$B, 2, FALSE), " ")</f>
        <v>77</v>
      </c>
      <c r="X789" s="11">
        <f>IFERROR(VLOOKUP(B789, PlumX_snapshot!$A:$C, 3, FALSE), " ")</f>
        <v>9</v>
      </c>
      <c r="Y789" s="12">
        <f>IFERROR(VLOOKUP(B789, PlumX_snapshot!$A:$D, 4, FALSE), " ")</f>
        <v>10</v>
      </c>
      <c r="Z789" s="12">
        <f>IFERROR(VLOOKUP(B789, PlumX_snapshot!$A:$E, 5, FALSE), " ")</f>
        <v>0</v>
      </c>
      <c r="AA789" s="12">
        <f>IFERROR(VLOOKUP(B789, PlumX_snapshot!$A:$F, 6, FALSE), " ")</f>
        <v>0</v>
      </c>
      <c r="AB789" s="13">
        <v>44978</v>
      </c>
      <c r="AH789" s="9">
        <v>2289</v>
      </c>
      <c r="AI789" s="9" t="s">
        <v>77</v>
      </c>
      <c r="AJ789" s="9" t="s">
        <v>1823</v>
      </c>
      <c r="AK789" s="11" t="str">
        <f t="shared" si="6"/>
        <v>2020EUR</v>
      </c>
      <c r="AL789" s="11">
        <f>VLOOKUP(AK789, Exchange_rates!$C:$D, 2, FALSE)</f>
        <v>0.88970000000000005</v>
      </c>
      <c r="AM789" s="14">
        <f t="shared" si="7"/>
        <v>2443.8279600000001</v>
      </c>
      <c r="AN789" s="9"/>
      <c r="AO789" s="9"/>
      <c r="AP789" s="9"/>
      <c r="AQ789" s="15" t="s">
        <v>49</v>
      </c>
      <c r="AR789" t="s">
        <v>2930</v>
      </c>
      <c r="AS789" s="16"/>
    </row>
    <row r="790" spans="1:45" ht="14.5">
      <c r="A790" s="9" t="s">
        <v>3657</v>
      </c>
      <c r="B790" s="9" t="s">
        <v>3658</v>
      </c>
      <c r="C790" s="9" t="s">
        <v>3659</v>
      </c>
      <c r="D790" s="9" t="s">
        <v>2830</v>
      </c>
      <c r="E790" s="9" t="s">
        <v>49</v>
      </c>
      <c r="F790" s="9" t="s">
        <v>69</v>
      </c>
      <c r="G790" s="9" t="s">
        <v>70</v>
      </c>
      <c r="H790" s="9" t="s">
        <v>2871</v>
      </c>
      <c r="I790" s="9" t="s">
        <v>72</v>
      </c>
      <c r="J790" s="10">
        <v>43867</v>
      </c>
      <c r="K790" s="10">
        <v>44077</v>
      </c>
      <c r="L790" s="10">
        <v>44081.40625</v>
      </c>
      <c r="M790" s="10">
        <v>44095</v>
      </c>
      <c r="N790" s="9">
        <v>2020</v>
      </c>
      <c r="O790" s="9" t="s">
        <v>2832</v>
      </c>
      <c r="P790" s="9" t="s">
        <v>53</v>
      </c>
      <c r="Q790" s="9" t="s">
        <v>53</v>
      </c>
      <c r="T790" s="9"/>
      <c r="V790" s="9"/>
      <c r="W790" s="11">
        <f>IFERROR(VLOOKUP(B790, PlumX_snapshot!$A:$B, 2, FALSE), " ")</f>
        <v>11</v>
      </c>
      <c r="X790" s="11">
        <f>IFERROR(VLOOKUP(B790, PlumX_snapshot!$A:$C, 3, FALSE), " ")</f>
        <v>5</v>
      </c>
      <c r="Y790" s="12">
        <f>IFERROR(VLOOKUP(B790, PlumX_snapshot!$A:$D, 4, FALSE), " ")</f>
        <v>0</v>
      </c>
      <c r="Z790" s="12">
        <f>IFERROR(VLOOKUP(B790, PlumX_snapshot!$A:$E, 5, FALSE), " ")</f>
        <v>0</v>
      </c>
      <c r="AA790" s="12">
        <f>IFERROR(VLOOKUP(B790, PlumX_snapshot!$A:$F, 6, FALSE), " ")</f>
        <v>0</v>
      </c>
      <c r="AB790" s="13">
        <v>44978</v>
      </c>
      <c r="AH790" s="9">
        <v>2289</v>
      </c>
      <c r="AI790" s="9" t="s">
        <v>77</v>
      </c>
      <c r="AJ790" s="9" t="s">
        <v>1823</v>
      </c>
      <c r="AK790" s="11" t="str">
        <f t="shared" si="6"/>
        <v>2020EUR</v>
      </c>
      <c r="AL790" s="11">
        <f>VLOOKUP(AK790, Exchange_rates!$C:$D, 2, FALSE)</f>
        <v>0.88970000000000005</v>
      </c>
      <c r="AM790" s="14">
        <f t="shared" si="7"/>
        <v>2443.8279600000001</v>
      </c>
      <c r="AN790" s="9"/>
      <c r="AO790" s="9"/>
      <c r="AP790" s="9"/>
      <c r="AQ790" s="15" t="s">
        <v>49</v>
      </c>
      <c r="AR790" t="s">
        <v>3660</v>
      </c>
      <c r="AS790" s="16"/>
    </row>
    <row r="791" spans="1:45" ht="14.5">
      <c r="A791" s="9" t="s">
        <v>3661</v>
      </c>
      <c r="B791" s="9" t="s">
        <v>3662</v>
      </c>
      <c r="C791" s="9" t="s">
        <v>2870</v>
      </c>
      <c r="D791" s="9" t="s">
        <v>2830</v>
      </c>
      <c r="E791" s="9" t="s">
        <v>49</v>
      </c>
      <c r="F791" s="9" t="s">
        <v>69</v>
      </c>
      <c r="G791" s="9" t="s">
        <v>70</v>
      </c>
      <c r="H791" s="9" t="s">
        <v>2871</v>
      </c>
      <c r="I791" s="9" t="s">
        <v>72</v>
      </c>
      <c r="J791" s="10"/>
      <c r="K791" s="10"/>
      <c r="L791" s="10">
        <v>44014.366064814814</v>
      </c>
      <c r="M791" s="10">
        <v>44036</v>
      </c>
      <c r="N791" s="9">
        <v>2020</v>
      </c>
      <c r="O791" s="9" t="s">
        <v>2832</v>
      </c>
      <c r="P791" s="9" t="s">
        <v>53</v>
      </c>
      <c r="Q791" s="9" t="s">
        <v>53</v>
      </c>
      <c r="T791" s="9"/>
      <c r="V791" s="9"/>
      <c r="W791" s="11">
        <f>IFERROR(VLOOKUP(B791, PlumX_snapshot!$A:$B, 2, FALSE), " ")</f>
        <v>101</v>
      </c>
      <c r="X791" s="11">
        <f>IFERROR(VLOOKUP(B791, PlumX_snapshot!$A:$C, 3, FALSE), " ")</f>
        <v>18</v>
      </c>
      <c r="Y791" s="12">
        <f>IFERROR(VLOOKUP(B791, PlumX_snapshot!$A:$D, 4, FALSE), " ")</f>
        <v>84</v>
      </c>
      <c r="Z791" s="12">
        <f>IFERROR(VLOOKUP(B791, PlumX_snapshot!$A:$E, 5, FALSE), " ")</f>
        <v>0</v>
      </c>
      <c r="AA791" s="12">
        <f>IFERROR(VLOOKUP(B791, PlumX_snapshot!$A:$F, 6, FALSE), " ")</f>
        <v>0</v>
      </c>
      <c r="AB791" s="13">
        <v>44978</v>
      </c>
      <c r="AH791" s="9">
        <v>2289</v>
      </c>
      <c r="AI791" s="9" t="s">
        <v>77</v>
      </c>
      <c r="AJ791" s="9" t="s">
        <v>1823</v>
      </c>
      <c r="AK791" s="11" t="str">
        <f t="shared" si="6"/>
        <v>2020EUR</v>
      </c>
      <c r="AL791" s="11">
        <f>VLOOKUP(AK791, Exchange_rates!$C:$D, 2, FALSE)</f>
        <v>0.88970000000000005</v>
      </c>
      <c r="AM791" s="14">
        <f t="shared" si="7"/>
        <v>2443.8279600000001</v>
      </c>
      <c r="AN791" s="9"/>
      <c r="AO791" s="9"/>
      <c r="AP791" s="9"/>
      <c r="AQ791" s="15" t="s">
        <v>49</v>
      </c>
      <c r="AR791" t="s">
        <v>2872</v>
      </c>
      <c r="AS791" s="16"/>
    </row>
    <row r="792" spans="1:45" ht="14.5">
      <c r="A792" s="9" t="s">
        <v>3663</v>
      </c>
      <c r="B792" s="9" t="s">
        <v>3664</v>
      </c>
      <c r="C792" s="9" t="s">
        <v>2864</v>
      </c>
      <c r="D792" s="9" t="s">
        <v>2830</v>
      </c>
      <c r="E792" s="9" t="s">
        <v>49</v>
      </c>
      <c r="F792" s="9" t="s">
        <v>69</v>
      </c>
      <c r="G792" s="9" t="s">
        <v>70</v>
      </c>
      <c r="H792" s="9" t="s">
        <v>2878</v>
      </c>
      <c r="I792" s="9" t="s">
        <v>72</v>
      </c>
      <c r="J792" s="10">
        <v>44186</v>
      </c>
      <c r="K792" s="10">
        <v>44379</v>
      </c>
      <c r="L792" s="10">
        <v>44389.456979166665</v>
      </c>
      <c r="M792" s="10">
        <v>44403</v>
      </c>
      <c r="N792" s="9">
        <v>2021</v>
      </c>
      <c r="O792" s="9" t="s">
        <v>2832</v>
      </c>
      <c r="P792" s="9" t="s">
        <v>53</v>
      </c>
      <c r="Q792" s="9" t="s">
        <v>53</v>
      </c>
      <c r="R792" s="9" t="s">
        <v>3665</v>
      </c>
      <c r="T792" s="9"/>
      <c r="V792" s="9"/>
      <c r="W792" s="11">
        <f>IFERROR(VLOOKUP(B792, PlumX_snapshot!$A:$B, 2, FALSE), " ")</f>
        <v>22</v>
      </c>
      <c r="X792" s="11">
        <f>IFERROR(VLOOKUP(B792, PlumX_snapshot!$A:$C, 3, FALSE), " ")</f>
        <v>3</v>
      </c>
      <c r="Y792" s="12">
        <f>IFERROR(VLOOKUP(B792, PlumX_snapshot!$A:$D, 4, FALSE), " ")</f>
        <v>6</v>
      </c>
      <c r="Z792" s="12">
        <f>IFERROR(VLOOKUP(B792, PlumX_snapshot!$A:$E, 5, FALSE), " ")</f>
        <v>0</v>
      </c>
      <c r="AA792" s="12">
        <f>IFERROR(VLOOKUP(B792, PlumX_snapshot!$A:$F, 6, FALSE), " ")</f>
        <v>1</v>
      </c>
      <c r="AB792" s="13">
        <v>44978</v>
      </c>
      <c r="AH792" s="9">
        <v>2380</v>
      </c>
      <c r="AI792" s="9" t="s">
        <v>77</v>
      </c>
      <c r="AJ792" s="9" t="s">
        <v>1823</v>
      </c>
      <c r="AK792" s="11" t="str">
        <f t="shared" si="6"/>
        <v>2021EUR</v>
      </c>
      <c r="AL792" s="11">
        <f>VLOOKUP(AK792, Exchange_rates!$C:$D, 2, FALSE)</f>
        <v>0.8599</v>
      </c>
      <c r="AM792" s="14">
        <f t="shared" si="7"/>
        <v>2455.8743999999997</v>
      </c>
      <c r="AN792" s="9"/>
      <c r="AO792" s="9"/>
      <c r="AP792" s="9"/>
      <c r="AQ792" s="15" t="s">
        <v>49</v>
      </c>
      <c r="AR792" t="s">
        <v>2865</v>
      </c>
      <c r="AS792" s="16"/>
    </row>
    <row r="793" spans="1:45" ht="14.5">
      <c r="A793" s="9" t="s">
        <v>3666</v>
      </c>
      <c r="B793" s="9" t="s">
        <v>3667</v>
      </c>
      <c r="C793" s="9" t="s">
        <v>3668</v>
      </c>
      <c r="D793" s="9" t="s">
        <v>2830</v>
      </c>
      <c r="E793" s="9" t="s">
        <v>49</v>
      </c>
      <c r="F793" s="9" t="s">
        <v>69</v>
      </c>
      <c r="G793" s="9" t="s">
        <v>70</v>
      </c>
      <c r="H793" s="9" t="s">
        <v>2871</v>
      </c>
      <c r="I793" s="9" t="s">
        <v>72</v>
      </c>
      <c r="J793" s="10">
        <v>43991</v>
      </c>
      <c r="K793" s="10">
        <v>44049</v>
      </c>
      <c r="L793" s="10">
        <v>44053.462094907409</v>
      </c>
      <c r="M793" s="10">
        <v>44056</v>
      </c>
      <c r="N793" s="9">
        <v>2020</v>
      </c>
      <c r="O793" s="9" t="s">
        <v>2832</v>
      </c>
      <c r="P793" s="9" t="s">
        <v>53</v>
      </c>
      <c r="Q793" s="9" t="s">
        <v>53</v>
      </c>
      <c r="T793" s="9"/>
      <c r="V793" s="9"/>
      <c r="W793" s="11">
        <f>IFERROR(VLOOKUP(B793, PlumX_snapshot!$A:$B, 2, FALSE), " ")</f>
        <v>23</v>
      </c>
      <c r="X793" s="11">
        <f>IFERROR(VLOOKUP(B793, PlumX_snapshot!$A:$C, 3, FALSE), " ")</f>
        <v>4</v>
      </c>
      <c r="Y793" s="12">
        <f>IFERROR(VLOOKUP(B793, PlumX_snapshot!$A:$D, 4, FALSE), " ")</f>
        <v>1</v>
      </c>
      <c r="Z793" s="12">
        <f>IFERROR(VLOOKUP(B793, PlumX_snapshot!$A:$E, 5, FALSE), " ")</f>
        <v>0</v>
      </c>
      <c r="AA793" s="12">
        <f>IFERROR(VLOOKUP(B793, PlumX_snapshot!$A:$F, 6, FALSE), " ")</f>
        <v>0</v>
      </c>
      <c r="AB793" s="13">
        <v>44978</v>
      </c>
      <c r="AH793" s="9">
        <v>2289</v>
      </c>
      <c r="AI793" s="9" t="s">
        <v>77</v>
      </c>
      <c r="AJ793" s="9" t="s">
        <v>1823</v>
      </c>
      <c r="AK793" s="11" t="str">
        <f t="shared" si="6"/>
        <v>2020EUR</v>
      </c>
      <c r="AL793" s="11">
        <f>VLOOKUP(AK793, Exchange_rates!$C:$D, 2, FALSE)</f>
        <v>0.88970000000000005</v>
      </c>
      <c r="AM793" s="14">
        <f t="shared" si="7"/>
        <v>2443.8279600000001</v>
      </c>
      <c r="AN793" s="9"/>
      <c r="AO793" s="9"/>
      <c r="AP793" s="9"/>
      <c r="AQ793" s="15" t="s">
        <v>49</v>
      </c>
      <c r="AR793" t="s">
        <v>3669</v>
      </c>
      <c r="AS793" s="16"/>
    </row>
    <row r="794" spans="1:45" ht="14.5">
      <c r="A794" s="9" t="s">
        <v>3670</v>
      </c>
      <c r="B794" s="9" t="s">
        <v>3671</v>
      </c>
      <c r="C794" s="9" t="s">
        <v>2846</v>
      </c>
      <c r="D794" s="9" t="s">
        <v>2830</v>
      </c>
      <c r="E794" s="9" t="s">
        <v>49</v>
      </c>
      <c r="F794" s="9" t="s">
        <v>69</v>
      </c>
      <c r="G794" s="9" t="s">
        <v>70</v>
      </c>
      <c r="H794" s="9" t="s">
        <v>2871</v>
      </c>
      <c r="I794" s="9" t="s">
        <v>72</v>
      </c>
      <c r="J794" s="10"/>
      <c r="K794" s="10">
        <v>44147</v>
      </c>
      <c r="L794" s="10">
        <v>44158.492094907408</v>
      </c>
      <c r="M794" s="28">
        <v>44180</v>
      </c>
      <c r="N794" s="9">
        <v>2020</v>
      </c>
      <c r="O794" s="9" t="s">
        <v>2832</v>
      </c>
      <c r="P794" s="9" t="s">
        <v>53</v>
      </c>
      <c r="Q794" s="9" t="s">
        <v>53</v>
      </c>
      <c r="T794" s="9"/>
      <c r="V794" s="9"/>
      <c r="W794" s="11">
        <f>IFERROR(VLOOKUP(B794, PlumX_snapshot!$A:$B, 2, FALSE), " ")</f>
        <v>27</v>
      </c>
      <c r="X794" s="11">
        <f>IFERROR(VLOOKUP(B794, PlumX_snapshot!$A:$C, 3, FALSE), " ")</f>
        <v>9</v>
      </c>
      <c r="Y794" s="12">
        <f>IFERROR(VLOOKUP(B794, PlumX_snapshot!$A:$D, 4, FALSE), " ")</f>
        <v>1</v>
      </c>
      <c r="Z794" s="12">
        <f>IFERROR(VLOOKUP(B794, PlumX_snapshot!$A:$E, 5, FALSE), " ")</f>
        <v>0</v>
      </c>
      <c r="AA794" s="12">
        <f>IFERROR(VLOOKUP(B794, PlumX_snapshot!$A:$F, 6, FALSE), " ")</f>
        <v>0</v>
      </c>
      <c r="AB794" s="13">
        <v>44978</v>
      </c>
      <c r="AH794" s="9">
        <v>2289</v>
      </c>
      <c r="AI794" s="9" t="s">
        <v>77</v>
      </c>
      <c r="AJ794" s="9" t="s">
        <v>1823</v>
      </c>
      <c r="AK794" s="11" t="str">
        <f t="shared" si="6"/>
        <v>2020EUR</v>
      </c>
      <c r="AL794" s="11">
        <f>VLOOKUP(AK794, Exchange_rates!$C:$D, 2, FALSE)</f>
        <v>0.88970000000000005</v>
      </c>
      <c r="AM794" s="14">
        <f t="shared" si="7"/>
        <v>2443.8279600000001</v>
      </c>
      <c r="AN794" s="9"/>
      <c r="AO794" s="9"/>
      <c r="AP794" s="9"/>
      <c r="AQ794" s="15" t="s">
        <v>49</v>
      </c>
      <c r="AR794" t="s">
        <v>2847</v>
      </c>
      <c r="AS794" s="16"/>
    </row>
    <row r="795" spans="1:45" ht="14.5">
      <c r="A795" s="9" t="s">
        <v>3672</v>
      </c>
      <c r="B795" s="9" t="s">
        <v>3673</v>
      </c>
      <c r="C795" s="9" t="s">
        <v>2929</v>
      </c>
      <c r="D795" s="9" t="s">
        <v>2830</v>
      </c>
      <c r="E795" s="9" t="s">
        <v>49</v>
      </c>
      <c r="F795" s="9" t="s">
        <v>69</v>
      </c>
      <c r="G795" s="9" t="s">
        <v>70</v>
      </c>
      <c r="H795" s="9" t="s">
        <v>2878</v>
      </c>
      <c r="I795" s="9" t="s">
        <v>72</v>
      </c>
      <c r="J795" s="10"/>
      <c r="K795" s="10">
        <v>44242</v>
      </c>
      <c r="L795" s="10">
        <v>44263.478043981479</v>
      </c>
      <c r="M795" s="10">
        <v>44279</v>
      </c>
      <c r="N795" s="9">
        <v>2021</v>
      </c>
      <c r="O795" s="9" t="s">
        <v>2832</v>
      </c>
      <c r="P795" s="9" t="s">
        <v>83</v>
      </c>
      <c r="Q795" s="9" t="s">
        <v>53</v>
      </c>
      <c r="R795" s="9" t="s">
        <v>3674</v>
      </c>
      <c r="T795" s="9"/>
      <c r="V795" s="9"/>
      <c r="W795" s="11">
        <f>IFERROR(VLOOKUP(B795, PlumX_snapshot!$A:$B, 2, FALSE), " ")</f>
        <v>28</v>
      </c>
      <c r="X795" s="11">
        <f>IFERROR(VLOOKUP(B795, PlumX_snapshot!$A:$C, 3, FALSE), " ")</f>
        <v>4</v>
      </c>
      <c r="Y795" s="12">
        <f>IFERROR(VLOOKUP(B795, PlumX_snapshot!$A:$D, 4, FALSE), " ")</f>
        <v>21</v>
      </c>
      <c r="Z795" s="12">
        <f>IFERROR(VLOOKUP(B795, PlumX_snapshot!$A:$E, 5, FALSE), " ")</f>
        <v>0</v>
      </c>
      <c r="AA795" s="12">
        <f>IFERROR(VLOOKUP(B795, PlumX_snapshot!$A:$F, 6, FALSE), " ")</f>
        <v>0</v>
      </c>
      <c r="AB795" s="13">
        <v>44978</v>
      </c>
      <c r="AH795" s="9">
        <v>2380</v>
      </c>
      <c r="AI795" s="9" t="s">
        <v>77</v>
      </c>
      <c r="AJ795" s="9" t="s">
        <v>1823</v>
      </c>
      <c r="AK795" s="11" t="str">
        <f t="shared" si="6"/>
        <v>2021EUR</v>
      </c>
      <c r="AL795" s="11">
        <f>VLOOKUP(AK795, Exchange_rates!$C:$D, 2, FALSE)</f>
        <v>0.8599</v>
      </c>
      <c r="AM795" s="14">
        <f t="shared" si="7"/>
        <v>2455.8743999999997</v>
      </c>
      <c r="AN795" s="9"/>
      <c r="AO795" s="9"/>
      <c r="AP795" s="9"/>
      <c r="AQ795" s="15" t="s">
        <v>49</v>
      </c>
      <c r="AR795" t="s">
        <v>2930</v>
      </c>
      <c r="AS795" s="16"/>
    </row>
    <row r="796" spans="1:45" ht="14.5">
      <c r="A796" s="9" t="s">
        <v>3675</v>
      </c>
      <c r="B796" s="9" t="s">
        <v>3676</v>
      </c>
      <c r="C796" s="9" t="s">
        <v>2870</v>
      </c>
      <c r="D796" s="9" t="s">
        <v>2830</v>
      </c>
      <c r="E796" s="9" t="s">
        <v>49</v>
      </c>
      <c r="F796" s="9" t="s">
        <v>69</v>
      </c>
      <c r="G796" s="9" t="s">
        <v>70</v>
      </c>
      <c r="H796" s="9" t="s">
        <v>2871</v>
      </c>
      <c r="I796" s="9" t="s">
        <v>72</v>
      </c>
      <c r="J796" s="10"/>
      <c r="K796" s="10">
        <v>44129</v>
      </c>
      <c r="L796" s="10">
        <v>44132.487615740742</v>
      </c>
      <c r="M796" s="28">
        <v>44134</v>
      </c>
      <c r="N796" s="9">
        <v>2020</v>
      </c>
      <c r="O796" s="9" t="s">
        <v>2832</v>
      </c>
      <c r="P796" s="9" t="s">
        <v>53</v>
      </c>
      <c r="Q796" s="9" t="s">
        <v>53</v>
      </c>
      <c r="T796" s="9"/>
      <c r="V796" s="9"/>
      <c r="W796" s="11">
        <f>IFERROR(VLOOKUP(B796, PlumX_snapshot!$A:$B, 2, FALSE), " ")</f>
        <v>25</v>
      </c>
      <c r="X796" s="11">
        <f>IFERROR(VLOOKUP(B796, PlumX_snapshot!$A:$C, 3, FALSE), " ")</f>
        <v>6</v>
      </c>
      <c r="Y796" s="12">
        <f>IFERROR(VLOOKUP(B796, PlumX_snapshot!$A:$D, 4, FALSE), " ")</f>
        <v>12</v>
      </c>
      <c r="Z796" s="12">
        <f>IFERROR(VLOOKUP(B796, PlumX_snapshot!$A:$E, 5, FALSE), " ")</f>
        <v>0</v>
      </c>
      <c r="AA796" s="12">
        <f>IFERROR(VLOOKUP(B796, PlumX_snapshot!$A:$F, 6, FALSE), " ")</f>
        <v>0</v>
      </c>
      <c r="AB796" s="13">
        <v>44978</v>
      </c>
      <c r="AH796" s="9">
        <v>2289</v>
      </c>
      <c r="AI796" s="9" t="s">
        <v>77</v>
      </c>
      <c r="AJ796" s="9" t="s">
        <v>1823</v>
      </c>
      <c r="AK796" s="11" t="str">
        <f t="shared" si="6"/>
        <v>2020EUR</v>
      </c>
      <c r="AL796" s="11">
        <f>VLOOKUP(AK796, Exchange_rates!$C:$D, 2, FALSE)</f>
        <v>0.88970000000000005</v>
      </c>
      <c r="AM796" s="14">
        <f t="shared" si="7"/>
        <v>2443.8279600000001</v>
      </c>
      <c r="AN796" s="9"/>
      <c r="AO796" s="9"/>
      <c r="AP796" s="9"/>
      <c r="AQ796" s="15" t="s">
        <v>49</v>
      </c>
      <c r="AR796" t="s">
        <v>2872</v>
      </c>
      <c r="AS796" s="16"/>
    </row>
    <row r="797" spans="1:45" ht="14.5">
      <c r="A797" s="9" t="s">
        <v>3677</v>
      </c>
      <c r="B797" s="9" t="s">
        <v>3678</v>
      </c>
      <c r="C797" s="9" t="s">
        <v>3679</v>
      </c>
      <c r="D797" s="9" t="s">
        <v>2830</v>
      </c>
      <c r="E797" s="9" t="s">
        <v>49</v>
      </c>
      <c r="F797" s="9" t="s">
        <v>69</v>
      </c>
      <c r="G797" s="9" t="s">
        <v>70</v>
      </c>
      <c r="H797" s="9" t="s">
        <v>2878</v>
      </c>
      <c r="I797" s="9" t="s">
        <v>72</v>
      </c>
      <c r="J797" s="10"/>
      <c r="K797" s="10">
        <v>44207</v>
      </c>
      <c r="L797" s="10">
        <v>44217.603692129633</v>
      </c>
      <c r="M797" s="10">
        <v>44230</v>
      </c>
      <c r="N797" s="9">
        <v>2021</v>
      </c>
      <c r="O797" s="9" t="s">
        <v>2832</v>
      </c>
      <c r="P797" s="9" t="s">
        <v>53</v>
      </c>
      <c r="Q797" s="9" t="s">
        <v>53</v>
      </c>
      <c r="R797" s="9" t="s">
        <v>3680</v>
      </c>
      <c r="T797" s="9"/>
      <c r="V797" s="9"/>
      <c r="W797" s="11">
        <f>IFERROR(VLOOKUP(B797, PlumX_snapshot!$A:$B, 2, FALSE), " ")</f>
        <v>14</v>
      </c>
      <c r="X797" s="11">
        <f>IFERROR(VLOOKUP(B797, PlumX_snapshot!$A:$C, 3, FALSE), " ")</f>
        <v>4</v>
      </c>
      <c r="Y797" s="12">
        <f>IFERROR(VLOOKUP(B797, PlumX_snapshot!$A:$D, 4, FALSE), " ")</f>
        <v>37</v>
      </c>
      <c r="Z797" s="12">
        <f>IFERROR(VLOOKUP(B797, PlumX_snapshot!$A:$E, 5, FALSE), " ")</f>
        <v>0</v>
      </c>
      <c r="AA797" s="12">
        <f>IFERROR(VLOOKUP(B797, PlumX_snapshot!$A:$F, 6, FALSE), " ")</f>
        <v>0</v>
      </c>
      <c r="AB797" s="13">
        <v>44978</v>
      </c>
      <c r="AH797" s="9">
        <v>2380</v>
      </c>
      <c r="AI797" s="9" t="s">
        <v>77</v>
      </c>
      <c r="AJ797" s="9" t="s">
        <v>1823</v>
      </c>
      <c r="AK797" s="11" t="str">
        <f t="shared" si="6"/>
        <v>2021EUR</v>
      </c>
      <c r="AL797" s="11">
        <f>VLOOKUP(AK797, Exchange_rates!$C:$D, 2, FALSE)</f>
        <v>0.8599</v>
      </c>
      <c r="AM797" s="14">
        <f t="shared" si="7"/>
        <v>2455.8743999999997</v>
      </c>
      <c r="AN797" s="9"/>
      <c r="AO797" s="9"/>
      <c r="AP797" s="9"/>
      <c r="AQ797" s="15" t="s">
        <v>49</v>
      </c>
      <c r="AR797" t="s">
        <v>3681</v>
      </c>
      <c r="AS797" s="16"/>
    </row>
    <row r="798" spans="1:45" ht="14.5">
      <c r="A798" s="9" t="s">
        <v>3682</v>
      </c>
      <c r="B798" s="9" t="s">
        <v>3683</v>
      </c>
      <c r="C798" s="9" t="s">
        <v>2998</v>
      </c>
      <c r="D798" s="9" t="s">
        <v>2830</v>
      </c>
      <c r="E798" s="9" t="s">
        <v>49</v>
      </c>
      <c r="F798" s="9" t="s">
        <v>69</v>
      </c>
      <c r="G798" s="9" t="s">
        <v>70</v>
      </c>
      <c r="H798" s="9" t="s">
        <v>2871</v>
      </c>
      <c r="I798" s="9" t="s">
        <v>72</v>
      </c>
      <c r="J798" s="10">
        <v>43915</v>
      </c>
      <c r="K798" s="10">
        <v>43972</v>
      </c>
      <c r="L798" s="10">
        <v>43998.415416666663</v>
      </c>
      <c r="M798" s="10">
        <v>44050</v>
      </c>
      <c r="N798" s="9">
        <v>2020</v>
      </c>
      <c r="O798" s="9" t="s">
        <v>2832</v>
      </c>
      <c r="P798" s="9" t="s">
        <v>53</v>
      </c>
      <c r="Q798" s="9" t="s">
        <v>53</v>
      </c>
      <c r="T798" s="9"/>
      <c r="V798" s="9"/>
      <c r="W798" s="11">
        <f>IFERROR(VLOOKUP(B798, PlumX_snapshot!$A:$B, 2, FALSE), " ")</f>
        <v>1</v>
      </c>
      <c r="X798" s="11">
        <f>IFERROR(VLOOKUP(B798, PlumX_snapshot!$A:$C, 3, FALSE), " ")</f>
        <v>0</v>
      </c>
      <c r="Y798" s="12">
        <f>IFERROR(VLOOKUP(B798, PlumX_snapshot!$A:$D, 4, FALSE), " ")</f>
        <v>0</v>
      </c>
      <c r="Z798" s="12">
        <f>IFERROR(VLOOKUP(B798, PlumX_snapshot!$A:$E, 5, FALSE), " ")</f>
        <v>0</v>
      </c>
      <c r="AA798" s="12">
        <f>IFERROR(VLOOKUP(B798, PlumX_snapshot!$A:$F, 6, FALSE), " ")</f>
        <v>0</v>
      </c>
      <c r="AB798" s="13">
        <v>44978</v>
      </c>
      <c r="AH798" s="9">
        <v>2289</v>
      </c>
      <c r="AI798" s="9" t="s">
        <v>77</v>
      </c>
      <c r="AJ798" s="9" t="s">
        <v>1823</v>
      </c>
      <c r="AK798" s="11" t="str">
        <f t="shared" si="6"/>
        <v>2020EUR</v>
      </c>
      <c r="AL798" s="11">
        <f>VLOOKUP(AK798, Exchange_rates!$C:$D, 2, FALSE)</f>
        <v>0.88970000000000005</v>
      </c>
      <c r="AM798" s="14">
        <f t="shared" si="7"/>
        <v>2443.8279600000001</v>
      </c>
      <c r="AN798" s="9"/>
      <c r="AO798" s="9"/>
      <c r="AP798" s="9"/>
      <c r="AQ798" s="15" t="s">
        <v>49</v>
      </c>
      <c r="AR798" t="s">
        <v>2999</v>
      </c>
      <c r="AS798" s="16"/>
    </row>
    <row r="799" spans="1:45" ht="14.5">
      <c r="A799" s="9" t="s">
        <v>3684</v>
      </c>
      <c r="B799" s="9" t="s">
        <v>3685</v>
      </c>
      <c r="C799" s="9" t="s">
        <v>3686</v>
      </c>
      <c r="D799" s="9" t="s">
        <v>2830</v>
      </c>
      <c r="E799" s="9" t="s">
        <v>49</v>
      </c>
      <c r="F799" s="9" t="s">
        <v>69</v>
      </c>
      <c r="G799" s="9" t="s">
        <v>70</v>
      </c>
      <c r="H799" s="9" t="s">
        <v>2878</v>
      </c>
      <c r="I799" s="9" t="s">
        <v>72</v>
      </c>
      <c r="J799" s="10"/>
      <c r="K799" s="10">
        <v>44229</v>
      </c>
      <c r="L799" s="10">
        <v>44237.489918981482</v>
      </c>
      <c r="M799" s="10">
        <v>44256</v>
      </c>
      <c r="N799" s="9">
        <v>2021</v>
      </c>
      <c r="O799" s="9" t="s">
        <v>2832</v>
      </c>
      <c r="P799" s="9" t="s">
        <v>53</v>
      </c>
      <c r="Q799" s="9" t="s">
        <v>53</v>
      </c>
      <c r="R799" s="9" t="s">
        <v>92</v>
      </c>
      <c r="T799" s="9"/>
      <c r="V799" s="9"/>
      <c r="W799" s="11">
        <f>IFERROR(VLOOKUP(B799, PlumX_snapshot!$A:$B, 2, FALSE), " ")</f>
        <v>17</v>
      </c>
      <c r="X799" s="11">
        <f>IFERROR(VLOOKUP(B799, PlumX_snapshot!$A:$C, 3, FALSE), " ")</f>
        <v>0</v>
      </c>
      <c r="Y799" s="12">
        <f>IFERROR(VLOOKUP(B799, PlumX_snapshot!$A:$D, 4, FALSE), " ")</f>
        <v>8</v>
      </c>
      <c r="Z799" s="12">
        <f>IFERROR(VLOOKUP(B799, PlumX_snapshot!$A:$E, 5, FALSE), " ")</f>
        <v>0</v>
      </c>
      <c r="AA799" s="12">
        <f>IFERROR(VLOOKUP(B799, PlumX_snapshot!$A:$F, 6, FALSE), " ")</f>
        <v>0</v>
      </c>
      <c r="AB799" s="13">
        <v>44978</v>
      </c>
      <c r="AH799" s="9">
        <v>2380</v>
      </c>
      <c r="AI799" s="9" t="s">
        <v>77</v>
      </c>
      <c r="AJ799" s="9" t="s">
        <v>1823</v>
      </c>
      <c r="AK799" s="11" t="str">
        <f t="shared" si="6"/>
        <v>2021EUR</v>
      </c>
      <c r="AL799" s="11">
        <f>VLOOKUP(AK799, Exchange_rates!$C:$D, 2, FALSE)</f>
        <v>0.8599</v>
      </c>
      <c r="AM799" s="14">
        <f t="shared" si="7"/>
        <v>2455.8743999999997</v>
      </c>
      <c r="AN799" s="9"/>
      <c r="AO799" s="9"/>
      <c r="AP799" s="9"/>
      <c r="AQ799" s="15" t="s">
        <v>49</v>
      </c>
      <c r="AR799" t="s">
        <v>3687</v>
      </c>
      <c r="AS799" s="16"/>
    </row>
    <row r="800" spans="1:45" ht="14.5">
      <c r="A800" s="9" t="s">
        <v>3688</v>
      </c>
      <c r="B800" s="9" t="s">
        <v>3689</v>
      </c>
      <c r="C800" s="9" t="s">
        <v>2969</v>
      </c>
      <c r="D800" s="9" t="s">
        <v>2830</v>
      </c>
      <c r="E800" s="9" t="s">
        <v>49</v>
      </c>
      <c r="F800" s="9" t="s">
        <v>69</v>
      </c>
      <c r="G800" s="9" t="s">
        <v>70</v>
      </c>
      <c r="H800" s="9" t="s">
        <v>2878</v>
      </c>
      <c r="I800" s="9" t="s">
        <v>72</v>
      </c>
      <c r="J800" s="10">
        <v>44034</v>
      </c>
      <c r="K800" s="10">
        <v>44319</v>
      </c>
      <c r="L800" s="10">
        <v>44329.6328125</v>
      </c>
      <c r="M800" s="10">
        <v>44345</v>
      </c>
      <c r="N800" s="9">
        <v>2021</v>
      </c>
      <c r="O800" s="9" t="s">
        <v>2832</v>
      </c>
      <c r="P800" s="9" t="s">
        <v>53</v>
      </c>
      <c r="Q800" s="9" t="s">
        <v>53</v>
      </c>
      <c r="R800" s="9" t="s">
        <v>92</v>
      </c>
      <c r="T800" s="9"/>
      <c r="V800" s="9"/>
      <c r="W800" s="11">
        <f>IFERROR(VLOOKUP(B800, PlumX_snapshot!$A:$B, 2, FALSE), " ")</f>
        <v>2</v>
      </c>
      <c r="X800" s="11">
        <f>IFERROR(VLOOKUP(B800, PlumX_snapshot!$A:$C, 3, FALSE), " ")</f>
        <v>6</v>
      </c>
      <c r="Y800" s="12">
        <f>IFERROR(VLOOKUP(B800, PlumX_snapshot!$A:$D, 4, FALSE), " ")</f>
        <v>7</v>
      </c>
      <c r="Z800" s="12">
        <f>IFERROR(VLOOKUP(B800, PlumX_snapshot!$A:$E, 5, FALSE), " ")</f>
        <v>0</v>
      </c>
      <c r="AA800" s="12">
        <f>IFERROR(VLOOKUP(B800, PlumX_snapshot!$A:$F, 6, FALSE), " ")</f>
        <v>0</v>
      </c>
      <c r="AB800" s="13">
        <v>44978</v>
      </c>
      <c r="AH800" s="9">
        <v>2380</v>
      </c>
      <c r="AI800" s="9" t="s">
        <v>77</v>
      </c>
      <c r="AJ800" s="9" t="s">
        <v>1823</v>
      </c>
      <c r="AK800" s="11" t="str">
        <f t="shared" si="6"/>
        <v>2021EUR</v>
      </c>
      <c r="AL800" s="11">
        <f>VLOOKUP(AK800, Exchange_rates!$C:$D, 2, FALSE)</f>
        <v>0.8599</v>
      </c>
      <c r="AM800" s="14">
        <f t="shared" si="7"/>
        <v>2455.8743999999997</v>
      </c>
      <c r="AN800" s="9"/>
      <c r="AO800" s="9"/>
      <c r="AP800" s="9"/>
      <c r="AQ800" s="15" t="s">
        <v>49</v>
      </c>
      <c r="AR800" t="s">
        <v>2970</v>
      </c>
      <c r="AS800" s="16"/>
    </row>
    <row r="801" spans="1:45" ht="14.5">
      <c r="A801" s="9" t="s">
        <v>3690</v>
      </c>
      <c r="B801" s="9" t="s">
        <v>3691</v>
      </c>
      <c r="C801" s="9" t="s">
        <v>3292</v>
      </c>
      <c r="D801" s="9" t="s">
        <v>2830</v>
      </c>
      <c r="E801" s="9" t="s">
        <v>49</v>
      </c>
      <c r="F801" s="9" t="s">
        <v>69</v>
      </c>
      <c r="G801" s="9" t="s">
        <v>70</v>
      </c>
      <c r="H801" s="9" t="s">
        <v>2878</v>
      </c>
      <c r="I801" s="9" t="s">
        <v>72</v>
      </c>
      <c r="J801" s="10">
        <v>43908</v>
      </c>
      <c r="K801" s="10">
        <v>44217</v>
      </c>
      <c r="L801" s="10">
        <v>44244.476770833331</v>
      </c>
      <c r="M801" s="10">
        <v>44251</v>
      </c>
      <c r="N801" s="9">
        <v>2021</v>
      </c>
      <c r="O801" s="9" t="s">
        <v>2832</v>
      </c>
      <c r="P801" s="9" t="s">
        <v>53</v>
      </c>
      <c r="Q801" s="9" t="s">
        <v>53</v>
      </c>
      <c r="R801" s="9" t="s">
        <v>92</v>
      </c>
      <c r="T801" s="9"/>
      <c r="V801" s="9"/>
      <c r="W801" s="11">
        <f>IFERROR(VLOOKUP(B801, PlumX_snapshot!$A:$B, 2, FALSE), " ")</f>
        <v>0</v>
      </c>
      <c r="X801" s="11">
        <f>IFERROR(VLOOKUP(B801, PlumX_snapshot!$A:$C, 3, FALSE), " ")</f>
        <v>5</v>
      </c>
      <c r="Y801" s="12">
        <f>IFERROR(VLOOKUP(B801, PlumX_snapshot!$A:$D, 4, FALSE), " ")</f>
        <v>0</v>
      </c>
      <c r="Z801" s="12">
        <f>IFERROR(VLOOKUP(B801, PlumX_snapshot!$A:$E, 5, FALSE), " ")</f>
        <v>0</v>
      </c>
      <c r="AA801" s="12">
        <f>IFERROR(VLOOKUP(B801, PlumX_snapshot!$A:$F, 6, FALSE), " ")</f>
        <v>0</v>
      </c>
      <c r="AB801" s="13">
        <v>44978</v>
      </c>
      <c r="AH801" s="9">
        <v>2380</v>
      </c>
      <c r="AI801" s="9" t="s">
        <v>77</v>
      </c>
      <c r="AJ801" s="9" t="s">
        <v>1823</v>
      </c>
      <c r="AK801" s="11" t="str">
        <f t="shared" si="6"/>
        <v>2021EUR</v>
      </c>
      <c r="AL801" s="11">
        <f>VLOOKUP(AK801, Exchange_rates!$C:$D, 2, FALSE)</f>
        <v>0.8599</v>
      </c>
      <c r="AM801" s="14">
        <f t="shared" si="7"/>
        <v>2455.8743999999997</v>
      </c>
      <c r="AN801" s="9"/>
      <c r="AO801" s="9"/>
      <c r="AP801" s="9"/>
      <c r="AQ801" s="15" t="s">
        <v>49</v>
      </c>
      <c r="AR801" t="s">
        <v>3293</v>
      </c>
      <c r="AS801" s="16"/>
    </row>
    <row r="802" spans="1:45" ht="14.5">
      <c r="A802" s="9" t="s">
        <v>3692</v>
      </c>
      <c r="B802" s="9" t="s">
        <v>3693</v>
      </c>
      <c r="C802" s="9" t="s">
        <v>3694</v>
      </c>
      <c r="D802" s="9" t="s">
        <v>2830</v>
      </c>
      <c r="E802" s="9" t="s">
        <v>49</v>
      </c>
      <c r="F802" s="9" t="s">
        <v>69</v>
      </c>
      <c r="G802" s="9" t="s">
        <v>70</v>
      </c>
      <c r="H802" s="9" t="s">
        <v>2878</v>
      </c>
      <c r="I802" s="9" t="s">
        <v>72</v>
      </c>
      <c r="J802" s="10">
        <v>44089</v>
      </c>
      <c r="K802" s="10">
        <v>44268</v>
      </c>
      <c r="L802" s="10">
        <v>44313.651388888888</v>
      </c>
      <c r="M802" s="10">
        <v>44342</v>
      </c>
      <c r="N802" s="9">
        <v>2021</v>
      </c>
      <c r="O802" s="9" t="s">
        <v>2832</v>
      </c>
      <c r="P802" s="9" t="s">
        <v>83</v>
      </c>
      <c r="Q802" s="9" t="s">
        <v>53</v>
      </c>
      <c r="R802" s="9" t="s">
        <v>3695</v>
      </c>
      <c r="T802" s="9"/>
      <c r="V802" s="9"/>
      <c r="W802" s="11">
        <f>IFERROR(VLOOKUP(B802, PlumX_snapshot!$A:$B, 2, FALSE), " ")</f>
        <v>23</v>
      </c>
      <c r="X802" s="11">
        <f>IFERROR(VLOOKUP(B802, PlumX_snapshot!$A:$C, 3, FALSE), " ")</f>
        <v>5</v>
      </c>
      <c r="Y802" s="12">
        <f>IFERROR(VLOOKUP(B802, PlumX_snapshot!$A:$D, 4, FALSE), " ")</f>
        <v>3</v>
      </c>
      <c r="Z802" s="12">
        <f>IFERROR(VLOOKUP(B802, PlumX_snapshot!$A:$E, 5, FALSE), " ")</f>
        <v>0</v>
      </c>
      <c r="AA802" s="12">
        <f>IFERROR(VLOOKUP(B802, PlumX_snapshot!$A:$F, 6, FALSE), " ")</f>
        <v>0</v>
      </c>
      <c r="AB802" s="13">
        <v>44978</v>
      </c>
      <c r="AH802" s="9">
        <v>2380</v>
      </c>
      <c r="AI802" s="9" t="s">
        <v>77</v>
      </c>
      <c r="AJ802" s="9" t="s">
        <v>1823</v>
      </c>
      <c r="AK802" s="11" t="str">
        <f t="shared" si="6"/>
        <v>2021EUR</v>
      </c>
      <c r="AL802" s="11">
        <f>VLOOKUP(AK802, Exchange_rates!$C:$D, 2, FALSE)</f>
        <v>0.8599</v>
      </c>
      <c r="AM802" s="14">
        <f t="shared" si="7"/>
        <v>2455.8743999999997</v>
      </c>
      <c r="AN802" s="9"/>
      <c r="AO802" s="9"/>
      <c r="AP802" s="9"/>
      <c r="AQ802" s="15" t="s">
        <v>49</v>
      </c>
      <c r="AR802" t="s">
        <v>3696</v>
      </c>
      <c r="AS802" s="16"/>
    </row>
    <row r="803" spans="1:45" ht="14.5">
      <c r="A803" s="9" t="s">
        <v>3697</v>
      </c>
      <c r="B803" s="9" t="s">
        <v>3698</v>
      </c>
      <c r="C803" s="9" t="s">
        <v>3699</v>
      </c>
      <c r="D803" s="9" t="s">
        <v>2830</v>
      </c>
      <c r="E803" s="9" t="s">
        <v>49</v>
      </c>
      <c r="F803" s="9" t="s">
        <v>69</v>
      </c>
      <c r="G803" s="9" t="s">
        <v>70</v>
      </c>
      <c r="H803" s="9" t="s">
        <v>2878</v>
      </c>
      <c r="I803" s="9" t="s">
        <v>72</v>
      </c>
      <c r="J803" s="10"/>
      <c r="K803" s="10">
        <v>44230</v>
      </c>
      <c r="L803" s="10">
        <v>44252.383946759262</v>
      </c>
      <c r="M803" s="10">
        <v>44294</v>
      </c>
      <c r="N803" s="9">
        <v>2021</v>
      </c>
      <c r="O803" s="9" t="s">
        <v>2832</v>
      </c>
      <c r="P803" s="9" t="s">
        <v>53</v>
      </c>
      <c r="Q803" s="9" t="s">
        <v>53</v>
      </c>
      <c r="R803" s="9" t="s">
        <v>3700</v>
      </c>
      <c r="T803" s="9"/>
      <c r="V803" s="9"/>
      <c r="W803" s="11">
        <f>IFERROR(VLOOKUP(B803, PlumX_snapshot!$A:$B, 2, FALSE), " ")</f>
        <v>25</v>
      </c>
      <c r="X803" s="11">
        <f>IFERROR(VLOOKUP(B803, PlumX_snapshot!$A:$C, 3, FALSE), " ")</f>
        <v>2</v>
      </c>
      <c r="Y803" s="12">
        <f>IFERROR(VLOOKUP(B803, PlumX_snapshot!$A:$D, 4, FALSE), " ")</f>
        <v>1</v>
      </c>
      <c r="Z803" s="12">
        <f>IFERROR(VLOOKUP(B803, PlumX_snapshot!$A:$E, 5, FALSE), " ")</f>
        <v>0</v>
      </c>
      <c r="AA803" s="12">
        <f>IFERROR(VLOOKUP(B803, PlumX_snapshot!$A:$F, 6, FALSE), " ")</f>
        <v>0</v>
      </c>
      <c r="AB803" s="13">
        <v>44978</v>
      </c>
      <c r="AH803" s="9">
        <v>2380</v>
      </c>
      <c r="AI803" s="9" t="s">
        <v>77</v>
      </c>
      <c r="AJ803" s="9" t="s">
        <v>1823</v>
      </c>
      <c r="AK803" s="11" t="str">
        <f t="shared" si="6"/>
        <v>2021EUR</v>
      </c>
      <c r="AL803" s="11">
        <f>VLOOKUP(AK803, Exchange_rates!$C:$D, 2, FALSE)</f>
        <v>0.8599</v>
      </c>
      <c r="AM803" s="14">
        <f t="shared" si="7"/>
        <v>2455.8743999999997</v>
      </c>
      <c r="AN803" s="9"/>
      <c r="AO803" s="9"/>
      <c r="AP803" s="9"/>
      <c r="AQ803" s="15" t="s">
        <v>49</v>
      </c>
      <c r="AR803" t="s">
        <v>3701</v>
      </c>
      <c r="AS803" s="16"/>
    </row>
    <row r="804" spans="1:45" ht="14.5">
      <c r="A804" s="9" t="s">
        <v>3702</v>
      </c>
      <c r="B804" s="9" t="s">
        <v>3703</v>
      </c>
      <c r="C804" s="9" t="s">
        <v>3704</v>
      </c>
      <c r="D804" s="9" t="s">
        <v>2830</v>
      </c>
      <c r="E804" s="9" t="s">
        <v>49</v>
      </c>
      <c r="F804" s="9" t="s">
        <v>69</v>
      </c>
      <c r="G804" s="9" t="s">
        <v>70</v>
      </c>
      <c r="H804" s="9" t="s">
        <v>2878</v>
      </c>
      <c r="I804" s="9" t="s">
        <v>72</v>
      </c>
      <c r="J804" s="10">
        <v>44032</v>
      </c>
      <c r="K804" s="10">
        <v>44277</v>
      </c>
      <c r="L804" s="10">
        <v>44293.406967592593</v>
      </c>
      <c r="M804" s="10">
        <v>44299</v>
      </c>
      <c r="N804" s="9">
        <v>2021</v>
      </c>
      <c r="O804" s="9" t="s">
        <v>2832</v>
      </c>
      <c r="P804" s="9" t="s">
        <v>53</v>
      </c>
      <c r="Q804" s="9" t="s">
        <v>53</v>
      </c>
      <c r="R804" s="9" t="s">
        <v>3705</v>
      </c>
      <c r="T804" s="9"/>
      <c r="V804" s="9"/>
      <c r="W804" s="11">
        <f>IFERROR(VLOOKUP(B804, PlumX_snapshot!$A:$B, 2, FALSE), " ")</f>
        <v>31</v>
      </c>
      <c r="X804" s="11">
        <f>IFERROR(VLOOKUP(B804, PlumX_snapshot!$A:$C, 3, FALSE), " ")</f>
        <v>5</v>
      </c>
      <c r="Y804" s="12">
        <f>IFERROR(VLOOKUP(B804, PlumX_snapshot!$A:$D, 4, FALSE), " ")</f>
        <v>0</v>
      </c>
      <c r="Z804" s="12">
        <f>IFERROR(VLOOKUP(B804, PlumX_snapshot!$A:$E, 5, FALSE), " ")</f>
        <v>0</v>
      </c>
      <c r="AA804" s="12">
        <f>IFERROR(VLOOKUP(B804, PlumX_snapshot!$A:$F, 6, FALSE), " ")</f>
        <v>0</v>
      </c>
      <c r="AB804" s="13">
        <v>44978</v>
      </c>
      <c r="AH804" s="9">
        <v>2380</v>
      </c>
      <c r="AI804" s="9" t="s">
        <v>77</v>
      </c>
      <c r="AJ804" s="9" t="s">
        <v>1823</v>
      </c>
      <c r="AK804" s="11" t="str">
        <f t="shared" si="6"/>
        <v>2021EUR</v>
      </c>
      <c r="AL804" s="11">
        <f>VLOOKUP(AK804, Exchange_rates!$C:$D, 2, FALSE)</f>
        <v>0.8599</v>
      </c>
      <c r="AM804" s="14">
        <f t="shared" si="7"/>
        <v>2455.8743999999997</v>
      </c>
      <c r="AN804" s="9"/>
      <c r="AO804" s="9"/>
      <c r="AP804" s="9"/>
      <c r="AQ804" s="15" t="s">
        <v>49</v>
      </c>
      <c r="AR804" t="s">
        <v>3706</v>
      </c>
      <c r="AS804" s="16"/>
    </row>
    <row r="805" spans="1:45" ht="14.5">
      <c r="A805" s="9" t="s">
        <v>3707</v>
      </c>
      <c r="B805" s="9" t="s">
        <v>3708</v>
      </c>
      <c r="C805" s="9" t="s">
        <v>3709</v>
      </c>
      <c r="D805" s="9" t="s">
        <v>2830</v>
      </c>
      <c r="E805" s="9" t="s">
        <v>49</v>
      </c>
      <c r="F805" s="9" t="s">
        <v>69</v>
      </c>
      <c r="G805" s="9" t="s">
        <v>70</v>
      </c>
      <c r="H805" s="9" t="s">
        <v>2878</v>
      </c>
      <c r="I805" s="9" t="s">
        <v>72</v>
      </c>
      <c r="J805" s="10">
        <v>43795</v>
      </c>
      <c r="K805" s="10">
        <v>44170</v>
      </c>
      <c r="L805" s="10">
        <v>44250.580300925925</v>
      </c>
      <c r="M805" s="10">
        <v>44303</v>
      </c>
      <c r="N805" s="9">
        <v>2021</v>
      </c>
      <c r="O805" s="9" t="s">
        <v>2832</v>
      </c>
      <c r="P805" s="9" t="s">
        <v>83</v>
      </c>
      <c r="Q805" s="9" t="s">
        <v>53</v>
      </c>
      <c r="R805" s="9" t="s">
        <v>3710</v>
      </c>
      <c r="T805" s="9"/>
      <c r="V805" s="9"/>
      <c r="W805" s="11">
        <f>IFERROR(VLOOKUP(B805, PlumX_snapshot!$A:$B, 2, FALSE), " ")</f>
        <v>1</v>
      </c>
      <c r="X805" s="11">
        <f>IFERROR(VLOOKUP(B805, PlumX_snapshot!$A:$C, 3, FALSE), " ")</f>
        <v>3</v>
      </c>
      <c r="Y805" s="12">
        <f>IFERROR(VLOOKUP(B805, PlumX_snapshot!$A:$D, 4, FALSE), " ")</f>
        <v>0</v>
      </c>
      <c r="Z805" s="12">
        <f>IFERROR(VLOOKUP(B805, PlumX_snapshot!$A:$E, 5, FALSE), " ")</f>
        <v>0</v>
      </c>
      <c r="AA805" s="12">
        <f>IFERROR(VLOOKUP(B805, PlumX_snapshot!$A:$F, 6, FALSE), " ")</f>
        <v>0</v>
      </c>
      <c r="AB805" s="13">
        <v>44978</v>
      </c>
      <c r="AH805" s="9">
        <v>2380</v>
      </c>
      <c r="AI805" s="9" t="s">
        <v>77</v>
      </c>
      <c r="AJ805" s="9" t="s">
        <v>1823</v>
      </c>
      <c r="AK805" s="11" t="str">
        <f t="shared" si="6"/>
        <v>2021EUR</v>
      </c>
      <c r="AL805" s="11">
        <f>VLOOKUP(AK805, Exchange_rates!$C:$D, 2, FALSE)</f>
        <v>0.8599</v>
      </c>
      <c r="AM805" s="14">
        <f t="shared" si="7"/>
        <v>2455.8743999999997</v>
      </c>
      <c r="AN805" s="9"/>
      <c r="AO805" s="9"/>
      <c r="AP805" s="9"/>
      <c r="AQ805" s="15" t="s">
        <v>49</v>
      </c>
      <c r="AR805" t="s">
        <v>3711</v>
      </c>
      <c r="AS805" s="16"/>
    </row>
    <row r="806" spans="1:45" ht="14.5">
      <c r="A806" s="9" t="s">
        <v>3712</v>
      </c>
      <c r="B806" s="9" t="s">
        <v>3713</v>
      </c>
      <c r="C806" s="9" t="s">
        <v>3714</v>
      </c>
      <c r="D806" s="9" t="s">
        <v>2830</v>
      </c>
      <c r="E806" s="9" t="s">
        <v>49</v>
      </c>
      <c r="F806" s="9" t="s">
        <v>69</v>
      </c>
      <c r="G806" s="9" t="s">
        <v>70</v>
      </c>
      <c r="H806" s="9" t="s">
        <v>2878</v>
      </c>
      <c r="I806" s="9" t="s">
        <v>72</v>
      </c>
      <c r="J806" s="10">
        <v>44263</v>
      </c>
      <c r="K806" s="10">
        <v>44312</v>
      </c>
      <c r="L806" s="10">
        <v>44320.506921296299</v>
      </c>
      <c r="M806" s="10">
        <v>44355</v>
      </c>
      <c r="N806" s="9">
        <v>2021</v>
      </c>
      <c r="O806" s="9" t="s">
        <v>2832</v>
      </c>
      <c r="P806" s="9" t="s">
        <v>53</v>
      </c>
      <c r="Q806" s="9" t="s">
        <v>53</v>
      </c>
      <c r="R806" s="9" t="s">
        <v>3715</v>
      </c>
      <c r="T806" s="9"/>
      <c r="V806" s="9"/>
      <c r="W806" s="11">
        <f>IFERROR(VLOOKUP(B806, PlumX_snapshot!$A:$B, 2, FALSE), " ")</f>
        <v>11</v>
      </c>
      <c r="X806" s="11">
        <f>IFERROR(VLOOKUP(B806, PlumX_snapshot!$A:$C, 3, FALSE), " ")</f>
        <v>1</v>
      </c>
      <c r="Y806" s="12">
        <f>IFERROR(VLOOKUP(B806, PlumX_snapshot!$A:$D, 4, FALSE), " ")</f>
        <v>0</v>
      </c>
      <c r="Z806" s="12">
        <f>IFERROR(VLOOKUP(B806, PlumX_snapshot!$A:$E, 5, FALSE), " ")</f>
        <v>0</v>
      </c>
      <c r="AA806" s="12">
        <f>IFERROR(VLOOKUP(B806, PlumX_snapshot!$A:$F, 6, FALSE), " ")</f>
        <v>0</v>
      </c>
      <c r="AB806" s="13">
        <v>44978</v>
      </c>
      <c r="AH806" s="9">
        <v>2380</v>
      </c>
      <c r="AI806" s="9" t="s">
        <v>77</v>
      </c>
      <c r="AJ806" s="9" t="s">
        <v>1823</v>
      </c>
      <c r="AK806" s="11" t="str">
        <f t="shared" si="6"/>
        <v>2021EUR</v>
      </c>
      <c r="AL806" s="11">
        <f>VLOOKUP(AK806, Exchange_rates!$C:$D, 2, FALSE)</f>
        <v>0.8599</v>
      </c>
      <c r="AM806" s="14">
        <f t="shared" si="7"/>
        <v>2455.8743999999997</v>
      </c>
      <c r="AN806" s="9"/>
      <c r="AO806" s="9"/>
      <c r="AP806" s="9"/>
      <c r="AQ806" s="15" t="s">
        <v>49</v>
      </c>
      <c r="AR806" t="s">
        <v>3716</v>
      </c>
      <c r="AS806" s="16"/>
    </row>
    <row r="807" spans="1:45" ht="14.5">
      <c r="A807" s="9" t="s">
        <v>3717</v>
      </c>
      <c r="B807" s="9" t="s">
        <v>3718</v>
      </c>
      <c r="C807" s="9" t="s">
        <v>3719</v>
      </c>
      <c r="D807" s="9" t="s">
        <v>2830</v>
      </c>
      <c r="E807" s="9" t="s">
        <v>49</v>
      </c>
      <c r="F807" s="9" t="s">
        <v>69</v>
      </c>
      <c r="G807" s="9" t="s">
        <v>70</v>
      </c>
      <c r="H807" s="9" t="s">
        <v>2878</v>
      </c>
      <c r="I807" s="9" t="s">
        <v>72</v>
      </c>
      <c r="J807" s="10">
        <v>43733</v>
      </c>
      <c r="K807" s="10">
        <v>44378</v>
      </c>
      <c r="L807" s="10">
        <v>44393.525891203702</v>
      </c>
      <c r="M807" s="10">
        <v>44406</v>
      </c>
      <c r="N807" s="9">
        <v>2021</v>
      </c>
      <c r="O807" s="9" t="s">
        <v>2832</v>
      </c>
      <c r="P807" s="9" t="s">
        <v>83</v>
      </c>
      <c r="Q807" s="9" t="s">
        <v>53</v>
      </c>
      <c r="R807" s="9" t="s">
        <v>3720</v>
      </c>
      <c r="T807" s="9"/>
      <c r="V807" s="9"/>
      <c r="W807" s="11">
        <f>IFERROR(VLOOKUP(B807, PlumX_snapshot!$A:$B, 2, FALSE), " ")</f>
        <v>34</v>
      </c>
      <c r="X807" s="11">
        <f>IFERROR(VLOOKUP(B807, PlumX_snapshot!$A:$C, 3, FALSE), " ")</f>
        <v>3</v>
      </c>
      <c r="Y807" s="12">
        <f>IFERROR(VLOOKUP(B807, PlumX_snapshot!$A:$D, 4, FALSE), " ")</f>
        <v>0</v>
      </c>
      <c r="Z807" s="12">
        <f>IFERROR(VLOOKUP(B807, PlumX_snapshot!$A:$E, 5, FALSE), " ")</f>
        <v>0</v>
      </c>
      <c r="AA807" s="12">
        <f>IFERROR(VLOOKUP(B807, PlumX_snapshot!$A:$F, 6, FALSE), " ")</f>
        <v>0</v>
      </c>
      <c r="AB807" s="13">
        <v>44978</v>
      </c>
      <c r="AH807" s="9">
        <v>2380</v>
      </c>
      <c r="AI807" s="9" t="s">
        <v>77</v>
      </c>
      <c r="AJ807" s="9" t="s">
        <v>1823</v>
      </c>
      <c r="AK807" s="11" t="str">
        <f t="shared" si="6"/>
        <v>2021EUR</v>
      </c>
      <c r="AL807" s="11">
        <f>VLOOKUP(AK807, Exchange_rates!$C:$D, 2, FALSE)</f>
        <v>0.8599</v>
      </c>
      <c r="AM807" s="14">
        <f t="shared" si="7"/>
        <v>2455.8743999999997</v>
      </c>
      <c r="AN807" s="9"/>
      <c r="AO807" s="9"/>
      <c r="AP807" s="9"/>
      <c r="AQ807" s="15" t="s">
        <v>49</v>
      </c>
      <c r="AR807" t="s">
        <v>3721</v>
      </c>
      <c r="AS807" s="16"/>
    </row>
    <row r="808" spans="1:45" ht="14.5">
      <c r="A808" s="9" t="s">
        <v>3722</v>
      </c>
      <c r="B808" s="9" t="s">
        <v>3723</v>
      </c>
      <c r="C808" s="9" t="s">
        <v>3694</v>
      </c>
      <c r="D808" s="9" t="s">
        <v>2830</v>
      </c>
      <c r="E808" s="9" t="s">
        <v>49</v>
      </c>
      <c r="F808" s="9" t="s">
        <v>69</v>
      </c>
      <c r="G808" s="9" t="s">
        <v>70</v>
      </c>
      <c r="H808" s="9" t="s">
        <v>2878</v>
      </c>
      <c r="I808" s="9" t="s">
        <v>72</v>
      </c>
      <c r="J808" s="10">
        <v>44035</v>
      </c>
      <c r="K808" s="10">
        <v>44226</v>
      </c>
      <c r="L808" s="10">
        <v>44286.343958333331</v>
      </c>
      <c r="M808" s="10">
        <v>44355</v>
      </c>
      <c r="N808" s="9">
        <v>2021</v>
      </c>
      <c r="O808" s="9" t="s">
        <v>2832</v>
      </c>
      <c r="P808" s="9" t="s">
        <v>83</v>
      </c>
      <c r="Q808" s="9" t="s">
        <v>53</v>
      </c>
      <c r="R808" s="9" t="s">
        <v>3724</v>
      </c>
      <c r="T808" s="9"/>
      <c r="V808" s="9"/>
      <c r="W808" s="11">
        <f>IFERROR(VLOOKUP(B808, PlumX_snapshot!$A:$B, 2, FALSE), " ")</f>
        <v>15</v>
      </c>
      <c r="X808" s="11">
        <f>IFERROR(VLOOKUP(B808, PlumX_snapshot!$A:$C, 3, FALSE), " ")</f>
        <v>2</v>
      </c>
      <c r="Y808" s="12">
        <f>IFERROR(VLOOKUP(B808, PlumX_snapshot!$A:$D, 4, FALSE), " ")</f>
        <v>2</v>
      </c>
      <c r="Z808" s="12">
        <f>IFERROR(VLOOKUP(B808, PlumX_snapshot!$A:$E, 5, FALSE), " ")</f>
        <v>0</v>
      </c>
      <c r="AA808" s="12">
        <f>IFERROR(VLOOKUP(B808, PlumX_snapshot!$A:$F, 6, FALSE), " ")</f>
        <v>0</v>
      </c>
      <c r="AB808" s="13">
        <v>44978</v>
      </c>
      <c r="AH808" s="9">
        <v>2380</v>
      </c>
      <c r="AI808" s="9" t="s">
        <v>77</v>
      </c>
      <c r="AJ808" s="9" t="s">
        <v>1823</v>
      </c>
      <c r="AK808" s="11" t="str">
        <f t="shared" si="6"/>
        <v>2021EUR</v>
      </c>
      <c r="AL808" s="11">
        <f>VLOOKUP(AK808, Exchange_rates!$C:$D, 2, FALSE)</f>
        <v>0.8599</v>
      </c>
      <c r="AM808" s="14">
        <f t="shared" si="7"/>
        <v>2455.8743999999997</v>
      </c>
      <c r="AN808" s="9"/>
      <c r="AO808" s="9"/>
      <c r="AP808" s="9"/>
      <c r="AQ808" s="15" t="s">
        <v>49</v>
      </c>
      <c r="AR808" t="s">
        <v>3696</v>
      </c>
      <c r="AS808" s="16"/>
    </row>
    <row r="809" spans="1:45" ht="14.5">
      <c r="A809" s="9" t="s">
        <v>3725</v>
      </c>
      <c r="B809" s="9" t="s">
        <v>3726</v>
      </c>
      <c r="C809" s="9" t="s">
        <v>3727</v>
      </c>
      <c r="D809" s="9" t="s">
        <v>2830</v>
      </c>
      <c r="E809" s="9" t="s">
        <v>49</v>
      </c>
      <c r="F809" s="9" t="s">
        <v>69</v>
      </c>
      <c r="G809" s="9" t="s">
        <v>70</v>
      </c>
      <c r="H809" s="9" t="s">
        <v>2878</v>
      </c>
      <c r="I809" s="9" t="s">
        <v>72</v>
      </c>
      <c r="J809" s="10"/>
      <c r="K809" s="10">
        <v>44412</v>
      </c>
      <c r="L809" s="10">
        <v>44418.353437500002</v>
      </c>
      <c r="M809" s="10">
        <v>44438</v>
      </c>
      <c r="N809" s="9">
        <v>2021</v>
      </c>
      <c r="O809" s="9" t="s">
        <v>2832</v>
      </c>
      <c r="P809" s="9" t="s">
        <v>53</v>
      </c>
      <c r="Q809" s="9" t="s">
        <v>53</v>
      </c>
      <c r="R809" s="9" t="s">
        <v>3728</v>
      </c>
      <c r="T809" s="9"/>
      <c r="V809" s="9"/>
      <c r="W809" s="11">
        <f>IFERROR(VLOOKUP(B809, PlumX_snapshot!$A:$B, 2, FALSE), " ")</f>
        <v>9</v>
      </c>
      <c r="X809" s="11">
        <f>IFERROR(VLOOKUP(B809, PlumX_snapshot!$A:$C, 3, FALSE), " ")</f>
        <v>0</v>
      </c>
      <c r="Y809" s="12">
        <f>IFERROR(VLOOKUP(B809, PlumX_snapshot!$A:$D, 4, FALSE), " ")</f>
        <v>5</v>
      </c>
      <c r="Z809" s="12">
        <f>IFERROR(VLOOKUP(B809, PlumX_snapshot!$A:$E, 5, FALSE), " ")</f>
        <v>0</v>
      </c>
      <c r="AA809" s="12">
        <f>IFERROR(VLOOKUP(B809, PlumX_snapshot!$A:$F, 6, FALSE), " ")</f>
        <v>0</v>
      </c>
      <c r="AB809" s="13">
        <v>44978</v>
      </c>
      <c r="AH809" s="9">
        <v>2380</v>
      </c>
      <c r="AI809" s="9" t="s">
        <v>77</v>
      </c>
      <c r="AJ809" s="9" t="s">
        <v>1823</v>
      </c>
      <c r="AK809" s="11" t="str">
        <f t="shared" si="6"/>
        <v>2021EUR</v>
      </c>
      <c r="AL809" s="11">
        <f>VLOOKUP(AK809, Exchange_rates!$C:$D, 2, FALSE)</f>
        <v>0.8599</v>
      </c>
      <c r="AM809" s="14">
        <f t="shared" si="7"/>
        <v>2455.8743999999997</v>
      </c>
      <c r="AN809" s="9"/>
      <c r="AO809" s="9"/>
      <c r="AP809" s="9"/>
      <c r="AQ809" s="15" t="s">
        <v>49</v>
      </c>
      <c r="AR809" t="s">
        <v>3729</v>
      </c>
      <c r="AS809" s="16"/>
    </row>
    <row r="810" spans="1:45" ht="14.5">
      <c r="A810" s="9" t="s">
        <v>3730</v>
      </c>
      <c r="B810" s="9" t="s">
        <v>3731</v>
      </c>
      <c r="C810" s="9" t="s">
        <v>3015</v>
      </c>
      <c r="D810" s="9" t="s">
        <v>2830</v>
      </c>
      <c r="E810" s="9" t="s">
        <v>49</v>
      </c>
      <c r="F810" s="9" t="s">
        <v>69</v>
      </c>
      <c r="G810" s="9" t="s">
        <v>70</v>
      </c>
      <c r="H810" s="9" t="s">
        <v>2878</v>
      </c>
      <c r="I810" s="9" t="s">
        <v>72</v>
      </c>
      <c r="J810" s="10">
        <v>43961</v>
      </c>
      <c r="K810" s="10">
        <v>44386</v>
      </c>
      <c r="L810" s="10">
        <v>44418.352905092594</v>
      </c>
      <c r="M810" s="10">
        <v>44431</v>
      </c>
      <c r="N810" s="9">
        <v>2021</v>
      </c>
      <c r="O810" s="9" t="s">
        <v>2832</v>
      </c>
      <c r="P810" s="9" t="s">
        <v>83</v>
      </c>
      <c r="Q810" s="9" t="s">
        <v>53</v>
      </c>
      <c r="R810" s="9" t="s">
        <v>3732</v>
      </c>
      <c r="T810" s="9"/>
      <c r="V810" s="9"/>
      <c r="W810" s="11">
        <f>IFERROR(VLOOKUP(B810, PlumX_snapshot!$A:$B, 2, FALSE), " ")</f>
        <v>2</v>
      </c>
      <c r="X810" s="11">
        <f>IFERROR(VLOOKUP(B810, PlumX_snapshot!$A:$C, 3, FALSE), " ")</f>
        <v>1</v>
      </c>
      <c r="Y810" s="12">
        <f>IFERROR(VLOOKUP(B810, PlumX_snapshot!$A:$D, 4, FALSE), " ")</f>
        <v>0</v>
      </c>
      <c r="Z810" s="12">
        <f>IFERROR(VLOOKUP(B810, PlumX_snapshot!$A:$E, 5, FALSE), " ")</f>
        <v>0</v>
      </c>
      <c r="AA810" s="12">
        <f>IFERROR(VLOOKUP(B810, PlumX_snapshot!$A:$F, 6, FALSE), " ")</f>
        <v>0</v>
      </c>
      <c r="AB810" s="13">
        <v>44978</v>
      </c>
      <c r="AH810" s="9">
        <v>2380</v>
      </c>
      <c r="AI810" s="9" t="s">
        <v>77</v>
      </c>
      <c r="AJ810" s="9" t="s">
        <v>1823</v>
      </c>
      <c r="AK810" s="11" t="str">
        <f t="shared" si="6"/>
        <v>2021EUR</v>
      </c>
      <c r="AL810" s="11">
        <f>VLOOKUP(AK810, Exchange_rates!$C:$D, 2, FALSE)</f>
        <v>0.8599</v>
      </c>
      <c r="AM810" s="14">
        <f t="shared" si="7"/>
        <v>2455.8743999999997</v>
      </c>
      <c r="AN810" s="9"/>
      <c r="AO810" s="9"/>
      <c r="AP810" s="9"/>
      <c r="AQ810" s="15" t="s">
        <v>49</v>
      </c>
      <c r="AR810" t="s">
        <v>3016</v>
      </c>
      <c r="AS810" s="16"/>
    </row>
    <row r="811" spans="1:45" ht="14.5">
      <c r="A811" s="9" t="s">
        <v>3733</v>
      </c>
      <c r="B811" s="9" t="s">
        <v>3734</v>
      </c>
      <c r="C811" s="9" t="s">
        <v>3577</v>
      </c>
      <c r="D811" s="9" t="s">
        <v>2830</v>
      </c>
      <c r="E811" s="9" t="s">
        <v>49</v>
      </c>
      <c r="F811" s="9" t="s">
        <v>69</v>
      </c>
      <c r="G811" s="9" t="s">
        <v>70</v>
      </c>
      <c r="H811" s="9" t="s">
        <v>2878</v>
      </c>
      <c r="I811" s="9" t="s">
        <v>72</v>
      </c>
      <c r="J811" s="10">
        <v>44151</v>
      </c>
      <c r="K811" s="10">
        <v>44351</v>
      </c>
      <c r="L811" s="10">
        <v>44354.341817129629</v>
      </c>
      <c r="M811" s="10">
        <v>44375</v>
      </c>
      <c r="N811" s="9">
        <v>2021</v>
      </c>
      <c r="O811" s="9" t="s">
        <v>2832</v>
      </c>
      <c r="P811" s="9" t="s">
        <v>83</v>
      </c>
      <c r="Q811" s="9" t="s">
        <v>53</v>
      </c>
      <c r="R811" s="9" t="s">
        <v>3735</v>
      </c>
      <c r="T811" s="9"/>
      <c r="V811" s="9"/>
      <c r="W811" s="11">
        <f>IFERROR(VLOOKUP(B811, PlumX_snapshot!$A:$B, 2, FALSE), " ")</f>
        <v>27</v>
      </c>
      <c r="X811" s="11">
        <f>IFERROR(VLOOKUP(B811, PlumX_snapshot!$A:$C, 3, FALSE), " ")</f>
        <v>4</v>
      </c>
      <c r="Y811" s="12">
        <f>IFERROR(VLOOKUP(B811, PlumX_snapshot!$A:$D, 4, FALSE), " ")</f>
        <v>0</v>
      </c>
      <c r="Z811" s="12">
        <f>IFERROR(VLOOKUP(B811, PlumX_snapshot!$A:$E, 5, FALSE), " ")</f>
        <v>0</v>
      </c>
      <c r="AA811" s="12">
        <f>IFERROR(VLOOKUP(B811, PlumX_snapshot!$A:$F, 6, FALSE), " ")</f>
        <v>0</v>
      </c>
      <c r="AB811" s="13">
        <v>44978</v>
      </c>
      <c r="AH811" s="9">
        <v>2380</v>
      </c>
      <c r="AI811" s="9" t="s">
        <v>77</v>
      </c>
      <c r="AJ811" s="9" t="s">
        <v>1823</v>
      </c>
      <c r="AK811" s="11" t="str">
        <f t="shared" si="6"/>
        <v>2021EUR</v>
      </c>
      <c r="AL811" s="11">
        <f>VLOOKUP(AK811, Exchange_rates!$C:$D, 2, FALSE)</f>
        <v>0.8599</v>
      </c>
      <c r="AM811" s="14">
        <f t="shared" si="7"/>
        <v>2455.8743999999997</v>
      </c>
      <c r="AN811" s="9"/>
      <c r="AO811" s="9"/>
      <c r="AP811" s="9"/>
      <c r="AQ811" s="15" t="s">
        <v>49</v>
      </c>
      <c r="AR811" t="s">
        <v>3578</v>
      </c>
      <c r="AS811" s="16"/>
    </row>
    <row r="812" spans="1:45" ht="14.5">
      <c r="A812" s="9" t="s">
        <v>3736</v>
      </c>
      <c r="B812" s="9" t="s">
        <v>3737</v>
      </c>
      <c r="C812" s="9" t="s">
        <v>3738</v>
      </c>
      <c r="D812" s="9" t="s">
        <v>2830</v>
      </c>
      <c r="E812" s="9" t="s">
        <v>49</v>
      </c>
      <c r="F812" s="9" t="s">
        <v>69</v>
      </c>
      <c r="G812" s="9" t="s">
        <v>70</v>
      </c>
      <c r="H812" s="9" t="s">
        <v>2878</v>
      </c>
      <c r="I812" s="9" t="s">
        <v>72</v>
      </c>
      <c r="J812" s="10"/>
      <c r="K812" s="10">
        <v>44315</v>
      </c>
      <c r="L812" s="10">
        <v>44382.43240740741</v>
      </c>
      <c r="M812" s="10">
        <v>44393</v>
      </c>
      <c r="N812" s="9">
        <v>2021</v>
      </c>
      <c r="O812" s="9" t="s">
        <v>2832</v>
      </c>
      <c r="P812" s="9" t="s">
        <v>83</v>
      </c>
      <c r="Q812" s="9" t="s">
        <v>53</v>
      </c>
      <c r="R812" s="9" t="s">
        <v>292</v>
      </c>
      <c r="T812" s="9"/>
      <c r="V812" s="9"/>
      <c r="W812" s="11">
        <f>IFERROR(VLOOKUP(B812, PlumX_snapshot!$A:$B, 2, FALSE), " ")</f>
        <v>28</v>
      </c>
      <c r="X812" s="11">
        <f>IFERROR(VLOOKUP(B812, PlumX_snapshot!$A:$C, 3, FALSE), " ")</f>
        <v>3</v>
      </c>
      <c r="Y812" s="12">
        <f>IFERROR(VLOOKUP(B812, PlumX_snapshot!$A:$D, 4, FALSE), " ")</f>
        <v>14</v>
      </c>
      <c r="Z812" s="12">
        <f>IFERROR(VLOOKUP(B812, PlumX_snapshot!$A:$E, 5, FALSE), " ")</f>
        <v>0</v>
      </c>
      <c r="AA812" s="12">
        <f>IFERROR(VLOOKUP(B812, PlumX_snapshot!$A:$F, 6, FALSE), " ")</f>
        <v>0</v>
      </c>
      <c r="AB812" s="13">
        <v>44978</v>
      </c>
      <c r="AH812" s="9">
        <v>2380</v>
      </c>
      <c r="AI812" s="9" t="s">
        <v>77</v>
      </c>
      <c r="AJ812" s="9" t="s">
        <v>1823</v>
      </c>
      <c r="AK812" s="11" t="str">
        <f t="shared" si="6"/>
        <v>2021EUR</v>
      </c>
      <c r="AL812" s="11">
        <f>VLOOKUP(AK812, Exchange_rates!$C:$D, 2, FALSE)</f>
        <v>0.8599</v>
      </c>
      <c r="AM812" s="14">
        <f t="shared" si="7"/>
        <v>2455.8743999999997</v>
      </c>
      <c r="AN812" s="9"/>
      <c r="AO812" s="9"/>
      <c r="AP812" s="9"/>
      <c r="AQ812" s="15" t="s">
        <v>49</v>
      </c>
      <c r="AR812" t="s">
        <v>3739</v>
      </c>
      <c r="AS812" s="16"/>
    </row>
    <row r="813" spans="1:45" ht="14.5">
      <c r="A813" s="9" t="s">
        <v>3740</v>
      </c>
      <c r="B813" s="9" t="s">
        <v>3741</v>
      </c>
      <c r="C813" s="9" t="s">
        <v>3121</v>
      </c>
      <c r="D813" s="9" t="s">
        <v>2830</v>
      </c>
      <c r="E813" s="9" t="s">
        <v>49</v>
      </c>
      <c r="F813" s="9" t="s">
        <v>69</v>
      </c>
      <c r="G813" s="9" t="s">
        <v>70</v>
      </c>
      <c r="H813" s="9" t="s">
        <v>2878</v>
      </c>
      <c r="I813" s="9" t="s">
        <v>72</v>
      </c>
      <c r="J813" s="10">
        <v>44183</v>
      </c>
      <c r="K813" s="10">
        <v>44352</v>
      </c>
      <c r="L813" s="10">
        <v>44362.530706018515</v>
      </c>
      <c r="M813" s="10">
        <v>44383</v>
      </c>
      <c r="N813" s="9">
        <v>2021</v>
      </c>
      <c r="O813" s="9" t="s">
        <v>2832</v>
      </c>
      <c r="P813" s="9" t="s">
        <v>53</v>
      </c>
      <c r="Q813" s="9" t="s">
        <v>53</v>
      </c>
      <c r="R813" s="9" t="s">
        <v>92</v>
      </c>
      <c r="T813" s="9"/>
      <c r="V813" s="9"/>
      <c r="W813" s="11">
        <f>IFERROR(VLOOKUP(B813, PlumX_snapshot!$A:$B, 2, FALSE), " ")</f>
        <v>2</v>
      </c>
      <c r="X813" s="11">
        <f>IFERROR(VLOOKUP(B813, PlumX_snapshot!$A:$C, 3, FALSE), " ")</f>
        <v>0</v>
      </c>
      <c r="Y813" s="12">
        <f>IFERROR(VLOOKUP(B813, PlumX_snapshot!$A:$D, 4, FALSE), " ")</f>
        <v>3</v>
      </c>
      <c r="Z813" s="12">
        <f>IFERROR(VLOOKUP(B813, PlumX_snapshot!$A:$E, 5, FALSE), " ")</f>
        <v>0</v>
      </c>
      <c r="AA813" s="12">
        <f>IFERROR(VLOOKUP(B813, PlumX_snapshot!$A:$F, 6, FALSE), " ")</f>
        <v>0</v>
      </c>
      <c r="AB813" s="13">
        <v>44978</v>
      </c>
      <c r="AH813" s="9">
        <v>2380</v>
      </c>
      <c r="AI813" s="9" t="s">
        <v>77</v>
      </c>
      <c r="AJ813" s="9" t="s">
        <v>1823</v>
      </c>
      <c r="AK813" s="11" t="str">
        <f t="shared" si="6"/>
        <v>2021EUR</v>
      </c>
      <c r="AL813" s="11">
        <f>VLOOKUP(AK813, Exchange_rates!$C:$D, 2, FALSE)</f>
        <v>0.8599</v>
      </c>
      <c r="AM813" s="14">
        <f t="shared" si="7"/>
        <v>2455.8743999999997</v>
      </c>
      <c r="AN813" s="9"/>
      <c r="AO813" s="9"/>
      <c r="AP813" s="9"/>
      <c r="AQ813" s="15" t="s">
        <v>49</v>
      </c>
      <c r="AR813" t="s">
        <v>3122</v>
      </c>
      <c r="AS813" s="16"/>
    </row>
    <row r="814" spans="1:45" ht="14.5">
      <c r="A814" s="9" t="s">
        <v>3742</v>
      </c>
      <c r="B814" s="9" t="s">
        <v>3743</v>
      </c>
      <c r="C814" s="9" t="s">
        <v>3744</v>
      </c>
      <c r="D814" s="9" t="s">
        <v>2830</v>
      </c>
      <c r="E814" s="9" t="s">
        <v>49</v>
      </c>
      <c r="F814" s="9" t="s">
        <v>69</v>
      </c>
      <c r="G814" s="9" t="s">
        <v>70</v>
      </c>
      <c r="H814" s="9" t="s">
        <v>2878</v>
      </c>
      <c r="I814" s="9" t="s">
        <v>72</v>
      </c>
      <c r="J814" s="10"/>
      <c r="K814" s="10">
        <v>44378</v>
      </c>
      <c r="L814" s="10">
        <v>44386.437395833331</v>
      </c>
      <c r="M814" s="10">
        <v>44393</v>
      </c>
      <c r="N814" s="9">
        <v>2021</v>
      </c>
      <c r="O814" s="9" t="s">
        <v>2832</v>
      </c>
      <c r="P814" s="9" t="s">
        <v>53</v>
      </c>
      <c r="Q814" s="9" t="s">
        <v>53</v>
      </c>
      <c r="R814" s="9" t="s">
        <v>3745</v>
      </c>
      <c r="T814" s="9"/>
      <c r="V814" s="9"/>
      <c r="W814" s="11">
        <f>IFERROR(VLOOKUP(B814, PlumX_snapshot!$A:$B, 2, FALSE), " ")</f>
        <v>26</v>
      </c>
      <c r="X814" s="11">
        <f>IFERROR(VLOOKUP(B814, PlumX_snapshot!$A:$C, 3, FALSE), " ")</f>
        <v>4</v>
      </c>
      <c r="Y814" s="12">
        <f>IFERROR(VLOOKUP(B814, PlumX_snapshot!$A:$D, 4, FALSE), " ")</f>
        <v>0</v>
      </c>
      <c r="Z814" s="12">
        <f>IFERROR(VLOOKUP(B814, PlumX_snapshot!$A:$E, 5, FALSE), " ")</f>
        <v>0</v>
      </c>
      <c r="AA814" s="12">
        <f>IFERROR(VLOOKUP(B814, PlumX_snapshot!$A:$F, 6, FALSE), " ")</f>
        <v>0</v>
      </c>
      <c r="AB814" s="13">
        <v>44978</v>
      </c>
      <c r="AH814" s="9">
        <v>2380</v>
      </c>
      <c r="AI814" s="9" t="s">
        <v>77</v>
      </c>
      <c r="AJ814" s="9" t="s">
        <v>1823</v>
      </c>
      <c r="AK814" s="11" t="str">
        <f t="shared" si="6"/>
        <v>2021EUR</v>
      </c>
      <c r="AL814" s="11">
        <f>VLOOKUP(AK814, Exchange_rates!$C:$D, 2, FALSE)</f>
        <v>0.8599</v>
      </c>
      <c r="AM814" s="14">
        <f t="shared" si="7"/>
        <v>2455.8743999999997</v>
      </c>
      <c r="AN814" s="9"/>
      <c r="AO814" s="9"/>
      <c r="AP814" s="9"/>
      <c r="AQ814" s="15" t="s">
        <v>49</v>
      </c>
      <c r="AR814" t="s">
        <v>3746</v>
      </c>
      <c r="AS814" s="16"/>
    </row>
    <row r="815" spans="1:45" ht="14.5">
      <c r="A815" s="9" t="s">
        <v>3747</v>
      </c>
      <c r="B815" s="9" t="s">
        <v>3748</v>
      </c>
      <c r="C815" s="9" t="s">
        <v>3749</v>
      </c>
      <c r="D815" s="9" t="s">
        <v>2830</v>
      </c>
      <c r="E815" s="9" t="s">
        <v>49</v>
      </c>
      <c r="F815" s="9" t="s">
        <v>69</v>
      </c>
      <c r="G815" s="9" t="s">
        <v>70</v>
      </c>
      <c r="H815" s="9" t="s">
        <v>2878</v>
      </c>
      <c r="I815" s="9" t="s">
        <v>72</v>
      </c>
      <c r="J815" s="10">
        <v>43972</v>
      </c>
      <c r="K815" s="10">
        <v>44341</v>
      </c>
      <c r="L815" s="10">
        <v>44350.453032407408</v>
      </c>
      <c r="M815" s="10">
        <v>44359</v>
      </c>
      <c r="N815" s="9">
        <v>2021</v>
      </c>
      <c r="O815" s="9" t="s">
        <v>2832</v>
      </c>
      <c r="P815" s="9" t="s">
        <v>53</v>
      </c>
      <c r="Q815" s="9" t="s">
        <v>53</v>
      </c>
      <c r="R815" s="9" t="s">
        <v>3750</v>
      </c>
      <c r="T815" s="9"/>
      <c r="V815" s="9"/>
      <c r="W815" s="11">
        <f>IFERROR(VLOOKUP(B815, PlumX_snapshot!$A:$B, 2, FALSE), " ")</f>
        <v>37</v>
      </c>
      <c r="X815" s="11">
        <f>IFERROR(VLOOKUP(B815, PlumX_snapshot!$A:$C, 3, FALSE), " ")</f>
        <v>4</v>
      </c>
      <c r="Y815" s="12">
        <f>IFERROR(VLOOKUP(B815, PlumX_snapshot!$A:$D, 4, FALSE), " ")</f>
        <v>6</v>
      </c>
      <c r="Z815" s="12">
        <f>IFERROR(VLOOKUP(B815, PlumX_snapshot!$A:$E, 5, FALSE), " ")</f>
        <v>0</v>
      </c>
      <c r="AA815" s="12">
        <f>IFERROR(VLOOKUP(B815, PlumX_snapshot!$A:$F, 6, FALSE), " ")</f>
        <v>0</v>
      </c>
      <c r="AB815" s="13">
        <v>44978</v>
      </c>
      <c r="AH815" s="9">
        <v>2380</v>
      </c>
      <c r="AI815" s="9" t="s">
        <v>77</v>
      </c>
      <c r="AJ815" s="9" t="s">
        <v>1823</v>
      </c>
      <c r="AK815" s="11" t="str">
        <f t="shared" si="6"/>
        <v>2021EUR</v>
      </c>
      <c r="AL815" s="11">
        <f>VLOOKUP(AK815, Exchange_rates!$C:$D, 2, FALSE)</f>
        <v>0.8599</v>
      </c>
      <c r="AM815" s="14">
        <f t="shared" si="7"/>
        <v>2455.8743999999997</v>
      </c>
      <c r="AN815" s="9"/>
      <c r="AO815" s="9"/>
      <c r="AP815" s="9"/>
      <c r="AQ815" s="15" t="s">
        <v>49</v>
      </c>
      <c r="AR815" t="s">
        <v>3751</v>
      </c>
      <c r="AS815" s="16"/>
    </row>
    <row r="816" spans="1:45" ht="14.5">
      <c r="A816" s="9" t="s">
        <v>3752</v>
      </c>
      <c r="B816" s="9" t="s">
        <v>3753</v>
      </c>
      <c r="C816" s="9" t="s">
        <v>3121</v>
      </c>
      <c r="D816" s="9" t="s">
        <v>2830</v>
      </c>
      <c r="E816" s="9" t="s">
        <v>49</v>
      </c>
      <c r="F816" s="9" t="s">
        <v>69</v>
      </c>
      <c r="G816" s="9" t="s">
        <v>70</v>
      </c>
      <c r="H816" s="9" t="s">
        <v>2841</v>
      </c>
      <c r="I816" s="9" t="s">
        <v>72</v>
      </c>
      <c r="J816" s="10">
        <v>43585</v>
      </c>
      <c r="K816" s="10">
        <v>43780</v>
      </c>
      <c r="L816" s="10">
        <v>43794.546168981484</v>
      </c>
      <c r="M816" s="28">
        <v>43798</v>
      </c>
      <c r="N816" s="9">
        <v>2019</v>
      </c>
      <c r="O816" s="9" t="s">
        <v>2832</v>
      </c>
      <c r="P816" s="9" t="s">
        <v>53</v>
      </c>
      <c r="Q816" s="9" t="s">
        <v>53</v>
      </c>
      <c r="T816" s="9"/>
      <c r="V816" s="9"/>
      <c r="W816" s="11">
        <f>IFERROR(VLOOKUP(B816, PlumX_snapshot!$A:$B, 2, FALSE), " ")</f>
        <v>5</v>
      </c>
      <c r="X816" s="11">
        <f>IFERROR(VLOOKUP(B816, PlumX_snapshot!$A:$C, 3, FALSE), " ")</f>
        <v>2</v>
      </c>
      <c r="Y816" s="12">
        <f>IFERROR(VLOOKUP(B816, PlumX_snapshot!$A:$D, 4, FALSE), " ")</f>
        <v>0</v>
      </c>
      <c r="Z816" s="12">
        <f>IFERROR(VLOOKUP(B816, PlumX_snapshot!$A:$E, 5, FALSE), " ")</f>
        <v>0</v>
      </c>
      <c r="AA816" s="12">
        <f>IFERROR(VLOOKUP(B816, PlumX_snapshot!$A:$F, 6, FALSE), " ")</f>
        <v>1</v>
      </c>
      <c r="AB816" s="13">
        <v>44978</v>
      </c>
      <c r="AH816" s="9"/>
      <c r="AI816" s="9"/>
      <c r="AJ816" s="9"/>
      <c r="AK816" s="11" t="str">
        <f t="shared" si="6"/>
        <v>2019</v>
      </c>
      <c r="AL816" s="11" t="e">
        <f>VLOOKUP(AK816, Exchange_rates!$C:$D, 2, FALSE)</f>
        <v>#N/A</v>
      </c>
      <c r="AM816" s="14" t="str">
        <f t="shared" si="7"/>
        <v/>
      </c>
      <c r="AN816" s="9"/>
      <c r="AO816" s="9"/>
      <c r="AP816" s="9"/>
      <c r="AQ816" s="15" t="s">
        <v>49</v>
      </c>
      <c r="AR816" t="s">
        <v>3122</v>
      </c>
      <c r="AS816" s="16"/>
    </row>
    <row r="817" spans="1:45" ht="14.5">
      <c r="A817" s="9" t="s">
        <v>3754</v>
      </c>
      <c r="B817" s="9" t="s">
        <v>3755</v>
      </c>
      <c r="C817" s="9" t="s">
        <v>3756</v>
      </c>
      <c r="D817" s="9" t="s">
        <v>2830</v>
      </c>
      <c r="E817" s="9" t="s">
        <v>49</v>
      </c>
      <c r="F817" s="9" t="s">
        <v>69</v>
      </c>
      <c r="G817" s="9" t="s">
        <v>70</v>
      </c>
      <c r="H817" s="9" t="s">
        <v>2878</v>
      </c>
      <c r="I817" s="9" t="s">
        <v>72</v>
      </c>
      <c r="J817" s="10">
        <v>44194</v>
      </c>
      <c r="K817" s="10">
        <v>44294</v>
      </c>
      <c r="L817" s="10">
        <v>44299.338090277779</v>
      </c>
      <c r="M817" s="10">
        <v>44375</v>
      </c>
      <c r="N817" s="9">
        <v>2021</v>
      </c>
      <c r="O817" s="9" t="s">
        <v>2832</v>
      </c>
      <c r="P817" s="9" t="s">
        <v>53</v>
      </c>
      <c r="Q817" s="9" t="s">
        <v>53</v>
      </c>
      <c r="R817" s="9" t="s">
        <v>92</v>
      </c>
      <c r="T817" s="9"/>
      <c r="V817" s="9"/>
      <c r="W817" s="11">
        <f>IFERROR(VLOOKUP(B817, PlumX_snapshot!$A:$B, 2, FALSE), " ")</f>
        <v>0</v>
      </c>
      <c r="X817" s="11">
        <f>IFERROR(VLOOKUP(B817, PlumX_snapshot!$A:$C, 3, FALSE), " ")</f>
        <v>1</v>
      </c>
      <c r="Y817" s="12">
        <f>IFERROR(VLOOKUP(B817, PlumX_snapshot!$A:$D, 4, FALSE), " ")</f>
        <v>10</v>
      </c>
      <c r="Z817" s="12">
        <f>IFERROR(VLOOKUP(B817, PlumX_snapshot!$A:$E, 5, FALSE), " ")</f>
        <v>0</v>
      </c>
      <c r="AA817" s="12">
        <f>IFERROR(VLOOKUP(B817, PlumX_snapshot!$A:$F, 6, FALSE), " ")</f>
        <v>0</v>
      </c>
      <c r="AB817" s="13">
        <v>44978</v>
      </c>
      <c r="AH817" s="9">
        <v>2380</v>
      </c>
      <c r="AI817" s="9" t="s">
        <v>77</v>
      </c>
      <c r="AJ817" s="9" t="s">
        <v>1823</v>
      </c>
      <c r="AK817" s="11" t="str">
        <f t="shared" si="6"/>
        <v>2021EUR</v>
      </c>
      <c r="AL817" s="11">
        <f>VLOOKUP(AK817, Exchange_rates!$C:$D, 2, FALSE)</f>
        <v>0.8599</v>
      </c>
      <c r="AM817" s="14">
        <f t="shared" si="7"/>
        <v>2455.8743999999997</v>
      </c>
      <c r="AN817" s="9"/>
      <c r="AO817" s="9"/>
      <c r="AP817" s="9"/>
      <c r="AQ817" s="15" t="s">
        <v>49</v>
      </c>
      <c r="AR817" t="s">
        <v>3757</v>
      </c>
      <c r="AS817" s="16"/>
    </row>
    <row r="818" spans="1:45" ht="14.5">
      <c r="A818" s="9" t="s">
        <v>3758</v>
      </c>
      <c r="B818" s="9" t="s">
        <v>3759</v>
      </c>
      <c r="C818" s="9" t="s">
        <v>3640</v>
      </c>
      <c r="D818" s="9" t="s">
        <v>2830</v>
      </c>
      <c r="E818" s="9" t="s">
        <v>49</v>
      </c>
      <c r="F818" s="9" t="s">
        <v>69</v>
      </c>
      <c r="G818" s="9" t="s">
        <v>70</v>
      </c>
      <c r="H818" s="9" t="s">
        <v>2871</v>
      </c>
      <c r="I818" s="9" t="s">
        <v>72</v>
      </c>
      <c r="J818" s="10"/>
      <c r="K818" s="10"/>
      <c r="L818" s="10">
        <v>43906.410451388889</v>
      </c>
      <c r="M818" s="10">
        <v>43914</v>
      </c>
      <c r="N818" s="9">
        <v>2020</v>
      </c>
      <c r="O818" s="9" t="s">
        <v>2832</v>
      </c>
      <c r="P818" s="9" t="s">
        <v>53</v>
      </c>
      <c r="Q818" s="9" t="s">
        <v>53</v>
      </c>
      <c r="T818" s="9"/>
      <c r="V818" s="9"/>
      <c r="W818" s="11">
        <f>IFERROR(VLOOKUP(B818, PlumX_snapshot!$A:$B, 2, FALSE), " ")</f>
        <v>21</v>
      </c>
      <c r="X818" s="11">
        <f>IFERROR(VLOOKUP(B818, PlumX_snapshot!$A:$C, 3, FALSE), " ")</f>
        <v>11</v>
      </c>
      <c r="Y818" s="12">
        <f>IFERROR(VLOOKUP(B818, PlumX_snapshot!$A:$D, 4, FALSE), " ")</f>
        <v>53</v>
      </c>
      <c r="Z818" s="12">
        <f>IFERROR(VLOOKUP(B818, PlumX_snapshot!$A:$E, 5, FALSE), " ")</f>
        <v>0</v>
      </c>
      <c r="AA818" s="12">
        <f>IFERROR(VLOOKUP(B818, PlumX_snapshot!$A:$F, 6, FALSE), " ")</f>
        <v>0</v>
      </c>
      <c r="AB818" s="13">
        <v>44978</v>
      </c>
      <c r="AH818" s="9">
        <v>2289</v>
      </c>
      <c r="AI818" s="9" t="s">
        <v>77</v>
      </c>
      <c r="AJ818" s="9" t="s">
        <v>1823</v>
      </c>
      <c r="AK818" s="11" t="str">
        <f t="shared" si="6"/>
        <v>2020EUR</v>
      </c>
      <c r="AL818" s="11">
        <f>VLOOKUP(AK818, Exchange_rates!$C:$D, 2, FALSE)</f>
        <v>0.88970000000000005</v>
      </c>
      <c r="AM818" s="14">
        <f t="shared" si="7"/>
        <v>2443.8279600000001</v>
      </c>
      <c r="AN818" s="9"/>
      <c r="AO818" s="9"/>
      <c r="AP818" s="9"/>
      <c r="AQ818" s="15" t="s">
        <v>49</v>
      </c>
      <c r="AR818" t="s">
        <v>3642</v>
      </c>
      <c r="AS818" s="16"/>
    </row>
    <row r="819" spans="1:45" ht="14.5">
      <c r="A819" s="9" t="s">
        <v>3760</v>
      </c>
      <c r="B819" s="9" t="s">
        <v>3761</v>
      </c>
      <c r="C819" s="9" t="s">
        <v>3762</v>
      </c>
      <c r="D819" s="9" t="s">
        <v>2830</v>
      </c>
      <c r="E819" s="9" t="s">
        <v>49</v>
      </c>
      <c r="F819" s="9" t="s">
        <v>69</v>
      </c>
      <c r="G819" s="9" t="s">
        <v>70</v>
      </c>
      <c r="H819" s="9" t="s">
        <v>2871</v>
      </c>
      <c r="I819" s="9" t="s">
        <v>72</v>
      </c>
      <c r="J819" s="10">
        <v>43570</v>
      </c>
      <c r="K819" s="10">
        <v>43968</v>
      </c>
      <c r="L819" s="10">
        <v>43970.397418981483</v>
      </c>
      <c r="M819" s="10">
        <v>44003</v>
      </c>
      <c r="N819" s="9">
        <v>2020</v>
      </c>
      <c r="O819" s="9" t="s">
        <v>2832</v>
      </c>
      <c r="P819" s="9" t="s">
        <v>53</v>
      </c>
      <c r="Q819" s="9" t="s">
        <v>53</v>
      </c>
      <c r="T819" s="9"/>
      <c r="V819" s="9"/>
      <c r="W819" s="11">
        <f>IFERROR(VLOOKUP(B819, PlumX_snapshot!$A:$B, 2, FALSE), " ")</f>
        <v>1</v>
      </c>
      <c r="X819" s="11">
        <f>IFERROR(VLOOKUP(B819, PlumX_snapshot!$A:$C, 3, FALSE), " ")</f>
        <v>2</v>
      </c>
      <c r="Y819" s="12">
        <f>IFERROR(VLOOKUP(B819, PlumX_snapshot!$A:$D, 4, FALSE), " ")</f>
        <v>0</v>
      </c>
      <c r="Z819" s="12">
        <f>IFERROR(VLOOKUP(B819, PlumX_snapshot!$A:$E, 5, FALSE), " ")</f>
        <v>0</v>
      </c>
      <c r="AA819" s="12">
        <f>IFERROR(VLOOKUP(B819, PlumX_snapshot!$A:$F, 6, FALSE), " ")</f>
        <v>0</v>
      </c>
      <c r="AB819" s="13">
        <v>44978</v>
      </c>
      <c r="AH819" s="9">
        <v>2289</v>
      </c>
      <c r="AI819" s="9" t="s">
        <v>77</v>
      </c>
      <c r="AJ819" s="9" t="s">
        <v>1823</v>
      </c>
      <c r="AK819" s="11" t="str">
        <f t="shared" si="6"/>
        <v>2020EUR</v>
      </c>
      <c r="AL819" s="11">
        <f>VLOOKUP(AK819, Exchange_rates!$C:$D, 2, FALSE)</f>
        <v>0.88970000000000005</v>
      </c>
      <c r="AM819" s="14">
        <f t="shared" si="7"/>
        <v>2443.8279600000001</v>
      </c>
      <c r="AN819" s="9"/>
      <c r="AO819" s="9"/>
      <c r="AP819" s="9"/>
      <c r="AQ819" s="15" t="s">
        <v>49</v>
      </c>
      <c r="AR819" t="s">
        <v>3763</v>
      </c>
      <c r="AS819" s="16"/>
    </row>
    <row r="820" spans="1:45" ht="14.5">
      <c r="A820" s="9" t="s">
        <v>3764</v>
      </c>
      <c r="B820" s="9" t="s">
        <v>3765</v>
      </c>
      <c r="C820" s="9" t="s">
        <v>3766</v>
      </c>
      <c r="D820" s="9" t="s">
        <v>2830</v>
      </c>
      <c r="E820" s="9" t="s">
        <v>49</v>
      </c>
      <c r="F820" s="9" t="s">
        <v>69</v>
      </c>
      <c r="G820" s="9" t="s">
        <v>70</v>
      </c>
      <c r="H820" s="9" t="s">
        <v>2878</v>
      </c>
      <c r="I820" s="9" t="s">
        <v>72</v>
      </c>
      <c r="J820" s="10">
        <v>44241</v>
      </c>
      <c r="K820" s="10">
        <v>44425</v>
      </c>
      <c r="L820" s="10">
        <v>44431.421226851853</v>
      </c>
      <c r="M820" s="10">
        <v>44434</v>
      </c>
      <c r="N820" s="9">
        <v>2021</v>
      </c>
      <c r="O820" s="9" t="s">
        <v>2832</v>
      </c>
      <c r="P820" s="9" t="s">
        <v>83</v>
      </c>
      <c r="Q820" s="9" t="s">
        <v>53</v>
      </c>
      <c r="R820" s="9" t="s">
        <v>3767</v>
      </c>
      <c r="T820" s="9"/>
      <c r="V820" s="9"/>
      <c r="W820" s="11">
        <f>IFERROR(VLOOKUP(B820, PlumX_snapshot!$A:$B, 2, FALSE), " ")</f>
        <v>5</v>
      </c>
      <c r="X820" s="11">
        <f>IFERROR(VLOOKUP(B820, PlumX_snapshot!$A:$C, 3, FALSE), " ")</f>
        <v>0</v>
      </c>
      <c r="Y820" s="12">
        <f>IFERROR(VLOOKUP(B820, PlumX_snapshot!$A:$D, 4, FALSE), " ")</f>
        <v>2</v>
      </c>
      <c r="Z820" s="12">
        <f>IFERROR(VLOOKUP(B820, PlumX_snapshot!$A:$E, 5, FALSE), " ")</f>
        <v>0</v>
      </c>
      <c r="AA820" s="12">
        <f>IFERROR(VLOOKUP(B820, PlumX_snapshot!$A:$F, 6, FALSE), " ")</f>
        <v>0</v>
      </c>
      <c r="AB820" s="13">
        <v>44978</v>
      </c>
      <c r="AH820" s="9">
        <v>2380</v>
      </c>
      <c r="AI820" s="9" t="s">
        <v>77</v>
      </c>
      <c r="AJ820" s="9" t="s">
        <v>1823</v>
      </c>
      <c r="AK820" s="11" t="str">
        <f t="shared" si="6"/>
        <v>2021EUR</v>
      </c>
      <c r="AL820" s="11">
        <f>VLOOKUP(AK820, Exchange_rates!$C:$D, 2, FALSE)</f>
        <v>0.8599</v>
      </c>
      <c r="AM820" s="14">
        <f t="shared" si="7"/>
        <v>2455.8743999999997</v>
      </c>
      <c r="AN820" s="9"/>
      <c r="AO820" s="9"/>
      <c r="AP820" s="9"/>
      <c r="AQ820" s="15" t="s">
        <v>49</v>
      </c>
      <c r="AR820" t="s">
        <v>3768</v>
      </c>
      <c r="AS820" s="16"/>
    </row>
    <row r="821" spans="1:45" ht="14.5">
      <c r="A821" s="9" t="s">
        <v>3769</v>
      </c>
      <c r="B821" s="9" t="s">
        <v>3770</v>
      </c>
      <c r="C821" s="9" t="s">
        <v>3640</v>
      </c>
      <c r="D821" s="9" t="s">
        <v>2830</v>
      </c>
      <c r="E821" s="9" t="s">
        <v>49</v>
      </c>
      <c r="F821" s="9" t="s">
        <v>69</v>
      </c>
      <c r="G821" s="9" t="s">
        <v>70</v>
      </c>
      <c r="H821" s="9" t="s">
        <v>2878</v>
      </c>
      <c r="I821" s="9" t="s">
        <v>72</v>
      </c>
      <c r="J821" s="10"/>
      <c r="K821" s="10">
        <v>44392</v>
      </c>
      <c r="L821" s="10">
        <v>44406.577337962961</v>
      </c>
      <c r="M821" s="10">
        <v>44419</v>
      </c>
      <c r="N821" s="9">
        <v>2021</v>
      </c>
      <c r="O821" s="9" t="s">
        <v>2832</v>
      </c>
      <c r="P821" s="9" t="s">
        <v>83</v>
      </c>
      <c r="Q821" s="9" t="s">
        <v>53</v>
      </c>
      <c r="R821" s="9" t="s">
        <v>1847</v>
      </c>
      <c r="T821" s="9"/>
      <c r="V821" s="9"/>
      <c r="W821" s="11">
        <f>IFERROR(VLOOKUP(B821, PlumX_snapshot!$A:$B, 2, FALSE), " ")</f>
        <v>5</v>
      </c>
      <c r="X821" s="11">
        <f>IFERROR(VLOOKUP(B821, PlumX_snapshot!$A:$C, 3, FALSE), " ")</f>
        <v>5</v>
      </c>
      <c r="Y821" s="12">
        <f>IFERROR(VLOOKUP(B821, PlumX_snapshot!$A:$D, 4, FALSE), " ")</f>
        <v>102</v>
      </c>
      <c r="Z821" s="12">
        <f>IFERROR(VLOOKUP(B821, PlumX_snapshot!$A:$E, 5, FALSE), " ")</f>
        <v>0</v>
      </c>
      <c r="AA821" s="12">
        <f>IFERROR(VLOOKUP(B821, PlumX_snapshot!$A:$F, 6, FALSE), " ")</f>
        <v>0</v>
      </c>
      <c r="AB821" s="13">
        <v>44978</v>
      </c>
      <c r="AH821" s="9">
        <v>2380</v>
      </c>
      <c r="AI821" s="9" t="s">
        <v>77</v>
      </c>
      <c r="AJ821" s="9" t="s">
        <v>1823</v>
      </c>
      <c r="AK821" s="11" t="str">
        <f t="shared" si="6"/>
        <v>2021EUR</v>
      </c>
      <c r="AL821" s="11">
        <f>VLOOKUP(AK821, Exchange_rates!$C:$D, 2, FALSE)</f>
        <v>0.8599</v>
      </c>
      <c r="AM821" s="14">
        <f t="shared" si="7"/>
        <v>2455.8743999999997</v>
      </c>
      <c r="AN821" s="9"/>
      <c r="AO821" s="9"/>
      <c r="AP821" s="9"/>
      <c r="AQ821" s="15" t="s">
        <v>49</v>
      </c>
      <c r="AR821" t="s">
        <v>3642</v>
      </c>
      <c r="AS821" s="16"/>
    </row>
    <row r="822" spans="1:45" ht="14.5">
      <c r="A822" s="9" t="s">
        <v>3771</v>
      </c>
      <c r="B822" s="9" t="s">
        <v>3772</v>
      </c>
      <c r="C822" s="9" t="s">
        <v>3773</v>
      </c>
      <c r="D822" s="9" t="s">
        <v>2830</v>
      </c>
      <c r="E822" s="9" t="s">
        <v>49</v>
      </c>
      <c r="F822" s="9" t="s">
        <v>69</v>
      </c>
      <c r="G822" s="9" t="s">
        <v>70</v>
      </c>
      <c r="H822" s="9" t="s">
        <v>2878</v>
      </c>
      <c r="I822" s="9" t="s">
        <v>72</v>
      </c>
      <c r="J822" s="10">
        <v>44276</v>
      </c>
      <c r="K822" s="10">
        <v>44438</v>
      </c>
      <c r="L822" s="10">
        <v>44445.559861111113</v>
      </c>
      <c r="M822" s="10">
        <v>44449</v>
      </c>
      <c r="N822" s="9">
        <v>2021</v>
      </c>
      <c r="O822" s="9" t="s">
        <v>2832</v>
      </c>
      <c r="P822" s="9" t="s">
        <v>53</v>
      </c>
      <c r="Q822" s="9" t="s">
        <v>53</v>
      </c>
      <c r="R822" s="9" t="s">
        <v>92</v>
      </c>
      <c r="T822" s="9"/>
      <c r="V822" s="9"/>
      <c r="W822" s="11">
        <f>IFERROR(VLOOKUP(B822, PlumX_snapshot!$A:$B, 2, FALSE), " ")</f>
        <v>13</v>
      </c>
      <c r="X822" s="11">
        <f>IFERROR(VLOOKUP(B822, PlumX_snapshot!$A:$C, 3, FALSE), " ")</f>
        <v>5</v>
      </c>
      <c r="Y822" s="12">
        <f>IFERROR(VLOOKUP(B822, PlumX_snapshot!$A:$D, 4, FALSE), " ")</f>
        <v>0</v>
      </c>
      <c r="Z822" s="12">
        <f>IFERROR(VLOOKUP(B822, PlumX_snapshot!$A:$E, 5, FALSE), " ")</f>
        <v>0</v>
      </c>
      <c r="AA822" s="12">
        <f>IFERROR(VLOOKUP(B822, PlumX_snapshot!$A:$F, 6, FALSE), " ")</f>
        <v>0</v>
      </c>
      <c r="AB822" s="13">
        <v>44978</v>
      </c>
      <c r="AH822" s="9">
        <v>2380</v>
      </c>
      <c r="AI822" s="9" t="s">
        <v>77</v>
      </c>
      <c r="AJ822" s="9" t="s">
        <v>1823</v>
      </c>
      <c r="AK822" s="11" t="str">
        <f t="shared" si="6"/>
        <v>2021EUR</v>
      </c>
      <c r="AL822" s="11">
        <f>VLOOKUP(AK822, Exchange_rates!$C:$D, 2, FALSE)</f>
        <v>0.8599</v>
      </c>
      <c r="AM822" s="14">
        <f t="shared" si="7"/>
        <v>2455.8743999999997</v>
      </c>
      <c r="AN822" s="9"/>
      <c r="AO822" s="9"/>
      <c r="AP822" s="9"/>
      <c r="AQ822" s="15" t="s">
        <v>49</v>
      </c>
      <c r="AR822" t="s">
        <v>3774</v>
      </c>
      <c r="AS822" s="16"/>
    </row>
    <row r="823" spans="1:45" ht="14.5">
      <c r="A823" s="9" t="s">
        <v>3775</v>
      </c>
      <c r="B823" s="9" t="s">
        <v>3776</v>
      </c>
      <c r="C823" s="9" t="s">
        <v>3220</v>
      </c>
      <c r="D823" s="9" t="s">
        <v>2830</v>
      </c>
      <c r="E823" s="9" t="s">
        <v>49</v>
      </c>
      <c r="F823" s="9" t="s">
        <v>69</v>
      </c>
      <c r="G823" s="9" t="s">
        <v>70</v>
      </c>
      <c r="H823" s="9" t="s">
        <v>2878</v>
      </c>
      <c r="I823" s="9" t="s">
        <v>72</v>
      </c>
      <c r="J823" s="10">
        <v>44276</v>
      </c>
      <c r="K823" s="10">
        <v>44433</v>
      </c>
      <c r="L823" s="10">
        <v>44440.344861111109</v>
      </c>
      <c r="M823" s="10">
        <v>44446</v>
      </c>
      <c r="N823" s="9">
        <v>2021</v>
      </c>
      <c r="O823" s="9" t="s">
        <v>2832</v>
      </c>
      <c r="P823" s="9" t="s">
        <v>53</v>
      </c>
      <c r="Q823" s="9" t="s">
        <v>53</v>
      </c>
      <c r="R823" s="9" t="s">
        <v>307</v>
      </c>
      <c r="T823" s="9"/>
      <c r="V823" s="9"/>
      <c r="W823" s="11">
        <f>IFERROR(VLOOKUP(B823, PlumX_snapshot!$A:$B, 2, FALSE), " ")</f>
        <v>16</v>
      </c>
      <c r="X823" s="11">
        <f>IFERROR(VLOOKUP(B823, PlumX_snapshot!$A:$C, 3, FALSE), " ")</f>
        <v>0</v>
      </c>
      <c r="Y823" s="12">
        <f>IFERROR(VLOOKUP(B823, PlumX_snapshot!$A:$D, 4, FALSE), " ")</f>
        <v>17</v>
      </c>
      <c r="Z823" s="12">
        <f>IFERROR(VLOOKUP(B823, PlumX_snapshot!$A:$E, 5, FALSE), " ")</f>
        <v>0</v>
      </c>
      <c r="AA823" s="12">
        <f>IFERROR(VLOOKUP(B823, PlumX_snapshot!$A:$F, 6, FALSE), " ")</f>
        <v>0</v>
      </c>
      <c r="AB823" s="13">
        <v>44978</v>
      </c>
      <c r="AH823" s="9">
        <v>2380</v>
      </c>
      <c r="AI823" s="9" t="s">
        <v>77</v>
      </c>
      <c r="AJ823" s="9" t="s">
        <v>1823</v>
      </c>
      <c r="AK823" s="11" t="str">
        <f t="shared" si="6"/>
        <v>2021EUR</v>
      </c>
      <c r="AL823" s="11">
        <f>VLOOKUP(AK823, Exchange_rates!$C:$D, 2, FALSE)</f>
        <v>0.8599</v>
      </c>
      <c r="AM823" s="14">
        <f t="shared" si="7"/>
        <v>2455.8743999999997</v>
      </c>
      <c r="AN823" s="9"/>
      <c r="AO823" s="9"/>
      <c r="AP823" s="9"/>
      <c r="AQ823" s="15" t="s">
        <v>49</v>
      </c>
      <c r="AR823" t="s">
        <v>3221</v>
      </c>
      <c r="AS823" s="16"/>
    </row>
    <row r="824" spans="1:45" ht="14.5">
      <c r="A824" s="9" t="s">
        <v>3777</v>
      </c>
      <c r="B824" s="9" t="s">
        <v>3778</v>
      </c>
      <c r="C824" s="9" t="s">
        <v>3779</v>
      </c>
      <c r="D824" s="9" t="s">
        <v>2830</v>
      </c>
      <c r="E824" s="9" t="s">
        <v>49</v>
      </c>
      <c r="F824" s="9" t="s">
        <v>69</v>
      </c>
      <c r="G824" s="9" t="s">
        <v>70</v>
      </c>
      <c r="H824" s="9" t="s">
        <v>2878</v>
      </c>
      <c r="I824" s="9" t="s">
        <v>72</v>
      </c>
      <c r="J824" s="10">
        <v>44250</v>
      </c>
      <c r="K824" s="10">
        <v>44435</v>
      </c>
      <c r="L824" s="10">
        <v>44442.302245370367</v>
      </c>
      <c r="M824" s="10">
        <v>44451</v>
      </c>
      <c r="N824" s="9">
        <v>2021</v>
      </c>
      <c r="O824" s="9" t="s">
        <v>2832</v>
      </c>
      <c r="P824" s="9" t="s">
        <v>53</v>
      </c>
      <c r="Q824" s="9" t="s">
        <v>53</v>
      </c>
      <c r="R824" s="9" t="s">
        <v>3780</v>
      </c>
      <c r="T824" s="9"/>
      <c r="V824" s="9"/>
      <c r="W824" s="11">
        <f>IFERROR(VLOOKUP(B824, PlumX_snapshot!$A:$B, 2, FALSE), " ")</f>
        <v>23</v>
      </c>
      <c r="X824" s="11">
        <f>IFERROR(VLOOKUP(B824, PlumX_snapshot!$A:$C, 3, FALSE), " ")</f>
        <v>5</v>
      </c>
      <c r="Y824" s="12">
        <f>IFERROR(VLOOKUP(B824, PlumX_snapshot!$A:$D, 4, FALSE), " ")</f>
        <v>6</v>
      </c>
      <c r="Z824" s="12">
        <f>IFERROR(VLOOKUP(B824, PlumX_snapshot!$A:$E, 5, FALSE), " ")</f>
        <v>0</v>
      </c>
      <c r="AA824" s="12">
        <f>IFERROR(VLOOKUP(B824, PlumX_snapshot!$A:$F, 6, FALSE), " ")</f>
        <v>0</v>
      </c>
      <c r="AB824" s="13">
        <v>44978</v>
      </c>
      <c r="AH824" s="9">
        <v>2380</v>
      </c>
      <c r="AI824" s="9" t="s">
        <v>77</v>
      </c>
      <c r="AJ824" s="9" t="s">
        <v>1823</v>
      </c>
      <c r="AK824" s="11" t="str">
        <f t="shared" si="6"/>
        <v>2021EUR</v>
      </c>
      <c r="AL824" s="11">
        <f>VLOOKUP(AK824, Exchange_rates!$C:$D, 2, FALSE)</f>
        <v>0.8599</v>
      </c>
      <c r="AM824" s="14">
        <f t="shared" si="7"/>
        <v>2455.8743999999997</v>
      </c>
      <c r="AN824" s="9"/>
      <c r="AO824" s="9"/>
      <c r="AP824" s="9"/>
      <c r="AQ824" s="15" t="s">
        <v>49</v>
      </c>
      <c r="AR824" t="s">
        <v>3781</v>
      </c>
      <c r="AS824" s="16"/>
    </row>
    <row r="825" spans="1:45" ht="14.5">
      <c r="A825" s="9" t="s">
        <v>3782</v>
      </c>
      <c r="B825" s="9" t="s">
        <v>3783</v>
      </c>
      <c r="C825" s="9" t="s">
        <v>3015</v>
      </c>
      <c r="D825" s="9" t="s">
        <v>2830</v>
      </c>
      <c r="E825" s="9" t="s">
        <v>49</v>
      </c>
      <c r="F825" s="9" t="s">
        <v>69</v>
      </c>
      <c r="G825" s="9" t="s">
        <v>70</v>
      </c>
      <c r="H825" s="9" t="s">
        <v>2878</v>
      </c>
      <c r="I825" s="9" t="s">
        <v>72</v>
      </c>
      <c r="J825" s="10">
        <v>44160</v>
      </c>
      <c r="K825" s="10">
        <v>44397</v>
      </c>
      <c r="L825" s="10">
        <v>44448.614212962966</v>
      </c>
      <c r="M825" s="10">
        <v>44472</v>
      </c>
      <c r="N825" s="9">
        <v>2021</v>
      </c>
      <c r="O825" s="9" t="s">
        <v>2832</v>
      </c>
      <c r="P825" s="9" t="s">
        <v>83</v>
      </c>
      <c r="Q825" s="9" t="s">
        <v>53</v>
      </c>
      <c r="R825" s="9" t="s">
        <v>3784</v>
      </c>
      <c r="T825" s="9"/>
      <c r="V825" s="9"/>
      <c r="W825" s="11">
        <f>IFERROR(VLOOKUP(B825, PlumX_snapshot!$A:$B, 2, FALSE), " ")</f>
        <v>5</v>
      </c>
      <c r="X825" s="11">
        <f>IFERROR(VLOOKUP(B825, PlumX_snapshot!$A:$C, 3, FALSE), " ")</f>
        <v>5</v>
      </c>
      <c r="Y825" s="12">
        <f>IFERROR(VLOOKUP(B825, PlumX_snapshot!$A:$D, 4, FALSE), " ")</f>
        <v>0</v>
      </c>
      <c r="Z825" s="12">
        <f>IFERROR(VLOOKUP(B825, PlumX_snapshot!$A:$E, 5, FALSE), " ")</f>
        <v>0</v>
      </c>
      <c r="AA825" s="12">
        <f>IFERROR(VLOOKUP(B825, PlumX_snapshot!$A:$F, 6, FALSE), " ")</f>
        <v>0</v>
      </c>
      <c r="AB825" s="13">
        <v>44978</v>
      </c>
      <c r="AH825" s="9">
        <v>2380</v>
      </c>
      <c r="AI825" s="9" t="s">
        <v>77</v>
      </c>
      <c r="AJ825" s="9" t="s">
        <v>1823</v>
      </c>
      <c r="AK825" s="11" t="str">
        <f t="shared" si="6"/>
        <v>2021EUR</v>
      </c>
      <c r="AL825" s="11">
        <f>VLOOKUP(AK825, Exchange_rates!$C:$D, 2, FALSE)</f>
        <v>0.8599</v>
      </c>
      <c r="AM825" s="14">
        <f t="shared" si="7"/>
        <v>2455.8743999999997</v>
      </c>
      <c r="AN825" s="9"/>
      <c r="AO825" s="9"/>
      <c r="AP825" s="9"/>
      <c r="AQ825" s="15" t="s">
        <v>49</v>
      </c>
      <c r="AR825" t="s">
        <v>3016</v>
      </c>
      <c r="AS825" s="16"/>
    </row>
    <row r="826" spans="1:45" ht="14.5">
      <c r="A826" s="9" t="s">
        <v>3785</v>
      </c>
      <c r="B826" s="9" t="s">
        <v>3786</v>
      </c>
      <c r="C826" s="9" t="s">
        <v>3544</v>
      </c>
      <c r="D826" s="9" t="s">
        <v>2830</v>
      </c>
      <c r="E826" s="9" t="s">
        <v>49</v>
      </c>
      <c r="F826" s="9" t="s">
        <v>69</v>
      </c>
      <c r="G826" s="9" t="s">
        <v>70</v>
      </c>
      <c r="H826" s="9" t="s">
        <v>2878</v>
      </c>
      <c r="I826" s="9" t="s">
        <v>72</v>
      </c>
      <c r="J826" s="10"/>
      <c r="K826" s="10">
        <v>44407</v>
      </c>
      <c r="L826" s="10">
        <v>44426.381435185183</v>
      </c>
      <c r="M826" s="10">
        <v>44449</v>
      </c>
      <c r="N826" s="9">
        <v>2021</v>
      </c>
      <c r="O826" s="9" t="s">
        <v>2832</v>
      </c>
      <c r="P826" s="9" t="s">
        <v>53</v>
      </c>
      <c r="Q826" s="9" t="s">
        <v>53</v>
      </c>
      <c r="R826" s="9" t="s">
        <v>3787</v>
      </c>
      <c r="T826" s="9"/>
      <c r="V826" s="9"/>
      <c r="W826" s="11">
        <f>IFERROR(VLOOKUP(B826, PlumX_snapshot!$A:$B, 2, FALSE), " ")</f>
        <v>17</v>
      </c>
      <c r="X826" s="11">
        <f>IFERROR(VLOOKUP(B826, PlumX_snapshot!$A:$C, 3, FALSE), " ")</f>
        <v>1</v>
      </c>
      <c r="Y826" s="12">
        <f>IFERROR(VLOOKUP(B826, PlumX_snapshot!$A:$D, 4, FALSE), " ")</f>
        <v>5</v>
      </c>
      <c r="Z826" s="12">
        <f>IFERROR(VLOOKUP(B826, PlumX_snapshot!$A:$E, 5, FALSE), " ")</f>
        <v>0</v>
      </c>
      <c r="AA826" s="12">
        <f>IFERROR(VLOOKUP(B826, PlumX_snapshot!$A:$F, 6, FALSE), " ")</f>
        <v>0</v>
      </c>
      <c r="AB826" s="13">
        <v>44978</v>
      </c>
      <c r="AH826" s="9">
        <v>2380</v>
      </c>
      <c r="AI826" s="9" t="s">
        <v>77</v>
      </c>
      <c r="AJ826" s="9" t="s">
        <v>1823</v>
      </c>
      <c r="AK826" s="11" t="str">
        <f t="shared" si="6"/>
        <v>2021EUR</v>
      </c>
      <c r="AL826" s="11">
        <f>VLOOKUP(AK826, Exchange_rates!$C:$D, 2, FALSE)</f>
        <v>0.8599</v>
      </c>
      <c r="AM826" s="14">
        <f t="shared" si="7"/>
        <v>2455.8743999999997</v>
      </c>
      <c r="AN826" s="9"/>
      <c r="AO826" s="9"/>
      <c r="AP826" s="9"/>
      <c r="AQ826" s="15" t="s">
        <v>49</v>
      </c>
      <c r="AR826" t="s">
        <v>3545</v>
      </c>
      <c r="AS826" s="16"/>
    </row>
    <row r="827" spans="1:45" ht="14.5">
      <c r="A827" s="9" t="s">
        <v>3788</v>
      </c>
      <c r="B827" s="9" t="s">
        <v>3789</v>
      </c>
      <c r="C827" s="9" t="s">
        <v>3790</v>
      </c>
      <c r="D827" s="9" t="s">
        <v>2830</v>
      </c>
      <c r="E827" s="9" t="s">
        <v>49</v>
      </c>
      <c r="F827" s="9" t="s">
        <v>69</v>
      </c>
      <c r="G827" s="9" t="s">
        <v>70</v>
      </c>
      <c r="H827" s="9" t="s">
        <v>2878</v>
      </c>
      <c r="I827" s="9" t="s">
        <v>72</v>
      </c>
      <c r="J827" s="10">
        <v>43776</v>
      </c>
      <c r="K827" s="10">
        <v>44339</v>
      </c>
      <c r="L827" s="10">
        <v>44351.342361111114</v>
      </c>
      <c r="M827" s="10">
        <v>44460</v>
      </c>
      <c r="N827" s="9">
        <v>2021</v>
      </c>
      <c r="O827" s="9" t="s">
        <v>2832</v>
      </c>
      <c r="P827" s="9" t="s">
        <v>53</v>
      </c>
      <c r="Q827" s="9" t="s">
        <v>53</v>
      </c>
      <c r="R827" s="9" t="s">
        <v>92</v>
      </c>
      <c r="T827" s="9"/>
      <c r="V827" s="9"/>
      <c r="W827" s="11">
        <f>IFERROR(VLOOKUP(B827, PlumX_snapshot!$A:$B, 2, FALSE), " ")</f>
        <v>14</v>
      </c>
      <c r="X827" s="11">
        <f>IFERROR(VLOOKUP(B827, PlumX_snapshot!$A:$C, 3, FALSE), " ")</f>
        <v>0</v>
      </c>
      <c r="Y827" s="12">
        <f>IFERROR(VLOOKUP(B827, PlumX_snapshot!$A:$D, 4, FALSE), " ")</f>
        <v>0</v>
      </c>
      <c r="Z827" s="12">
        <f>IFERROR(VLOOKUP(B827, PlumX_snapshot!$A:$E, 5, FALSE), " ")</f>
        <v>0</v>
      </c>
      <c r="AA827" s="12">
        <f>IFERROR(VLOOKUP(B827, PlumX_snapshot!$A:$F, 6, FALSE), " ")</f>
        <v>0</v>
      </c>
      <c r="AB827" s="13">
        <v>44978</v>
      </c>
      <c r="AH827" s="9">
        <v>2380</v>
      </c>
      <c r="AI827" s="9" t="s">
        <v>77</v>
      </c>
      <c r="AJ827" s="9" t="s">
        <v>1823</v>
      </c>
      <c r="AK827" s="11" t="str">
        <f t="shared" si="6"/>
        <v>2021EUR</v>
      </c>
      <c r="AL827" s="11">
        <f>VLOOKUP(AK827, Exchange_rates!$C:$D, 2, FALSE)</f>
        <v>0.8599</v>
      </c>
      <c r="AM827" s="14">
        <f t="shared" si="7"/>
        <v>2455.8743999999997</v>
      </c>
      <c r="AN827" s="9"/>
      <c r="AO827" s="9"/>
      <c r="AP827" s="9"/>
      <c r="AQ827" s="15" t="s">
        <v>49</v>
      </c>
      <c r="AR827" t="s">
        <v>3791</v>
      </c>
      <c r="AS827" s="16"/>
    </row>
    <row r="828" spans="1:45" ht="14.5">
      <c r="A828" s="9" t="s">
        <v>3792</v>
      </c>
      <c r="B828" s="9" t="s">
        <v>3793</v>
      </c>
      <c r="C828" s="9" t="s">
        <v>3779</v>
      </c>
      <c r="D828" s="9" t="s">
        <v>2830</v>
      </c>
      <c r="E828" s="9" t="s">
        <v>49</v>
      </c>
      <c r="F828" s="9" t="s">
        <v>69</v>
      </c>
      <c r="G828" s="9" t="s">
        <v>70</v>
      </c>
      <c r="H828" s="9" t="s">
        <v>2878</v>
      </c>
      <c r="I828" s="9" t="s">
        <v>72</v>
      </c>
      <c r="J828" s="10">
        <v>44278</v>
      </c>
      <c r="K828" s="10">
        <v>44431</v>
      </c>
      <c r="L828" s="10">
        <v>44449.666643518518</v>
      </c>
      <c r="M828" s="10">
        <v>44455</v>
      </c>
      <c r="N828" s="9">
        <v>2021</v>
      </c>
      <c r="O828" s="9" t="s">
        <v>2832</v>
      </c>
      <c r="P828" s="9" t="s">
        <v>83</v>
      </c>
      <c r="Q828" s="9" t="s">
        <v>53</v>
      </c>
      <c r="R828" s="9" t="s">
        <v>3794</v>
      </c>
      <c r="T828" s="9"/>
      <c r="V828" s="9"/>
      <c r="W828" s="11">
        <f>IFERROR(VLOOKUP(B828, PlumX_snapshot!$A:$B, 2, FALSE), " ")</f>
        <v>17</v>
      </c>
      <c r="X828" s="11">
        <f>IFERROR(VLOOKUP(B828, PlumX_snapshot!$A:$C, 3, FALSE), " ")</f>
        <v>1</v>
      </c>
      <c r="Y828" s="12">
        <f>IFERROR(VLOOKUP(B828, PlumX_snapshot!$A:$D, 4, FALSE), " ")</f>
        <v>14</v>
      </c>
      <c r="Z828" s="12">
        <f>IFERROR(VLOOKUP(B828, PlumX_snapshot!$A:$E, 5, FALSE), " ")</f>
        <v>0</v>
      </c>
      <c r="AA828" s="12">
        <f>IFERROR(VLOOKUP(B828, PlumX_snapshot!$A:$F, 6, FALSE), " ")</f>
        <v>0</v>
      </c>
      <c r="AB828" s="13">
        <v>44978</v>
      </c>
      <c r="AH828" s="9">
        <v>2380</v>
      </c>
      <c r="AI828" s="9" t="s">
        <v>77</v>
      </c>
      <c r="AJ828" s="9" t="s">
        <v>1823</v>
      </c>
      <c r="AK828" s="11" t="str">
        <f t="shared" si="6"/>
        <v>2021EUR</v>
      </c>
      <c r="AL828" s="11">
        <f>VLOOKUP(AK828, Exchange_rates!$C:$D, 2, FALSE)</f>
        <v>0.8599</v>
      </c>
      <c r="AM828" s="14">
        <f t="shared" si="7"/>
        <v>2455.8743999999997</v>
      </c>
      <c r="AN828" s="9"/>
      <c r="AO828" s="9"/>
      <c r="AP828" s="9"/>
      <c r="AQ828" s="15" t="s">
        <v>49</v>
      </c>
      <c r="AR828" t="s">
        <v>3781</v>
      </c>
      <c r="AS828" s="16"/>
    </row>
    <row r="829" spans="1:45" ht="14.5">
      <c r="A829" s="9" t="s">
        <v>3795</v>
      </c>
      <c r="B829" s="9" t="s">
        <v>3796</v>
      </c>
      <c r="C829" s="9" t="s">
        <v>2864</v>
      </c>
      <c r="D829" s="9" t="s">
        <v>2830</v>
      </c>
      <c r="E829" s="9" t="s">
        <v>49</v>
      </c>
      <c r="F829" s="9" t="s">
        <v>69</v>
      </c>
      <c r="G829" s="9" t="s">
        <v>70</v>
      </c>
      <c r="H829" s="9" t="s">
        <v>2878</v>
      </c>
      <c r="I829" s="9" t="s">
        <v>72</v>
      </c>
      <c r="J829" s="10">
        <v>44320</v>
      </c>
      <c r="K829" s="10">
        <v>44452</v>
      </c>
      <c r="L829" s="10">
        <v>44462.396608796298</v>
      </c>
      <c r="M829" s="28">
        <v>44482</v>
      </c>
      <c r="N829" s="9">
        <v>2021</v>
      </c>
      <c r="O829" s="9" t="s">
        <v>2832</v>
      </c>
      <c r="P829" s="9" t="s">
        <v>53</v>
      </c>
      <c r="Q829" s="9" t="s">
        <v>53</v>
      </c>
      <c r="R829" s="9" t="s">
        <v>3797</v>
      </c>
      <c r="T829" s="9"/>
      <c r="V829" s="9"/>
      <c r="W829" s="11">
        <f>IFERROR(VLOOKUP(B829, PlumX_snapshot!$A:$B, 2, FALSE), " ")</f>
        <v>3</v>
      </c>
      <c r="X829" s="11">
        <f>IFERROR(VLOOKUP(B829, PlumX_snapshot!$A:$C, 3, FALSE), " ")</f>
        <v>1</v>
      </c>
      <c r="Y829" s="12">
        <f>IFERROR(VLOOKUP(B829, PlumX_snapshot!$A:$D, 4, FALSE), " ")</f>
        <v>85</v>
      </c>
      <c r="Z829" s="12">
        <f>IFERROR(VLOOKUP(B829, PlumX_snapshot!$A:$E, 5, FALSE), " ")</f>
        <v>0</v>
      </c>
      <c r="AA829" s="12">
        <f>IFERROR(VLOOKUP(B829, PlumX_snapshot!$A:$F, 6, FALSE), " ")</f>
        <v>0</v>
      </c>
      <c r="AB829" s="13">
        <v>44978</v>
      </c>
      <c r="AH829" s="9">
        <v>2380</v>
      </c>
      <c r="AI829" s="9" t="s">
        <v>77</v>
      </c>
      <c r="AJ829" s="9" t="s">
        <v>1823</v>
      </c>
      <c r="AK829" s="11" t="str">
        <f t="shared" si="6"/>
        <v>2021EUR</v>
      </c>
      <c r="AL829" s="11">
        <f>VLOOKUP(AK829, Exchange_rates!$C:$D, 2, FALSE)</f>
        <v>0.8599</v>
      </c>
      <c r="AM829" s="14">
        <f t="shared" si="7"/>
        <v>2455.8743999999997</v>
      </c>
      <c r="AN829" s="9"/>
      <c r="AO829" s="9"/>
      <c r="AP829" s="9"/>
      <c r="AQ829" s="15" t="s">
        <v>49</v>
      </c>
      <c r="AR829" t="s">
        <v>2865</v>
      </c>
      <c r="AS829" s="16"/>
    </row>
    <row r="830" spans="1:45" ht="14.5">
      <c r="A830" s="9" t="s">
        <v>3798</v>
      </c>
      <c r="B830" s="9" t="s">
        <v>3799</v>
      </c>
      <c r="C830" s="9" t="s">
        <v>3800</v>
      </c>
      <c r="D830" s="9" t="s">
        <v>2830</v>
      </c>
      <c r="E830" s="9" t="s">
        <v>49</v>
      </c>
      <c r="F830" s="9" t="s">
        <v>69</v>
      </c>
      <c r="G830" s="9" t="s">
        <v>70</v>
      </c>
      <c r="H830" s="9" t="s">
        <v>2878</v>
      </c>
      <c r="I830" s="9" t="s">
        <v>72</v>
      </c>
      <c r="J830" s="10">
        <v>44326</v>
      </c>
      <c r="K830" s="10">
        <v>44435</v>
      </c>
      <c r="L830" s="10">
        <v>44445.557928240742</v>
      </c>
      <c r="M830" s="10">
        <v>44469</v>
      </c>
      <c r="N830" s="9">
        <v>2021</v>
      </c>
      <c r="O830" s="9" t="s">
        <v>2832</v>
      </c>
      <c r="P830" s="9" t="s">
        <v>53</v>
      </c>
      <c r="Q830" s="9" t="s">
        <v>53</v>
      </c>
      <c r="R830" s="9" t="s">
        <v>92</v>
      </c>
      <c r="T830" s="9"/>
      <c r="V830" s="9"/>
      <c r="W830" s="11">
        <f>IFERROR(VLOOKUP(B830, PlumX_snapshot!$A:$B, 2, FALSE), " ")</f>
        <v>39</v>
      </c>
      <c r="X830" s="11">
        <f>IFERROR(VLOOKUP(B830, PlumX_snapshot!$A:$C, 3, FALSE), " ")</f>
        <v>3</v>
      </c>
      <c r="Y830" s="12">
        <f>IFERROR(VLOOKUP(B830, PlumX_snapshot!$A:$D, 4, FALSE), " ")</f>
        <v>43</v>
      </c>
      <c r="Z830" s="12">
        <f>IFERROR(VLOOKUP(B830, PlumX_snapshot!$A:$E, 5, FALSE), " ")</f>
        <v>0</v>
      </c>
      <c r="AA830" s="12">
        <f>IFERROR(VLOOKUP(B830, PlumX_snapshot!$A:$F, 6, FALSE), " ")</f>
        <v>14</v>
      </c>
      <c r="AB830" s="13">
        <v>44978</v>
      </c>
      <c r="AH830" s="9">
        <v>2380</v>
      </c>
      <c r="AI830" s="9" t="s">
        <v>77</v>
      </c>
      <c r="AJ830" s="9" t="s">
        <v>1823</v>
      </c>
      <c r="AK830" s="11" t="str">
        <f t="shared" si="6"/>
        <v>2021EUR</v>
      </c>
      <c r="AL830" s="11">
        <f>VLOOKUP(AK830, Exchange_rates!$C:$D, 2, FALSE)</f>
        <v>0.8599</v>
      </c>
      <c r="AM830" s="14">
        <f t="shared" si="7"/>
        <v>2455.8743999999997</v>
      </c>
      <c r="AN830" s="9"/>
      <c r="AO830" s="9"/>
      <c r="AP830" s="9"/>
      <c r="AQ830" s="15" t="s">
        <v>49</v>
      </c>
      <c r="AR830" t="s">
        <v>3801</v>
      </c>
      <c r="AS830" s="16"/>
    </row>
    <row r="831" spans="1:45" ht="14.5">
      <c r="A831" s="9" t="s">
        <v>3802</v>
      </c>
      <c r="B831" s="9" t="s">
        <v>3803</v>
      </c>
      <c r="C831" s="9" t="s">
        <v>3804</v>
      </c>
      <c r="D831" s="9" t="s">
        <v>2830</v>
      </c>
      <c r="E831" s="9" t="s">
        <v>49</v>
      </c>
      <c r="F831" s="9" t="s">
        <v>69</v>
      </c>
      <c r="G831" s="9" t="s">
        <v>70</v>
      </c>
      <c r="H831" s="9" t="s">
        <v>2878</v>
      </c>
      <c r="I831" s="9" t="s">
        <v>72</v>
      </c>
      <c r="J831" s="10"/>
      <c r="K831" s="10">
        <v>44454</v>
      </c>
      <c r="L831" s="10">
        <v>44460.457696759258</v>
      </c>
      <c r="M831" s="10">
        <v>44463</v>
      </c>
      <c r="N831" s="9">
        <v>2021</v>
      </c>
      <c r="O831" s="9" t="s">
        <v>2832</v>
      </c>
      <c r="P831" s="9" t="s">
        <v>53</v>
      </c>
      <c r="Q831" s="9" t="s">
        <v>53</v>
      </c>
      <c r="R831" s="9" t="s">
        <v>92</v>
      </c>
      <c r="T831" s="9"/>
      <c r="V831" s="9"/>
      <c r="W831" s="11">
        <f>IFERROR(VLOOKUP(B831, PlumX_snapshot!$A:$B, 2, FALSE), " ")</f>
        <v>6</v>
      </c>
      <c r="X831" s="11">
        <f>IFERROR(VLOOKUP(B831, PlumX_snapshot!$A:$C, 3, FALSE), " ")</f>
        <v>0</v>
      </c>
      <c r="Y831" s="12">
        <f>IFERROR(VLOOKUP(B831, PlumX_snapshot!$A:$D, 4, FALSE), " ")</f>
        <v>0</v>
      </c>
      <c r="Z831" s="12">
        <f>IFERROR(VLOOKUP(B831, PlumX_snapshot!$A:$E, 5, FALSE), " ")</f>
        <v>0</v>
      </c>
      <c r="AA831" s="12">
        <f>IFERROR(VLOOKUP(B831, PlumX_snapshot!$A:$F, 6, FALSE), " ")</f>
        <v>0</v>
      </c>
      <c r="AB831" s="13">
        <v>44978</v>
      </c>
      <c r="AH831" s="9">
        <v>2380</v>
      </c>
      <c r="AI831" s="9" t="s">
        <v>77</v>
      </c>
      <c r="AJ831" s="9" t="s">
        <v>1823</v>
      </c>
      <c r="AK831" s="11" t="str">
        <f t="shared" si="6"/>
        <v>2021EUR</v>
      </c>
      <c r="AL831" s="11">
        <f>VLOOKUP(AK831, Exchange_rates!$C:$D, 2, FALSE)</f>
        <v>0.8599</v>
      </c>
      <c r="AM831" s="14">
        <f t="shared" si="7"/>
        <v>2455.8743999999997</v>
      </c>
      <c r="AN831" s="9"/>
      <c r="AO831" s="9"/>
      <c r="AP831" s="9"/>
      <c r="AQ831" s="15" t="s">
        <v>49</v>
      </c>
      <c r="AR831" t="s">
        <v>3805</v>
      </c>
      <c r="AS831" s="16"/>
    </row>
    <row r="832" spans="1:45" ht="14.5">
      <c r="A832" s="9" t="s">
        <v>3806</v>
      </c>
      <c r="B832" s="9" t="s">
        <v>3807</v>
      </c>
      <c r="C832" s="9" t="s">
        <v>3027</v>
      </c>
      <c r="D832" s="9" t="s">
        <v>2830</v>
      </c>
      <c r="E832" s="9" t="s">
        <v>49</v>
      </c>
      <c r="F832" s="9" t="s">
        <v>69</v>
      </c>
      <c r="G832" s="9" t="s">
        <v>70</v>
      </c>
      <c r="H832" s="9" t="s">
        <v>2878</v>
      </c>
      <c r="I832" s="9" t="s">
        <v>72</v>
      </c>
      <c r="J832" s="10">
        <v>44077</v>
      </c>
      <c r="K832" s="10">
        <v>44373</v>
      </c>
      <c r="L832" s="10">
        <v>44434.566817129627</v>
      </c>
      <c r="M832" s="10">
        <v>44468</v>
      </c>
      <c r="N832" s="9">
        <v>2021</v>
      </c>
      <c r="O832" s="9" t="s">
        <v>2832</v>
      </c>
      <c r="P832" s="9" t="s">
        <v>83</v>
      </c>
      <c r="Q832" s="9" t="s">
        <v>53</v>
      </c>
      <c r="R832" s="9" t="s">
        <v>3808</v>
      </c>
      <c r="T832" s="9"/>
      <c r="V832" s="9"/>
      <c r="W832" s="11">
        <f>IFERROR(VLOOKUP(B832, PlumX_snapshot!$A:$B, 2, FALSE), " ")</f>
        <v>1</v>
      </c>
      <c r="X832" s="11">
        <f>IFERROR(VLOOKUP(B832, PlumX_snapshot!$A:$C, 3, FALSE), " ")</f>
        <v>1</v>
      </c>
      <c r="Y832" s="12">
        <f>IFERROR(VLOOKUP(B832, PlumX_snapshot!$A:$D, 4, FALSE), " ")</f>
        <v>0</v>
      </c>
      <c r="Z832" s="12">
        <f>IFERROR(VLOOKUP(B832, PlumX_snapshot!$A:$E, 5, FALSE), " ")</f>
        <v>0</v>
      </c>
      <c r="AA832" s="12">
        <f>IFERROR(VLOOKUP(B832, PlumX_snapshot!$A:$F, 6, FALSE), " ")</f>
        <v>0</v>
      </c>
      <c r="AB832" s="13">
        <v>44978</v>
      </c>
      <c r="AH832" s="9">
        <v>2380</v>
      </c>
      <c r="AI832" s="9" t="s">
        <v>77</v>
      </c>
      <c r="AJ832" s="9" t="s">
        <v>1823</v>
      </c>
      <c r="AK832" s="11" t="str">
        <f t="shared" si="6"/>
        <v>2021EUR</v>
      </c>
      <c r="AL832" s="11">
        <f>VLOOKUP(AK832, Exchange_rates!$C:$D, 2, FALSE)</f>
        <v>0.8599</v>
      </c>
      <c r="AM832" s="14">
        <f t="shared" si="7"/>
        <v>2455.8743999999997</v>
      </c>
      <c r="AN832" s="9"/>
      <c r="AO832" s="9"/>
      <c r="AP832" s="9"/>
      <c r="AQ832" s="15" t="s">
        <v>49</v>
      </c>
      <c r="AR832" t="s">
        <v>3028</v>
      </c>
      <c r="AS832" s="16"/>
    </row>
    <row r="833" spans="1:45" ht="14.5">
      <c r="A833" s="9" t="s">
        <v>3809</v>
      </c>
      <c r="B833" s="9" t="s">
        <v>3810</v>
      </c>
      <c r="C833" s="9" t="s">
        <v>2870</v>
      </c>
      <c r="D833" s="9" t="s">
        <v>2830</v>
      </c>
      <c r="E833" s="9" t="s">
        <v>49</v>
      </c>
      <c r="F833" s="9" t="s">
        <v>69</v>
      </c>
      <c r="G833" s="9" t="s">
        <v>70</v>
      </c>
      <c r="H833" s="9" t="s">
        <v>2878</v>
      </c>
      <c r="I833" s="9" t="s">
        <v>72</v>
      </c>
      <c r="J833" s="10"/>
      <c r="K833" s="10">
        <v>44466</v>
      </c>
      <c r="L833" s="10">
        <v>44474.450069444443</v>
      </c>
      <c r="M833" s="28">
        <v>44484</v>
      </c>
      <c r="N833" s="9">
        <v>2021</v>
      </c>
      <c r="O833" s="9" t="s">
        <v>2832</v>
      </c>
      <c r="P833" s="9" t="s">
        <v>53</v>
      </c>
      <c r="Q833" s="9" t="s">
        <v>53</v>
      </c>
      <c r="R833" s="9" t="s">
        <v>92</v>
      </c>
      <c r="T833" s="9"/>
      <c r="V833" s="9"/>
      <c r="W833" s="11">
        <f>IFERROR(VLOOKUP(B833, PlumX_snapshot!$A:$B, 2, FALSE), " ")</f>
        <v>25</v>
      </c>
      <c r="X833" s="11">
        <f>IFERROR(VLOOKUP(B833, PlumX_snapshot!$A:$C, 3, FALSE), " ")</f>
        <v>2</v>
      </c>
      <c r="Y833" s="12">
        <f>IFERROR(VLOOKUP(B833, PlumX_snapshot!$A:$D, 4, FALSE), " ")</f>
        <v>0</v>
      </c>
      <c r="Z833" s="12">
        <f>IFERROR(VLOOKUP(B833, PlumX_snapshot!$A:$E, 5, FALSE), " ")</f>
        <v>0</v>
      </c>
      <c r="AA833" s="12">
        <f>IFERROR(VLOOKUP(B833, PlumX_snapshot!$A:$F, 6, FALSE), " ")</f>
        <v>0</v>
      </c>
      <c r="AB833" s="13">
        <v>44978</v>
      </c>
      <c r="AH833" s="9">
        <v>2380</v>
      </c>
      <c r="AI833" s="9" t="s">
        <v>77</v>
      </c>
      <c r="AJ833" s="9" t="s">
        <v>1823</v>
      </c>
      <c r="AK833" s="11" t="str">
        <f t="shared" si="6"/>
        <v>2021EUR</v>
      </c>
      <c r="AL833" s="11">
        <f>VLOOKUP(AK833, Exchange_rates!$C:$D, 2, FALSE)</f>
        <v>0.8599</v>
      </c>
      <c r="AM833" s="14">
        <f t="shared" si="7"/>
        <v>2455.8743999999997</v>
      </c>
      <c r="AN833" s="9"/>
      <c r="AO833" s="9"/>
      <c r="AP833" s="9"/>
      <c r="AQ833" s="15" t="s">
        <v>49</v>
      </c>
      <c r="AR833" t="s">
        <v>2872</v>
      </c>
      <c r="AS833" s="16"/>
    </row>
    <row r="834" spans="1:45" ht="14.5">
      <c r="A834" s="9" t="s">
        <v>3811</v>
      </c>
      <c r="B834" s="9" t="s">
        <v>3812</v>
      </c>
      <c r="C834" s="9" t="s">
        <v>3813</v>
      </c>
      <c r="D834" s="9" t="s">
        <v>2830</v>
      </c>
      <c r="E834" s="9" t="s">
        <v>49</v>
      </c>
      <c r="F834" s="9" t="s">
        <v>69</v>
      </c>
      <c r="G834" s="9" t="s">
        <v>70</v>
      </c>
      <c r="H834" s="9" t="s">
        <v>2878</v>
      </c>
      <c r="I834" s="9" t="s">
        <v>72</v>
      </c>
      <c r="J834" s="10">
        <v>44383</v>
      </c>
      <c r="K834" s="10">
        <v>44462</v>
      </c>
      <c r="L834" s="10">
        <v>44474.628981481481</v>
      </c>
      <c r="M834" s="10">
        <v>44478</v>
      </c>
      <c r="N834" s="9">
        <v>2021</v>
      </c>
      <c r="O834" s="9" t="s">
        <v>2832</v>
      </c>
      <c r="P834" s="9" t="s">
        <v>53</v>
      </c>
      <c r="Q834" s="9" t="s">
        <v>83</v>
      </c>
      <c r="R834" s="9" t="s">
        <v>3814</v>
      </c>
      <c r="T834" s="9"/>
      <c r="V834" s="9"/>
      <c r="W834" s="11">
        <f>IFERROR(VLOOKUP(B834, PlumX_snapshot!$A:$B, 2, FALSE), " ")</f>
        <v>81</v>
      </c>
      <c r="X834" s="11">
        <f>IFERROR(VLOOKUP(B834, PlumX_snapshot!$A:$C, 3, FALSE), " ")</f>
        <v>9</v>
      </c>
      <c r="Y834" s="12">
        <f>IFERROR(VLOOKUP(B834, PlumX_snapshot!$A:$D, 4, FALSE), " ")</f>
        <v>55</v>
      </c>
      <c r="Z834" s="12">
        <f>IFERROR(VLOOKUP(B834, PlumX_snapshot!$A:$E, 5, FALSE), " ")</f>
        <v>0</v>
      </c>
      <c r="AA834" s="12">
        <f>IFERROR(VLOOKUP(B834, PlumX_snapshot!$A:$F, 6, FALSE), " ")</f>
        <v>0</v>
      </c>
      <c r="AB834" s="13">
        <v>44978</v>
      </c>
      <c r="AH834" s="9">
        <v>2380</v>
      </c>
      <c r="AI834" s="9" t="s">
        <v>77</v>
      </c>
      <c r="AJ834" s="9" t="s">
        <v>1823</v>
      </c>
      <c r="AK834" s="11" t="str">
        <f t="shared" si="6"/>
        <v>2021EUR</v>
      </c>
      <c r="AL834" s="11">
        <f>VLOOKUP(AK834, Exchange_rates!$C:$D, 2, FALSE)</f>
        <v>0.8599</v>
      </c>
      <c r="AM834" s="14">
        <f t="shared" si="7"/>
        <v>2455.8743999999997</v>
      </c>
      <c r="AN834" s="9"/>
      <c r="AO834" s="9"/>
      <c r="AP834" s="9"/>
      <c r="AQ834" s="15" t="s">
        <v>49</v>
      </c>
      <c r="AS834" s="16" t="s">
        <v>3815</v>
      </c>
    </row>
    <row r="835" spans="1:45" ht="14.5">
      <c r="A835" s="9" t="s">
        <v>3816</v>
      </c>
      <c r="B835" s="9" t="s">
        <v>3817</v>
      </c>
      <c r="C835" s="9" t="s">
        <v>3818</v>
      </c>
      <c r="D835" s="9" t="s">
        <v>2830</v>
      </c>
      <c r="E835" s="9" t="s">
        <v>49</v>
      </c>
      <c r="F835" s="9" t="s">
        <v>69</v>
      </c>
      <c r="G835" s="9" t="s">
        <v>70</v>
      </c>
      <c r="H835" s="9" t="s">
        <v>2878</v>
      </c>
      <c r="I835" s="9" t="s">
        <v>72</v>
      </c>
      <c r="J835" s="10"/>
      <c r="K835" s="10">
        <v>44444</v>
      </c>
      <c r="L835" s="10">
        <v>44482.51730324074</v>
      </c>
      <c r="M835" s="28">
        <v>44497</v>
      </c>
      <c r="N835" s="9">
        <v>2021</v>
      </c>
      <c r="O835" s="9" t="s">
        <v>2832</v>
      </c>
      <c r="P835" s="9" t="s">
        <v>53</v>
      </c>
      <c r="Q835" s="9" t="s">
        <v>53</v>
      </c>
      <c r="R835" s="9" t="s">
        <v>3819</v>
      </c>
      <c r="T835" s="9"/>
      <c r="V835" s="9"/>
      <c r="W835" s="11">
        <f>IFERROR(VLOOKUP(B835, PlumX_snapshot!$A:$B, 2, FALSE), " ")</f>
        <v>2</v>
      </c>
      <c r="X835" s="11">
        <f>IFERROR(VLOOKUP(B835, PlumX_snapshot!$A:$C, 3, FALSE), " ")</f>
        <v>1</v>
      </c>
      <c r="Y835" s="12">
        <f>IFERROR(VLOOKUP(B835, PlumX_snapshot!$A:$D, 4, FALSE), " ")</f>
        <v>0</v>
      </c>
      <c r="Z835" s="12">
        <f>IFERROR(VLOOKUP(B835, PlumX_snapshot!$A:$E, 5, FALSE), " ")</f>
        <v>0</v>
      </c>
      <c r="AA835" s="12">
        <f>IFERROR(VLOOKUP(B835, PlumX_snapshot!$A:$F, 6, FALSE), " ")</f>
        <v>0</v>
      </c>
      <c r="AB835" s="13">
        <v>44978</v>
      </c>
      <c r="AH835" s="9">
        <v>2380</v>
      </c>
      <c r="AI835" s="9" t="s">
        <v>77</v>
      </c>
      <c r="AJ835" s="9" t="s">
        <v>1823</v>
      </c>
      <c r="AK835" s="11" t="str">
        <f t="shared" si="6"/>
        <v>2021EUR</v>
      </c>
      <c r="AL835" s="11">
        <f>VLOOKUP(AK835, Exchange_rates!$C:$D, 2, FALSE)</f>
        <v>0.8599</v>
      </c>
      <c r="AM835" s="14">
        <f t="shared" si="7"/>
        <v>2455.8743999999997</v>
      </c>
      <c r="AN835" s="9"/>
      <c r="AO835" s="9"/>
      <c r="AP835" s="9"/>
      <c r="AQ835" s="15" t="s">
        <v>49</v>
      </c>
      <c r="AR835" t="s">
        <v>3820</v>
      </c>
      <c r="AS835" s="16"/>
    </row>
    <row r="836" spans="1:45" ht="14.5">
      <c r="A836" s="9" t="s">
        <v>3821</v>
      </c>
      <c r="B836" s="9" t="s">
        <v>3822</v>
      </c>
      <c r="C836" s="9" t="s">
        <v>2877</v>
      </c>
      <c r="D836" s="9" t="s">
        <v>2830</v>
      </c>
      <c r="E836" s="9" t="s">
        <v>49</v>
      </c>
      <c r="F836" s="9" t="s">
        <v>69</v>
      </c>
      <c r="G836" s="9" t="s">
        <v>70</v>
      </c>
      <c r="H836" s="9" t="s">
        <v>2878</v>
      </c>
      <c r="I836" s="9" t="s">
        <v>72</v>
      </c>
      <c r="J836" s="10">
        <v>44251</v>
      </c>
      <c r="K836" s="10">
        <v>44477</v>
      </c>
      <c r="L836" s="10">
        <v>44484.546053240738</v>
      </c>
      <c r="M836" s="28">
        <v>44489</v>
      </c>
      <c r="N836" s="9">
        <v>2021</v>
      </c>
      <c r="O836" s="9" t="s">
        <v>2832</v>
      </c>
      <c r="P836" s="9" t="s">
        <v>83</v>
      </c>
      <c r="Q836" s="9" t="s">
        <v>53</v>
      </c>
      <c r="R836" s="9" t="s">
        <v>3823</v>
      </c>
      <c r="T836" s="9"/>
      <c r="V836" s="9"/>
      <c r="W836" s="11">
        <f>IFERROR(VLOOKUP(B836, PlumX_snapshot!$A:$B, 2, FALSE), " ")</f>
        <v>55</v>
      </c>
      <c r="X836" s="11">
        <f>IFERROR(VLOOKUP(B836, PlumX_snapshot!$A:$C, 3, FALSE), " ")</f>
        <v>11</v>
      </c>
      <c r="Y836" s="12">
        <f>IFERROR(VLOOKUP(B836, PlumX_snapshot!$A:$D, 4, FALSE), " ")</f>
        <v>30</v>
      </c>
      <c r="Z836" s="12">
        <f>IFERROR(VLOOKUP(B836, PlumX_snapshot!$A:$E, 5, FALSE), " ")</f>
        <v>0</v>
      </c>
      <c r="AA836" s="12">
        <f>IFERROR(VLOOKUP(B836, PlumX_snapshot!$A:$F, 6, FALSE), " ")</f>
        <v>6</v>
      </c>
      <c r="AB836" s="13">
        <v>44978</v>
      </c>
      <c r="AH836" s="9">
        <v>2380</v>
      </c>
      <c r="AI836" s="9" t="s">
        <v>77</v>
      </c>
      <c r="AJ836" s="9" t="s">
        <v>1823</v>
      </c>
      <c r="AK836" s="11" t="str">
        <f t="shared" si="6"/>
        <v>2021EUR</v>
      </c>
      <c r="AL836" s="11">
        <f>VLOOKUP(AK836, Exchange_rates!$C:$D, 2, FALSE)</f>
        <v>0.8599</v>
      </c>
      <c r="AM836" s="14">
        <f t="shared" si="7"/>
        <v>2455.8743999999997</v>
      </c>
      <c r="AN836" s="9"/>
      <c r="AO836" s="9"/>
      <c r="AP836" s="9"/>
      <c r="AQ836" s="15" t="s">
        <v>49</v>
      </c>
      <c r="AR836" t="s">
        <v>2879</v>
      </c>
      <c r="AS836" s="16"/>
    </row>
    <row r="837" spans="1:45" ht="14.5">
      <c r="A837" s="9" t="s">
        <v>3824</v>
      </c>
      <c r="B837" s="9" t="s">
        <v>3825</v>
      </c>
      <c r="C837" s="9" t="s">
        <v>3826</v>
      </c>
      <c r="D837" s="9" t="s">
        <v>2830</v>
      </c>
      <c r="E837" s="9" t="s">
        <v>49</v>
      </c>
      <c r="F837" s="9" t="s">
        <v>69</v>
      </c>
      <c r="G837" s="9" t="s">
        <v>70</v>
      </c>
      <c r="H837" s="9" t="s">
        <v>2878</v>
      </c>
      <c r="I837" s="9" t="s">
        <v>72</v>
      </c>
      <c r="J837" s="10">
        <v>44278</v>
      </c>
      <c r="K837" s="10">
        <v>44418</v>
      </c>
      <c r="L837" s="10">
        <v>44425.608182870368</v>
      </c>
      <c r="M837" s="28">
        <v>44484</v>
      </c>
      <c r="N837" s="9">
        <v>2021</v>
      </c>
      <c r="O837" s="9" t="s">
        <v>2832</v>
      </c>
      <c r="P837" s="9" t="s">
        <v>83</v>
      </c>
      <c r="Q837" s="9" t="s">
        <v>53</v>
      </c>
      <c r="R837" s="9" t="s">
        <v>3827</v>
      </c>
      <c r="T837" s="9"/>
      <c r="V837" s="9"/>
      <c r="W837" s="11">
        <f>IFERROR(VLOOKUP(B837, PlumX_snapshot!$A:$B, 2, FALSE), " ")</f>
        <v>28</v>
      </c>
      <c r="X837" s="11">
        <f>IFERROR(VLOOKUP(B837, PlumX_snapshot!$A:$C, 3, FALSE), " ")</f>
        <v>5</v>
      </c>
      <c r="Y837" s="12">
        <f>IFERROR(VLOOKUP(B837, PlumX_snapshot!$A:$D, 4, FALSE), " ")</f>
        <v>3</v>
      </c>
      <c r="Z837" s="12">
        <f>IFERROR(VLOOKUP(B837, PlumX_snapshot!$A:$E, 5, FALSE), " ")</f>
        <v>0</v>
      </c>
      <c r="AA837" s="12">
        <f>IFERROR(VLOOKUP(B837, PlumX_snapshot!$A:$F, 6, FALSE), " ")</f>
        <v>1</v>
      </c>
      <c r="AB837" s="13">
        <v>44978</v>
      </c>
      <c r="AH837" s="9">
        <v>2380</v>
      </c>
      <c r="AI837" s="9" t="s">
        <v>77</v>
      </c>
      <c r="AJ837" s="9" t="s">
        <v>1823</v>
      </c>
      <c r="AK837" s="11" t="str">
        <f t="shared" si="6"/>
        <v>2021EUR</v>
      </c>
      <c r="AL837" s="11">
        <f>VLOOKUP(AK837, Exchange_rates!$C:$D, 2, FALSE)</f>
        <v>0.8599</v>
      </c>
      <c r="AM837" s="14">
        <f t="shared" si="7"/>
        <v>2455.8743999999997</v>
      </c>
      <c r="AN837" s="9"/>
      <c r="AO837" s="9"/>
      <c r="AP837" s="9"/>
      <c r="AQ837" s="15" t="s">
        <v>49</v>
      </c>
      <c r="AR837" t="s">
        <v>3828</v>
      </c>
      <c r="AS837" s="16"/>
    </row>
    <row r="838" spans="1:45" ht="14.5">
      <c r="A838" s="9" t="s">
        <v>3829</v>
      </c>
      <c r="B838" s="9" t="s">
        <v>3830</v>
      </c>
      <c r="C838" s="9" t="s">
        <v>3831</v>
      </c>
      <c r="D838" s="9" t="s">
        <v>2830</v>
      </c>
      <c r="E838" s="9" t="s">
        <v>49</v>
      </c>
      <c r="F838" s="9" t="s">
        <v>69</v>
      </c>
      <c r="G838" s="9" t="s">
        <v>70</v>
      </c>
      <c r="H838" s="9" t="s">
        <v>2878</v>
      </c>
      <c r="I838" s="9" t="s">
        <v>72</v>
      </c>
      <c r="J838" s="10"/>
      <c r="K838" s="10"/>
      <c r="L838" s="10">
        <v>44490.595983796295</v>
      </c>
      <c r="N838" s="9">
        <v>2021</v>
      </c>
      <c r="O838" s="9" t="s">
        <v>2832</v>
      </c>
      <c r="P838" s="9" t="s">
        <v>53</v>
      </c>
      <c r="Q838" s="9" t="s">
        <v>53</v>
      </c>
      <c r="R838" s="9" t="s">
        <v>3832</v>
      </c>
      <c r="T838" s="9"/>
      <c r="V838" s="9"/>
      <c r="W838" s="11">
        <f>IFERROR(VLOOKUP(B838, PlumX_snapshot!$A:$B, 2, FALSE), " ")</f>
        <v>17</v>
      </c>
      <c r="X838" s="11">
        <f>IFERROR(VLOOKUP(B838, PlumX_snapshot!$A:$C, 3, FALSE), " ")</f>
        <v>1</v>
      </c>
      <c r="Y838" s="12">
        <f>IFERROR(VLOOKUP(B838, PlumX_snapshot!$A:$D, 4, FALSE), " ")</f>
        <v>5</v>
      </c>
      <c r="Z838" s="12">
        <f>IFERROR(VLOOKUP(B838, PlumX_snapshot!$A:$E, 5, FALSE), " ")</f>
        <v>0</v>
      </c>
      <c r="AA838" s="12">
        <f>IFERROR(VLOOKUP(B838, PlumX_snapshot!$A:$F, 6, FALSE), " ")</f>
        <v>0</v>
      </c>
      <c r="AB838" s="13">
        <v>44978</v>
      </c>
      <c r="AH838" s="9">
        <v>2380</v>
      </c>
      <c r="AI838" s="9" t="s">
        <v>77</v>
      </c>
      <c r="AJ838" s="9" t="s">
        <v>1823</v>
      </c>
      <c r="AK838" s="11" t="str">
        <f t="shared" si="6"/>
        <v>2021EUR</v>
      </c>
      <c r="AL838" s="11">
        <f>VLOOKUP(AK838, Exchange_rates!$C:$D, 2, FALSE)</f>
        <v>0.8599</v>
      </c>
      <c r="AM838" s="14">
        <f t="shared" si="7"/>
        <v>2455.8743999999997</v>
      </c>
      <c r="AN838" s="9"/>
      <c r="AO838" s="9"/>
      <c r="AP838" s="9"/>
      <c r="AQ838" s="15" t="s">
        <v>49</v>
      </c>
      <c r="AR838" t="s">
        <v>3833</v>
      </c>
      <c r="AS838" s="16"/>
    </row>
    <row r="839" spans="1:45" ht="14.5">
      <c r="A839" s="9" t="s">
        <v>3834</v>
      </c>
      <c r="B839" s="9" t="s">
        <v>3835</v>
      </c>
      <c r="C839" s="9" t="s">
        <v>3836</v>
      </c>
      <c r="D839" s="9" t="s">
        <v>2830</v>
      </c>
      <c r="E839" s="9" t="s">
        <v>49</v>
      </c>
      <c r="F839" s="9" t="s">
        <v>69</v>
      </c>
      <c r="G839" s="9" t="s">
        <v>70</v>
      </c>
      <c r="H839" s="9" t="s">
        <v>2878</v>
      </c>
      <c r="I839" s="9" t="s">
        <v>72</v>
      </c>
      <c r="J839" s="10"/>
      <c r="K839" s="10"/>
      <c r="L839" s="10">
        <v>44491.661099537036</v>
      </c>
      <c r="N839" s="9">
        <v>2021</v>
      </c>
      <c r="O839" s="9" t="s">
        <v>2832</v>
      </c>
      <c r="P839" s="9" t="s">
        <v>53</v>
      </c>
      <c r="Q839" s="9" t="s">
        <v>53</v>
      </c>
      <c r="R839" s="9" t="s">
        <v>3837</v>
      </c>
      <c r="T839" s="9"/>
      <c r="V839" s="9"/>
      <c r="W839" s="11">
        <f>IFERROR(VLOOKUP(B839, PlumX_snapshot!$A:$B, 2, FALSE), " ")</f>
        <v>3</v>
      </c>
      <c r="X839" s="11">
        <f>IFERROR(VLOOKUP(B839, PlumX_snapshot!$A:$C, 3, FALSE), " ")</f>
        <v>0</v>
      </c>
      <c r="Y839" s="12">
        <f>IFERROR(VLOOKUP(B839, PlumX_snapshot!$A:$D, 4, FALSE), " ")</f>
        <v>16</v>
      </c>
      <c r="Z839" s="12">
        <f>IFERROR(VLOOKUP(B839, PlumX_snapshot!$A:$E, 5, FALSE), " ")</f>
        <v>0</v>
      </c>
      <c r="AA839" s="12">
        <f>IFERROR(VLOOKUP(B839, PlumX_snapshot!$A:$F, 6, FALSE), " ")</f>
        <v>0</v>
      </c>
      <c r="AB839" s="13">
        <v>44978</v>
      </c>
      <c r="AH839" s="9">
        <v>2380</v>
      </c>
      <c r="AI839" s="9" t="s">
        <v>77</v>
      </c>
      <c r="AJ839" s="9" t="s">
        <v>1823</v>
      </c>
      <c r="AK839" s="11" t="str">
        <f t="shared" si="6"/>
        <v>2021EUR</v>
      </c>
      <c r="AL839" s="11">
        <f>VLOOKUP(AK839, Exchange_rates!$C:$D, 2, FALSE)</f>
        <v>0.8599</v>
      </c>
      <c r="AM839" s="14">
        <f t="shared" si="7"/>
        <v>2455.8743999999997</v>
      </c>
      <c r="AN839" s="9"/>
      <c r="AO839" s="9"/>
      <c r="AP839" s="9"/>
      <c r="AQ839" s="15" t="s">
        <v>49</v>
      </c>
      <c r="AR839" t="s">
        <v>3838</v>
      </c>
      <c r="AS839" s="16"/>
    </row>
    <row r="840" spans="1:45" ht="14.5">
      <c r="A840" s="9" t="s">
        <v>3839</v>
      </c>
      <c r="B840" s="9" t="s">
        <v>3840</v>
      </c>
      <c r="C840" s="9" t="s">
        <v>3841</v>
      </c>
      <c r="D840" s="9" t="s">
        <v>2830</v>
      </c>
      <c r="E840" s="9" t="s">
        <v>49</v>
      </c>
      <c r="F840" s="9" t="s">
        <v>50</v>
      </c>
      <c r="G840" s="9" t="s">
        <v>51</v>
      </c>
      <c r="H840" s="9"/>
      <c r="J840" s="10"/>
      <c r="K840" s="10"/>
      <c r="L840" s="10">
        <v>43720.670138888891</v>
      </c>
      <c r="N840" s="9">
        <v>2019</v>
      </c>
      <c r="O840" s="9" t="s">
        <v>3842</v>
      </c>
      <c r="P840" s="9" t="s">
        <v>53</v>
      </c>
      <c r="Q840" s="9" t="s">
        <v>53</v>
      </c>
      <c r="T840" s="9" t="s">
        <v>55</v>
      </c>
      <c r="U840" s="9" t="s">
        <v>3843</v>
      </c>
      <c r="V840" s="9"/>
      <c r="W840" s="11">
        <f>IFERROR(VLOOKUP(B840, PlumX_snapshot!$A:$B, 2, FALSE), " ")</f>
        <v>5</v>
      </c>
      <c r="X840" s="11">
        <f>IFERROR(VLOOKUP(B840, PlumX_snapshot!$A:$C, 3, FALSE), " ")</f>
        <v>4</v>
      </c>
      <c r="Y840" s="12">
        <f>IFERROR(VLOOKUP(B840, PlumX_snapshot!$A:$D, 4, FALSE), " ")</f>
        <v>0</v>
      </c>
      <c r="Z840" s="12">
        <f>IFERROR(VLOOKUP(B840, PlumX_snapshot!$A:$E, 5, FALSE), " ")</f>
        <v>27</v>
      </c>
      <c r="AA840" s="12">
        <f>IFERROR(VLOOKUP(B840, PlumX_snapshot!$A:$F, 6, FALSE), " ")</f>
        <v>0</v>
      </c>
      <c r="AB840" s="13">
        <v>44978</v>
      </c>
      <c r="AH840" s="9"/>
      <c r="AI840" s="9"/>
      <c r="AJ840" s="9"/>
      <c r="AK840" s="11" t="str">
        <f t="shared" si="6"/>
        <v>2019</v>
      </c>
      <c r="AL840" s="11" t="e">
        <f>VLOOKUP(AK840, Exchange_rates!$C:$D, 2, FALSE)</f>
        <v>#N/A</v>
      </c>
      <c r="AM840" s="14" t="str">
        <f t="shared" si="7"/>
        <v/>
      </c>
      <c r="AN840" s="9"/>
      <c r="AO840" s="9"/>
      <c r="AP840" s="9"/>
      <c r="AQ840" s="15" t="s">
        <v>49</v>
      </c>
      <c r="AR840" t="s">
        <v>3844</v>
      </c>
      <c r="AS840" s="16"/>
    </row>
    <row r="841" spans="1:45" ht="14.5">
      <c r="A841" s="9" t="s">
        <v>3468</v>
      </c>
      <c r="B841" s="9" t="s">
        <v>3845</v>
      </c>
      <c r="C841" s="9" t="s">
        <v>3470</v>
      </c>
      <c r="D841" s="9" t="s">
        <v>2830</v>
      </c>
      <c r="E841" s="9" t="s">
        <v>49</v>
      </c>
      <c r="F841" s="9" t="s">
        <v>50</v>
      </c>
      <c r="G841" s="9" t="s">
        <v>51</v>
      </c>
      <c r="H841" s="9"/>
      <c r="J841" s="10"/>
      <c r="K841" s="10"/>
      <c r="L841" s="10">
        <v>43973.588483796295</v>
      </c>
      <c r="N841" s="9">
        <v>2020</v>
      </c>
      <c r="O841" s="9" t="s">
        <v>3842</v>
      </c>
      <c r="P841" s="9" t="s">
        <v>53</v>
      </c>
      <c r="Q841" s="9" t="s">
        <v>53</v>
      </c>
      <c r="R841" s="9" t="s">
        <v>3846</v>
      </c>
      <c r="T841" s="9" t="s">
        <v>55</v>
      </c>
      <c r="U841" s="9" t="s">
        <v>3843</v>
      </c>
      <c r="V841" s="9"/>
      <c r="W841" s="11" t="str">
        <f>IFERROR(VLOOKUP(B841, PlumX_snapshot!$A:$B, 2, FALSE), " ")</f>
        <v xml:space="preserve"> </v>
      </c>
      <c r="X841" s="11" t="str">
        <f>IFERROR(VLOOKUP(B841, PlumX_snapshot!$A:$C, 3, FALSE), " ")</f>
        <v xml:space="preserve"> </v>
      </c>
      <c r="Y841" s="12" t="str">
        <f>IFERROR(VLOOKUP(B841, PlumX_snapshot!$A:$D, 4, FALSE), " ")</f>
        <v xml:space="preserve"> </v>
      </c>
      <c r="Z841" s="12" t="str">
        <f>IFERROR(VLOOKUP(B841, PlumX_snapshot!$A:$E, 5, FALSE), " ")</f>
        <v xml:space="preserve"> </v>
      </c>
      <c r="AA841" s="12" t="str">
        <f>IFERROR(VLOOKUP(B841, PlumX_snapshot!$A:$F, 6, FALSE), " ")</f>
        <v xml:space="preserve"> </v>
      </c>
      <c r="AB841" s="13"/>
      <c r="AH841" s="9"/>
      <c r="AI841" s="9"/>
      <c r="AJ841" s="9"/>
      <c r="AK841" s="11" t="str">
        <f t="shared" si="6"/>
        <v>2020</v>
      </c>
      <c r="AL841" s="11" t="e">
        <f>VLOOKUP(AK841, Exchange_rates!$C:$D, 2, FALSE)</f>
        <v>#N/A</v>
      </c>
      <c r="AM841" s="14" t="str">
        <f t="shared" si="7"/>
        <v/>
      </c>
      <c r="AN841" s="9"/>
      <c r="AO841" s="9"/>
      <c r="AP841" s="9"/>
      <c r="AQ841" s="15" t="s">
        <v>49</v>
      </c>
      <c r="AR841" t="s">
        <v>3471</v>
      </c>
      <c r="AS841" s="16"/>
    </row>
    <row r="842" spans="1:45" ht="14.5">
      <c r="A842" s="9" t="s">
        <v>3847</v>
      </c>
      <c r="B842" s="9" t="s">
        <v>3848</v>
      </c>
      <c r="C842" s="9" t="s">
        <v>3849</v>
      </c>
      <c r="D842" s="9" t="s">
        <v>2830</v>
      </c>
      <c r="E842" s="9" t="s">
        <v>49</v>
      </c>
      <c r="F842" s="9" t="s">
        <v>50</v>
      </c>
      <c r="G842" s="9" t="s">
        <v>51</v>
      </c>
      <c r="H842" s="9"/>
      <c r="J842" s="10"/>
      <c r="K842" s="10"/>
      <c r="L842" s="10">
        <v>44497.43886574074</v>
      </c>
      <c r="N842" s="9">
        <v>2021</v>
      </c>
      <c r="O842" s="9" t="s">
        <v>3842</v>
      </c>
      <c r="P842" s="9" t="s">
        <v>53</v>
      </c>
      <c r="Q842" s="9" t="s">
        <v>53</v>
      </c>
      <c r="T842" s="9" t="s">
        <v>55</v>
      </c>
      <c r="U842" s="9" t="s">
        <v>581</v>
      </c>
      <c r="V842" s="9"/>
      <c r="W842" s="11">
        <f>IFERROR(VLOOKUP(B842, PlumX_snapshot!$A:$B, 2, FALSE), " ")</f>
        <v>0</v>
      </c>
      <c r="X842" s="11">
        <f>IFERROR(VLOOKUP(B842, PlumX_snapshot!$A:$C, 3, FALSE), " ")</f>
        <v>0</v>
      </c>
      <c r="Y842" s="12">
        <f>IFERROR(VLOOKUP(B842, PlumX_snapshot!$A:$D, 4, FALSE), " ")</f>
        <v>0</v>
      </c>
      <c r="Z842" s="12">
        <f>IFERROR(VLOOKUP(B842, PlumX_snapshot!$A:$E, 5, FALSE), " ")</f>
        <v>0</v>
      </c>
      <c r="AA842" s="12">
        <f>IFERROR(VLOOKUP(B842, PlumX_snapshot!$A:$F, 6, FALSE), " ")</f>
        <v>0</v>
      </c>
      <c r="AB842" s="13">
        <v>44978</v>
      </c>
      <c r="AG842" s="9" t="s">
        <v>70</v>
      </c>
      <c r="AH842" s="9"/>
      <c r="AI842" s="9"/>
      <c r="AJ842" s="9"/>
      <c r="AK842" s="11" t="str">
        <f t="shared" si="6"/>
        <v>2021</v>
      </c>
      <c r="AL842" s="11" t="e">
        <f>VLOOKUP(AK842, Exchange_rates!$C:$D, 2, FALSE)</f>
        <v>#N/A</v>
      </c>
      <c r="AM842" s="14" t="str">
        <f t="shared" si="7"/>
        <v/>
      </c>
      <c r="AN842" s="9"/>
      <c r="AO842" s="9"/>
      <c r="AP842" s="9"/>
      <c r="AQ842" s="15" t="s">
        <v>49</v>
      </c>
      <c r="AR842" t="s">
        <v>3850</v>
      </c>
      <c r="AS842" s="16"/>
    </row>
    <row r="843" spans="1:45" ht="14.5">
      <c r="A843" s="9" t="s">
        <v>3851</v>
      </c>
      <c r="B843" s="9" t="s">
        <v>3852</v>
      </c>
      <c r="C843" s="9" t="s">
        <v>3853</v>
      </c>
      <c r="D843" s="9" t="s">
        <v>2830</v>
      </c>
      <c r="E843" s="9" t="s">
        <v>49</v>
      </c>
      <c r="F843" s="9" t="s">
        <v>50</v>
      </c>
      <c r="G843" s="9" t="s">
        <v>51</v>
      </c>
      <c r="H843" s="9"/>
      <c r="J843" s="10"/>
      <c r="K843" s="10"/>
      <c r="L843" s="10">
        <v>44420.632581018515</v>
      </c>
      <c r="N843" s="9">
        <v>2021</v>
      </c>
      <c r="O843" s="9" t="s">
        <v>3842</v>
      </c>
      <c r="P843" s="9" t="s">
        <v>53</v>
      </c>
      <c r="Q843" s="9" t="s">
        <v>53</v>
      </c>
      <c r="T843" s="9" t="s">
        <v>55</v>
      </c>
      <c r="U843" s="9" t="s">
        <v>3854</v>
      </c>
      <c r="V843" s="9"/>
      <c r="W843" s="11">
        <f>IFERROR(VLOOKUP(B843, PlumX_snapshot!$A:$B, 2, FALSE), " ")</f>
        <v>21</v>
      </c>
      <c r="X843" s="11">
        <f>IFERROR(VLOOKUP(B843, PlumX_snapshot!$A:$C, 3, FALSE), " ")</f>
        <v>3</v>
      </c>
      <c r="Y843" s="12">
        <f>IFERROR(VLOOKUP(B843, PlumX_snapshot!$A:$D, 4, FALSE), " ")</f>
        <v>74</v>
      </c>
      <c r="Z843" s="12">
        <f>IFERROR(VLOOKUP(B843, PlumX_snapshot!$A:$E, 5, FALSE), " ")</f>
        <v>0</v>
      </c>
      <c r="AA843" s="12">
        <f>IFERROR(VLOOKUP(B843, PlumX_snapshot!$A:$F, 6, FALSE), " ")</f>
        <v>1</v>
      </c>
      <c r="AB843" s="13">
        <v>44978</v>
      </c>
      <c r="AH843" s="9"/>
      <c r="AI843" s="9"/>
      <c r="AJ843" s="9"/>
      <c r="AK843" s="11" t="str">
        <f t="shared" si="6"/>
        <v>2021</v>
      </c>
      <c r="AL843" s="11" t="e">
        <f>VLOOKUP(AK843, Exchange_rates!$C:$D, 2, FALSE)</f>
        <v>#N/A</v>
      </c>
      <c r="AM843" s="14" t="str">
        <f t="shared" si="7"/>
        <v/>
      </c>
      <c r="AN843" s="9"/>
      <c r="AO843" s="9"/>
      <c r="AP843" s="9"/>
      <c r="AQ843" s="15" t="s">
        <v>49</v>
      </c>
      <c r="AR843" t="s">
        <v>3855</v>
      </c>
      <c r="AS843" s="16"/>
    </row>
    <row r="844" spans="1:45" ht="14.5">
      <c r="A844" s="9" t="s">
        <v>3856</v>
      </c>
      <c r="B844" s="9" t="s">
        <v>3857</v>
      </c>
      <c r="C844" s="9" t="s">
        <v>3858</v>
      </c>
      <c r="D844" s="9" t="s">
        <v>2830</v>
      </c>
      <c r="E844" s="9" t="s">
        <v>49</v>
      </c>
      <c r="F844" s="9" t="s">
        <v>50</v>
      </c>
      <c r="G844" s="9" t="s">
        <v>51</v>
      </c>
      <c r="H844" s="9"/>
      <c r="J844" s="10"/>
      <c r="K844" s="10"/>
      <c r="L844" s="10">
        <v>43801.397743055553</v>
      </c>
      <c r="N844" s="9">
        <v>2019</v>
      </c>
      <c r="O844" s="9" t="s">
        <v>3842</v>
      </c>
      <c r="P844" s="9" t="s">
        <v>53</v>
      </c>
      <c r="Q844" s="9" t="s">
        <v>53</v>
      </c>
      <c r="T844" s="9" t="s">
        <v>55</v>
      </c>
      <c r="U844" s="9" t="s">
        <v>3843</v>
      </c>
      <c r="V844" s="9"/>
      <c r="W844" s="11">
        <f>IFERROR(VLOOKUP(B844, PlumX_snapshot!$A:$B, 2, FALSE), " ")</f>
        <v>61</v>
      </c>
      <c r="X844" s="11">
        <f>IFERROR(VLOOKUP(B844, PlumX_snapshot!$A:$C, 3, FALSE), " ")</f>
        <v>20</v>
      </c>
      <c r="Y844" s="12">
        <f>IFERROR(VLOOKUP(B844, PlumX_snapshot!$A:$D, 4, FALSE), " ")</f>
        <v>35</v>
      </c>
      <c r="Z844" s="12">
        <f>IFERROR(VLOOKUP(B844, PlumX_snapshot!$A:$E, 5, FALSE), " ")</f>
        <v>5</v>
      </c>
      <c r="AA844" s="12">
        <f>IFERROR(VLOOKUP(B844, PlumX_snapshot!$A:$F, 6, FALSE), " ")</f>
        <v>0</v>
      </c>
      <c r="AB844" s="13">
        <v>44978</v>
      </c>
      <c r="AH844" s="9"/>
      <c r="AI844" s="9"/>
      <c r="AJ844" s="9"/>
      <c r="AK844" s="11" t="str">
        <f t="shared" si="6"/>
        <v>2019</v>
      </c>
      <c r="AL844" s="11" t="e">
        <f>VLOOKUP(AK844, Exchange_rates!$C:$D, 2, FALSE)</f>
        <v>#N/A</v>
      </c>
      <c r="AM844" s="14" t="str">
        <f t="shared" si="7"/>
        <v/>
      </c>
      <c r="AN844" s="9"/>
      <c r="AO844" s="9"/>
      <c r="AP844" s="9"/>
      <c r="AQ844" s="15" t="s">
        <v>49</v>
      </c>
      <c r="AR844" t="s">
        <v>3859</v>
      </c>
      <c r="AS844" s="16"/>
    </row>
    <row r="845" spans="1:45" ht="14.5">
      <c r="A845" s="9" t="s">
        <v>3860</v>
      </c>
      <c r="B845" s="9" t="s">
        <v>3861</v>
      </c>
      <c r="C845" s="9" t="s">
        <v>2961</v>
      </c>
      <c r="D845" s="9" t="s">
        <v>2830</v>
      </c>
      <c r="E845" s="9" t="s">
        <v>49</v>
      </c>
      <c r="F845" s="9" t="s">
        <v>50</v>
      </c>
      <c r="G845" s="9" t="s">
        <v>51</v>
      </c>
      <c r="H845" s="9"/>
      <c r="J845" s="10"/>
      <c r="K845" s="10"/>
      <c r="L845" s="10">
        <v>43312.357233796298</v>
      </c>
      <c r="N845" s="9">
        <v>2018</v>
      </c>
      <c r="O845" s="9" t="s">
        <v>3842</v>
      </c>
      <c r="P845" s="9" t="s">
        <v>53</v>
      </c>
      <c r="Q845" s="9" t="s">
        <v>53</v>
      </c>
      <c r="T845" s="9" t="s">
        <v>55</v>
      </c>
      <c r="U845" s="9" t="s">
        <v>3862</v>
      </c>
      <c r="V845" s="9"/>
      <c r="W845" s="11">
        <f>IFERROR(VLOOKUP(B845, PlumX_snapshot!$A:$B, 2, FALSE), " ")</f>
        <v>34</v>
      </c>
      <c r="X845" s="11">
        <f>IFERROR(VLOOKUP(B845, PlumX_snapshot!$A:$C, 3, FALSE), " ")</f>
        <v>2</v>
      </c>
      <c r="Y845" s="12">
        <f>IFERROR(VLOOKUP(B845, PlumX_snapshot!$A:$D, 4, FALSE), " ")</f>
        <v>44</v>
      </c>
      <c r="Z845" s="12">
        <f>IFERROR(VLOOKUP(B845, PlumX_snapshot!$A:$E, 5, FALSE), " ")</f>
        <v>0</v>
      </c>
      <c r="AA845" s="12">
        <f>IFERROR(VLOOKUP(B845, PlumX_snapshot!$A:$F, 6, FALSE), " ")</f>
        <v>0</v>
      </c>
      <c r="AB845" s="13">
        <v>44978</v>
      </c>
      <c r="AH845" s="9"/>
      <c r="AI845" s="9"/>
      <c r="AJ845" s="9"/>
      <c r="AK845" s="11" t="str">
        <f t="shared" si="6"/>
        <v>2018</v>
      </c>
      <c r="AL845" s="11" t="e">
        <f>VLOOKUP(AK845, Exchange_rates!$C:$D, 2, FALSE)</f>
        <v>#N/A</v>
      </c>
      <c r="AM845" s="14" t="str">
        <f t="shared" si="7"/>
        <v/>
      </c>
      <c r="AN845" s="9"/>
      <c r="AO845" s="9"/>
      <c r="AP845" s="9"/>
      <c r="AQ845" s="15" t="s">
        <v>49</v>
      </c>
      <c r="AR845" t="s">
        <v>2962</v>
      </c>
      <c r="AS845" s="16"/>
    </row>
    <row r="846" spans="1:45" ht="14.5">
      <c r="A846" s="9" t="s">
        <v>3863</v>
      </c>
      <c r="B846" s="9" t="s">
        <v>3864</v>
      </c>
      <c r="C846" s="9" t="s">
        <v>3865</v>
      </c>
      <c r="D846" s="9" t="s">
        <v>2830</v>
      </c>
      <c r="E846" s="9" t="s">
        <v>49</v>
      </c>
      <c r="F846" s="9" t="s">
        <v>50</v>
      </c>
      <c r="G846" s="9" t="s">
        <v>51</v>
      </c>
      <c r="H846" s="9"/>
      <c r="J846" s="10"/>
      <c r="K846" s="10"/>
      <c r="L846" s="10">
        <v>43878.418217592596</v>
      </c>
      <c r="N846" s="9">
        <v>2020</v>
      </c>
      <c r="O846" s="9" t="s">
        <v>3842</v>
      </c>
      <c r="P846" s="9" t="s">
        <v>53</v>
      </c>
      <c r="Q846" s="9" t="s">
        <v>53</v>
      </c>
      <c r="T846" s="9" t="s">
        <v>55</v>
      </c>
      <c r="U846" s="9" t="s">
        <v>3843</v>
      </c>
      <c r="V846" s="9"/>
      <c r="W846" s="11">
        <f>IFERROR(VLOOKUP(B846, PlumX_snapshot!$A:$B, 2, FALSE), " ")</f>
        <v>0</v>
      </c>
      <c r="X846" s="11">
        <f>IFERROR(VLOOKUP(B846, PlumX_snapshot!$A:$C, 3, FALSE), " ")</f>
        <v>3</v>
      </c>
      <c r="Y846" s="12">
        <f>IFERROR(VLOOKUP(B846, PlumX_snapshot!$A:$D, 4, FALSE), " ")</f>
        <v>0</v>
      </c>
      <c r="Z846" s="12">
        <f>IFERROR(VLOOKUP(B846, PlumX_snapshot!$A:$E, 5, FALSE), " ")</f>
        <v>0</v>
      </c>
      <c r="AA846" s="12">
        <f>IFERROR(VLOOKUP(B846, PlumX_snapshot!$A:$F, 6, FALSE), " ")</f>
        <v>0</v>
      </c>
      <c r="AB846" s="13">
        <v>44978</v>
      </c>
      <c r="AH846" s="9"/>
      <c r="AI846" s="9"/>
      <c r="AJ846" s="9"/>
      <c r="AK846" s="11" t="str">
        <f t="shared" si="6"/>
        <v>2020</v>
      </c>
      <c r="AL846" s="11" t="e">
        <f>VLOOKUP(AK846, Exchange_rates!$C:$D, 2, FALSE)</f>
        <v>#N/A</v>
      </c>
      <c r="AM846" s="14" t="str">
        <f t="shared" si="7"/>
        <v/>
      </c>
      <c r="AN846" s="9"/>
      <c r="AO846" s="9"/>
      <c r="AP846" s="9"/>
      <c r="AQ846" s="15" t="s">
        <v>49</v>
      </c>
      <c r="AR846" t="s">
        <v>3866</v>
      </c>
      <c r="AS846" s="16"/>
    </row>
    <row r="847" spans="1:45" ht="14.5">
      <c r="A847" s="9" t="s">
        <v>3867</v>
      </c>
      <c r="B847" s="9" t="s">
        <v>3868</v>
      </c>
      <c r="C847" s="9" t="s">
        <v>3210</v>
      </c>
      <c r="D847" s="9" t="s">
        <v>2830</v>
      </c>
      <c r="E847" s="9" t="s">
        <v>49</v>
      </c>
      <c r="F847" s="9" t="s">
        <v>50</v>
      </c>
      <c r="G847" s="9" t="s">
        <v>51</v>
      </c>
      <c r="H847" s="9"/>
      <c r="J847" s="10"/>
      <c r="K847" s="10"/>
      <c r="L847" s="10">
        <v>43476.463854166665</v>
      </c>
      <c r="N847" s="9">
        <v>2019</v>
      </c>
      <c r="O847" s="9" t="s">
        <v>3842</v>
      </c>
      <c r="P847" s="9" t="s">
        <v>53</v>
      </c>
      <c r="Q847" s="9" t="s">
        <v>53</v>
      </c>
      <c r="T847" s="9" t="s">
        <v>55</v>
      </c>
      <c r="U847" s="9" t="s">
        <v>3843</v>
      </c>
      <c r="V847" s="9"/>
      <c r="W847" s="11">
        <f>IFERROR(VLOOKUP(B847, PlumX_snapshot!$A:$B, 2, FALSE), " ")</f>
        <v>10</v>
      </c>
      <c r="X847" s="11">
        <f>IFERROR(VLOOKUP(B847, PlumX_snapshot!$A:$C, 3, FALSE), " ")</f>
        <v>6</v>
      </c>
      <c r="Y847" s="12">
        <f>IFERROR(VLOOKUP(B847, PlumX_snapshot!$A:$D, 4, FALSE), " ")</f>
        <v>0</v>
      </c>
      <c r="Z847" s="12">
        <f>IFERROR(VLOOKUP(B847, PlumX_snapshot!$A:$E, 5, FALSE), " ")</f>
        <v>0</v>
      </c>
      <c r="AA847" s="12">
        <f>IFERROR(VLOOKUP(B847, PlumX_snapshot!$A:$F, 6, FALSE), " ")</f>
        <v>0</v>
      </c>
      <c r="AB847" s="13">
        <v>44978</v>
      </c>
      <c r="AH847" s="9"/>
      <c r="AI847" s="9"/>
      <c r="AJ847" s="9"/>
      <c r="AK847" s="11" t="str">
        <f t="shared" si="6"/>
        <v>2019</v>
      </c>
      <c r="AL847" s="11" t="e">
        <f>VLOOKUP(AK847, Exchange_rates!$C:$D, 2, FALSE)</f>
        <v>#N/A</v>
      </c>
      <c r="AM847" s="14" t="str">
        <f t="shared" si="7"/>
        <v/>
      </c>
      <c r="AN847" s="9"/>
      <c r="AO847" s="9"/>
      <c r="AP847" s="9"/>
      <c r="AQ847" s="15" t="s">
        <v>49</v>
      </c>
      <c r="AR847" t="s">
        <v>3211</v>
      </c>
      <c r="AS847" s="16"/>
    </row>
    <row r="848" spans="1:45" ht="14.5">
      <c r="A848" s="9" t="s">
        <v>3869</v>
      </c>
      <c r="B848" s="9" t="s">
        <v>3870</v>
      </c>
      <c r="C848" s="9" t="s">
        <v>3871</v>
      </c>
      <c r="D848" s="9" t="s">
        <v>2830</v>
      </c>
      <c r="E848" s="9" t="s">
        <v>49</v>
      </c>
      <c r="F848" s="9" t="s">
        <v>50</v>
      </c>
      <c r="G848" s="9" t="s">
        <v>51</v>
      </c>
      <c r="H848" s="9"/>
      <c r="J848" s="10"/>
      <c r="K848" s="10"/>
      <c r="L848" s="10">
        <v>43885.657592592594</v>
      </c>
      <c r="N848" s="9">
        <v>2020</v>
      </c>
      <c r="O848" s="9" t="s">
        <v>3842</v>
      </c>
      <c r="P848" s="9" t="s">
        <v>53</v>
      </c>
      <c r="Q848" s="9" t="s">
        <v>53</v>
      </c>
      <c r="T848" s="9" t="s">
        <v>55</v>
      </c>
      <c r="U848" s="9" t="s">
        <v>3872</v>
      </c>
      <c r="V848" s="9"/>
      <c r="W848" s="11">
        <f>IFERROR(VLOOKUP(B848, PlumX_snapshot!$A:$B, 2, FALSE), " ")</f>
        <v>5</v>
      </c>
      <c r="X848" s="11">
        <f>IFERROR(VLOOKUP(B848, PlumX_snapshot!$A:$C, 3, FALSE), " ")</f>
        <v>0</v>
      </c>
      <c r="Y848" s="12">
        <f>IFERROR(VLOOKUP(B848, PlumX_snapshot!$A:$D, 4, FALSE), " ")</f>
        <v>0</v>
      </c>
      <c r="Z848" s="12">
        <f>IFERROR(VLOOKUP(B848, PlumX_snapshot!$A:$E, 5, FALSE), " ")</f>
        <v>0</v>
      </c>
      <c r="AA848" s="12">
        <f>IFERROR(VLOOKUP(B848, PlumX_snapshot!$A:$F, 6, FALSE), " ")</f>
        <v>0</v>
      </c>
      <c r="AB848" s="13">
        <v>44978</v>
      </c>
      <c r="AH848" s="9"/>
      <c r="AI848" s="9"/>
      <c r="AJ848" s="9"/>
      <c r="AK848" s="11" t="str">
        <f t="shared" si="6"/>
        <v>2020</v>
      </c>
      <c r="AL848" s="11" t="e">
        <f>VLOOKUP(AK848, Exchange_rates!$C:$D, 2, FALSE)</f>
        <v>#N/A</v>
      </c>
      <c r="AM848" s="14" t="str">
        <f t="shared" si="7"/>
        <v/>
      </c>
      <c r="AN848" s="9"/>
      <c r="AO848" s="9"/>
      <c r="AP848" s="9"/>
      <c r="AQ848" s="15" t="s">
        <v>49</v>
      </c>
      <c r="AR848" t="s">
        <v>3873</v>
      </c>
      <c r="AS848" s="16"/>
    </row>
    <row r="849" spans="1:45" ht="14.5">
      <c r="A849" s="9" t="s">
        <v>3874</v>
      </c>
      <c r="B849" s="9" t="s">
        <v>3875</v>
      </c>
      <c r="C849" s="9" t="s">
        <v>3876</v>
      </c>
      <c r="D849" s="9" t="s">
        <v>2830</v>
      </c>
      <c r="E849" s="9" t="s">
        <v>49</v>
      </c>
      <c r="F849" s="9" t="s">
        <v>50</v>
      </c>
      <c r="G849" s="9" t="s">
        <v>51</v>
      </c>
      <c r="H849" s="9"/>
      <c r="J849" s="10"/>
      <c r="K849" s="10"/>
      <c r="L849" s="10">
        <v>43269.372974537036</v>
      </c>
      <c r="N849" s="9">
        <v>2018</v>
      </c>
      <c r="O849" s="9" t="s">
        <v>3842</v>
      </c>
      <c r="P849" s="9" t="s">
        <v>53</v>
      </c>
      <c r="Q849" s="9" t="s">
        <v>53</v>
      </c>
      <c r="T849" s="9" t="s">
        <v>55</v>
      </c>
      <c r="U849" s="9" t="s">
        <v>3877</v>
      </c>
      <c r="V849" s="9"/>
      <c r="W849" s="11">
        <f>IFERROR(VLOOKUP(B849, PlumX_snapshot!$A:$B, 2, FALSE), " ")</f>
        <v>0</v>
      </c>
      <c r="X849" s="11">
        <f>IFERROR(VLOOKUP(B849, PlumX_snapshot!$A:$C, 3, FALSE), " ")</f>
        <v>2</v>
      </c>
      <c r="Y849" s="12">
        <f>IFERROR(VLOOKUP(B849, PlumX_snapshot!$A:$D, 4, FALSE), " ")</f>
        <v>0</v>
      </c>
      <c r="Z849" s="12">
        <f>IFERROR(VLOOKUP(B849, PlumX_snapshot!$A:$E, 5, FALSE), " ")</f>
        <v>8</v>
      </c>
      <c r="AA849" s="12">
        <f>IFERROR(VLOOKUP(B849, PlumX_snapshot!$A:$F, 6, FALSE), " ")</f>
        <v>0</v>
      </c>
      <c r="AB849" s="13">
        <v>44978</v>
      </c>
      <c r="AH849" s="9"/>
      <c r="AI849" s="9"/>
      <c r="AJ849" s="9"/>
      <c r="AK849" s="11" t="str">
        <f t="shared" si="6"/>
        <v>2018</v>
      </c>
      <c r="AL849" s="11" t="e">
        <f>VLOOKUP(AK849, Exchange_rates!$C:$D, 2, FALSE)</f>
        <v>#N/A</v>
      </c>
      <c r="AM849" s="14" t="str">
        <f t="shared" si="7"/>
        <v/>
      </c>
      <c r="AN849" s="9"/>
      <c r="AO849" s="9"/>
      <c r="AP849" s="9"/>
      <c r="AQ849" s="15" t="s">
        <v>49</v>
      </c>
      <c r="AR849" t="s">
        <v>3878</v>
      </c>
      <c r="AS849" s="16"/>
    </row>
    <row r="850" spans="1:45" ht="14.5">
      <c r="A850" s="9" t="s">
        <v>3879</v>
      </c>
      <c r="B850" s="9" t="s">
        <v>3880</v>
      </c>
      <c r="C850" s="9" t="s">
        <v>3881</v>
      </c>
      <c r="D850" s="9" t="s">
        <v>2830</v>
      </c>
      <c r="E850" s="9" t="s">
        <v>49</v>
      </c>
      <c r="F850" s="9" t="s">
        <v>50</v>
      </c>
      <c r="G850" s="9" t="s">
        <v>51</v>
      </c>
      <c r="H850" s="9"/>
      <c r="J850" s="10"/>
      <c r="K850" s="10"/>
      <c r="L850" s="10">
        <v>43713.662708333337</v>
      </c>
      <c r="N850" s="9">
        <v>2019</v>
      </c>
      <c r="O850" s="9" t="s">
        <v>3842</v>
      </c>
      <c r="P850" s="9" t="s">
        <v>53</v>
      </c>
      <c r="Q850" s="9" t="s">
        <v>53</v>
      </c>
      <c r="T850" s="9" t="s">
        <v>55</v>
      </c>
      <c r="U850" s="9" t="s">
        <v>3854</v>
      </c>
      <c r="V850" s="9"/>
      <c r="W850" s="11">
        <f>IFERROR(VLOOKUP(B850, PlumX_snapshot!$A:$B, 2, FALSE), " ")</f>
        <v>31</v>
      </c>
      <c r="X850" s="11">
        <f>IFERROR(VLOOKUP(B850, PlumX_snapshot!$A:$C, 3, FALSE), " ")</f>
        <v>7</v>
      </c>
      <c r="Y850" s="12">
        <f>IFERROR(VLOOKUP(B850, PlumX_snapshot!$A:$D, 4, FALSE), " ")</f>
        <v>4</v>
      </c>
      <c r="Z850" s="12">
        <f>IFERROR(VLOOKUP(B850, PlumX_snapshot!$A:$E, 5, FALSE), " ")</f>
        <v>28</v>
      </c>
      <c r="AA850" s="12">
        <f>IFERROR(VLOOKUP(B850, PlumX_snapshot!$A:$F, 6, FALSE), " ")</f>
        <v>0</v>
      </c>
      <c r="AB850" s="13">
        <v>44978</v>
      </c>
      <c r="AH850" s="9"/>
      <c r="AI850" s="9"/>
      <c r="AJ850" s="9"/>
      <c r="AK850" s="11" t="str">
        <f t="shared" si="6"/>
        <v>2019</v>
      </c>
      <c r="AL850" s="11" t="e">
        <f>VLOOKUP(AK850, Exchange_rates!$C:$D, 2, FALSE)</f>
        <v>#N/A</v>
      </c>
      <c r="AM850" s="14" t="str">
        <f t="shared" si="7"/>
        <v/>
      </c>
      <c r="AN850" s="9"/>
      <c r="AO850" s="9"/>
      <c r="AP850" s="9"/>
      <c r="AQ850" s="15" t="s">
        <v>49</v>
      </c>
      <c r="AR850" t="s">
        <v>3882</v>
      </c>
      <c r="AS850" s="16"/>
    </row>
    <row r="851" spans="1:45" ht="14.5">
      <c r="A851" s="9" t="s">
        <v>3883</v>
      </c>
      <c r="B851" s="9" t="s">
        <v>3884</v>
      </c>
      <c r="C851" s="9" t="s">
        <v>3885</v>
      </c>
      <c r="D851" s="9" t="s">
        <v>2830</v>
      </c>
      <c r="E851" s="9" t="s">
        <v>49</v>
      </c>
      <c r="F851" s="9" t="s">
        <v>50</v>
      </c>
      <c r="G851" s="9" t="s">
        <v>51</v>
      </c>
      <c r="H851" s="9"/>
      <c r="J851" s="10"/>
      <c r="K851" s="10"/>
      <c r="L851" s="10">
        <v>44480.507349537038</v>
      </c>
      <c r="N851" s="9">
        <v>2021</v>
      </c>
      <c r="O851" s="9" t="s">
        <v>3842</v>
      </c>
      <c r="P851" s="9" t="s">
        <v>53</v>
      </c>
      <c r="Q851" s="9" t="s">
        <v>53</v>
      </c>
      <c r="T851" s="9" t="s">
        <v>55</v>
      </c>
      <c r="U851" s="9" t="s">
        <v>3862</v>
      </c>
      <c r="V851" s="9"/>
      <c r="W851" s="11">
        <f>IFERROR(VLOOKUP(B851, PlumX_snapshot!$A:$B, 2, FALSE), " ")</f>
        <v>1</v>
      </c>
      <c r="X851" s="11">
        <f>IFERROR(VLOOKUP(B851, PlumX_snapshot!$A:$C, 3, FALSE), " ")</f>
        <v>1</v>
      </c>
      <c r="Y851" s="12">
        <f>IFERROR(VLOOKUP(B851, PlumX_snapshot!$A:$D, 4, FALSE), " ")</f>
        <v>0</v>
      </c>
      <c r="Z851" s="12">
        <f>IFERROR(VLOOKUP(B851, PlumX_snapshot!$A:$E, 5, FALSE), " ")</f>
        <v>0</v>
      </c>
      <c r="AA851" s="12">
        <f>IFERROR(VLOOKUP(B851, PlumX_snapshot!$A:$F, 6, FALSE), " ")</f>
        <v>0</v>
      </c>
      <c r="AB851" s="13">
        <v>44978</v>
      </c>
      <c r="AH851" s="9"/>
      <c r="AI851" s="9"/>
      <c r="AJ851" s="9"/>
      <c r="AK851" s="11" t="str">
        <f t="shared" si="6"/>
        <v>2021</v>
      </c>
      <c r="AL851" s="11" t="e">
        <f>VLOOKUP(AK851, Exchange_rates!$C:$D, 2, FALSE)</f>
        <v>#N/A</v>
      </c>
      <c r="AM851" s="14" t="str">
        <f t="shared" si="7"/>
        <v/>
      </c>
      <c r="AN851" s="9"/>
      <c r="AO851" s="9"/>
      <c r="AP851" s="9"/>
      <c r="AQ851" s="15" t="s">
        <v>49</v>
      </c>
      <c r="AR851" t="s">
        <v>3886</v>
      </c>
      <c r="AS851" s="16"/>
    </row>
    <row r="852" spans="1:45" ht="14.5">
      <c r="A852" s="9" t="s">
        <v>3887</v>
      </c>
      <c r="B852" s="9" t="s">
        <v>3888</v>
      </c>
      <c r="C852" s="9" t="s">
        <v>3889</v>
      </c>
      <c r="D852" s="9" t="s">
        <v>2830</v>
      </c>
      <c r="E852" s="9" t="s">
        <v>49</v>
      </c>
      <c r="F852" s="9" t="s">
        <v>50</v>
      </c>
      <c r="G852" s="9" t="s">
        <v>51</v>
      </c>
      <c r="H852" s="9"/>
      <c r="J852" s="10"/>
      <c r="K852" s="10"/>
      <c r="L852" s="10">
        <v>44075.457245370373</v>
      </c>
      <c r="N852" s="9">
        <v>2020</v>
      </c>
      <c r="O852" s="9" t="s">
        <v>3842</v>
      </c>
      <c r="P852" s="9" t="s">
        <v>53</v>
      </c>
      <c r="Q852" s="9" t="s">
        <v>53</v>
      </c>
      <c r="T852" s="9" t="s">
        <v>55</v>
      </c>
      <c r="U852" s="9" t="s">
        <v>3843</v>
      </c>
      <c r="V852" s="9"/>
      <c r="W852" s="11">
        <f>IFERROR(VLOOKUP(B852, PlumX_snapshot!$A:$B, 2, FALSE), " ")</f>
        <v>137</v>
      </c>
      <c r="X852" s="11">
        <f>IFERROR(VLOOKUP(B852, PlumX_snapshot!$A:$C, 3, FALSE), " ")</f>
        <v>23</v>
      </c>
      <c r="Y852" s="12">
        <f>IFERROR(VLOOKUP(B852, PlumX_snapshot!$A:$D, 4, FALSE), " ")</f>
        <v>115</v>
      </c>
      <c r="Z852" s="12">
        <f>IFERROR(VLOOKUP(B852, PlumX_snapshot!$A:$E, 5, FALSE), " ")</f>
        <v>0</v>
      </c>
      <c r="AA852" s="12">
        <f>IFERROR(VLOOKUP(B852, PlumX_snapshot!$A:$F, 6, FALSE), " ")</f>
        <v>1</v>
      </c>
      <c r="AB852" s="13">
        <v>44978</v>
      </c>
      <c r="AH852" s="9"/>
      <c r="AI852" s="9"/>
      <c r="AJ852" s="9"/>
      <c r="AK852" s="11" t="str">
        <f t="shared" si="6"/>
        <v>2020</v>
      </c>
      <c r="AL852" s="11" t="e">
        <f>VLOOKUP(AK852, Exchange_rates!$C:$D, 2, FALSE)</f>
        <v>#N/A</v>
      </c>
      <c r="AM852" s="14" t="str">
        <f t="shared" si="7"/>
        <v/>
      </c>
      <c r="AN852" s="9"/>
      <c r="AO852" s="9"/>
      <c r="AP852" s="9"/>
      <c r="AQ852" s="15" t="s">
        <v>49</v>
      </c>
      <c r="AR852" t="s">
        <v>3890</v>
      </c>
      <c r="AS852" s="16"/>
    </row>
    <row r="853" spans="1:45" ht="14.5">
      <c r="A853" s="9" t="s">
        <v>3891</v>
      </c>
      <c r="B853" s="9" t="s">
        <v>3892</v>
      </c>
      <c r="C853" s="9" t="s">
        <v>3893</v>
      </c>
      <c r="D853" s="9" t="s">
        <v>2830</v>
      </c>
      <c r="E853" s="9" t="s">
        <v>49</v>
      </c>
      <c r="F853" s="9" t="s">
        <v>50</v>
      </c>
      <c r="G853" s="9" t="s">
        <v>51</v>
      </c>
      <c r="H853" s="9"/>
      <c r="J853" s="10"/>
      <c r="K853" s="10"/>
      <c r="L853" s="10">
        <v>43846.704548611109</v>
      </c>
      <c r="N853" s="9">
        <v>2020</v>
      </c>
      <c r="O853" s="9" t="s">
        <v>3842</v>
      </c>
      <c r="P853" s="9" t="s">
        <v>53</v>
      </c>
      <c r="Q853" s="9" t="s">
        <v>53</v>
      </c>
      <c r="T853" s="9" t="s">
        <v>55</v>
      </c>
      <c r="U853" s="9" t="s">
        <v>3843</v>
      </c>
      <c r="V853" s="9"/>
      <c r="W853" s="11">
        <f>IFERROR(VLOOKUP(B853, PlumX_snapshot!$A:$B, 2, FALSE), " ")</f>
        <v>31</v>
      </c>
      <c r="X853" s="11">
        <f>IFERROR(VLOOKUP(B853, PlumX_snapshot!$A:$C, 3, FALSE), " ")</f>
        <v>2</v>
      </c>
      <c r="Y853" s="12">
        <f>IFERROR(VLOOKUP(B853, PlumX_snapshot!$A:$D, 4, FALSE), " ")</f>
        <v>0</v>
      </c>
      <c r="Z853" s="12">
        <f>IFERROR(VLOOKUP(B853, PlumX_snapshot!$A:$E, 5, FALSE), " ")</f>
        <v>0</v>
      </c>
      <c r="AA853" s="12">
        <f>IFERROR(VLOOKUP(B853, PlumX_snapshot!$A:$F, 6, FALSE), " ")</f>
        <v>0</v>
      </c>
      <c r="AB853" s="13">
        <v>44978</v>
      </c>
      <c r="AH853" s="9"/>
      <c r="AI853" s="9"/>
      <c r="AJ853" s="9"/>
      <c r="AK853" s="11" t="str">
        <f t="shared" si="6"/>
        <v>2020</v>
      </c>
      <c r="AL853" s="11" t="e">
        <f>VLOOKUP(AK853, Exchange_rates!$C:$D, 2, FALSE)</f>
        <v>#N/A</v>
      </c>
      <c r="AM853" s="14" t="str">
        <f t="shared" si="7"/>
        <v/>
      </c>
      <c r="AN853" s="9"/>
      <c r="AO853" s="9"/>
      <c r="AP853" s="9"/>
      <c r="AQ853" s="15" t="s">
        <v>49</v>
      </c>
      <c r="AR853" t="s">
        <v>3894</v>
      </c>
      <c r="AS853" s="16"/>
    </row>
    <row r="854" spans="1:45" ht="14.5">
      <c r="A854" s="9" t="s">
        <v>3895</v>
      </c>
      <c r="B854" s="9" t="s">
        <v>3896</v>
      </c>
      <c r="C854" s="9" t="s">
        <v>3897</v>
      </c>
      <c r="D854" s="9" t="s">
        <v>2830</v>
      </c>
      <c r="E854" s="9" t="s">
        <v>49</v>
      </c>
      <c r="F854" s="9" t="s">
        <v>50</v>
      </c>
      <c r="G854" s="9" t="s">
        <v>51</v>
      </c>
      <c r="H854" s="9"/>
      <c r="J854" s="10"/>
      <c r="K854" s="10"/>
      <c r="L854" s="10">
        <v>43893.412094907406</v>
      </c>
      <c r="N854" s="9">
        <v>2020</v>
      </c>
      <c r="O854" s="9" t="s">
        <v>3842</v>
      </c>
      <c r="P854" s="9" t="s">
        <v>53</v>
      </c>
      <c r="Q854" s="9" t="s">
        <v>53</v>
      </c>
      <c r="T854" s="9" t="s">
        <v>55</v>
      </c>
      <c r="U854" s="9" t="s">
        <v>3854</v>
      </c>
      <c r="V854" s="9"/>
      <c r="W854" s="11">
        <f>IFERROR(VLOOKUP(B854, PlumX_snapshot!$A:$B, 2, FALSE), " ")</f>
        <v>71</v>
      </c>
      <c r="X854" s="11">
        <f>IFERROR(VLOOKUP(B854, PlumX_snapshot!$A:$C, 3, FALSE), " ")</f>
        <v>25</v>
      </c>
      <c r="Y854" s="12">
        <f>IFERROR(VLOOKUP(B854, PlumX_snapshot!$A:$D, 4, FALSE), " ")</f>
        <v>332</v>
      </c>
      <c r="Z854" s="12">
        <f>IFERROR(VLOOKUP(B854, PlumX_snapshot!$A:$E, 5, FALSE), " ")</f>
        <v>0</v>
      </c>
      <c r="AA854" s="12">
        <f>IFERROR(VLOOKUP(B854, PlumX_snapshot!$A:$F, 6, FALSE), " ")</f>
        <v>60</v>
      </c>
      <c r="AB854" s="13">
        <v>44978</v>
      </c>
      <c r="AH854" s="9"/>
      <c r="AI854" s="9"/>
      <c r="AJ854" s="9"/>
      <c r="AK854" s="11" t="str">
        <f t="shared" si="6"/>
        <v>2020</v>
      </c>
      <c r="AL854" s="11" t="e">
        <f>VLOOKUP(AK854, Exchange_rates!$C:$D, 2, FALSE)</f>
        <v>#N/A</v>
      </c>
      <c r="AM854" s="14" t="str">
        <f t="shared" si="7"/>
        <v/>
      </c>
      <c r="AN854" s="9"/>
      <c r="AO854" s="9"/>
      <c r="AP854" s="9"/>
      <c r="AQ854" s="15" t="s">
        <v>49</v>
      </c>
      <c r="AR854" t="s">
        <v>3898</v>
      </c>
      <c r="AS854" s="16"/>
    </row>
    <row r="855" spans="1:45" ht="14.5">
      <c r="A855" s="9" t="s">
        <v>3899</v>
      </c>
      <c r="B855" s="9" t="s">
        <v>3900</v>
      </c>
      <c r="C855" s="9" t="s">
        <v>3544</v>
      </c>
      <c r="D855" s="9" t="s">
        <v>2830</v>
      </c>
      <c r="E855" s="9" t="s">
        <v>49</v>
      </c>
      <c r="F855" s="9" t="s">
        <v>50</v>
      </c>
      <c r="G855" s="9" t="s">
        <v>51</v>
      </c>
      <c r="H855" s="9"/>
      <c r="J855" s="10"/>
      <c r="K855" s="10"/>
      <c r="L855" s="10">
        <v>44278.575648148151</v>
      </c>
      <c r="N855" s="9">
        <v>2021</v>
      </c>
      <c r="O855" s="9" t="s">
        <v>3842</v>
      </c>
      <c r="P855" s="9" t="s">
        <v>53</v>
      </c>
      <c r="Q855" s="9" t="s">
        <v>53</v>
      </c>
      <c r="T855" s="9" t="s">
        <v>55</v>
      </c>
      <c r="U855" s="9" t="s">
        <v>3843</v>
      </c>
      <c r="V855" s="9"/>
      <c r="W855" s="11">
        <f>IFERROR(VLOOKUP(B855, PlumX_snapshot!$A:$B, 2, FALSE), " ")</f>
        <v>12</v>
      </c>
      <c r="X855" s="11">
        <f>IFERROR(VLOOKUP(B855, PlumX_snapshot!$A:$C, 3, FALSE), " ")</f>
        <v>2</v>
      </c>
      <c r="Y855" s="12">
        <f>IFERROR(VLOOKUP(B855, PlumX_snapshot!$A:$D, 4, FALSE), " ")</f>
        <v>15</v>
      </c>
      <c r="Z855" s="12">
        <f>IFERROR(VLOOKUP(B855, PlumX_snapshot!$A:$E, 5, FALSE), " ")</f>
        <v>0</v>
      </c>
      <c r="AA855" s="12">
        <f>IFERROR(VLOOKUP(B855, PlumX_snapshot!$A:$F, 6, FALSE), " ")</f>
        <v>0</v>
      </c>
      <c r="AB855" s="13">
        <v>44978</v>
      </c>
      <c r="AH855" s="9"/>
      <c r="AI855" s="9"/>
      <c r="AJ855" s="9"/>
      <c r="AK855" s="11" t="str">
        <f t="shared" si="6"/>
        <v>2021</v>
      </c>
      <c r="AL855" s="11" t="e">
        <f>VLOOKUP(AK855, Exchange_rates!$C:$D, 2, FALSE)</f>
        <v>#N/A</v>
      </c>
      <c r="AM855" s="14" t="str">
        <f t="shared" si="7"/>
        <v/>
      </c>
      <c r="AN855" s="9"/>
      <c r="AO855" s="9"/>
      <c r="AP855" s="9"/>
      <c r="AQ855" s="15" t="s">
        <v>49</v>
      </c>
      <c r="AR855" t="s">
        <v>3545</v>
      </c>
      <c r="AS855" s="16"/>
    </row>
    <row r="856" spans="1:45" ht="14.5">
      <c r="A856" s="9" t="s">
        <v>3901</v>
      </c>
      <c r="B856" s="9" t="s">
        <v>3902</v>
      </c>
      <c r="C856" s="9" t="s">
        <v>3903</v>
      </c>
      <c r="D856" s="9" t="s">
        <v>2830</v>
      </c>
      <c r="E856" s="9" t="s">
        <v>49</v>
      </c>
      <c r="F856" s="9" t="s">
        <v>50</v>
      </c>
      <c r="G856" s="9" t="s">
        <v>51</v>
      </c>
      <c r="H856" s="9"/>
      <c r="J856" s="10"/>
      <c r="K856" s="10"/>
      <c r="L856" s="10">
        <v>44480.642141203702</v>
      </c>
      <c r="N856" s="9">
        <v>2021</v>
      </c>
      <c r="O856" s="9" t="s">
        <v>3842</v>
      </c>
      <c r="P856" s="9" t="s">
        <v>53</v>
      </c>
      <c r="Q856" s="9" t="s">
        <v>53</v>
      </c>
      <c r="T856" s="9" t="s">
        <v>55</v>
      </c>
      <c r="U856" s="9" t="s">
        <v>3854</v>
      </c>
      <c r="V856" s="9"/>
      <c r="W856" s="11">
        <f>IFERROR(VLOOKUP(B856, PlumX_snapshot!$A:$B, 2, FALSE), " ")</f>
        <v>1</v>
      </c>
      <c r="X856" s="11">
        <f>IFERROR(VLOOKUP(B856, PlumX_snapshot!$A:$C, 3, FALSE), " ")</f>
        <v>0</v>
      </c>
      <c r="Y856" s="12">
        <f>IFERROR(VLOOKUP(B856, PlumX_snapshot!$A:$D, 4, FALSE), " ")</f>
        <v>0</v>
      </c>
      <c r="Z856" s="12">
        <f>IFERROR(VLOOKUP(B856, PlumX_snapshot!$A:$E, 5, FALSE), " ")</f>
        <v>0</v>
      </c>
      <c r="AA856" s="12">
        <f>IFERROR(VLOOKUP(B856, PlumX_snapshot!$A:$F, 6, FALSE), " ")</f>
        <v>0</v>
      </c>
      <c r="AB856" s="13">
        <v>44978</v>
      </c>
      <c r="AH856" s="9"/>
      <c r="AI856" s="9"/>
      <c r="AJ856" s="9"/>
      <c r="AK856" s="11" t="str">
        <f t="shared" si="6"/>
        <v>2021</v>
      </c>
      <c r="AL856" s="11" t="e">
        <f>VLOOKUP(AK856, Exchange_rates!$C:$D, 2, FALSE)</f>
        <v>#N/A</v>
      </c>
      <c r="AM856" s="14" t="str">
        <f t="shared" si="7"/>
        <v/>
      </c>
      <c r="AN856" s="9"/>
      <c r="AO856" s="9"/>
      <c r="AP856" s="9"/>
      <c r="AQ856" s="15" t="s">
        <v>49</v>
      </c>
      <c r="AR856" t="s">
        <v>3904</v>
      </c>
      <c r="AS856" s="16"/>
    </row>
    <row r="857" spans="1:45" ht="14.5">
      <c r="A857" s="9" t="s">
        <v>3905</v>
      </c>
      <c r="B857" s="9" t="s">
        <v>3906</v>
      </c>
      <c r="C857" s="9" t="s">
        <v>2850</v>
      </c>
      <c r="D857" s="9" t="s">
        <v>2830</v>
      </c>
      <c r="E857" s="9" t="s">
        <v>49</v>
      </c>
      <c r="F857" s="9" t="s">
        <v>50</v>
      </c>
      <c r="G857" s="9" t="s">
        <v>51</v>
      </c>
      <c r="H857" s="9"/>
      <c r="J857" s="10"/>
      <c r="K857" s="10"/>
      <c r="L857" s="10">
        <v>44495.668842592589</v>
      </c>
      <c r="N857" s="9">
        <v>2021</v>
      </c>
      <c r="O857" s="9" t="s">
        <v>3842</v>
      </c>
      <c r="P857" s="9" t="s">
        <v>53</v>
      </c>
      <c r="Q857" s="9" t="s">
        <v>53</v>
      </c>
      <c r="R857" s="9" t="s">
        <v>1400</v>
      </c>
      <c r="T857" s="9" t="s">
        <v>55</v>
      </c>
      <c r="U857" s="9" t="s">
        <v>581</v>
      </c>
      <c r="V857" s="9"/>
      <c r="W857" s="11">
        <f>IFERROR(VLOOKUP(B857, PlumX_snapshot!$A:$B, 2, FALSE), " ")</f>
        <v>2</v>
      </c>
      <c r="X857" s="11">
        <f>IFERROR(VLOOKUP(B857, PlumX_snapshot!$A:$C, 3, FALSE), " ")</f>
        <v>2</v>
      </c>
      <c r="Y857" s="12">
        <f>IFERROR(VLOOKUP(B857, PlumX_snapshot!$A:$D, 4, FALSE), " ")</f>
        <v>2</v>
      </c>
      <c r="Z857" s="12">
        <f>IFERROR(VLOOKUP(B857, PlumX_snapshot!$A:$E, 5, FALSE), " ")</f>
        <v>0</v>
      </c>
      <c r="AA857" s="12">
        <f>IFERROR(VLOOKUP(B857, PlumX_snapshot!$A:$F, 6, FALSE), " ")</f>
        <v>0</v>
      </c>
      <c r="AB857" s="13">
        <v>44978</v>
      </c>
      <c r="AG857" s="9" t="s">
        <v>70</v>
      </c>
      <c r="AH857" s="9"/>
      <c r="AI857" s="9"/>
      <c r="AJ857" s="9"/>
      <c r="AK857" s="11" t="str">
        <f t="shared" si="6"/>
        <v>2021</v>
      </c>
      <c r="AL857" s="11" t="e">
        <f>VLOOKUP(AK857, Exchange_rates!$C:$D, 2, FALSE)</f>
        <v>#N/A</v>
      </c>
      <c r="AM857" s="14" t="str">
        <f t="shared" si="7"/>
        <v/>
      </c>
      <c r="AN857" s="9"/>
      <c r="AO857" s="9"/>
      <c r="AP857" s="9"/>
      <c r="AQ857" s="15" t="s">
        <v>49</v>
      </c>
      <c r="AR857" t="s">
        <v>2851</v>
      </c>
      <c r="AS857" s="16"/>
    </row>
    <row r="858" spans="1:45" ht="14.5">
      <c r="A858" s="9" t="s">
        <v>3907</v>
      </c>
      <c r="B858" s="9" t="s">
        <v>3908</v>
      </c>
      <c r="C858" s="9" t="s">
        <v>3909</v>
      </c>
      <c r="D858" s="9" t="s">
        <v>2830</v>
      </c>
      <c r="E858" s="9" t="s">
        <v>49</v>
      </c>
      <c r="F858" s="9" t="s">
        <v>69</v>
      </c>
      <c r="G858" s="9" t="s">
        <v>70</v>
      </c>
      <c r="H858" s="9" t="s">
        <v>2913</v>
      </c>
      <c r="I858" s="9" t="s">
        <v>72</v>
      </c>
      <c r="J858" s="10"/>
      <c r="K858" s="10" t="s">
        <v>3910</v>
      </c>
      <c r="L858" s="10"/>
      <c r="M858" s="10">
        <v>42418</v>
      </c>
      <c r="N858" s="9">
        <v>2016</v>
      </c>
      <c r="O858" s="9" t="s">
        <v>3911</v>
      </c>
      <c r="P858" s="9" t="s">
        <v>83</v>
      </c>
      <c r="Q858" s="9" t="s">
        <v>53</v>
      </c>
      <c r="R858" s="9" t="s">
        <v>3912</v>
      </c>
      <c r="T858" s="9"/>
      <c r="V858" s="9"/>
      <c r="W858" s="11">
        <f>IFERROR(VLOOKUP(B858, PlumX_snapshot!$A:$B, 2, FALSE), " ")</f>
        <v>133</v>
      </c>
      <c r="X858" s="11">
        <f>IFERROR(VLOOKUP(B858, PlumX_snapshot!$A:$C, 3, FALSE), " ")</f>
        <v>122</v>
      </c>
      <c r="Y858" s="12">
        <f>IFERROR(VLOOKUP(B858, PlumX_snapshot!$A:$D, 4, FALSE), " ")</f>
        <v>3</v>
      </c>
      <c r="Z858" s="12">
        <f>IFERROR(VLOOKUP(B858, PlumX_snapshot!$A:$E, 5, FALSE), " ")</f>
        <v>11</v>
      </c>
      <c r="AA858" s="12">
        <f>IFERROR(VLOOKUP(B858, PlumX_snapshot!$A:$F, 6, FALSE), " ")</f>
        <v>0</v>
      </c>
      <c r="AB858" s="13">
        <v>44978</v>
      </c>
      <c r="AH858" s="9"/>
      <c r="AI858" s="9"/>
      <c r="AJ858" s="9"/>
      <c r="AK858" s="11" t="str">
        <f t="shared" si="6"/>
        <v>2016</v>
      </c>
      <c r="AL858" s="11" t="e">
        <f>VLOOKUP(AK858, Exchange_rates!$C:$D, 2, FALSE)</f>
        <v>#N/A</v>
      </c>
      <c r="AM858" s="14" t="str">
        <f t="shared" si="7"/>
        <v/>
      </c>
      <c r="AN858" s="9"/>
      <c r="AO858" s="9"/>
      <c r="AP858" s="9"/>
      <c r="AQ858" s="15" t="s">
        <v>49</v>
      </c>
      <c r="AR858" t="s">
        <v>3913</v>
      </c>
      <c r="AS858" s="16" t="s">
        <v>3914</v>
      </c>
    </row>
    <row r="859" spans="1:45" ht="14.5">
      <c r="A859" s="9" t="s">
        <v>3915</v>
      </c>
      <c r="B859" s="9" t="s">
        <v>3916</v>
      </c>
      <c r="C859" s="9" t="s">
        <v>3389</v>
      </c>
      <c r="D859" s="9" t="s">
        <v>2830</v>
      </c>
      <c r="E859" s="9" t="s">
        <v>49</v>
      </c>
      <c r="F859" s="9" t="s">
        <v>69</v>
      </c>
      <c r="G859" s="9" t="s">
        <v>70</v>
      </c>
      <c r="H859" s="9" t="s">
        <v>2913</v>
      </c>
      <c r="I859" s="9" t="s">
        <v>72</v>
      </c>
      <c r="J859" s="10"/>
      <c r="K859" s="10">
        <v>42289</v>
      </c>
      <c r="L859" s="10"/>
      <c r="M859" s="10">
        <v>42418</v>
      </c>
      <c r="N859" s="9">
        <v>2016</v>
      </c>
      <c r="O859" s="9" t="s">
        <v>3911</v>
      </c>
      <c r="P859" s="9" t="s">
        <v>83</v>
      </c>
      <c r="Q859" s="9" t="s">
        <v>53</v>
      </c>
      <c r="R859" s="9" t="s">
        <v>3917</v>
      </c>
      <c r="T859" s="9"/>
      <c r="V859" s="9"/>
      <c r="W859" s="11">
        <f>IFERROR(VLOOKUP(B859, PlumX_snapshot!$A:$B, 2, FALSE), " ")</f>
        <v>122</v>
      </c>
      <c r="X859" s="11">
        <f>IFERROR(VLOOKUP(B859, PlumX_snapshot!$A:$C, 3, FALSE), " ")</f>
        <v>41</v>
      </c>
      <c r="Y859" s="12">
        <f>IFERROR(VLOOKUP(B859, PlumX_snapshot!$A:$D, 4, FALSE), " ")</f>
        <v>10</v>
      </c>
      <c r="Z859" s="12">
        <f>IFERROR(VLOOKUP(B859, PlumX_snapshot!$A:$E, 5, FALSE), " ")</f>
        <v>6</v>
      </c>
      <c r="AA859" s="12">
        <f>IFERROR(VLOOKUP(B859, PlumX_snapshot!$A:$F, 6, FALSE), " ")</f>
        <v>1</v>
      </c>
      <c r="AB859" s="13">
        <v>44978</v>
      </c>
      <c r="AH859" s="9"/>
      <c r="AI859" s="9"/>
      <c r="AJ859" s="9"/>
      <c r="AK859" s="11" t="str">
        <f t="shared" si="6"/>
        <v>2016</v>
      </c>
      <c r="AL859" s="11" t="e">
        <f>VLOOKUP(AK859, Exchange_rates!$C:$D, 2, FALSE)</f>
        <v>#N/A</v>
      </c>
      <c r="AM859" s="14" t="str">
        <f t="shared" si="7"/>
        <v/>
      </c>
      <c r="AN859" s="9"/>
      <c r="AO859" s="9"/>
      <c r="AP859" s="9"/>
      <c r="AQ859" s="15" t="s">
        <v>49</v>
      </c>
      <c r="AR859" t="s">
        <v>3390</v>
      </c>
      <c r="AS859" s="16"/>
    </row>
    <row r="860" spans="1:45" ht="14.5">
      <c r="A860" s="9" t="s">
        <v>3918</v>
      </c>
      <c r="B860" s="9" t="s">
        <v>3919</v>
      </c>
      <c r="C860" s="9" t="s">
        <v>2987</v>
      </c>
      <c r="D860" s="9" t="s">
        <v>2830</v>
      </c>
      <c r="E860" s="9" t="s">
        <v>49</v>
      </c>
      <c r="F860" s="9" t="s">
        <v>69</v>
      </c>
      <c r="G860" s="9" t="s">
        <v>70</v>
      </c>
      <c r="H860" s="9" t="s">
        <v>2913</v>
      </c>
      <c r="I860" s="9" t="s">
        <v>72</v>
      </c>
      <c r="J860" s="10"/>
      <c r="K860" s="10" t="s">
        <v>3920</v>
      </c>
      <c r="L860" s="10"/>
      <c r="M860" s="10">
        <v>42440</v>
      </c>
      <c r="N860" s="9">
        <v>2016</v>
      </c>
      <c r="O860" s="9" t="s">
        <v>3911</v>
      </c>
      <c r="P860" s="9" t="s">
        <v>53</v>
      </c>
      <c r="Q860" s="9" t="s">
        <v>53</v>
      </c>
      <c r="T860" s="9"/>
      <c r="V860" s="9"/>
      <c r="W860" s="11">
        <f>IFERROR(VLOOKUP(B860, PlumX_snapshot!$A:$B, 2, FALSE), " ")</f>
        <v>142</v>
      </c>
      <c r="X860" s="11">
        <f>IFERROR(VLOOKUP(B860, PlumX_snapshot!$A:$C, 3, FALSE), " ")</f>
        <v>17</v>
      </c>
      <c r="Y860" s="12">
        <f>IFERROR(VLOOKUP(B860, PlumX_snapshot!$A:$D, 4, FALSE), " ")</f>
        <v>9</v>
      </c>
      <c r="Z860" s="12">
        <f>IFERROR(VLOOKUP(B860, PlumX_snapshot!$A:$E, 5, FALSE), " ")</f>
        <v>123</v>
      </c>
      <c r="AA860" s="12">
        <f>IFERROR(VLOOKUP(B860, PlumX_snapshot!$A:$F, 6, FALSE), " ")</f>
        <v>0</v>
      </c>
      <c r="AB860" s="13">
        <v>44978</v>
      </c>
      <c r="AH860" s="9"/>
      <c r="AI860" s="9"/>
      <c r="AJ860" s="9"/>
      <c r="AK860" s="11" t="str">
        <f t="shared" si="6"/>
        <v>2016</v>
      </c>
      <c r="AL860" s="11" t="e">
        <f>VLOOKUP(AK860, Exchange_rates!$C:$D, 2, FALSE)</f>
        <v>#N/A</v>
      </c>
      <c r="AM860" s="14" t="str">
        <f t="shared" si="7"/>
        <v/>
      </c>
      <c r="AN860" s="9"/>
      <c r="AO860" s="9"/>
      <c r="AP860" s="9"/>
      <c r="AQ860" s="15" t="s">
        <v>49</v>
      </c>
      <c r="AR860" t="s">
        <v>2989</v>
      </c>
      <c r="AS860" s="16"/>
    </row>
    <row r="861" spans="1:45" ht="14.5">
      <c r="A861" s="9" t="s">
        <v>3921</v>
      </c>
      <c r="B861" s="9" t="s">
        <v>3922</v>
      </c>
      <c r="C861" s="9" t="s">
        <v>2994</v>
      </c>
      <c r="D861" s="9" t="s">
        <v>2830</v>
      </c>
      <c r="E861" s="9" t="s">
        <v>49</v>
      </c>
      <c r="F861" s="9" t="s">
        <v>69</v>
      </c>
      <c r="G861" s="9" t="s">
        <v>70</v>
      </c>
      <c r="H861" s="9" t="s">
        <v>2913</v>
      </c>
      <c r="I861" s="9" t="s">
        <v>72</v>
      </c>
      <c r="J861" s="10"/>
      <c r="K861" s="10"/>
      <c r="L861" s="10"/>
      <c r="M861" s="10">
        <v>42453</v>
      </c>
      <c r="N861" s="9">
        <v>2016</v>
      </c>
      <c r="O861" s="9" t="s">
        <v>3911</v>
      </c>
      <c r="P861" s="9" t="s">
        <v>53</v>
      </c>
      <c r="Q861" s="9" t="s">
        <v>53</v>
      </c>
      <c r="T861" s="9"/>
      <c r="V861" s="9"/>
      <c r="W861" s="11">
        <f>IFERROR(VLOOKUP(B861, PlumX_snapshot!$A:$B, 2, FALSE), " ")</f>
        <v>54</v>
      </c>
      <c r="X861" s="11">
        <f>IFERROR(VLOOKUP(B861, PlumX_snapshot!$A:$C, 3, FALSE), " ")</f>
        <v>36</v>
      </c>
      <c r="Y861" s="12">
        <f>IFERROR(VLOOKUP(B861, PlumX_snapshot!$A:$D, 4, FALSE), " ")</f>
        <v>1</v>
      </c>
      <c r="Z861" s="12">
        <f>IFERROR(VLOOKUP(B861, PlumX_snapshot!$A:$E, 5, FALSE), " ")</f>
        <v>1187</v>
      </c>
      <c r="AA861" s="12">
        <f>IFERROR(VLOOKUP(B861, PlumX_snapshot!$A:$F, 6, FALSE), " ")</f>
        <v>0</v>
      </c>
      <c r="AB861" s="13">
        <v>44978</v>
      </c>
      <c r="AH861" s="9"/>
      <c r="AI861" s="9"/>
      <c r="AJ861" s="9"/>
      <c r="AK861" s="11" t="str">
        <f t="shared" si="6"/>
        <v>2016</v>
      </c>
      <c r="AL861" s="11" t="e">
        <f>VLOOKUP(AK861, Exchange_rates!$C:$D, 2, FALSE)</f>
        <v>#N/A</v>
      </c>
      <c r="AM861" s="14" t="str">
        <f t="shared" si="7"/>
        <v/>
      </c>
      <c r="AN861" s="9"/>
      <c r="AO861" s="9"/>
      <c r="AP861" s="9"/>
      <c r="AQ861" s="15" t="s">
        <v>49</v>
      </c>
      <c r="AR861" t="s">
        <v>2995</v>
      </c>
      <c r="AS861" s="16"/>
    </row>
    <row r="862" spans="1:45" ht="14.5">
      <c r="A862" s="9" t="s">
        <v>3923</v>
      </c>
      <c r="B862" s="9" t="s">
        <v>3924</v>
      </c>
      <c r="C862" s="9" t="s">
        <v>3925</v>
      </c>
      <c r="D862" s="9" t="s">
        <v>2830</v>
      </c>
      <c r="E862" s="9" t="s">
        <v>49</v>
      </c>
      <c r="F862" s="9" t="s">
        <v>69</v>
      </c>
      <c r="G862" s="9" t="s">
        <v>70</v>
      </c>
      <c r="H862" s="9" t="s">
        <v>2913</v>
      </c>
      <c r="I862" s="9" t="s">
        <v>72</v>
      </c>
      <c r="J862" s="10"/>
      <c r="K862" s="10"/>
      <c r="L862" s="10"/>
      <c r="M862" s="10">
        <v>42479</v>
      </c>
      <c r="N862" s="9">
        <v>2016</v>
      </c>
      <c r="O862" s="9" t="s">
        <v>3911</v>
      </c>
      <c r="P862" s="9" t="s">
        <v>53</v>
      </c>
      <c r="Q862" s="9" t="s">
        <v>53</v>
      </c>
      <c r="T862" s="9"/>
      <c r="V862" s="9"/>
      <c r="W862" s="11">
        <f>IFERROR(VLOOKUP(B862, PlumX_snapshot!$A:$B, 2, FALSE), " ")</f>
        <v>72</v>
      </c>
      <c r="X862" s="11">
        <f>IFERROR(VLOOKUP(B862, PlumX_snapshot!$A:$C, 3, FALSE), " ")</f>
        <v>8</v>
      </c>
      <c r="Y862" s="12">
        <f>IFERROR(VLOOKUP(B862, PlumX_snapshot!$A:$D, 4, FALSE), " ")</f>
        <v>0</v>
      </c>
      <c r="Z862" s="12">
        <f>IFERROR(VLOOKUP(B862, PlumX_snapshot!$A:$E, 5, FALSE), " ")</f>
        <v>266</v>
      </c>
      <c r="AA862" s="12">
        <f>IFERROR(VLOOKUP(B862, PlumX_snapshot!$A:$F, 6, FALSE), " ")</f>
        <v>1</v>
      </c>
      <c r="AB862" s="13">
        <v>44978</v>
      </c>
      <c r="AH862" s="9"/>
      <c r="AI862" s="9"/>
      <c r="AJ862" s="9"/>
      <c r="AK862" s="11" t="str">
        <f t="shared" si="6"/>
        <v>2016</v>
      </c>
      <c r="AL862" s="11" t="e">
        <f>VLOOKUP(AK862, Exchange_rates!$C:$D, 2, FALSE)</f>
        <v>#N/A</v>
      </c>
      <c r="AM862" s="14" t="str">
        <f t="shared" si="7"/>
        <v/>
      </c>
      <c r="AN862" s="9"/>
      <c r="AO862" s="9"/>
      <c r="AP862" s="9"/>
      <c r="AQ862" s="15" t="s">
        <v>49</v>
      </c>
      <c r="AR862" t="s">
        <v>3926</v>
      </c>
      <c r="AS862" s="16"/>
    </row>
    <row r="863" spans="1:45" ht="14.5">
      <c r="A863" s="9" t="s">
        <v>3927</v>
      </c>
      <c r="B863" s="9" t="s">
        <v>3928</v>
      </c>
      <c r="C863" s="9" t="s">
        <v>3756</v>
      </c>
      <c r="D863" s="9" t="s">
        <v>2830</v>
      </c>
      <c r="E863" s="9" t="s">
        <v>49</v>
      </c>
      <c r="F863" s="9" t="s">
        <v>69</v>
      </c>
      <c r="G863" s="9" t="s">
        <v>70</v>
      </c>
      <c r="H863" s="9" t="s">
        <v>2913</v>
      </c>
      <c r="I863" s="9" t="s">
        <v>72</v>
      </c>
      <c r="J863" s="10"/>
      <c r="K863" s="10">
        <v>42373</v>
      </c>
      <c r="L863" s="10"/>
      <c r="M863" s="10">
        <v>42488</v>
      </c>
      <c r="N863" s="9">
        <v>2016</v>
      </c>
      <c r="O863" s="9" t="s">
        <v>3911</v>
      </c>
      <c r="P863" s="9" t="s">
        <v>53</v>
      </c>
      <c r="Q863" s="9" t="s">
        <v>53</v>
      </c>
      <c r="T863" s="9"/>
      <c r="V863" s="9"/>
      <c r="W863" s="11">
        <f>IFERROR(VLOOKUP(B863, PlumX_snapshot!$A:$B, 2, FALSE), " ")</f>
        <v>2</v>
      </c>
      <c r="X863" s="11">
        <f>IFERROR(VLOOKUP(B863, PlumX_snapshot!$A:$C, 3, FALSE), " ")</f>
        <v>6</v>
      </c>
      <c r="Y863" s="12">
        <f>IFERROR(VLOOKUP(B863, PlumX_snapshot!$A:$D, 4, FALSE), " ")</f>
        <v>2</v>
      </c>
      <c r="Z863" s="12">
        <f>IFERROR(VLOOKUP(B863, PlumX_snapshot!$A:$E, 5, FALSE), " ")</f>
        <v>0</v>
      </c>
      <c r="AA863" s="12">
        <f>IFERROR(VLOOKUP(B863, PlumX_snapshot!$A:$F, 6, FALSE), " ")</f>
        <v>2</v>
      </c>
      <c r="AB863" s="13">
        <v>44978</v>
      </c>
      <c r="AH863" s="9"/>
      <c r="AI863" s="9"/>
      <c r="AJ863" s="9"/>
      <c r="AK863" s="11" t="str">
        <f t="shared" si="6"/>
        <v>2016</v>
      </c>
      <c r="AL863" s="11" t="e">
        <f>VLOOKUP(AK863, Exchange_rates!$C:$D, 2, FALSE)</f>
        <v>#N/A</v>
      </c>
      <c r="AM863" s="14" t="str">
        <f t="shared" si="7"/>
        <v/>
      </c>
      <c r="AN863" s="9"/>
      <c r="AO863" s="9"/>
      <c r="AP863" s="9"/>
      <c r="AQ863" s="15" t="s">
        <v>49</v>
      </c>
      <c r="AR863" t="s">
        <v>3757</v>
      </c>
      <c r="AS863" s="16"/>
    </row>
    <row r="864" spans="1:45" ht="14.5">
      <c r="A864" s="9" t="s">
        <v>3929</v>
      </c>
      <c r="B864" s="9" t="s">
        <v>3930</v>
      </c>
      <c r="C864" s="9" t="s">
        <v>3296</v>
      </c>
      <c r="D864" s="9" t="s">
        <v>2830</v>
      </c>
      <c r="E864" s="9" t="s">
        <v>49</v>
      </c>
      <c r="F864" s="9" t="s">
        <v>69</v>
      </c>
      <c r="G864" s="9" t="s">
        <v>70</v>
      </c>
      <c r="H864" s="9" t="s">
        <v>2913</v>
      </c>
      <c r="I864" s="9" t="s">
        <v>72</v>
      </c>
      <c r="J864" s="10"/>
      <c r="K864" s="10"/>
      <c r="L864" s="10"/>
      <c r="M864" s="10">
        <v>42487</v>
      </c>
      <c r="N864" s="9">
        <v>2016</v>
      </c>
      <c r="O864" s="9" t="s">
        <v>3911</v>
      </c>
      <c r="P864" s="9" t="s">
        <v>53</v>
      </c>
      <c r="Q864" s="9" t="s">
        <v>53</v>
      </c>
      <c r="T864" s="9"/>
      <c r="V864" s="9"/>
      <c r="W864" s="11">
        <f>IFERROR(VLOOKUP(B864, PlumX_snapshot!$A:$B, 2, FALSE), " ")</f>
        <v>4</v>
      </c>
      <c r="X864" s="11">
        <f>IFERROR(VLOOKUP(B864, PlumX_snapshot!$A:$C, 3, FALSE), " ")</f>
        <v>3</v>
      </c>
      <c r="Y864" s="12">
        <f>IFERROR(VLOOKUP(B864, PlumX_snapshot!$A:$D, 4, FALSE), " ")</f>
        <v>0</v>
      </c>
      <c r="Z864" s="12">
        <f>IFERROR(VLOOKUP(B864, PlumX_snapshot!$A:$E, 5, FALSE), " ")</f>
        <v>24</v>
      </c>
      <c r="AA864" s="12">
        <f>IFERROR(VLOOKUP(B864, PlumX_snapshot!$A:$F, 6, FALSE), " ")</f>
        <v>0</v>
      </c>
      <c r="AB864" s="13">
        <v>44978</v>
      </c>
      <c r="AH864" s="9"/>
      <c r="AI864" s="9"/>
      <c r="AJ864" s="9"/>
      <c r="AK864" s="11" t="str">
        <f t="shared" si="6"/>
        <v>2016</v>
      </c>
      <c r="AL864" s="11" t="e">
        <f>VLOOKUP(AK864, Exchange_rates!$C:$D, 2, FALSE)</f>
        <v>#N/A</v>
      </c>
      <c r="AM864" s="14" t="str">
        <f t="shared" si="7"/>
        <v/>
      </c>
      <c r="AN864" s="9"/>
      <c r="AO864" s="9"/>
      <c r="AP864" s="9"/>
      <c r="AQ864" s="15" t="s">
        <v>49</v>
      </c>
      <c r="AR864" t="s">
        <v>3297</v>
      </c>
      <c r="AS864" s="16"/>
    </row>
    <row r="865" spans="1:45" ht="14.5">
      <c r="A865" s="9" t="s">
        <v>3931</v>
      </c>
      <c r="B865" s="9" t="s">
        <v>3932</v>
      </c>
      <c r="C865" s="9" t="s">
        <v>3412</v>
      </c>
      <c r="D865" s="9" t="s">
        <v>2830</v>
      </c>
      <c r="E865" s="9" t="s">
        <v>49</v>
      </c>
      <c r="F865" s="9" t="s">
        <v>69</v>
      </c>
      <c r="G865" s="9" t="s">
        <v>70</v>
      </c>
      <c r="H865" s="9" t="s">
        <v>2913</v>
      </c>
      <c r="I865" s="9" t="s">
        <v>72</v>
      </c>
      <c r="J865" s="10"/>
      <c r="K865" s="10">
        <v>42647</v>
      </c>
      <c r="L865" s="10"/>
      <c r="M865" s="10">
        <v>42492</v>
      </c>
      <c r="N865" s="9">
        <v>2016</v>
      </c>
      <c r="O865" s="9" t="s">
        <v>3911</v>
      </c>
      <c r="P865" s="9" t="s">
        <v>53</v>
      </c>
      <c r="Q865" s="9" t="s">
        <v>53</v>
      </c>
      <c r="T865" s="9"/>
      <c r="V865" s="9"/>
      <c r="W865" s="11">
        <f>IFERROR(VLOOKUP(B865, PlumX_snapshot!$A:$B, 2, FALSE), " ")</f>
        <v>116</v>
      </c>
      <c r="X865" s="11">
        <f>IFERROR(VLOOKUP(B865, PlumX_snapshot!$A:$C, 3, FALSE), " ")</f>
        <v>76</v>
      </c>
      <c r="Y865" s="12">
        <f>IFERROR(VLOOKUP(B865, PlumX_snapshot!$A:$D, 4, FALSE), " ")</f>
        <v>2</v>
      </c>
      <c r="Z865" s="12">
        <f>IFERROR(VLOOKUP(B865, PlumX_snapshot!$A:$E, 5, FALSE), " ")</f>
        <v>46</v>
      </c>
      <c r="AA865" s="12">
        <f>IFERROR(VLOOKUP(B865, PlumX_snapshot!$A:$F, 6, FALSE), " ")</f>
        <v>0</v>
      </c>
      <c r="AB865" s="13">
        <v>44978</v>
      </c>
      <c r="AH865" s="9"/>
      <c r="AI865" s="9"/>
      <c r="AJ865" s="9"/>
      <c r="AK865" s="11" t="str">
        <f t="shared" si="6"/>
        <v>2016</v>
      </c>
      <c r="AL865" s="11" t="e">
        <f>VLOOKUP(AK865, Exchange_rates!$C:$D, 2, FALSE)</f>
        <v>#N/A</v>
      </c>
      <c r="AM865" s="14" t="str">
        <f t="shared" si="7"/>
        <v/>
      </c>
      <c r="AN865" s="9"/>
      <c r="AO865" s="9"/>
      <c r="AP865" s="9"/>
      <c r="AQ865" s="15" t="s">
        <v>49</v>
      </c>
      <c r="AR865" t="s">
        <v>3413</v>
      </c>
      <c r="AS865" s="16"/>
    </row>
    <row r="866" spans="1:45" ht="14.5">
      <c r="A866" s="9" t="s">
        <v>3933</v>
      </c>
      <c r="B866" s="9" t="s">
        <v>3934</v>
      </c>
      <c r="C866" s="9" t="s">
        <v>3935</v>
      </c>
      <c r="D866" s="9" t="s">
        <v>2830</v>
      </c>
      <c r="E866" s="9" t="s">
        <v>49</v>
      </c>
      <c r="F866" s="9" t="s">
        <v>69</v>
      </c>
      <c r="G866" s="9" t="s">
        <v>70</v>
      </c>
      <c r="H866" s="9" t="s">
        <v>2913</v>
      </c>
      <c r="I866" s="9" t="s">
        <v>72</v>
      </c>
      <c r="J866" s="10"/>
      <c r="K866" s="10"/>
      <c r="L866" s="10"/>
      <c r="M866" s="10">
        <v>42499</v>
      </c>
      <c r="N866" s="9">
        <v>2016</v>
      </c>
      <c r="O866" s="9" t="s">
        <v>3911</v>
      </c>
      <c r="P866" s="9" t="s">
        <v>53</v>
      </c>
      <c r="Q866" s="9" t="s">
        <v>53</v>
      </c>
      <c r="R866" s="9" t="s">
        <v>178</v>
      </c>
      <c r="T866" s="9"/>
      <c r="V866" s="9"/>
      <c r="W866" s="11">
        <f>IFERROR(VLOOKUP(B866, PlumX_snapshot!$A:$B, 2, FALSE), " ")</f>
        <v>1</v>
      </c>
      <c r="X866" s="11">
        <f>IFERROR(VLOOKUP(B866, PlumX_snapshot!$A:$C, 3, FALSE), " ")</f>
        <v>2</v>
      </c>
      <c r="Y866" s="12">
        <f>IFERROR(VLOOKUP(B866, PlumX_snapshot!$A:$D, 4, FALSE), " ")</f>
        <v>0</v>
      </c>
      <c r="Z866" s="12">
        <f>IFERROR(VLOOKUP(B866, PlumX_snapshot!$A:$E, 5, FALSE), " ")</f>
        <v>4</v>
      </c>
      <c r="AA866" s="12">
        <f>IFERROR(VLOOKUP(B866, PlumX_snapshot!$A:$F, 6, FALSE), " ")</f>
        <v>0</v>
      </c>
      <c r="AB866" s="13">
        <v>44978</v>
      </c>
      <c r="AH866" s="9"/>
      <c r="AI866" s="9"/>
      <c r="AJ866" s="9"/>
      <c r="AK866" s="11" t="str">
        <f t="shared" si="6"/>
        <v>2016</v>
      </c>
      <c r="AL866" s="11" t="e">
        <f>VLOOKUP(AK866, Exchange_rates!$C:$D, 2, FALSE)</f>
        <v>#N/A</v>
      </c>
      <c r="AM866" s="14" t="str">
        <f t="shared" si="7"/>
        <v/>
      </c>
      <c r="AN866" s="9"/>
      <c r="AO866" s="9"/>
      <c r="AP866" s="9"/>
      <c r="AQ866" s="15" t="s">
        <v>49</v>
      </c>
      <c r="AR866" t="s">
        <v>3936</v>
      </c>
      <c r="AS866" s="16"/>
    </row>
    <row r="867" spans="1:45" ht="14.5">
      <c r="A867" s="9" t="s">
        <v>3937</v>
      </c>
      <c r="B867" s="9" t="s">
        <v>3938</v>
      </c>
      <c r="C867" s="9" t="s">
        <v>3939</v>
      </c>
      <c r="D867" s="9" t="s">
        <v>2830</v>
      </c>
      <c r="E867" s="9" t="s">
        <v>49</v>
      </c>
      <c r="F867" s="9" t="s">
        <v>69</v>
      </c>
      <c r="G867" s="9" t="s">
        <v>70</v>
      </c>
      <c r="H867" s="9" t="s">
        <v>2913</v>
      </c>
      <c r="I867" s="9" t="s">
        <v>72</v>
      </c>
      <c r="J867" s="10"/>
      <c r="K867" s="10" t="s">
        <v>3940</v>
      </c>
      <c r="L867" s="10"/>
      <c r="M867" s="10">
        <v>42496</v>
      </c>
      <c r="N867" s="9">
        <v>2016</v>
      </c>
      <c r="O867" s="9" t="s">
        <v>3911</v>
      </c>
      <c r="P867" s="9" t="s">
        <v>53</v>
      </c>
      <c r="Q867" s="9" t="s">
        <v>53</v>
      </c>
      <c r="R867" s="9" t="s">
        <v>178</v>
      </c>
      <c r="T867" s="9"/>
      <c r="V867" s="9"/>
      <c r="W867" s="11">
        <f>IFERROR(VLOOKUP(B867, PlumX_snapshot!$A:$B, 2, FALSE), " ")</f>
        <v>28</v>
      </c>
      <c r="X867" s="11">
        <f>IFERROR(VLOOKUP(B867, PlumX_snapshot!$A:$C, 3, FALSE), " ")</f>
        <v>7</v>
      </c>
      <c r="Y867" s="12">
        <f>IFERROR(VLOOKUP(B867, PlumX_snapshot!$A:$D, 4, FALSE), " ")</f>
        <v>0</v>
      </c>
      <c r="Z867" s="12">
        <f>IFERROR(VLOOKUP(B867, PlumX_snapshot!$A:$E, 5, FALSE), " ")</f>
        <v>250</v>
      </c>
      <c r="AA867" s="12">
        <f>IFERROR(VLOOKUP(B867, PlumX_snapshot!$A:$F, 6, FALSE), " ")</f>
        <v>0</v>
      </c>
      <c r="AB867" s="13">
        <v>44978</v>
      </c>
      <c r="AH867" s="9"/>
      <c r="AI867" s="9"/>
      <c r="AJ867" s="9"/>
      <c r="AK867" s="11" t="str">
        <f t="shared" si="6"/>
        <v>2016</v>
      </c>
      <c r="AL867" s="11" t="e">
        <f>VLOOKUP(AK867, Exchange_rates!$C:$D, 2, FALSE)</f>
        <v>#N/A</v>
      </c>
      <c r="AM867" s="14" t="str">
        <f t="shared" si="7"/>
        <v/>
      </c>
      <c r="AN867" s="9"/>
      <c r="AO867" s="9"/>
      <c r="AP867" s="9"/>
      <c r="AQ867" s="15" t="s">
        <v>49</v>
      </c>
      <c r="AR867" t="s">
        <v>3941</v>
      </c>
      <c r="AS867" s="16"/>
    </row>
    <row r="868" spans="1:45" ht="14.5">
      <c r="A868" s="9" t="s">
        <v>3942</v>
      </c>
      <c r="B868" s="9" t="s">
        <v>3943</v>
      </c>
      <c r="C868" s="9" t="s">
        <v>3944</v>
      </c>
      <c r="D868" s="9" t="s">
        <v>2830</v>
      </c>
      <c r="E868" s="9" t="s">
        <v>49</v>
      </c>
      <c r="F868" s="9" t="s">
        <v>69</v>
      </c>
      <c r="G868" s="9" t="s">
        <v>70</v>
      </c>
      <c r="H868" s="9" t="s">
        <v>2913</v>
      </c>
      <c r="I868" s="9" t="s">
        <v>72</v>
      </c>
      <c r="J868" s="10"/>
      <c r="K868" s="10" t="s">
        <v>3945</v>
      </c>
      <c r="L868" s="10"/>
      <c r="M868" s="10">
        <v>42500</v>
      </c>
      <c r="N868" s="9">
        <v>2016</v>
      </c>
      <c r="O868" s="9" t="s">
        <v>3911</v>
      </c>
      <c r="P868" s="9" t="s">
        <v>53</v>
      </c>
      <c r="Q868" s="9" t="s">
        <v>53</v>
      </c>
      <c r="R868" s="9" t="s">
        <v>3946</v>
      </c>
      <c r="T868" s="9"/>
      <c r="V868" s="9"/>
      <c r="W868" s="11">
        <f>IFERROR(VLOOKUP(B868, PlumX_snapshot!$A:$B, 2, FALSE), " ")</f>
        <v>17</v>
      </c>
      <c r="X868" s="11">
        <f>IFERROR(VLOOKUP(B868, PlumX_snapshot!$A:$C, 3, FALSE), " ")</f>
        <v>40</v>
      </c>
      <c r="Y868" s="12">
        <f>IFERROR(VLOOKUP(B868, PlumX_snapshot!$A:$D, 4, FALSE), " ")</f>
        <v>14</v>
      </c>
      <c r="Z868" s="12">
        <f>IFERROR(VLOOKUP(B868, PlumX_snapshot!$A:$E, 5, FALSE), " ")</f>
        <v>7</v>
      </c>
      <c r="AA868" s="12">
        <f>IFERROR(VLOOKUP(B868, PlumX_snapshot!$A:$F, 6, FALSE), " ")</f>
        <v>0</v>
      </c>
      <c r="AB868" s="13">
        <v>44978</v>
      </c>
      <c r="AH868" s="9"/>
      <c r="AI868" s="9"/>
      <c r="AJ868" s="9"/>
      <c r="AK868" s="11" t="str">
        <f t="shared" si="6"/>
        <v>2016</v>
      </c>
      <c r="AL868" s="11" t="e">
        <f>VLOOKUP(AK868, Exchange_rates!$C:$D, 2, FALSE)</f>
        <v>#N/A</v>
      </c>
      <c r="AM868" s="14" t="str">
        <f t="shared" si="7"/>
        <v/>
      </c>
      <c r="AN868" s="9"/>
      <c r="AO868" s="9"/>
      <c r="AP868" s="9"/>
      <c r="AQ868" s="15" t="s">
        <v>49</v>
      </c>
      <c r="AR868" t="s">
        <v>3947</v>
      </c>
      <c r="AS868" s="16"/>
    </row>
    <row r="869" spans="1:45" ht="14.5">
      <c r="A869" s="9" t="s">
        <v>3948</v>
      </c>
      <c r="B869" s="9" t="s">
        <v>3949</v>
      </c>
      <c r="C869" s="9" t="s">
        <v>2998</v>
      </c>
      <c r="D869" s="9" t="s">
        <v>2830</v>
      </c>
      <c r="E869" s="9" t="s">
        <v>49</v>
      </c>
      <c r="F869" s="9" t="s">
        <v>69</v>
      </c>
      <c r="G869" s="9" t="s">
        <v>70</v>
      </c>
      <c r="H869" s="9" t="s">
        <v>2913</v>
      </c>
      <c r="I869" s="9" t="s">
        <v>72</v>
      </c>
      <c r="J869" s="10"/>
      <c r="K869" s="10">
        <v>42434</v>
      </c>
      <c r="L869" s="10"/>
      <c r="M869" s="10">
        <v>42516</v>
      </c>
      <c r="N869" s="9">
        <v>2016</v>
      </c>
      <c r="O869" s="9" t="s">
        <v>3911</v>
      </c>
      <c r="P869" s="9" t="s">
        <v>53</v>
      </c>
      <c r="Q869" s="9" t="s">
        <v>53</v>
      </c>
      <c r="R869" s="9" t="s">
        <v>178</v>
      </c>
      <c r="T869" s="9"/>
      <c r="V869" s="9"/>
      <c r="W869" s="11">
        <f>IFERROR(VLOOKUP(B869, PlumX_snapshot!$A:$B, 2, FALSE), " ")</f>
        <v>1</v>
      </c>
      <c r="X869" s="11">
        <f>IFERROR(VLOOKUP(B869, PlumX_snapshot!$A:$C, 3, FALSE), " ")</f>
        <v>2</v>
      </c>
      <c r="Y869" s="12">
        <f>IFERROR(VLOOKUP(B869, PlumX_snapshot!$A:$D, 4, FALSE), " ")</f>
        <v>0</v>
      </c>
      <c r="Z869" s="12">
        <f>IFERROR(VLOOKUP(B869, PlumX_snapshot!$A:$E, 5, FALSE), " ")</f>
        <v>11</v>
      </c>
      <c r="AA869" s="12">
        <f>IFERROR(VLOOKUP(B869, PlumX_snapshot!$A:$F, 6, FALSE), " ")</f>
        <v>0</v>
      </c>
      <c r="AB869" s="13">
        <v>44978</v>
      </c>
      <c r="AH869" s="9"/>
      <c r="AI869" s="9"/>
      <c r="AJ869" s="9"/>
      <c r="AK869" s="11" t="str">
        <f t="shared" si="6"/>
        <v>2016</v>
      </c>
      <c r="AL869" s="11" t="e">
        <f>VLOOKUP(AK869, Exchange_rates!$C:$D, 2, FALSE)</f>
        <v>#N/A</v>
      </c>
      <c r="AM869" s="14" t="str">
        <f t="shared" si="7"/>
        <v/>
      </c>
      <c r="AN869" s="9"/>
      <c r="AO869" s="9"/>
      <c r="AP869" s="9"/>
      <c r="AQ869" s="15" t="s">
        <v>49</v>
      </c>
      <c r="AR869" t="s">
        <v>2999</v>
      </c>
      <c r="AS869" s="16"/>
    </row>
    <row r="870" spans="1:45" ht="14.5">
      <c r="A870" s="9" t="s">
        <v>3950</v>
      </c>
      <c r="B870" s="9" t="s">
        <v>3951</v>
      </c>
      <c r="C870" s="9" t="s">
        <v>2890</v>
      </c>
      <c r="D870" s="9" t="s">
        <v>2830</v>
      </c>
      <c r="E870" s="9" t="s">
        <v>49</v>
      </c>
      <c r="F870" s="9" t="s">
        <v>69</v>
      </c>
      <c r="G870" s="9" t="s">
        <v>70</v>
      </c>
      <c r="H870" s="9" t="s">
        <v>2913</v>
      </c>
      <c r="I870" s="9" t="s">
        <v>72</v>
      </c>
      <c r="J870" s="10"/>
      <c r="K870" s="10" t="s">
        <v>3952</v>
      </c>
      <c r="L870" s="10"/>
      <c r="M870" s="10">
        <v>42551</v>
      </c>
      <c r="N870" s="9">
        <v>2016</v>
      </c>
      <c r="O870" s="9" t="s">
        <v>3911</v>
      </c>
      <c r="P870" s="9" t="s">
        <v>53</v>
      </c>
      <c r="Q870" s="9" t="s">
        <v>53</v>
      </c>
      <c r="T870" s="9"/>
      <c r="V870" s="9"/>
      <c r="W870" s="11">
        <f>IFERROR(VLOOKUP(B870, PlumX_snapshot!$A:$B, 2, FALSE), " ")</f>
        <v>29</v>
      </c>
      <c r="X870" s="11">
        <f>IFERROR(VLOOKUP(B870, PlumX_snapshot!$A:$C, 3, FALSE), " ")</f>
        <v>29</v>
      </c>
      <c r="Y870" s="12">
        <f>IFERROR(VLOOKUP(B870, PlumX_snapshot!$A:$D, 4, FALSE), " ")</f>
        <v>0</v>
      </c>
      <c r="Z870" s="12">
        <f>IFERROR(VLOOKUP(B870, PlumX_snapshot!$A:$E, 5, FALSE), " ")</f>
        <v>145</v>
      </c>
      <c r="AA870" s="12">
        <f>IFERROR(VLOOKUP(B870, PlumX_snapshot!$A:$F, 6, FALSE), " ")</f>
        <v>2</v>
      </c>
      <c r="AB870" s="13">
        <v>44978</v>
      </c>
      <c r="AH870" s="9"/>
      <c r="AI870" s="9"/>
      <c r="AJ870" s="9"/>
      <c r="AK870" s="11" t="str">
        <f t="shared" si="6"/>
        <v>2016</v>
      </c>
      <c r="AL870" s="11" t="e">
        <f>VLOOKUP(AK870, Exchange_rates!$C:$D, 2, FALSE)</f>
        <v>#N/A</v>
      </c>
      <c r="AM870" s="14" t="str">
        <f t="shared" si="7"/>
        <v/>
      </c>
      <c r="AN870" s="9"/>
      <c r="AO870" s="9"/>
      <c r="AP870" s="9"/>
      <c r="AQ870" s="15" t="s">
        <v>49</v>
      </c>
      <c r="AR870" t="s">
        <v>2891</v>
      </c>
      <c r="AS870" s="16"/>
    </row>
    <row r="871" spans="1:45" ht="14.5">
      <c r="A871" s="9" t="s">
        <v>3953</v>
      </c>
      <c r="B871" s="9" t="s">
        <v>3954</v>
      </c>
      <c r="C871" s="9" t="s">
        <v>3955</v>
      </c>
      <c r="D871" s="9" t="s">
        <v>2830</v>
      </c>
      <c r="E871" s="9" t="s">
        <v>49</v>
      </c>
      <c r="F871" s="9" t="s">
        <v>69</v>
      </c>
      <c r="G871" s="9" t="s">
        <v>70</v>
      </c>
      <c r="H871" s="9" t="s">
        <v>2913</v>
      </c>
      <c r="I871" s="9" t="s">
        <v>72</v>
      </c>
      <c r="J871" s="10"/>
      <c r="K871" s="10" t="s">
        <v>3956</v>
      </c>
      <c r="L871" s="10"/>
      <c r="M871" s="28">
        <v>42542</v>
      </c>
      <c r="N871" s="9">
        <v>2016</v>
      </c>
      <c r="O871" s="9" t="s">
        <v>3911</v>
      </c>
      <c r="P871" s="9" t="s">
        <v>53</v>
      </c>
      <c r="Q871" s="9" t="s">
        <v>53</v>
      </c>
      <c r="T871" s="9"/>
      <c r="V871" s="9"/>
      <c r="W871" s="11">
        <f>IFERROR(VLOOKUP(B871, PlumX_snapshot!$A:$B, 2, FALSE), " ")</f>
        <v>18</v>
      </c>
      <c r="X871" s="11">
        <f>IFERROR(VLOOKUP(B871, PlumX_snapshot!$A:$C, 3, FALSE), " ")</f>
        <v>2</v>
      </c>
      <c r="Y871" s="12">
        <f>IFERROR(VLOOKUP(B871, PlumX_snapshot!$A:$D, 4, FALSE), " ")</f>
        <v>0</v>
      </c>
      <c r="Z871" s="12">
        <f>IFERROR(VLOOKUP(B871, PlumX_snapshot!$A:$E, 5, FALSE), " ")</f>
        <v>57</v>
      </c>
      <c r="AA871" s="12">
        <f>IFERROR(VLOOKUP(B871, PlumX_snapshot!$A:$F, 6, FALSE), " ")</f>
        <v>0</v>
      </c>
      <c r="AB871" s="13">
        <v>44978</v>
      </c>
      <c r="AH871" s="9"/>
      <c r="AI871" s="9"/>
      <c r="AJ871" s="9"/>
      <c r="AK871" s="11" t="str">
        <f t="shared" si="6"/>
        <v>2016</v>
      </c>
      <c r="AL871" s="11" t="e">
        <f>VLOOKUP(AK871, Exchange_rates!$C:$D, 2, FALSE)</f>
        <v>#N/A</v>
      </c>
      <c r="AM871" s="14" t="str">
        <f t="shared" si="7"/>
        <v/>
      </c>
      <c r="AN871" s="9"/>
      <c r="AO871" s="9"/>
      <c r="AP871" s="9"/>
      <c r="AQ871" s="15" t="s">
        <v>49</v>
      </c>
      <c r="AR871" t="s">
        <v>3957</v>
      </c>
      <c r="AS871" s="16"/>
    </row>
    <row r="872" spans="1:45" ht="14.5">
      <c r="A872" s="9" t="s">
        <v>3958</v>
      </c>
      <c r="B872" s="9" t="s">
        <v>3959</v>
      </c>
      <c r="C872" s="9" t="s">
        <v>3960</v>
      </c>
      <c r="D872" s="9" t="s">
        <v>2830</v>
      </c>
      <c r="E872" s="9" t="s">
        <v>49</v>
      </c>
      <c r="F872" s="9" t="s">
        <v>69</v>
      </c>
      <c r="G872" s="9" t="s">
        <v>70</v>
      </c>
      <c r="H872" s="9" t="s">
        <v>2913</v>
      </c>
      <c r="I872" s="9" t="s">
        <v>72</v>
      </c>
      <c r="J872" s="10"/>
      <c r="K872" s="10" t="s">
        <v>3961</v>
      </c>
      <c r="L872" s="10"/>
      <c r="M872" s="10">
        <v>42549</v>
      </c>
      <c r="N872" s="9">
        <v>2016</v>
      </c>
      <c r="O872" s="9" t="s">
        <v>3911</v>
      </c>
      <c r="P872" s="9" t="s">
        <v>53</v>
      </c>
      <c r="Q872" s="9" t="s">
        <v>53</v>
      </c>
      <c r="R872" s="9" t="s">
        <v>3962</v>
      </c>
      <c r="T872" s="9"/>
      <c r="V872" s="9"/>
      <c r="W872" s="11">
        <f>IFERROR(VLOOKUP(B872, PlumX_snapshot!$A:$B, 2, FALSE), " ")</f>
        <v>116</v>
      </c>
      <c r="X872" s="11">
        <f>IFERROR(VLOOKUP(B872, PlumX_snapshot!$A:$C, 3, FALSE), " ")</f>
        <v>33</v>
      </c>
      <c r="Y872" s="12">
        <f>IFERROR(VLOOKUP(B872, PlumX_snapshot!$A:$D, 4, FALSE), " ")</f>
        <v>1</v>
      </c>
      <c r="Z872" s="12">
        <f>IFERROR(VLOOKUP(B872, PlumX_snapshot!$A:$E, 5, FALSE), " ")</f>
        <v>21</v>
      </c>
      <c r="AA872" s="12">
        <f>IFERROR(VLOOKUP(B872, PlumX_snapshot!$A:$F, 6, FALSE), " ")</f>
        <v>0</v>
      </c>
      <c r="AB872" s="13">
        <v>44978</v>
      </c>
      <c r="AH872" s="9"/>
      <c r="AI872" s="9"/>
      <c r="AJ872" s="9"/>
      <c r="AK872" s="11" t="str">
        <f t="shared" si="6"/>
        <v>2016</v>
      </c>
      <c r="AL872" s="11" t="e">
        <f>VLOOKUP(AK872, Exchange_rates!$C:$D, 2, FALSE)</f>
        <v>#N/A</v>
      </c>
      <c r="AM872" s="14" t="str">
        <f t="shared" si="7"/>
        <v/>
      </c>
      <c r="AN872" s="9"/>
      <c r="AO872" s="9"/>
      <c r="AP872" s="9"/>
      <c r="AQ872" s="15" t="s">
        <v>49</v>
      </c>
      <c r="AR872" t="s">
        <v>3963</v>
      </c>
      <c r="AS872" s="16"/>
    </row>
    <row r="873" spans="1:45" ht="14.5">
      <c r="A873" s="9" t="s">
        <v>3964</v>
      </c>
      <c r="B873" s="9" t="s">
        <v>3965</v>
      </c>
      <c r="C873" s="9" t="s">
        <v>3719</v>
      </c>
      <c r="D873" s="9" t="s">
        <v>2830</v>
      </c>
      <c r="E873" s="9" t="s">
        <v>49</v>
      </c>
      <c r="F873" s="9" t="s">
        <v>69</v>
      </c>
      <c r="G873" s="9" t="s">
        <v>70</v>
      </c>
      <c r="H873" s="9" t="s">
        <v>2913</v>
      </c>
      <c r="I873" s="9" t="s">
        <v>72</v>
      </c>
      <c r="J873" s="10"/>
      <c r="K873" s="10" t="s">
        <v>3956</v>
      </c>
      <c r="L873" s="10"/>
      <c r="M873" s="10">
        <v>42545</v>
      </c>
      <c r="N873" s="9">
        <v>2016</v>
      </c>
      <c r="O873" s="9" t="s">
        <v>3911</v>
      </c>
      <c r="P873" s="9" t="s">
        <v>53</v>
      </c>
      <c r="Q873" s="9" t="s">
        <v>53</v>
      </c>
      <c r="R873" s="9" t="s">
        <v>3966</v>
      </c>
      <c r="T873" s="9"/>
      <c r="V873" s="9"/>
      <c r="W873" s="11">
        <f>IFERROR(VLOOKUP(B873, PlumX_snapshot!$A:$B, 2, FALSE), " ")</f>
        <v>143</v>
      </c>
      <c r="X873" s="11">
        <f>IFERROR(VLOOKUP(B873, PlumX_snapshot!$A:$C, 3, FALSE), " ")</f>
        <v>76</v>
      </c>
      <c r="Y873" s="12">
        <f>IFERROR(VLOOKUP(B873, PlumX_snapshot!$A:$D, 4, FALSE), " ")</f>
        <v>5</v>
      </c>
      <c r="Z873" s="12">
        <f>IFERROR(VLOOKUP(B873, PlumX_snapshot!$A:$E, 5, FALSE), " ")</f>
        <v>561</v>
      </c>
      <c r="AA873" s="12">
        <f>IFERROR(VLOOKUP(B873, PlumX_snapshot!$A:$F, 6, FALSE), " ")</f>
        <v>0</v>
      </c>
      <c r="AB873" s="13">
        <v>44978</v>
      </c>
      <c r="AH873" s="9"/>
      <c r="AI873" s="9"/>
      <c r="AJ873" s="9"/>
      <c r="AK873" s="11" t="str">
        <f t="shared" si="6"/>
        <v>2016</v>
      </c>
      <c r="AL873" s="11" t="e">
        <f>VLOOKUP(AK873, Exchange_rates!$C:$D, 2, FALSE)</f>
        <v>#N/A</v>
      </c>
      <c r="AM873" s="14" t="str">
        <f t="shared" si="7"/>
        <v/>
      </c>
      <c r="AN873" s="9"/>
      <c r="AO873" s="9"/>
      <c r="AP873" s="9"/>
      <c r="AQ873" s="15" t="s">
        <v>49</v>
      </c>
      <c r="AR873" t="s">
        <v>3721</v>
      </c>
      <c r="AS873" s="16"/>
    </row>
    <row r="874" spans="1:45" ht="14.5">
      <c r="A874" s="9" t="s">
        <v>3967</v>
      </c>
      <c r="B874" s="9" t="s">
        <v>3968</v>
      </c>
      <c r="C874" s="9" t="s">
        <v>3121</v>
      </c>
      <c r="D874" s="9" t="s">
        <v>2830</v>
      </c>
      <c r="E874" s="9" t="s">
        <v>49</v>
      </c>
      <c r="F874" s="9" t="s">
        <v>69</v>
      </c>
      <c r="G874" s="9" t="s">
        <v>70</v>
      </c>
      <c r="H874" s="9" t="s">
        <v>2913</v>
      </c>
      <c r="I874" s="9" t="s">
        <v>72</v>
      </c>
      <c r="J874" s="10"/>
      <c r="K874" s="10">
        <v>42557</v>
      </c>
      <c r="L874" s="10"/>
      <c r="M874" s="10">
        <v>42559</v>
      </c>
      <c r="N874" s="9">
        <v>2016</v>
      </c>
      <c r="O874" s="9" t="s">
        <v>3911</v>
      </c>
      <c r="P874" s="9" t="s">
        <v>53</v>
      </c>
      <c r="Q874" s="9" t="s">
        <v>53</v>
      </c>
      <c r="R874" s="9" t="s">
        <v>178</v>
      </c>
      <c r="T874" s="9"/>
      <c r="V874" s="9"/>
      <c r="W874" s="11">
        <f>IFERROR(VLOOKUP(B874, PlumX_snapshot!$A:$B, 2, FALSE), " ")</f>
        <v>11</v>
      </c>
      <c r="X874" s="11">
        <f>IFERROR(VLOOKUP(B874, PlumX_snapshot!$A:$C, 3, FALSE), " ")</f>
        <v>6</v>
      </c>
      <c r="Y874" s="12">
        <f>IFERROR(VLOOKUP(B874, PlumX_snapshot!$A:$D, 4, FALSE), " ")</f>
        <v>10</v>
      </c>
      <c r="Z874" s="12">
        <f>IFERROR(VLOOKUP(B874, PlumX_snapshot!$A:$E, 5, FALSE), " ")</f>
        <v>23</v>
      </c>
      <c r="AA874" s="12">
        <f>IFERROR(VLOOKUP(B874, PlumX_snapshot!$A:$F, 6, FALSE), " ")</f>
        <v>0</v>
      </c>
      <c r="AB874" s="13">
        <v>44978</v>
      </c>
      <c r="AH874" s="9"/>
      <c r="AI874" s="9"/>
      <c r="AJ874" s="9"/>
      <c r="AK874" s="11" t="str">
        <f t="shared" si="6"/>
        <v>2016</v>
      </c>
      <c r="AL874" s="11" t="e">
        <f>VLOOKUP(AK874, Exchange_rates!$C:$D, 2, FALSE)</f>
        <v>#N/A</v>
      </c>
      <c r="AM874" s="14" t="str">
        <f t="shared" si="7"/>
        <v/>
      </c>
      <c r="AN874" s="9"/>
      <c r="AO874" s="9"/>
      <c r="AP874" s="9"/>
      <c r="AQ874" s="15" t="s">
        <v>49</v>
      </c>
      <c r="AR874" t="s">
        <v>3122</v>
      </c>
      <c r="AS874" s="16"/>
    </row>
    <row r="875" spans="1:45" ht="14.5">
      <c r="A875" s="9" t="s">
        <v>3969</v>
      </c>
      <c r="B875" s="9" t="s">
        <v>3970</v>
      </c>
      <c r="C875" s="9" t="s">
        <v>3971</v>
      </c>
      <c r="D875" s="9" t="s">
        <v>2830</v>
      </c>
      <c r="E875" s="9" t="s">
        <v>49</v>
      </c>
      <c r="F875" s="9" t="s">
        <v>69</v>
      </c>
      <c r="G875" s="9" t="s">
        <v>70</v>
      </c>
      <c r="H875" s="9" t="s">
        <v>2913</v>
      </c>
      <c r="I875" s="9" t="s">
        <v>72</v>
      </c>
      <c r="J875" s="10"/>
      <c r="K875" s="10">
        <v>42711</v>
      </c>
      <c r="L875" s="10"/>
      <c r="M875" s="10">
        <v>42572</v>
      </c>
      <c r="N875" s="9">
        <v>2016</v>
      </c>
      <c r="O875" s="9" t="s">
        <v>3911</v>
      </c>
      <c r="P875" s="9" t="s">
        <v>83</v>
      </c>
      <c r="Q875" s="9" t="s">
        <v>83</v>
      </c>
      <c r="R875" s="9" t="s">
        <v>3972</v>
      </c>
      <c r="T875" s="9"/>
      <c r="V875" s="9"/>
      <c r="W875" s="11">
        <f>IFERROR(VLOOKUP(B875, PlumX_snapshot!$A:$B, 2, FALSE), " ")</f>
        <v>102</v>
      </c>
      <c r="X875" s="11">
        <f>IFERROR(VLOOKUP(B875, PlumX_snapshot!$A:$C, 3, FALSE), " ")</f>
        <v>54</v>
      </c>
      <c r="Y875" s="12">
        <f>IFERROR(VLOOKUP(B875, PlumX_snapshot!$A:$D, 4, FALSE), " ")</f>
        <v>23</v>
      </c>
      <c r="Z875" s="12">
        <f>IFERROR(VLOOKUP(B875, PlumX_snapshot!$A:$E, 5, FALSE), " ")</f>
        <v>80</v>
      </c>
      <c r="AA875" s="12">
        <f>IFERROR(VLOOKUP(B875, PlumX_snapshot!$A:$F, 6, FALSE), " ")</f>
        <v>18</v>
      </c>
      <c r="AB875" s="13">
        <v>44978</v>
      </c>
      <c r="AH875" s="9"/>
      <c r="AI875" s="9"/>
      <c r="AJ875" s="9"/>
      <c r="AK875" s="11" t="str">
        <f t="shared" si="6"/>
        <v>2016</v>
      </c>
      <c r="AL875" s="11" t="e">
        <f>VLOOKUP(AK875, Exchange_rates!$C:$D, 2, FALSE)</f>
        <v>#N/A</v>
      </c>
      <c r="AM875" s="14" t="str">
        <f t="shared" si="7"/>
        <v/>
      </c>
      <c r="AN875" s="9"/>
      <c r="AO875" s="9"/>
      <c r="AP875" s="9"/>
      <c r="AQ875" s="15" t="s">
        <v>49</v>
      </c>
      <c r="AR875" t="s">
        <v>3973</v>
      </c>
      <c r="AS875" s="16"/>
    </row>
    <row r="876" spans="1:45" ht="14.5">
      <c r="A876" s="9" t="s">
        <v>3974</v>
      </c>
      <c r="B876" s="9" t="s">
        <v>3975</v>
      </c>
      <c r="C876" s="9" t="s">
        <v>3881</v>
      </c>
      <c r="D876" s="9" t="s">
        <v>2830</v>
      </c>
      <c r="E876" s="9" t="s">
        <v>49</v>
      </c>
      <c r="F876" s="9" t="s">
        <v>69</v>
      </c>
      <c r="G876" s="9" t="s">
        <v>70</v>
      </c>
      <c r="H876" s="9" t="s">
        <v>2913</v>
      </c>
      <c r="I876" s="9" t="s">
        <v>72</v>
      </c>
      <c r="J876" s="10"/>
      <c r="K876" s="10"/>
      <c r="L876" s="10"/>
      <c r="M876" s="10">
        <v>42580</v>
      </c>
      <c r="N876" s="9">
        <v>2016</v>
      </c>
      <c r="O876" s="9" t="s">
        <v>3911</v>
      </c>
      <c r="P876" s="9" t="s">
        <v>53</v>
      </c>
      <c r="Q876" s="9" t="s">
        <v>53</v>
      </c>
      <c r="T876" s="9"/>
      <c r="V876" s="9"/>
      <c r="W876" s="11">
        <f>IFERROR(VLOOKUP(B876, PlumX_snapshot!$A:$B, 2, FALSE), " ")</f>
        <v>310</v>
      </c>
      <c r="X876" s="11">
        <f>IFERROR(VLOOKUP(B876, PlumX_snapshot!$A:$C, 3, FALSE), " ")</f>
        <v>12</v>
      </c>
      <c r="Y876" s="12">
        <f>IFERROR(VLOOKUP(B876, PlumX_snapshot!$A:$D, 4, FALSE), " ")</f>
        <v>49</v>
      </c>
      <c r="Z876" s="12">
        <f>IFERROR(VLOOKUP(B876, PlumX_snapshot!$A:$E, 5, FALSE), " ")</f>
        <v>6093</v>
      </c>
      <c r="AA876" s="12">
        <f>IFERROR(VLOOKUP(B876, PlumX_snapshot!$A:$F, 6, FALSE), " ")</f>
        <v>0</v>
      </c>
      <c r="AB876" s="13">
        <v>44978</v>
      </c>
      <c r="AH876" s="9"/>
      <c r="AI876" s="9"/>
      <c r="AJ876" s="9"/>
      <c r="AK876" s="11" t="str">
        <f t="shared" si="6"/>
        <v>2016</v>
      </c>
      <c r="AL876" s="11" t="e">
        <f>VLOOKUP(AK876, Exchange_rates!$C:$D, 2, FALSE)</f>
        <v>#N/A</v>
      </c>
      <c r="AM876" s="14" t="str">
        <f t="shared" si="7"/>
        <v/>
      </c>
      <c r="AN876" s="9"/>
      <c r="AO876" s="9"/>
      <c r="AP876" s="9"/>
      <c r="AQ876" s="15" t="s">
        <v>49</v>
      </c>
      <c r="AR876" t="s">
        <v>3882</v>
      </c>
      <c r="AS876" s="16"/>
    </row>
    <row r="877" spans="1:45" ht="14.5">
      <c r="A877" s="9" t="s">
        <v>3976</v>
      </c>
      <c r="B877" s="9" t="s">
        <v>3977</v>
      </c>
      <c r="C877" s="9" t="s">
        <v>3978</v>
      </c>
      <c r="D877" s="9" t="s">
        <v>2830</v>
      </c>
      <c r="E877" s="9" t="s">
        <v>49</v>
      </c>
      <c r="F877" s="9" t="s">
        <v>69</v>
      </c>
      <c r="G877" s="9" t="s">
        <v>70</v>
      </c>
      <c r="H877" s="9" t="s">
        <v>2913</v>
      </c>
      <c r="I877" s="9" t="s">
        <v>72</v>
      </c>
      <c r="J877" s="10"/>
      <c r="K877" s="10" t="s">
        <v>3979</v>
      </c>
      <c r="L877" s="10"/>
      <c r="M877" s="10">
        <v>42572</v>
      </c>
      <c r="N877" s="9">
        <v>2016</v>
      </c>
      <c r="O877" s="9" t="s">
        <v>3911</v>
      </c>
      <c r="P877" s="9" t="s">
        <v>83</v>
      </c>
      <c r="Q877" s="9" t="s">
        <v>53</v>
      </c>
      <c r="R877" s="9" t="s">
        <v>1456</v>
      </c>
      <c r="T877" s="9"/>
      <c r="V877" s="9"/>
      <c r="W877" s="11">
        <f>IFERROR(VLOOKUP(B877, PlumX_snapshot!$A:$B, 2, FALSE), " ")</f>
        <v>30</v>
      </c>
      <c r="X877" s="11">
        <f>IFERROR(VLOOKUP(B877, PlumX_snapshot!$A:$C, 3, FALSE), " ")</f>
        <v>28</v>
      </c>
      <c r="Y877" s="12">
        <f>IFERROR(VLOOKUP(B877, PlumX_snapshot!$A:$D, 4, FALSE), " ")</f>
        <v>2</v>
      </c>
      <c r="Z877" s="12">
        <f>IFERROR(VLOOKUP(B877, PlumX_snapshot!$A:$E, 5, FALSE), " ")</f>
        <v>271</v>
      </c>
      <c r="AA877" s="12">
        <f>IFERROR(VLOOKUP(B877, PlumX_snapshot!$A:$F, 6, FALSE), " ")</f>
        <v>0</v>
      </c>
      <c r="AB877" s="13">
        <v>44978</v>
      </c>
      <c r="AH877" s="9"/>
      <c r="AI877" s="9"/>
      <c r="AJ877" s="9"/>
      <c r="AK877" s="11" t="str">
        <f t="shared" si="6"/>
        <v>2016</v>
      </c>
      <c r="AL877" s="11" t="e">
        <f>VLOOKUP(AK877, Exchange_rates!$C:$D, 2, FALSE)</f>
        <v>#N/A</v>
      </c>
      <c r="AM877" s="14" t="str">
        <f t="shared" si="7"/>
        <v/>
      </c>
      <c r="AN877" s="9"/>
      <c r="AO877" s="9"/>
      <c r="AP877" s="9"/>
      <c r="AQ877" s="15" t="s">
        <v>49</v>
      </c>
      <c r="AR877" t="s">
        <v>3980</v>
      </c>
      <c r="AS877" s="16"/>
    </row>
    <row r="878" spans="1:45" ht="14.5">
      <c r="A878" s="9" t="s">
        <v>3981</v>
      </c>
      <c r="B878" s="9" t="s">
        <v>3982</v>
      </c>
      <c r="C878" s="9" t="s">
        <v>3983</v>
      </c>
      <c r="D878" s="9" t="s">
        <v>2830</v>
      </c>
      <c r="E878" s="9" t="s">
        <v>49</v>
      </c>
      <c r="F878" s="9" t="s">
        <v>69</v>
      </c>
      <c r="G878" s="9" t="s">
        <v>70</v>
      </c>
      <c r="H878" s="9" t="s">
        <v>2913</v>
      </c>
      <c r="I878" s="9" t="s">
        <v>72</v>
      </c>
      <c r="J878" s="10"/>
      <c r="K878" s="10"/>
      <c r="L878" s="10"/>
      <c r="M878" s="10">
        <v>42569</v>
      </c>
      <c r="N878" s="9">
        <v>2016</v>
      </c>
      <c r="O878" s="9" t="s">
        <v>3911</v>
      </c>
      <c r="P878" s="9" t="s">
        <v>53</v>
      </c>
      <c r="Q878" s="9" t="s">
        <v>53</v>
      </c>
      <c r="R878" s="9" t="s">
        <v>3984</v>
      </c>
      <c r="T878" s="9"/>
      <c r="V878" s="9"/>
      <c r="W878" s="11">
        <f>IFERROR(VLOOKUP(B878, PlumX_snapshot!$A:$B, 2, FALSE), " ")</f>
        <v>439</v>
      </c>
      <c r="X878" s="11">
        <f>IFERROR(VLOOKUP(B878, PlumX_snapshot!$A:$C, 3, FALSE), " ")</f>
        <v>44</v>
      </c>
      <c r="Y878" s="12">
        <f>IFERROR(VLOOKUP(B878, PlumX_snapshot!$A:$D, 4, FALSE), " ")</f>
        <v>0</v>
      </c>
      <c r="Z878" s="12">
        <f>IFERROR(VLOOKUP(B878, PlumX_snapshot!$A:$E, 5, FALSE), " ")</f>
        <v>2134</v>
      </c>
      <c r="AA878" s="12">
        <f>IFERROR(VLOOKUP(B878, PlumX_snapshot!$A:$F, 6, FALSE), " ")</f>
        <v>0</v>
      </c>
      <c r="AB878" s="13">
        <v>44978</v>
      </c>
      <c r="AH878" s="9"/>
      <c r="AI878" s="9"/>
      <c r="AJ878" s="9"/>
      <c r="AK878" s="11" t="str">
        <f t="shared" si="6"/>
        <v>2016</v>
      </c>
      <c r="AL878" s="11" t="e">
        <f>VLOOKUP(AK878, Exchange_rates!$C:$D, 2, FALSE)</f>
        <v>#N/A</v>
      </c>
      <c r="AM878" s="14" t="str">
        <f t="shared" si="7"/>
        <v/>
      </c>
      <c r="AN878" s="9"/>
      <c r="AO878" s="9"/>
      <c r="AP878" s="9"/>
      <c r="AQ878" s="15" t="s">
        <v>49</v>
      </c>
      <c r="AR878" t="s">
        <v>3985</v>
      </c>
      <c r="AS878" s="16"/>
    </row>
    <row r="879" spans="1:45" ht="14.5">
      <c r="A879" s="9" t="s">
        <v>3986</v>
      </c>
      <c r="B879" s="9" t="s">
        <v>3987</v>
      </c>
      <c r="C879" s="9" t="s">
        <v>3988</v>
      </c>
      <c r="D879" s="9" t="s">
        <v>2830</v>
      </c>
      <c r="E879" s="9" t="s">
        <v>49</v>
      </c>
      <c r="F879" s="9" t="s">
        <v>69</v>
      </c>
      <c r="G879" s="9" t="s">
        <v>70</v>
      </c>
      <c r="H879" s="9" t="s">
        <v>2913</v>
      </c>
      <c r="I879" s="9" t="s">
        <v>72</v>
      </c>
      <c r="J879" s="10"/>
      <c r="K879" s="10">
        <v>42680</v>
      </c>
      <c r="L879" s="10"/>
      <c r="M879" s="10">
        <v>42562</v>
      </c>
      <c r="N879" s="9">
        <v>2016</v>
      </c>
      <c r="O879" s="9" t="s">
        <v>3911</v>
      </c>
      <c r="P879" s="9" t="s">
        <v>83</v>
      </c>
      <c r="Q879" s="9" t="s">
        <v>53</v>
      </c>
      <c r="R879" s="9" t="s">
        <v>3989</v>
      </c>
      <c r="T879" s="9"/>
      <c r="V879" s="9"/>
      <c r="W879" s="11">
        <f>IFERROR(VLOOKUP(B879, PlumX_snapshot!$A:$B, 2, FALSE), " ")</f>
        <v>12</v>
      </c>
      <c r="X879" s="11">
        <f>IFERROR(VLOOKUP(B879, PlumX_snapshot!$A:$C, 3, FALSE), " ")</f>
        <v>5</v>
      </c>
      <c r="Y879" s="12">
        <f>IFERROR(VLOOKUP(B879, PlumX_snapshot!$A:$D, 4, FALSE), " ")</f>
        <v>0</v>
      </c>
      <c r="Z879" s="12">
        <f>IFERROR(VLOOKUP(B879, PlumX_snapshot!$A:$E, 5, FALSE), " ")</f>
        <v>4</v>
      </c>
      <c r="AA879" s="12">
        <f>IFERROR(VLOOKUP(B879, PlumX_snapshot!$A:$F, 6, FALSE), " ")</f>
        <v>0</v>
      </c>
      <c r="AB879" s="13">
        <v>44978</v>
      </c>
      <c r="AH879" s="9"/>
      <c r="AI879" s="9"/>
      <c r="AJ879" s="9"/>
      <c r="AK879" s="11" t="str">
        <f t="shared" si="6"/>
        <v>2016</v>
      </c>
      <c r="AL879" s="11" t="e">
        <f>VLOOKUP(AK879, Exchange_rates!$C:$D, 2, FALSE)</f>
        <v>#N/A</v>
      </c>
      <c r="AM879" s="14" t="str">
        <f t="shared" si="7"/>
        <v/>
      </c>
      <c r="AN879" s="9"/>
      <c r="AO879" s="9"/>
      <c r="AP879" s="9"/>
      <c r="AQ879" s="15" t="s">
        <v>49</v>
      </c>
      <c r="AR879" t="s">
        <v>3990</v>
      </c>
      <c r="AS879" s="16"/>
    </row>
    <row r="880" spans="1:45" ht="14.5">
      <c r="A880" s="9" t="s">
        <v>3991</v>
      </c>
      <c r="B880" s="9" t="s">
        <v>3992</v>
      </c>
      <c r="C880" s="9" t="s">
        <v>3993</v>
      </c>
      <c r="D880" s="9" t="s">
        <v>2830</v>
      </c>
      <c r="E880" s="9" t="s">
        <v>49</v>
      </c>
      <c r="F880" s="9" t="s">
        <v>69</v>
      </c>
      <c r="G880" s="9" t="s">
        <v>70</v>
      </c>
      <c r="H880" s="9" t="s">
        <v>2913</v>
      </c>
      <c r="I880" s="9" t="s">
        <v>72</v>
      </c>
      <c r="J880" s="10"/>
      <c r="K880" s="10" t="s">
        <v>3994</v>
      </c>
      <c r="L880" s="10"/>
      <c r="M880" s="10">
        <v>42591</v>
      </c>
      <c r="N880" s="9">
        <v>2016</v>
      </c>
      <c r="O880" s="9" t="s">
        <v>3911</v>
      </c>
      <c r="P880" s="9" t="s">
        <v>53</v>
      </c>
      <c r="Q880" s="9" t="s">
        <v>53</v>
      </c>
      <c r="R880" s="9" t="s">
        <v>3995</v>
      </c>
      <c r="T880" s="9"/>
      <c r="V880" s="9"/>
      <c r="W880" s="11">
        <f>IFERROR(VLOOKUP(B880, PlumX_snapshot!$A:$B, 2, FALSE), " ")</f>
        <v>97</v>
      </c>
      <c r="X880" s="11">
        <f>IFERROR(VLOOKUP(B880, PlumX_snapshot!$A:$C, 3, FALSE), " ")</f>
        <v>40</v>
      </c>
      <c r="Y880" s="12">
        <f>IFERROR(VLOOKUP(B880, PlumX_snapshot!$A:$D, 4, FALSE), " ")</f>
        <v>6</v>
      </c>
      <c r="Z880" s="12">
        <f>IFERROR(VLOOKUP(B880, PlumX_snapshot!$A:$E, 5, FALSE), " ")</f>
        <v>327</v>
      </c>
      <c r="AA880" s="12">
        <f>IFERROR(VLOOKUP(B880, PlumX_snapshot!$A:$F, 6, FALSE), " ")</f>
        <v>0</v>
      </c>
      <c r="AB880" s="13">
        <v>44978</v>
      </c>
      <c r="AH880" s="9"/>
      <c r="AI880" s="9"/>
      <c r="AJ880" s="9"/>
      <c r="AK880" s="11" t="str">
        <f t="shared" si="6"/>
        <v>2016</v>
      </c>
      <c r="AL880" s="11" t="e">
        <f>VLOOKUP(AK880, Exchange_rates!$C:$D, 2, FALSE)</f>
        <v>#N/A</v>
      </c>
      <c r="AM880" s="14" t="str">
        <f t="shared" si="7"/>
        <v/>
      </c>
      <c r="AN880" s="9"/>
      <c r="AO880" s="9"/>
      <c r="AP880" s="9"/>
      <c r="AQ880" s="15" t="s">
        <v>49</v>
      </c>
      <c r="AR880" t="s">
        <v>3996</v>
      </c>
      <c r="AS880" s="16"/>
    </row>
    <row r="881" spans="1:45" ht="14.5">
      <c r="A881" s="9" t="s">
        <v>3997</v>
      </c>
      <c r="B881" s="9" t="s">
        <v>3998</v>
      </c>
      <c r="C881" s="9" t="s">
        <v>3999</v>
      </c>
      <c r="D881" s="9" t="s">
        <v>2830</v>
      </c>
      <c r="E881" s="9" t="s">
        <v>49</v>
      </c>
      <c r="F881" s="9" t="s">
        <v>69</v>
      </c>
      <c r="G881" s="9" t="s">
        <v>70</v>
      </c>
      <c r="H881" s="9" t="s">
        <v>2913</v>
      </c>
      <c r="I881" s="9" t="s">
        <v>72</v>
      </c>
      <c r="J881" s="10"/>
      <c r="K881" s="10">
        <v>42711</v>
      </c>
      <c r="L881" s="10"/>
      <c r="M881" s="10">
        <v>42584</v>
      </c>
      <c r="N881" s="9">
        <v>2016</v>
      </c>
      <c r="O881" s="9" t="s">
        <v>3911</v>
      </c>
      <c r="P881" s="9" t="s">
        <v>83</v>
      </c>
      <c r="Q881" s="9" t="s">
        <v>53</v>
      </c>
      <c r="R881" s="9" t="s">
        <v>1947</v>
      </c>
      <c r="T881" s="9"/>
      <c r="V881" s="9"/>
      <c r="W881" s="11">
        <f>IFERROR(VLOOKUP(B881, PlumX_snapshot!$A:$B, 2, FALSE), " ")</f>
        <v>53</v>
      </c>
      <c r="X881" s="11">
        <f>IFERROR(VLOOKUP(B881, PlumX_snapshot!$A:$C, 3, FALSE), " ")</f>
        <v>120</v>
      </c>
      <c r="Y881" s="12">
        <f>IFERROR(VLOOKUP(B881, PlumX_snapshot!$A:$D, 4, FALSE), " ")</f>
        <v>203</v>
      </c>
      <c r="Z881" s="12">
        <f>IFERROR(VLOOKUP(B881, PlumX_snapshot!$A:$E, 5, FALSE), " ")</f>
        <v>153</v>
      </c>
      <c r="AA881" s="12">
        <f>IFERROR(VLOOKUP(B881, PlumX_snapshot!$A:$F, 6, FALSE), " ")</f>
        <v>0</v>
      </c>
      <c r="AB881" s="13">
        <v>44978</v>
      </c>
      <c r="AH881" s="9"/>
      <c r="AI881" s="9"/>
      <c r="AJ881" s="9"/>
      <c r="AK881" s="11" t="str">
        <f t="shared" si="6"/>
        <v>2016</v>
      </c>
      <c r="AL881" s="11" t="e">
        <f>VLOOKUP(AK881, Exchange_rates!$C:$D, 2, FALSE)</f>
        <v>#N/A</v>
      </c>
      <c r="AM881" s="14" t="str">
        <f t="shared" si="7"/>
        <v/>
      </c>
      <c r="AN881" s="9"/>
      <c r="AO881" s="9"/>
      <c r="AP881" s="9"/>
      <c r="AQ881" s="15" t="s">
        <v>49</v>
      </c>
      <c r="AR881" t="s">
        <v>4000</v>
      </c>
      <c r="AS881" s="16"/>
    </row>
    <row r="882" spans="1:45" ht="14.5">
      <c r="A882" s="9" t="s">
        <v>4001</v>
      </c>
      <c r="B882" s="9" t="s">
        <v>4002</v>
      </c>
      <c r="C882" s="9" t="s">
        <v>3023</v>
      </c>
      <c r="D882" s="9" t="s">
        <v>2830</v>
      </c>
      <c r="E882" s="9" t="s">
        <v>49</v>
      </c>
      <c r="F882" s="9" t="s">
        <v>69</v>
      </c>
      <c r="G882" s="9" t="s">
        <v>70</v>
      </c>
      <c r="H882" s="9" t="s">
        <v>2913</v>
      </c>
      <c r="I882" s="9" t="s">
        <v>72</v>
      </c>
      <c r="J882" s="10"/>
      <c r="K882" s="10"/>
      <c r="L882" s="10"/>
      <c r="M882" s="10">
        <v>42590</v>
      </c>
      <c r="N882" s="9">
        <v>2016</v>
      </c>
      <c r="O882" s="9" t="s">
        <v>3911</v>
      </c>
      <c r="P882" s="9" t="s">
        <v>53</v>
      </c>
      <c r="Q882" s="9" t="s">
        <v>53</v>
      </c>
      <c r="T882" s="9"/>
      <c r="V882" s="9"/>
      <c r="W882" s="11">
        <f>IFERROR(VLOOKUP(B882, PlumX_snapshot!$A:$B, 2, FALSE), " ")</f>
        <v>51</v>
      </c>
      <c r="X882" s="11">
        <f>IFERROR(VLOOKUP(B882, PlumX_snapshot!$A:$C, 3, FALSE), " ")</f>
        <v>13</v>
      </c>
      <c r="Y882" s="12">
        <f>IFERROR(VLOOKUP(B882, PlumX_snapshot!$A:$D, 4, FALSE), " ")</f>
        <v>1</v>
      </c>
      <c r="Z882" s="12">
        <f>IFERROR(VLOOKUP(B882, PlumX_snapshot!$A:$E, 5, FALSE), " ")</f>
        <v>16</v>
      </c>
      <c r="AA882" s="12">
        <f>IFERROR(VLOOKUP(B882, PlumX_snapshot!$A:$F, 6, FALSE), " ")</f>
        <v>0</v>
      </c>
      <c r="AB882" s="13">
        <v>44978</v>
      </c>
      <c r="AH882" s="9"/>
      <c r="AI882" s="9"/>
      <c r="AJ882" s="9"/>
      <c r="AK882" s="11" t="str">
        <f t="shared" si="6"/>
        <v>2016</v>
      </c>
      <c r="AL882" s="11" t="e">
        <f>VLOOKUP(AK882, Exchange_rates!$C:$D, 2, FALSE)</f>
        <v>#N/A</v>
      </c>
      <c r="AM882" s="14" t="str">
        <f t="shared" si="7"/>
        <v/>
      </c>
      <c r="AN882" s="9"/>
      <c r="AO882" s="9"/>
      <c r="AP882" s="9"/>
      <c r="AQ882" s="15" t="s">
        <v>49</v>
      </c>
      <c r="AR882" t="s">
        <v>3024</v>
      </c>
      <c r="AS882" s="16"/>
    </row>
    <row r="883" spans="1:45" ht="14.5">
      <c r="A883" s="9" t="s">
        <v>4003</v>
      </c>
      <c r="B883" s="9" t="s">
        <v>4004</v>
      </c>
      <c r="C883" s="9" t="s">
        <v>3137</v>
      </c>
      <c r="D883" s="9" t="s">
        <v>2830</v>
      </c>
      <c r="E883" s="9" t="s">
        <v>49</v>
      </c>
      <c r="F883" s="9" t="s">
        <v>69</v>
      </c>
      <c r="G883" s="9" t="s">
        <v>70</v>
      </c>
      <c r="H883" s="9" t="s">
        <v>2913</v>
      </c>
      <c r="I883" s="9" t="s">
        <v>72</v>
      </c>
      <c r="J883" s="10"/>
      <c r="K883" s="10"/>
      <c r="L883" s="10"/>
      <c r="M883" s="10">
        <v>42620</v>
      </c>
      <c r="N883" s="9">
        <v>2016</v>
      </c>
      <c r="O883" s="9" t="s">
        <v>3911</v>
      </c>
      <c r="P883" s="9" t="s">
        <v>83</v>
      </c>
      <c r="Q883" s="9" t="s">
        <v>53</v>
      </c>
      <c r="R883" s="9" t="s">
        <v>4005</v>
      </c>
      <c r="T883" s="9"/>
      <c r="V883" s="9"/>
      <c r="W883" s="11">
        <f>IFERROR(VLOOKUP(B883, PlumX_snapshot!$A:$B, 2, FALSE), " ")</f>
        <v>27</v>
      </c>
      <c r="X883" s="11">
        <f>IFERROR(VLOOKUP(B883, PlumX_snapshot!$A:$C, 3, FALSE), " ")</f>
        <v>2</v>
      </c>
      <c r="Y883" s="12">
        <f>IFERROR(VLOOKUP(B883, PlumX_snapshot!$A:$D, 4, FALSE), " ")</f>
        <v>2</v>
      </c>
      <c r="Z883" s="12">
        <f>IFERROR(VLOOKUP(B883, PlumX_snapshot!$A:$E, 5, FALSE), " ")</f>
        <v>99</v>
      </c>
      <c r="AA883" s="12">
        <f>IFERROR(VLOOKUP(B883, PlumX_snapshot!$A:$F, 6, FALSE), " ")</f>
        <v>0</v>
      </c>
      <c r="AB883" s="13">
        <v>44978</v>
      </c>
      <c r="AH883" s="9"/>
      <c r="AI883" s="9"/>
      <c r="AJ883" s="9"/>
      <c r="AK883" s="11" t="str">
        <f t="shared" si="6"/>
        <v>2016</v>
      </c>
      <c r="AL883" s="11" t="e">
        <f>VLOOKUP(AK883, Exchange_rates!$C:$D, 2, FALSE)</f>
        <v>#N/A</v>
      </c>
      <c r="AM883" s="14" t="str">
        <f t="shared" si="7"/>
        <v/>
      </c>
      <c r="AN883" s="9"/>
      <c r="AO883" s="9"/>
      <c r="AP883" s="9"/>
      <c r="AQ883" s="15" t="s">
        <v>49</v>
      </c>
      <c r="AR883" t="s">
        <v>3139</v>
      </c>
      <c r="AS883" s="16"/>
    </row>
    <row r="884" spans="1:45" ht="14.5">
      <c r="A884" s="9" t="s">
        <v>4006</v>
      </c>
      <c r="B884" s="9" t="s">
        <v>4007</v>
      </c>
      <c r="C884" s="9" t="s">
        <v>4008</v>
      </c>
      <c r="D884" s="9" t="s">
        <v>2830</v>
      </c>
      <c r="E884" s="9" t="s">
        <v>49</v>
      </c>
      <c r="F884" s="9" t="s">
        <v>69</v>
      </c>
      <c r="G884" s="9" t="s">
        <v>70</v>
      </c>
      <c r="H884" s="9" t="s">
        <v>2913</v>
      </c>
      <c r="I884" s="9" t="s">
        <v>72</v>
      </c>
      <c r="J884" s="10"/>
      <c r="K884" s="10"/>
      <c r="L884" s="10"/>
      <c r="M884" s="10">
        <v>42644</v>
      </c>
      <c r="N884" s="9">
        <v>2016</v>
      </c>
      <c r="O884" s="9" t="s">
        <v>3911</v>
      </c>
      <c r="P884" s="9" t="s">
        <v>53</v>
      </c>
      <c r="Q884" s="9" t="s">
        <v>53</v>
      </c>
      <c r="R884" s="9" t="s">
        <v>4009</v>
      </c>
      <c r="T884" s="9"/>
      <c r="V884" s="9"/>
      <c r="W884" s="11">
        <f>IFERROR(VLOOKUP(B884, PlumX_snapshot!$A:$B, 2, FALSE), " ")</f>
        <v>69</v>
      </c>
      <c r="X884" s="11">
        <f>IFERROR(VLOOKUP(B884, PlumX_snapshot!$A:$C, 3, FALSE), " ")</f>
        <v>36</v>
      </c>
      <c r="Y884" s="12">
        <f>IFERROR(VLOOKUP(B884, PlumX_snapshot!$A:$D, 4, FALSE), " ")</f>
        <v>8</v>
      </c>
      <c r="Z884" s="12">
        <f>IFERROR(VLOOKUP(B884, PlumX_snapshot!$A:$E, 5, FALSE), " ")</f>
        <v>2883</v>
      </c>
      <c r="AA884" s="12">
        <f>IFERROR(VLOOKUP(B884, PlumX_snapshot!$A:$F, 6, FALSE), " ")</f>
        <v>0</v>
      </c>
      <c r="AB884" s="13">
        <v>44978</v>
      </c>
      <c r="AH884" s="9"/>
      <c r="AI884" s="9"/>
      <c r="AJ884" s="9"/>
      <c r="AK884" s="11" t="str">
        <f t="shared" si="6"/>
        <v>2016</v>
      </c>
      <c r="AL884" s="11" t="e">
        <f>VLOOKUP(AK884, Exchange_rates!$C:$D, 2, FALSE)</f>
        <v>#N/A</v>
      </c>
      <c r="AM884" s="14" t="str">
        <f t="shared" si="7"/>
        <v/>
      </c>
      <c r="AN884" s="9"/>
      <c r="AO884" s="9"/>
      <c r="AP884" s="9"/>
      <c r="AQ884" s="15" t="s">
        <v>49</v>
      </c>
      <c r="AR884" t="s">
        <v>4010</v>
      </c>
      <c r="AS884" s="16"/>
    </row>
    <row r="885" spans="1:45" ht="14.5">
      <c r="A885" s="9" t="s">
        <v>4011</v>
      </c>
      <c r="B885" s="9" t="s">
        <v>4012</v>
      </c>
      <c r="C885" s="9" t="s">
        <v>4013</v>
      </c>
      <c r="D885" s="9" t="s">
        <v>2830</v>
      </c>
      <c r="E885" s="9" t="s">
        <v>49</v>
      </c>
      <c r="F885" s="9" t="s">
        <v>69</v>
      </c>
      <c r="G885" s="9" t="s">
        <v>70</v>
      </c>
      <c r="H885" s="9" t="s">
        <v>2913</v>
      </c>
      <c r="I885" s="9" t="s">
        <v>72</v>
      </c>
      <c r="J885" s="10"/>
      <c r="K885" s="10"/>
      <c r="L885" s="10"/>
      <c r="M885" s="10">
        <v>42651</v>
      </c>
      <c r="N885" s="9">
        <v>2016</v>
      </c>
      <c r="O885" s="9" t="s">
        <v>3911</v>
      </c>
      <c r="P885" s="9" t="s">
        <v>53</v>
      </c>
      <c r="Q885" s="9" t="s">
        <v>53</v>
      </c>
      <c r="R885" s="9" t="s">
        <v>4014</v>
      </c>
      <c r="T885" s="9"/>
      <c r="V885" s="9"/>
      <c r="W885" s="11">
        <f>IFERROR(VLOOKUP(B885, PlumX_snapshot!$A:$B, 2, FALSE), " ")</f>
        <v>238</v>
      </c>
      <c r="X885" s="11">
        <f>IFERROR(VLOOKUP(B885, PlumX_snapshot!$A:$C, 3, FALSE), " ")</f>
        <v>78</v>
      </c>
      <c r="Y885" s="12">
        <f>IFERROR(VLOOKUP(B885, PlumX_snapshot!$A:$D, 4, FALSE), " ")</f>
        <v>8</v>
      </c>
      <c r="Z885" s="12">
        <f>IFERROR(VLOOKUP(B885, PlumX_snapshot!$A:$E, 5, FALSE), " ")</f>
        <v>2577</v>
      </c>
      <c r="AA885" s="12">
        <f>IFERROR(VLOOKUP(B885, PlumX_snapshot!$A:$F, 6, FALSE), " ")</f>
        <v>0</v>
      </c>
      <c r="AB885" s="13">
        <v>44978</v>
      </c>
      <c r="AH885" s="9"/>
      <c r="AI885" s="9"/>
      <c r="AJ885" s="9"/>
      <c r="AK885" s="11" t="str">
        <f t="shared" si="6"/>
        <v>2016</v>
      </c>
      <c r="AL885" s="11" t="e">
        <f>VLOOKUP(AK885, Exchange_rates!$C:$D, 2, FALSE)</f>
        <v>#N/A</v>
      </c>
      <c r="AM885" s="14" t="str">
        <f t="shared" si="7"/>
        <v/>
      </c>
      <c r="AN885" s="9"/>
      <c r="AO885" s="9"/>
      <c r="AP885" s="9"/>
      <c r="AQ885" s="15" t="s">
        <v>49</v>
      </c>
      <c r="AR885" t="s">
        <v>4015</v>
      </c>
      <c r="AS885" s="16"/>
    </row>
    <row r="886" spans="1:45" ht="14.5">
      <c r="A886" s="9" t="s">
        <v>4016</v>
      </c>
      <c r="B886" s="9" t="s">
        <v>4017</v>
      </c>
      <c r="C886" s="9" t="s">
        <v>4018</v>
      </c>
      <c r="D886" s="9" t="s">
        <v>2830</v>
      </c>
      <c r="E886" s="9" t="s">
        <v>49</v>
      </c>
      <c r="F886" s="9" t="s">
        <v>69</v>
      </c>
      <c r="G886" s="9" t="s">
        <v>70</v>
      </c>
      <c r="H886" s="9" t="s">
        <v>2913</v>
      </c>
      <c r="I886" s="9" t="s">
        <v>72</v>
      </c>
      <c r="J886" s="10"/>
      <c r="K886" s="10"/>
      <c r="L886" s="10"/>
      <c r="M886" s="28">
        <v>42669</v>
      </c>
      <c r="N886" s="9">
        <v>2016</v>
      </c>
      <c r="O886" s="9" t="s">
        <v>3911</v>
      </c>
      <c r="P886" s="9" t="s">
        <v>53</v>
      </c>
      <c r="Q886" s="9" t="s">
        <v>53</v>
      </c>
      <c r="T886" s="9"/>
      <c r="V886" s="9"/>
      <c r="W886" s="11">
        <f>IFERROR(VLOOKUP(B886, PlumX_snapshot!$A:$B, 2, FALSE), " ")</f>
        <v>8</v>
      </c>
      <c r="X886" s="11">
        <f>IFERROR(VLOOKUP(B886, PlumX_snapshot!$A:$C, 3, FALSE), " ")</f>
        <v>5</v>
      </c>
      <c r="Y886" s="12">
        <f>IFERROR(VLOOKUP(B886, PlumX_snapshot!$A:$D, 4, FALSE), " ")</f>
        <v>1</v>
      </c>
      <c r="Z886" s="12">
        <f>IFERROR(VLOOKUP(B886, PlumX_snapshot!$A:$E, 5, FALSE), " ")</f>
        <v>60</v>
      </c>
      <c r="AA886" s="12">
        <f>IFERROR(VLOOKUP(B886, PlumX_snapshot!$A:$F, 6, FALSE), " ")</f>
        <v>0</v>
      </c>
      <c r="AB886" s="13">
        <v>44978</v>
      </c>
      <c r="AH886" s="9"/>
      <c r="AI886" s="9"/>
      <c r="AJ886" s="9"/>
      <c r="AK886" s="11" t="str">
        <f t="shared" si="6"/>
        <v>2016</v>
      </c>
      <c r="AL886" s="11" t="e">
        <f>VLOOKUP(AK886, Exchange_rates!$C:$D, 2, FALSE)</f>
        <v>#N/A</v>
      </c>
      <c r="AM886" s="14" t="str">
        <f t="shared" si="7"/>
        <v/>
      </c>
      <c r="AN886" s="9"/>
      <c r="AO886" s="9"/>
      <c r="AP886" s="9"/>
      <c r="AQ886" s="15" t="s">
        <v>49</v>
      </c>
      <c r="AR886" t="s">
        <v>4019</v>
      </c>
      <c r="AS886" s="16"/>
    </row>
    <row r="887" spans="1:45" ht="14.5">
      <c r="A887" s="9" t="s">
        <v>4020</v>
      </c>
      <c r="B887" s="9" t="s">
        <v>4021</v>
      </c>
      <c r="C887" s="9" t="s">
        <v>3515</v>
      </c>
      <c r="D887" s="9" t="s">
        <v>2830</v>
      </c>
      <c r="E887" s="9" t="s">
        <v>49</v>
      </c>
      <c r="F887" s="9" t="s">
        <v>69</v>
      </c>
      <c r="G887" s="9" t="s">
        <v>70</v>
      </c>
      <c r="H887" s="9" t="s">
        <v>2913</v>
      </c>
      <c r="I887" s="9" t="s">
        <v>72</v>
      </c>
      <c r="J887" s="10"/>
      <c r="K887" s="10">
        <v>42714</v>
      </c>
      <c r="L887" s="10"/>
      <c r="M887" s="28">
        <v>42674</v>
      </c>
      <c r="N887" s="9">
        <v>2016</v>
      </c>
      <c r="O887" s="9" t="s">
        <v>3911</v>
      </c>
      <c r="P887" s="9" t="s">
        <v>53</v>
      </c>
      <c r="Q887" s="9" t="s">
        <v>53</v>
      </c>
      <c r="R887" s="9" t="s">
        <v>4022</v>
      </c>
      <c r="T887" s="9"/>
      <c r="V887" s="9"/>
      <c r="W887" s="11">
        <f>IFERROR(VLOOKUP(B887, PlumX_snapshot!$A:$B, 2, FALSE), " ")</f>
        <v>70</v>
      </c>
      <c r="X887" s="11">
        <f>IFERROR(VLOOKUP(B887, PlumX_snapshot!$A:$C, 3, FALSE), " ")</f>
        <v>27</v>
      </c>
      <c r="Y887" s="12">
        <f>IFERROR(VLOOKUP(B887, PlumX_snapshot!$A:$D, 4, FALSE), " ")</f>
        <v>0</v>
      </c>
      <c r="Z887" s="12">
        <f>IFERROR(VLOOKUP(B887, PlumX_snapshot!$A:$E, 5, FALSE), " ")</f>
        <v>55</v>
      </c>
      <c r="AA887" s="12">
        <f>IFERROR(VLOOKUP(B887, PlumX_snapshot!$A:$F, 6, FALSE), " ")</f>
        <v>0</v>
      </c>
      <c r="AB887" s="13">
        <v>44978</v>
      </c>
      <c r="AH887" s="9"/>
      <c r="AI887" s="9"/>
      <c r="AJ887" s="9"/>
      <c r="AK887" s="11" t="str">
        <f t="shared" si="6"/>
        <v>2016</v>
      </c>
      <c r="AL887" s="11" t="e">
        <f>VLOOKUP(AK887, Exchange_rates!$C:$D, 2, FALSE)</f>
        <v>#N/A</v>
      </c>
      <c r="AM887" s="14" t="str">
        <f t="shared" si="7"/>
        <v/>
      </c>
      <c r="AN887" s="9"/>
      <c r="AO887" s="9"/>
      <c r="AP887" s="9"/>
      <c r="AQ887" s="15" t="s">
        <v>49</v>
      </c>
      <c r="AR887" t="s">
        <v>3516</v>
      </c>
      <c r="AS887" s="16"/>
    </row>
    <row r="888" spans="1:45" ht="14.5">
      <c r="A888" s="9" t="s">
        <v>4023</v>
      </c>
      <c r="B888" s="9" t="s">
        <v>4024</v>
      </c>
      <c r="C888" s="9" t="s">
        <v>3069</v>
      </c>
      <c r="D888" s="9" t="s">
        <v>2830</v>
      </c>
      <c r="E888" s="9" t="s">
        <v>49</v>
      </c>
      <c r="F888" s="9" t="s">
        <v>69</v>
      </c>
      <c r="G888" s="9" t="s">
        <v>70</v>
      </c>
      <c r="H888" s="9" t="s">
        <v>2913</v>
      </c>
      <c r="I888" s="9" t="s">
        <v>72</v>
      </c>
      <c r="J888" s="10"/>
      <c r="K888" s="10">
        <v>42439</v>
      </c>
      <c r="L888" s="10"/>
      <c r="M888" s="28">
        <v>42661</v>
      </c>
      <c r="N888" s="9">
        <v>2016</v>
      </c>
      <c r="O888" s="9" t="s">
        <v>3911</v>
      </c>
      <c r="P888" s="9" t="s">
        <v>83</v>
      </c>
      <c r="Q888" s="9" t="s">
        <v>53</v>
      </c>
      <c r="R888" s="9" t="s">
        <v>4025</v>
      </c>
      <c r="T888" s="9"/>
      <c r="V888" s="9"/>
      <c r="W888" s="11">
        <f>IFERROR(VLOOKUP(B888, PlumX_snapshot!$A:$B, 2, FALSE), " ")</f>
        <v>2</v>
      </c>
      <c r="X888" s="11">
        <f>IFERROR(VLOOKUP(B888, PlumX_snapshot!$A:$C, 3, FALSE), " ")</f>
        <v>2</v>
      </c>
      <c r="Y888" s="12">
        <f>IFERROR(VLOOKUP(B888, PlumX_snapshot!$A:$D, 4, FALSE), " ")</f>
        <v>0</v>
      </c>
      <c r="Z888" s="12">
        <f>IFERROR(VLOOKUP(B888, PlumX_snapshot!$A:$E, 5, FALSE), " ")</f>
        <v>2</v>
      </c>
      <c r="AA888" s="12">
        <f>IFERROR(VLOOKUP(B888, PlumX_snapshot!$A:$F, 6, FALSE), " ")</f>
        <v>0</v>
      </c>
      <c r="AB888" s="13">
        <v>44978</v>
      </c>
      <c r="AH888" s="9"/>
      <c r="AI888" s="9"/>
      <c r="AJ888" s="9"/>
      <c r="AK888" s="11" t="str">
        <f t="shared" si="6"/>
        <v>2016</v>
      </c>
      <c r="AL888" s="11" t="e">
        <f>VLOOKUP(AK888, Exchange_rates!$C:$D, 2, FALSE)</f>
        <v>#N/A</v>
      </c>
      <c r="AM888" s="14" t="str">
        <f t="shared" si="7"/>
        <v/>
      </c>
      <c r="AN888" s="9"/>
      <c r="AO888" s="9"/>
      <c r="AP888" s="9"/>
      <c r="AQ888" s="15" t="s">
        <v>49</v>
      </c>
      <c r="AR888" t="s">
        <v>3070</v>
      </c>
      <c r="AS888" s="16"/>
    </row>
    <row r="889" spans="1:45" ht="14.5">
      <c r="A889" s="9" t="s">
        <v>4026</v>
      </c>
      <c r="B889" s="9" t="s">
        <v>4027</v>
      </c>
      <c r="C889" s="9" t="s">
        <v>4028</v>
      </c>
      <c r="D889" s="9" t="s">
        <v>2830</v>
      </c>
      <c r="E889" s="9" t="s">
        <v>49</v>
      </c>
      <c r="F889" s="9" t="s">
        <v>69</v>
      </c>
      <c r="G889" s="9" t="s">
        <v>70</v>
      </c>
      <c r="H889" s="9" t="s">
        <v>2913</v>
      </c>
      <c r="I889" s="9" t="s">
        <v>72</v>
      </c>
      <c r="J889" s="10"/>
      <c r="K889" s="10" t="s">
        <v>4029</v>
      </c>
      <c r="L889" s="10"/>
      <c r="M889" s="10">
        <v>42681</v>
      </c>
      <c r="N889" s="9">
        <v>2016</v>
      </c>
      <c r="O889" s="9" t="s">
        <v>3911</v>
      </c>
      <c r="P889" s="9" t="s">
        <v>53</v>
      </c>
      <c r="Q889" s="9" t="s">
        <v>53</v>
      </c>
      <c r="R889" s="9" t="s">
        <v>178</v>
      </c>
      <c r="T889" s="9"/>
      <c r="V889" s="9"/>
      <c r="W889" s="11">
        <f>IFERROR(VLOOKUP(B889, PlumX_snapshot!$A:$B, 2, FALSE), " ")</f>
        <v>3</v>
      </c>
      <c r="X889" s="11">
        <f>IFERROR(VLOOKUP(B889, PlumX_snapshot!$A:$C, 3, FALSE), " ")</f>
        <v>2</v>
      </c>
      <c r="Y889" s="12">
        <f>IFERROR(VLOOKUP(B889, PlumX_snapshot!$A:$D, 4, FALSE), " ")</f>
        <v>0</v>
      </c>
      <c r="Z889" s="12">
        <f>IFERROR(VLOOKUP(B889, PlumX_snapshot!$A:$E, 5, FALSE), " ")</f>
        <v>2</v>
      </c>
      <c r="AA889" s="12">
        <f>IFERROR(VLOOKUP(B889, PlumX_snapshot!$A:$F, 6, FALSE), " ")</f>
        <v>0</v>
      </c>
      <c r="AB889" s="13">
        <v>44978</v>
      </c>
      <c r="AH889" s="9"/>
      <c r="AI889" s="9"/>
      <c r="AJ889" s="9"/>
      <c r="AK889" s="11" t="str">
        <f t="shared" si="6"/>
        <v>2016</v>
      </c>
      <c r="AL889" s="11" t="e">
        <f>VLOOKUP(AK889, Exchange_rates!$C:$D, 2, FALSE)</f>
        <v>#N/A</v>
      </c>
      <c r="AM889" s="14" t="str">
        <f t="shared" si="7"/>
        <v/>
      </c>
      <c r="AN889" s="9"/>
      <c r="AO889" s="9"/>
      <c r="AP889" s="9"/>
      <c r="AQ889" s="15" t="s">
        <v>49</v>
      </c>
      <c r="AR889" t="s">
        <v>4030</v>
      </c>
      <c r="AS889" s="16"/>
    </row>
    <row r="890" spans="1:45" ht="14.5">
      <c r="A890" s="9" t="s">
        <v>4031</v>
      </c>
      <c r="B890" s="9" t="s">
        <v>4032</v>
      </c>
      <c r="C890" s="9" t="s">
        <v>3573</v>
      </c>
      <c r="D890" s="9" t="s">
        <v>2830</v>
      </c>
      <c r="E890" s="9" t="s">
        <v>49</v>
      </c>
      <c r="F890" s="9" t="s">
        <v>69</v>
      </c>
      <c r="G890" s="9" t="s">
        <v>70</v>
      </c>
      <c r="H890" s="9" t="s">
        <v>2913</v>
      </c>
      <c r="I890" s="9" t="s">
        <v>72</v>
      </c>
      <c r="J890" s="10"/>
      <c r="K890" s="10">
        <v>42532</v>
      </c>
      <c r="L890" s="10">
        <v>42502</v>
      </c>
      <c r="M890" s="10">
        <v>42709</v>
      </c>
      <c r="N890" s="9">
        <v>2016</v>
      </c>
      <c r="O890" s="9" t="s">
        <v>3911</v>
      </c>
      <c r="P890" s="9" t="s">
        <v>53</v>
      </c>
      <c r="Q890" s="9" t="s">
        <v>53</v>
      </c>
      <c r="T890" s="9"/>
      <c r="V890" s="9"/>
      <c r="W890" s="11">
        <f>IFERROR(VLOOKUP(B890, PlumX_snapshot!$A:$B, 2, FALSE), " ")</f>
        <v>58</v>
      </c>
      <c r="X890" s="11">
        <f>IFERROR(VLOOKUP(B890, PlumX_snapshot!$A:$C, 3, FALSE), " ")</f>
        <v>16</v>
      </c>
      <c r="Y890" s="12">
        <f>IFERROR(VLOOKUP(B890, PlumX_snapshot!$A:$D, 4, FALSE), " ")</f>
        <v>1</v>
      </c>
      <c r="Z890" s="12">
        <f>IFERROR(VLOOKUP(B890, PlumX_snapshot!$A:$E, 5, FALSE), " ")</f>
        <v>15</v>
      </c>
      <c r="AA890" s="12">
        <f>IFERROR(VLOOKUP(B890, PlumX_snapshot!$A:$F, 6, FALSE), " ")</f>
        <v>0</v>
      </c>
      <c r="AB890" s="13">
        <v>44978</v>
      </c>
      <c r="AH890" s="9"/>
      <c r="AI890" s="9"/>
      <c r="AJ890" s="9"/>
      <c r="AK890" s="11" t="str">
        <f t="shared" si="6"/>
        <v>2016</v>
      </c>
      <c r="AL890" s="11" t="e">
        <f>VLOOKUP(AK890, Exchange_rates!$C:$D, 2, FALSE)</f>
        <v>#N/A</v>
      </c>
      <c r="AM890" s="14" t="str">
        <f t="shared" si="7"/>
        <v/>
      </c>
      <c r="AN890" s="9"/>
      <c r="AO890" s="9"/>
      <c r="AP890" s="9"/>
      <c r="AQ890" s="15" t="s">
        <v>49</v>
      </c>
      <c r="AR890" t="s">
        <v>3574</v>
      </c>
      <c r="AS890" s="16"/>
    </row>
    <row r="891" spans="1:45" ht="14.5">
      <c r="A891" s="9" t="s">
        <v>4033</v>
      </c>
      <c r="B891" s="9" t="s">
        <v>4034</v>
      </c>
      <c r="C891" s="9" t="s">
        <v>3125</v>
      </c>
      <c r="D891" s="9" t="s">
        <v>2830</v>
      </c>
      <c r="E891" s="9" t="s">
        <v>49</v>
      </c>
      <c r="F891" s="9" t="s">
        <v>50</v>
      </c>
      <c r="G891" s="9" t="s">
        <v>51</v>
      </c>
      <c r="H891" s="9"/>
      <c r="J891" s="10"/>
      <c r="K891" s="10"/>
      <c r="L891" s="10"/>
      <c r="M891" s="10">
        <v>42378</v>
      </c>
      <c r="N891" s="9">
        <v>2016</v>
      </c>
      <c r="O891" s="9" t="s">
        <v>3911</v>
      </c>
      <c r="P891" s="9" t="s">
        <v>53</v>
      </c>
      <c r="Q891" s="9" t="s">
        <v>53</v>
      </c>
      <c r="T891" s="9" t="s">
        <v>661</v>
      </c>
      <c r="U891" s="9" t="s">
        <v>4035</v>
      </c>
      <c r="V891" s="9"/>
      <c r="W891" s="11">
        <f>IFERROR(VLOOKUP(B891, PlumX_snapshot!$A:$B, 2, FALSE), " ")</f>
        <v>36</v>
      </c>
      <c r="X891" s="11">
        <f>IFERROR(VLOOKUP(B891, PlumX_snapshot!$A:$C, 3, FALSE), " ")</f>
        <v>9</v>
      </c>
      <c r="Y891" s="12">
        <f>IFERROR(VLOOKUP(B891, PlumX_snapshot!$A:$D, 4, FALSE), " ")</f>
        <v>0</v>
      </c>
      <c r="Z891" s="12">
        <f>IFERROR(VLOOKUP(B891, PlumX_snapshot!$A:$E, 5, FALSE), " ")</f>
        <v>131</v>
      </c>
      <c r="AA891" s="12">
        <f>IFERROR(VLOOKUP(B891, PlumX_snapshot!$A:$F, 6, FALSE), " ")</f>
        <v>0</v>
      </c>
      <c r="AB891" s="13">
        <v>44978</v>
      </c>
      <c r="AH891" s="9"/>
      <c r="AI891" s="9"/>
      <c r="AJ891" s="9"/>
      <c r="AK891" s="11" t="str">
        <f t="shared" si="6"/>
        <v>2016</v>
      </c>
      <c r="AL891" s="11" t="e">
        <f>VLOOKUP(AK891, Exchange_rates!$C:$D, 2, FALSE)</f>
        <v>#N/A</v>
      </c>
      <c r="AM891" s="14" t="str">
        <f t="shared" si="7"/>
        <v/>
      </c>
      <c r="AN891" s="9"/>
      <c r="AO891" s="9"/>
      <c r="AP891" s="9"/>
      <c r="AQ891" s="15" t="s">
        <v>49</v>
      </c>
      <c r="AR891" t="s">
        <v>3126</v>
      </c>
      <c r="AS891" s="16"/>
    </row>
    <row r="892" spans="1:45" ht="14.5">
      <c r="A892" s="9" t="s">
        <v>4036</v>
      </c>
      <c r="B892" s="9" t="s">
        <v>4037</v>
      </c>
      <c r="C892" s="9" t="s">
        <v>3137</v>
      </c>
      <c r="D892" s="9" t="s">
        <v>2830</v>
      </c>
      <c r="E892" s="9" t="s">
        <v>49</v>
      </c>
      <c r="F892" s="9" t="s">
        <v>50</v>
      </c>
      <c r="G892" s="9" t="s">
        <v>51</v>
      </c>
      <c r="H892" s="9"/>
      <c r="J892" s="10"/>
      <c r="K892" s="10"/>
      <c r="L892" s="10"/>
      <c r="M892" s="10">
        <v>42494</v>
      </c>
      <c r="N892" s="9">
        <v>2016</v>
      </c>
      <c r="O892" s="9" t="s">
        <v>3911</v>
      </c>
      <c r="P892" s="9" t="s">
        <v>53</v>
      </c>
      <c r="Q892" s="9" t="s">
        <v>53</v>
      </c>
      <c r="T892" s="9" t="s">
        <v>661</v>
      </c>
      <c r="U892" s="9" t="s">
        <v>4035</v>
      </c>
      <c r="V892" s="9"/>
      <c r="W892" s="11">
        <f>IFERROR(VLOOKUP(B892, PlumX_snapshot!$A:$B, 2, FALSE), " ")</f>
        <v>165</v>
      </c>
      <c r="X892" s="11">
        <f>IFERROR(VLOOKUP(B892, PlumX_snapshot!$A:$C, 3, FALSE), " ")</f>
        <v>58</v>
      </c>
      <c r="Y892" s="12">
        <f>IFERROR(VLOOKUP(B892, PlumX_snapshot!$A:$D, 4, FALSE), " ")</f>
        <v>2</v>
      </c>
      <c r="Z892" s="12">
        <f>IFERROR(VLOOKUP(B892, PlumX_snapshot!$A:$E, 5, FALSE), " ")</f>
        <v>567</v>
      </c>
      <c r="AA892" s="12">
        <f>IFERROR(VLOOKUP(B892, PlumX_snapshot!$A:$F, 6, FALSE), " ")</f>
        <v>0</v>
      </c>
      <c r="AB892" s="13">
        <v>44978</v>
      </c>
      <c r="AH892" s="9"/>
      <c r="AI892" s="9"/>
      <c r="AJ892" s="9"/>
      <c r="AK892" s="11" t="str">
        <f t="shared" si="6"/>
        <v>2016</v>
      </c>
      <c r="AL892" s="11" t="e">
        <f>VLOOKUP(AK892, Exchange_rates!$C:$D, 2, FALSE)</f>
        <v>#N/A</v>
      </c>
      <c r="AM892" s="14" t="str">
        <f t="shared" si="7"/>
        <v/>
      </c>
      <c r="AN892" s="9"/>
      <c r="AO892" s="9"/>
      <c r="AP892" s="9"/>
      <c r="AQ892" s="15" t="s">
        <v>49</v>
      </c>
      <c r="AR892" t="s">
        <v>3139</v>
      </c>
      <c r="AS892" s="16"/>
    </row>
    <row r="893" spans="1:45" ht="14.5">
      <c r="A893" s="9" t="s">
        <v>4038</v>
      </c>
      <c r="B893" s="9" t="s">
        <v>4039</v>
      </c>
      <c r="C893" s="9" t="s">
        <v>2912</v>
      </c>
      <c r="D893" s="9" t="s">
        <v>2830</v>
      </c>
      <c r="E893" s="9" t="s">
        <v>49</v>
      </c>
      <c r="F893" s="9" t="s">
        <v>50</v>
      </c>
      <c r="G893" s="9" t="s">
        <v>51</v>
      </c>
      <c r="H893" s="9"/>
      <c r="J893" s="10"/>
      <c r="K893" s="10"/>
      <c r="L893" s="10"/>
      <c r="M893" s="10">
        <v>42496</v>
      </c>
      <c r="N893" s="9">
        <v>2016</v>
      </c>
      <c r="O893" s="9" t="s">
        <v>3911</v>
      </c>
      <c r="P893" s="9" t="s">
        <v>53</v>
      </c>
      <c r="Q893" s="9" t="s">
        <v>53</v>
      </c>
      <c r="T893" s="9" t="s">
        <v>661</v>
      </c>
      <c r="U893" s="9" t="s">
        <v>4035</v>
      </c>
      <c r="V893" s="9"/>
      <c r="W893" s="11">
        <f>IFERROR(VLOOKUP(B893, PlumX_snapshot!$A:$B, 2, FALSE), " ")</f>
        <v>22</v>
      </c>
      <c r="X893" s="11">
        <f>IFERROR(VLOOKUP(B893, PlumX_snapshot!$A:$C, 3, FALSE), " ")</f>
        <v>17</v>
      </c>
      <c r="Y893" s="12">
        <f>IFERROR(VLOOKUP(B893, PlumX_snapshot!$A:$D, 4, FALSE), " ")</f>
        <v>4</v>
      </c>
      <c r="Z893" s="12">
        <f>IFERROR(VLOOKUP(B893, PlumX_snapshot!$A:$E, 5, FALSE), " ")</f>
        <v>65</v>
      </c>
      <c r="AA893" s="12">
        <f>IFERROR(VLOOKUP(B893, PlumX_snapshot!$A:$F, 6, FALSE), " ")</f>
        <v>0</v>
      </c>
      <c r="AB893" s="13">
        <v>44978</v>
      </c>
      <c r="AH893" s="9"/>
      <c r="AI893" s="9"/>
      <c r="AJ893" s="9"/>
      <c r="AK893" s="11" t="str">
        <f t="shared" si="6"/>
        <v>2016</v>
      </c>
      <c r="AL893" s="11" t="e">
        <f>VLOOKUP(AK893, Exchange_rates!$C:$D, 2, FALSE)</f>
        <v>#N/A</v>
      </c>
      <c r="AM893" s="14" t="str">
        <f t="shared" si="7"/>
        <v/>
      </c>
      <c r="AN893" s="9"/>
      <c r="AO893" s="9"/>
      <c r="AP893" s="9"/>
      <c r="AQ893" s="15" t="s">
        <v>49</v>
      </c>
      <c r="AR893" t="s">
        <v>2914</v>
      </c>
      <c r="AS893" s="16"/>
    </row>
    <row r="894" spans="1:45" ht="14.5">
      <c r="A894" s="9" t="s">
        <v>4040</v>
      </c>
      <c r="B894" s="9" t="s">
        <v>4041</v>
      </c>
      <c r="C894" s="9" t="s">
        <v>4042</v>
      </c>
      <c r="D894" s="9" t="s">
        <v>2830</v>
      </c>
      <c r="E894" s="9" t="s">
        <v>49</v>
      </c>
      <c r="F894" s="9" t="s">
        <v>50</v>
      </c>
      <c r="G894" s="9" t="s">
        <v>51</v>
      </c>
      <c r="H894" s="9"/>
      <c r="J894" s="10"/>
      <c r="K894" s="10"/>
      <c r="L894" s="10"/>
      <c r="M894" s="10">
        <v>42573</v>
      </c>
      <c r="N894" s="9">
        <v>2016</v>
      </c>
      <c r="O894" s="9" t="s">
        <v>3911</v>
      </c>
      <c r="P894" s="9" t="s">
        <v>53</v>
      </c>
      <c r="Q894" s="9" t="s">
        <v>53</v>
      </c>
      <c r="T894" s="9" t="s">
        <v>661</v>
      </c>
      <c r="U894" s="9" t="s">
        <v>4035</v>
      </c>
      <c r="V894" s="9"/>
      <c r="W894" s="11">
        <f>IFERROR(VLOOKUP(B894, PlumX_snapshot!$A:$B, 2, FALSE), " ")</f>
        <v>23</v>
      </c>
      <c r="X894" s="11">
        <f>IFERROR(VLOOKUP(B894, PlumX_snapshot!$A:$C, 3, FALSE), " ")</f>
        <v>3</v>
      </c>
      <c r="Y894" s="12">
        <f>IFERROR(VLOOKUP(B894, PlumX_snapshot!$A:$D, 4, FALSE), " ")</f>
        <v>0</v>
      </c>
      <c r="Z894" s="12">
        <f>IFERROR(VLOOKUP(B894, PlumX_snapshot!$A:$E, 5, FALSE), " ")</f>
        <v>127</v>
      </c>
      <c r="AA894" s="12">
        <f>IFERROR(VLOOKUP(B894, PlumX_snapshot!$A:$F, 6, FALSE), " ")</f>
        <v>0</v>
      </c>
      <c r="AB894" s="13">
        <v>44978</v>
      </c>
      <c r="AH894" s="9"/>
      <c r="AI894" s="9"/>
      <c r="AJ894" s="9"/>
      <c r="AK894" s="11" t="str">
        <f t="shared" si="6"/>
        <v>2016</v>
      </c>
      <c r="AL894" s="11" t="e">
        <f>VLOOKUP(AK894, Exchange_rates!$C:$D, 2, FALSE)</f>
        <v>#N/A</v>
      </c>
      <c r="AM894" s="14" t="str">
        <f t="shared" si="7"/>
        <v/>
      </c>
      <c r="AN894" s="9"/>
      <c r="AO894" s="9"/>
      <c r="AP894" s="9"/>
      <c r="AQ894" s="15" t="s">
        <v>49</v>
      </c>
      <c r="AR894" t="s">
        <v>4043</v>
      </c>
      <c r="AS894" s="16"/>
    </row>
    <row r="895" spans="1:45" ht="14.5">
      <c r="A895" s="9" t="s">
        <v>4044</v>
      </c>
      <c r="B895" s="9" t="s">
        <v>4045</v>
      </c>
      <c r="C895" s="9" t="s">
        <v>4046</v>
      </c>
      <c r="D895" s="9" t="s">
        <v>2830</v>
      </c>
      <c r="E895" s="9" t="s">
        <v>49</v>
      </c>
      <c r="F895" s="9" t="s">
        <v>50</v>
      </c>
      <c r="G895" s="9" t="s">
        <v>51</v>
      </c>
      <c r="H895" s="9"/>
      <c r="J895" s="10"/>
      <c r="K895" s="10"/>
      <c r="L895" s="10"/>
      <c r="M895" s="10">
        <v>42607</v>
      </c>
      <c r="N895" s="9">
        <v>2016</v>
      </c>
      <c r="O895" s="9" t="s">
        <v>3911</v>
      </c>
      <c r="P895" s="9" t="s">
        <v>53</v>
      </c>
      <c r="Q895" s="9" t="s">
        <v>53</v>
      </c>
      <c r="T895" s="9" t="s">
        <v>661</v>
      </c>
      <c r="U895" s="9" t="s">
        <v>4035</v>
      </c>
      <c r="V895" s="9"/>
      <c r="W895" s="11">
        <f>IFERROR(VLOOKUP(B895, PlumX_snapshot!$A:$B, 2, FALSE), " ")</f>
        <v>8</v>
      </c>
      <c r="X895" s="11">
        <f>IFERROR(VLOOKUP(B895, PlumX_snapshot!$A:$C, 3, FALSE), " ")</f>
        <v>6</v>
      </c>
      <c r="Y895" s="12">
        <f>IFERROR(VLOOKUP(B895, PlumX_snapshot!$A:$D, 4, FALSE), " ")</f>
        <v>1</v>
      </c>
      <c r="Z895" s="12">
        <f>IFERROR(VLOOKUP(B895, PlumX_snapshot!$A:$E, 5, FALSE), " ")</f>
        <v>155</v>
      </c>
      <c r="AA895" s="12">
        <f>IFERROR(VLOOKUP(B895, PlumX_snapshot!$A:$F, 6, FALSE), " ")</f>
        <v>0</v>
      </c>
      <c r="AB895" s="13">
        <v>44978</v>
      </c>
      <c r="AH895" s="9"/>
      <c r="AI895" s="9"/>
      <c r="AJ895" s="9"/>
      <c r="AK895" s="11" t="str">
        <f t="shared" si="6"/>
        <v>2016</v>
      </c>
      <c r="AL895" s="11" t="e">
        <f>VLOOKUP(AK895, Exchange_rates!$C:$D, 2, FALSE)</f>
        <v>#N/A</v>
      </c>
      <c r="AM895" s="14" t="str">
        <f t="shared" si="7"/>
        <v/>
      </c>
      <c r="AN895" s="9"/>
      <c r="AO895" s="9"/>
      <c r="AP895" s="9"/>
      <c r="AQ895" s="15" t="s">
        <v>49</v>
      </c>
      <c r="AR895" t="s">
        <v>4047</v>
      </c>
      <c r="AS895" s="16"/>
    </row>
    <row r="896" spans="1:45" ht="14.5">
      <c r="A896" s="9" t="s">
        <v>4048</v>
      </c>
      <c r="B896" s="9" t="s">
        <v>4049</v>
      </c>
      <c r="C896" s="9" t="s">
        <v>4050</v>
      </c>
      <c r="D896" s="9" t="s">
        <v>2830</v>
      </c>
      <c r="E896" s="9" t="s">
        <v>49</v>
      </c>
      <c r="F896" s="9" t="s">
        <v>50</v>
      </c>
      <c r="G896" s="9" t="s">
        <v>51</v>
      </c>
      <c r="H896" s="9"/>
      <c r="J896" s="10"/>
      <c r="K896" s="10"/>
      <c r="L896" s="10"/>
      <c r="M896" s="10">
        <v>42608</v>
      </c>
      <c r="N896" s="9">
        <v>2016</v>
      </c>
      <c r="O896" s="9" t="s">
        <v>3911</v>
      </c>
      <c r="P896" s="9" t="s">
        <v>53</v>
      </c>
      <c r="Q896" s="9" t="s">
        <v>53</v>
      </c>
      <c r="T896" s="9" t="s">
        <v>661</v>
      </c>
      <c r="U896" s="9" t="s">
        <v>4035</v>
      </c>
      <c r="V896" s="9"/>
      <c r="W896" s="11">
        <f>IFERROR(VLOOKUP(B896, PlumX_snapshot!$A:$B, 2, FALSE), " ")</f>
        <v>10</v>
      </c>
      <c r="X896" s="11">
        <f>IFERROR(VLOOKUP(B896, PlumX_snapshot!$A:$C, 3, FALSE), " ")</f>
        <v>4</v>
      </c>
      <c r="Y896" s="12">
        <f>IFERROR(VLOOKUP(B896, PlumX_snapshot!$A:$D, 4, FALSE), " ")</f>
        <v>0</v>
      </c>
      <c r="Z896" s="12">
        <f>IFERROR(VLOOKUP(B896, PlumX_snapshot!$A:$E, 5, FALSE), " ")</f>
        <v>20</v>
      </c>
      <c r="AA896" s="12">
        <f>IFERROR(VLOOKUP(B896, PlumX_snapshot!$A:$F, 6, FALSE), " ")</f>
        <v>0</v>
      </c>
      <c r="AB896" s="13">
        <v>44978</v>
      </c>
      <c r="AH896" s="9"/>
      <c r="AI896" s="9"/>
      <c r="AJ896" s="9"/>
      <c r="AK896" s="11" t="str">
        <f t="shared" si="6"/>
        <v>2016</v>
      </c>
      <c r="AL896" s="11" t="e">
        <f>VLOOKUP(AK896, Exchange_rates!$C:$D, 2, FALSE)</f>
        <v>#N/A</v>
      </c>
      <c r="AM896" s="14" t="str">
        <f t="shared" si="7"/>
        <v/>
      </c>
      <c r="AN896" s="9"/>
      <c r="AO896" s="9"/>
      <c r="AP896" s="9"/>
      <c r="AQ896" s="15" t="s">
        <v>49</v>
      </c>
      <c r="AR896" t="s">
        <v>4051</v>
      </c>
      <c r="AS896" s="16"/>
    </row>
    <row r="897" spans="1:45" ht="14.5">
      <c r="A897" s="9" t="s">
        <v>4052</v>
      </c>
      <c r="B897" s="9" t="s">
        <v>4053</v>
      </c>
      <c r="C897" s="9" t="s">
        <v>4054</v>
      </c>
      <c r="D897" s="9" t="s">
        <v>2830</v>
      </c>
      <c r="E897" s="9" t="s">
        <v>49</v>
      </c>
      <c r="F897" s="9" t="s">
        <v>50</v>
      </c>
      <c r="G897" s="9" t="s">
        <v>51</v>
      </c>
      <c r="H897" s="9"/>
      <c r="J897" s="10"/>
      <c r="K897" s="10"/>
      <c r="L897" s="10"/>
      <c r="M897" s="10">
        <v>42642</v>
      </c>
      <c r="N897" s="9">
        <v>2016</v>
      </c>
      <c r="O897" s="9" t="s">
        <v>3911</v>
      </c>
      <c r="P897" s="9" t="s">
        <v>53</v>
      </c>
      <c r="Q897" s="9" t="s">
        <v>53</v>
      </c>
      <c r="T897" s="9" t="s">
        <v>661</v>
      </c>
      <c r="U897" s="9" t="s">
        <v>4035</v>
      </c>
      <c r="V897" s="9"/>
      <c r="W897" s="11">
        <f>IFERROR(VLOOKUP(B897, PlumX_snapshot!$A:$B, 2, FALSE), " ")</f>
        <v>62</v>
      </c>
      <c r="X897" s="11">
        <f>IFERROR(VLOOKUP(B897, PlumX_snapshot!$A:$C, 3, FALSE), " ")</f>
        <v>17</v>
      </c>
      <c r="Y897" s="12">
        <f>IFERROR(VLOOKUP(B897, PlumX_snapshot!$A:$D, 4, FALSE), " ")</f>
        <v>0</v>
      </c>
      <c r="Z897" s="12">
        <f>IFERROR(VLOOKUP(B897, PlumX_snapshot!$A:$E, 5, FALSE), " ")</f>
        <v>56</v>
      </c>
      <c r="AA897" s="12">
        <f>IFERROR(VLOOKUP(B897, PlumX_snapshot!$A:$F, 6, FALSE), " ")</f>
        <v>0</v>
      </c>
      <c r="AB897" s="13">
        <v>44978</v>
      </c>
      <c r="AH897" s="9"/>
      <c r="AI897" s="9"/>
      <c r="AJ897" s="9"/>
      <c r="AK897" s="11" t="str">
        <f t="shared" si="6"/>
        <v>2016</v>
      </c>
      <c r="AL897" s="11" t="e">
        <f>VLOOKUP(AK897, Exchange_rates!$C:$D, 2, FALSE)</f>
        <v>#N/A</v>
      </c>
      <c r="AM897" s="14" t="str">
        <f t="shared" si="7"/>
        <v/>
      </c>
      <c r="AN897" s="9"/>
      <c r="AO897" s="9"/>
      <c r="AP897" s="9"/>
      <c r="AQ897" s="15" t="s">
        <v>49</v>
      </c>
      <c r="AR897" t="s">
        <v>4055</v>
      </c>
      <c r="AS897" s="16"/>
    </row>
    <row r="898" spans="1:45" ht="14.5">
      <c r="A898" s="9" t="s">
        <v>4056</v>
      </c>
      <c r="B898" s="9" t="s">
        <v>4057</v>
      </c>
      <c r="C898" s="9" t="s">
        <v>4058</v>
      </c>
      <c r="D898" s="9" t="s">
        <v>2830</v>
      </c>
      <c r="E898" s="9" t="s">
        <v>49</v>
      </c>
      <c r="F898" s="9" t="s">
        <v>50</v>
      </c>
      <c r="G898" s="9" t="s">
        <v>51</v>
      </c>
      <c r="H898" s="9"/>
      <c r="J898" s="10"/>
      <c r="K898" s="10"/>
      <c r="L898" s="10"/>
      <c r="M898" s="10">
        <v>42636</v>
      </c>
      <c r="N898" s="9">
        <v>2016</v>
      </c>
      <c r="O898" s="9" t="s">
        <v>3911</v>
      </c>
      <c r="P898" s="9" t="s">
        <v>53</v>
      </c>
      <c r="Q898" s="9" t="s">
        <v>53</v>
      </c>
      <c r="T898" s="9" t="s">
        <v>661</v>
      </c>
      <c r="U898" s="9" t="s">
        <v>4035</v>
      </c>
      <c r="V898" s="9"/>
      <c r="W898" s="11">
        <f>IFERROR(VLOOKUP(B898, PlumX_snapshot!$A:$B, 2, FALSE), " ")</f>
        <v>29</v>
      </c>
      <c r="X898" s="11">
        <f>IFERROR(VLOOKUP(B898, PlumX_snapshot!$A:$C, 3, FALSE), " ")</f>
        <v>20</v>
      </c>
      <c r="Y898" s="12">
        <f>IFERROR(VLOOKUP(B898, PlumX_snapshot!$A:$D, 4, FALSE), " ")</f>
        <v>0</v>
      </c>
      <c r="Z898" s="12">
        <f>IFERROR(VLOOKUP(B898, PlumX_snapshot!$A:$E, 5, FALSE), " ")</f>
        <v>34</v>
      </c>
      <c r="AA898" s="12">
        <f>IFERROR(VLOOKUP(B898, PlumX_snapshot!$A:$F, 6, FALSE), " ")</f>
        <v>0</v>
      </c>
      <c r="AB898" s="13">
        <v>44978</v>
      </c>
      <c r="AH898" s="9"/>
      <c r="AI898" s="9"/>
      <c r="AJ898" s="9"/>
      <c r="AK898" s="11" t="str">
        <f t="shared" si="6"/>
        <v>2016</v>
      </c>
      <c r="AL898" s="11" t="e">
        <f>VLOOKUP(AK898, Exchange_rates!$C:$D, 2, FALSE)</f>
        <v>#N/A</v>
      </c>
      <c r="AM898" s="14" t="str">
        <f t="shared" si="7"/>
        <v/>
      </c>
      <c r="AN898" s="9"/>
      <c r="AO898" s="9"/>
      <c r="AP898" s="9"/>
      <c r="AQ898" s="15" t="s">
        <v>49</v>
      </c>
      <c r="AR898" t="s">
        <v>4059</v>
      </c>
      <c r="AS898" s="16"/>
    </row>
    <row r="899" spans="1:45" ht="14.5">
      <c r="A899" s="9" t="s">
        <v>4060</v>
      </c>
      <c r="B899" s="9" t="s">
        <v>4061</v>
      </c>
      <c r="C899" s="9" t="s">
        <v>4062</v>
      </c>
      <c r="D899" s="9" t="s">
        <v>2830</v>
      </c>
      <c r="E899" s="9" t="s">
        <v>49</v>
      </c>
      <c r="F899" s="9" t="s">
        <v>50</v>
      </c>
      <c r="G899" s="9" t="s">
        <v>51</v>
      </c>
      <c r="H899" s="9"/>
      <c r="J899" s="10"/>
      <c r="K899" s="10"/>
      <c r="L899" s="10"/>
      <c r="M899" s="10">
        <v>42648</v>
      </c>
      <c r="N899" s="9">
        <v>2016</v>
      </c>
      <c r="O899" s="9" t="s">
        <v>3911</v>
      </c>
      <c r="P899" s="9" t="s">
        <v>53</v>
      </c>
      <c r="Q899" s="9" t="s">
        <v>53</v>
      </c>
      <c r="T899" s="9" t="s">
        <v>661</v>
      </c>
      <c r="U899" s="9" t="s">
        <v>4035</v>
      </c>
      <c r="V899" s="9"/>
      <c r="W899" s="11">
        <f>IFERROR(VLOOKUP(B899, PlumX_snapshot!$A:$B, 2, FALSE), " ")</f>
        <v>14</v>
      </c>
      <c r="X899" s="11">
        <f>IFERROR(VLOOKUP(B899, PlumX_snapshot!$A:$C, 3, FALSE), " ")</f>
        <v>3</v>
      </c>
      <c r="Y899" s="12">
        <f>IFERROR(VLOOKUP(B899, PlumX_snapshot!$A:$D, 4, FALSE), " ")</f>
        <v>0</v>
      </c>
      <c r="Z899" s="12">
        <f>IFERROR(VLOOKUP(B899, PlumX_snapshot!$A:$E, 5, FALSE), " ")</f>
        <v>7</v>
      </c>
      <c r="AA899" s="12">
        <f>IFERROR(VLOOKUP(B899, PlumX_snapshot!$A:$F, 6, FALSE), " ")</f>
        <v>0</v>
      </c>
      <c r="AB899" s="13">
        <v>44978</v>
      </c>
      <c r="AH899" s="9"/>
      <c r="AI899" s="9"/>
      <c r="AJ899" s="9"/>
      <c r="AK899" s="11" t="str">
        <f t="shared" si="6"/>
        <v>2016</v>
      </c>
      <c r="AL899" s="11" t="e">
        <f>VLOOKUP(AK899, Exchange_rates!$C:$D, 2, FALSE)</f>
        <v>#N/A</v>
      </c>
      <c r="AM899" s="14" t="str">
        <f t="shared" si="7"/>
        <v/>
      </c>
      <c r="AN899" s="9"/>
      <c r="AO899" s="9"/>
      <c r="AP899" s="9"/>
      <c r="AQ899" s="15" t="s">
        <v>49</v>
      </c>
      <c r="AR899" t="s">
        <v>4063</v>
      </c>
      <c r="AS899" s="16"/>
    </row>
    <row r="900" spans="1:45" ht="14.5">
      <c r="A900" s="9" t="s">
        <v>4064</v>
      </c>
      <c r="B900" s="9" t="s">
        <v>4065</v>
      </c>
      <c r="C900" s="9" t="s">
        <v>2882</v>
      </c>
      <c r="D900" s="9" t="s">
        <v>2830</v>
      </c>
      <c r="E900" s="9" t="s">
        <v>49</v>
      </c>
      <c r="F900" s="9" t="s">
        <v>50</v>
      </c>
      <c r="G900" s="9" t="s">
        <v>51</v>
      </c>
      <c r="H900" s="9"/>
      <c r="J900" s="10"/>
      <c r="K900" s="10"/>
      <c r="L900" s="10"/>
      <c r="M900" s="28">
        <v>42669</v>
      </c>
      <c r="N900" s="9">
        <v>2016</v>
      </c>
      <c r="O900" s="9" t="s">
        <v>3911</v>
      </c>
      <c r="P900" s="9" t="s">
        <v>53</v>
      </c>
      <c r="Q900" s="9" t="s">
        <v>53</v>
      </c>
      <c r="T900" s="9" t="s">
        <v>661</v>
      </c>
      <c r="U900" s="9" t="s">
        <v>4035</v>
      </c>
      <c r="V900" s="9"/>
      <c r="W900" s="11">
        <f>IFERROR(VLOOKUP(B900, PlumX_snapshot!$A:$B, 2, FALSE), " ")</f>
        <v>65</v>
      </c>
      <c r="X900" s="11">
        <f>IFERROR(VLOOKUP(B900, PlumX_snapshot!$A:$C, 3, FALSE), " ")</f>
        <v>9</v>
      </c>
      <c r="Y900" s="12">
        <f>IFERROR(VLOOKUP(B900, PlumX_snapshot!$A:$D, 4, FALSE), " ")</f>
        <v>3</v>
      </c>
      <c r="Z900" s="12">
        <f>IFERROR(VLOOKUP(B900, PlumX_snapshot!$A:$E, 5, FALSE), " ")</f>
        <v>238</v>
      </c>
      <c r="AA900" s="12">
        <f>IFERROR(VLOOKUP(B900, PlumX_snapshot!$A:$F, 6, FALSE), " ")</f>
        <v>0</v>
      </c>
      <c r="AB900" s="13">
        <v>44978</v>
      </c>
      <c r="AH900" s="9"/>
      <c r="AI900" s="9"/>
      <c r="AJ900" s="9"/>
      <c r="AK900" s="11" t="str">
        <f t="shared" si="6"/>
        <v>2016</v>
      </c>
      <c r="AL900" s="11" t="e">
        <f>VLOOKUP(AK900, Exchange_rates!$C:$D, 2, FALSE)</f>
        <v>#N/A</v>
      </c>
      <c r="AM900" s="14" t="str">
        <f t="shared" si="7"/>
        <v/>
      </c>
      <c r="AN900" s="9"/>
      <c r="AO900" s="9"/>
      <c r="AP900" s="9"/>
      <c r="AQ900" s="15" t="s">
        <v>49</v>
      </c>
      <c r="AR900" t="s">
        <v>2883</v>
      </c>
      <c r="AS900" s="16"/>
    </row>
    <row r="901" spans="1:45" ht="14.5">
      <c r="A901" s="9" t="s">
        <v>4066</v>
      </c>
      <c r="B901" s="9" t="s">
        <v>4067</v>
      </c>
      <c r="C901" s="9" t="s">
        <v>3544</v>
      </c>
      <c r="D901" s="9" t="s">
        <v>2830</v>
      </c>
      <c r="E901" s="9" t="s">
        <v>49</v>
      </c>
      <c r="F901" s="9" t="s">
        <v>50</v>
      </c>
      <c r="G901" s="9" t="s">
        <v>51</v>
      </c>
      <c r="H901" s="9"/>
      <c r="J901" s="10"/>
      <c r="K901" s="10"/>
      <c r="L901" s="10"/>
      <c r="M901" s="10">
        <v>42711</v>
      </c>
      <c r="N901" s="9">
        <v>2016</v>
      </c>
      <c r="O901" s="9" t="s">
        <v>3911</v>
      </c>
      <c r="P901" s="9" t="s">
        <v>53</v>
      </c>
      <c r="Q901" s="9" t="s">
        <v>53</v>
      </c>
      <c r="T901" s="9" t="s">
        <v>661</v>
      </c>
      <c r="U901" s="9" t="s">
        <v>4035</v>
      </c>
      <c r="V901" s="9"/>
      <c r="W901" s="11">
        <f>IFERROR(VLOOKUP(B901, PlumX_snapshot!$A:$B, 2, FALSE), " ")</f>
        <v>72</v>
      </c>
      <c r="X901" s="11">
        <f>IFERROR(VLOOKUP(B901, PlumX_snapshot!$A:$C, 3, FALSE), " ")</f>
        <v>27</v>
      </c>
      <c r="Y901" s="12">
        <f>IFERROR(VLOOKUP(B901, PlumX_snapshot!$A:$D, 4, FALSE), " ")</f>
        <v>4</v>
      </c>
      <c r="Z901" s="12">
        <f>IFERROR(VLOOKUP(B901, PlumX_snapshot!$A:$E, 5, FALSE), " ")</f>
        <v>66</v>
      </c>
      <c r="AA901" s="12">
        <f>IFERROR(VLOOKUP(B901, PlumX_snapshot!$A:$F, 6, FALSE), " ")</f>
        <v>0</v>
      </c>
      <c r="AB901" s="13">
        <v>44978</v>
      </c>
      <c r="AH901" s="9"/>
      <c r="AI901" s="9"/>
      <c r="AJ901" s="9"/>
      <c r="AK901" s="11" t="str">
        <f t="shared" si="6"/>
        <v>2016</v>
      </c>
      <c r="AL901" s="11" t="e">
        <f>VLOOKUP(AK901, Exchange_rates!$C:$D, 2, FALSE)</f>
        <v>#N/A</v>
      </c>
      <c r="AM901" s="14" t="str">
        <f t="shared" si="7"/>
        <v/>
      </c>
      <c r="AN901" s="9"/>
      <c r="AO901" s="9"/>
      <c r="AP901" s="9"/>
      <c r="AQ901" s="15" t="s">
        <v>49</v>
      </c>
      <c r="AR901" t="s">
        <v>3545</v>
      </c>
      <c r="AS901" s="16"/>
    </row>
    <row r="902" spans="1:45" ht="14.5">
      <c r="A902" s="9" t="s">
        <v>4068</v>
      </c>
      <c r="B902" s="9" t="s">
        <v>4069</v>
      </c>
      <c r="C902" s="9" t="s">
        <v>2998</v>
      </c>
      <c r="D902" s="9" t="s">
        <v>2830</v>
      </c>
      <c r="E902" s="9" t="s">
        <v>49</v>
      </c>
      <c r="F902" s="9" t="s">
        <v>50</v>
      </c>
      <c r="G902" s="9" t="s">
        <v>51</v>
      </c>
      <c r="H902" s="9"/>
      <c r="J902" s="10"/>
      <c r="K902" s="10"/>
      <c r="L902" s="10"/>
      <c r="M902" s="28">
        <v>42714</v>
      </c>
      <c r="N902" s="9">
        <v>2016</v>
      </c>
      <c r="O902" s="9" t="s">
        <v>3911</v>
      </c>
      <c r="P902" s="9" t="s">
        <v>53</v>
      </c>
      <c r="Q902" s="9" t="s">
        <v>53</v>
      </c>
      <c r="T902" s="9" t="s">
        <v>661</v>
      </c>
      <c r="U902" s="9" t="s">
        <v>4035</v>
      </c>
      <c r="V902" s="9"/>
      <c r="W902" s="11">
        <f>IFERROR(VLOOKUP(B902, PlumX_snapshot!$A:$B, 2, FALSE), " ")</f>
        <v>2</v>
      </c>
      <c r="X902" s="11">
        <f>IFERROR(VLOOKUP(B902, PlumX_snapshot!$A:$C, 3, FALSE), " ")</f>
        <v>0</v>
      </c>
      <c r="Y902" s="12">
        <f>IFERROR(VLOOKUP(B902, PlumX_snapshot!$A:$D, 4, FALSE), " ")</f>
        <v>0</v>
      </c>
      <c r="Z902" s="12">
        <f>IFERROR(VLOOKUP(B902, PlumX_snapshot!$A:$E, 5, FALSE), " ")</f>
        <v>16</v>
      </c>
      <c r="AA902" s="12">
        <f>IFERROR(VLOOKUP(B902, PlumX_snapshot!$A:$F, 6, FALSE), " ")</f>
        <v>0</v>
      </c>
      <c r="AB902" s="13">
        <v>44978</v>
      </c>
      <c r="AH902" s="9"/>
      <c r="AI902" s="9"/>
      <c r="AJ902" s="9"/>
      <c r="AK902" s="11" t="str">
        <f t="shared" si="6"/>
        <v>2016</v>
      </c>
      <c r="AL902" s="11" t="e">
        <f>VLOOKUP(AK902, Exchange_rates!$C:$D, 2, FALSE)</f>
        <v>#N/A</v>
      </c>
      <c r="AM902" s="14" t="str">
        <f t="shared" si="7"/>
        <v/>
      </c>
      <c r="AN902" s="9"/>
      <c r="AO902" s="9"/>
      <c r="AP902" s="9"/>
      <c r="AQ902" s="15" t="s">
        <v>49</v>
      </c>
      <c r="AR902" t="s">
        <v>2999</v>
      </c>
      <c r="AS902" s="16"/>
    </row>
    <row r="903" spans="1:45" ht="14.5">
      <c r="A903" s="9" t="s">
        <v>4070</v>
      </c>
      <c r="B903" s="9" t="s">
        <v>4071</v>
      </c>
      <c r="C903" s="9" t="s">
        <v>4072</v>
      </c>
      <c r="D903" s="9" t="s">
        <v>2830</v>
      </c>
      <c r="E903" s="9" t="s">
        <v>49</v>
      </c>
      <c r="F903" s="9" t="s">
        <v>50</v>
      </c>
      <c r="G903" s="9" t="s">
        <v>51</v>
      </c>
      <c r="H903" s="9"/>
      <c r="J903" s="10"/>
      <c r="K903" s="10">
        <v>42746</v>
      </c>
      <c r="L903" s="10"/>
      <c r="M903" s="10">
        <v>42768</v>
      </c>
      <c r="N903" s="9">
        <v>2017</v>
      </c>
      <c r="O903" s="9" t="s">
        <v>4073</v>
      </c>
      <c r="P903" s="9" t="s">
        <v>53</v>
      </c>
      <c r="Q903" s="9" t="s">
        <v>53</v>
      </c>
      <c r="T903" s="9" t="s">
        <v>661</v>
      </c>
      <c r="U903" s="9" t="s">
        <v>4035</v>
      </c>
      <c r="V903" s="9"/>
      <c r="W903" s="11">
        <f>IFERROR(VLOOKUP(B903, PlumX_snapshot!$A:$B, 2, FALSE), " ")</f>
        <v>7</v>
      </c>
      <c r="X903" s="11">
        <f>IFERROR(VLOOKUP(B903, PlumX_snapshot!$A:$C, 3, FALSE), " ")</f>
        <v>0</v>
      </c>
      <c r="Y903" s="12">
        <f>IFERROR(VLOOKUP(B903, PlumX_snapshot!$A:$D, 4, FALSE), " ")</f>
        <v>2</v>
      </c>
      <c r="Z903" s="12">
        <f>IFERROR(VLOOKUP(B903, PlumX_snapshot!$A:$E, 5, FALSE), " ")</f>
        <v>12</v>
      </c>
      <c r="AA903" s="12">
        <f>IFERROR(VLOOKUP(B903, PlumX_snapshot!$A:$F, 6, FALSE), " ")</f>
        <v>0</v>
      </c>
      <c r="AB903" s="13">
        <v>44978</v>
      </c>
      <c r="AH903" s="9"/>
      <c r="AI903" s="9"/>
      <c r="AJ903" s="9"/>
      <c r="AK903" s="11" t="str">
        <f t="shared" si="6"/>
        <v>2017</v>
      </c>
      <c r="AL903" s="11" t="e">
        <f>VLOOKUP(AK903, Exchange_rates!$C:$D, 2, FALSE)</f>
        <v>#N/A</v>
      </c>
      <c r="AM903" s="14" t="str">
        <f t="shared" si="7"/>
        <v/>
      </c>
      <c r="AN903" s="9"/>
      <c r="AO903" s="9"/>
      <c r="AP903" s="9"/>
      <c r="AQ903" s="15" t="s">
        <v>49</v>
      </c>
      <c r="AR903" t="s">
        <v>4074</v>
      </c>
      <c r="AS903" s="16"/>
    </row>
    <row r="904" spans="1:45" ht="14.5">
      <c r="A904" s="9" t="s">
        <v>4075</v>
      </c>
      <c r="B904" s="9" t="s">
        <v>4076</v>
      </c>
      <c r="C904" s="9" t="s">
        <v>4077</v>
      </c>
      <c r="D904" s="9" t="s">
        <v>2830</v>
      </c>
      <c r="E904" s="9" t="s">
        <v>49</v>
      </c>
      <c r="F904" s="9" t="s">
        <v>50</v>
      </c>
      <c r="G904" s="9" t="s">
        <v>51</v>
      </c>
      <c r="H904" s="9"/>
      <c r="J904" s="10"/>
      <c r="K904" s="10">
        <v>42758</v>
      </c>
      <c r="L904" s="10"/>
      <c r="M904" s="10">
        <v>42781</v>
      </c>
      <c r="N904" s="9">
        <v>2017</v>
      </c>
      <c r="O904" s="9" t="s">
        <v>4073</v>
      </c>
      <c r="P904" s="9" t="s">
        <v>53</v>
      </c>
      <c r="Q904" s="9" t="s">
        <v>53</v>
      </c>
      <c r="T904" s="9" t="s">
        <v>661</v>
      </c>
      <c r="U904" s="9" t="s">
        <v>4035</v>
      </c>
      <c r="V904" s="9"/>
      <c r="W904" s="11">
        <f>IFERROR(VLOOKUP(B904, PlumX_snapshot!$A:$B, 2, FALSE), " ")</f>
        <v>16</v>
      </c>
      <c r="X904" s="11">
        <f>IFERROR(VLOOKUP(B904, PlumX_snapshot!$A:$C, 3, FALSE), " ")</f>
        <v>6</v>
      </c>
      <c r="Y904" s="12">
        <f>IFERROR(VLOOKUP(B904, PlumX_snapshot!$A:$D, 4, FALSE), " ")</f>
        <v>2</v>
      </c>
      <c r="Z904" s="12">
        <f>IFERROR(VLOOKUP(B904, PlumX_snapshot!$A:$E, 5, FALSE), " ")</f>
        <v>101</v>
      </c>
      <c r="AA904" s="12">
        <f>IFERROR(VLOOKUP(B904, PlumX_snapshot!$A:$F, 6, FALSE), " ")</f>
        <v>0</v>
      </c>
      <c r="AB904" s="13">
        <v>44978</v>
      </c>
      <c r="AH904" s="9"/>
      <c r="AI904" s="9"/>
      <c r="AJ904" s="9"/>
      <c r="AK904" s="11" t="str">
        <f t="shared" si="6"/>
        <v>2017</v>
      </c>
      <c r="AL904" s="11" t="e">
        <f>VLOOKUP(AK904, Exchange_rates!$C:$D, 2, FALSE)</f>
        <v>#N/A</v>
      </c>
      <c r="AM904" s="14" t="str">
        <f t="shared" si="7"/>
        <v/>
      </c>
      <c r="AN904" s="9"/>
      <c r="AO904" s="9"/>
      <c r="AP904" s="9"/>
      <c r="AQ904" s="15" t="s">
        <v>49</v>
      </c>
      <c r="AR904" t="s">
        <v>4078</v>
      </c>
      <c r="AS904" s="16"/>
    </row>
    <row r="905" spans="1:45" ht="14.5">
      <c r="A905" s="9" t="s">
        <v>4079</v>
      </c>
      <c r="B905" s="9" t="s">
        <v>4080</v>
      </c>
      <c r="C905" s="9" t="s">
        <v>3532</v>
      </c>
      <c r="D905" s="9" t="s">
        <v>2830</v>
      </c>
      <c r="E905" s="9" t="s">
        <v>49</v>
      </c>
      <c r="F905" s="9" t="s">
        <v>50</v>
      </c>
      <c r="G905" s="9" t="s">
        <v>51</v>
      </c>
      <c r="H905" s="9"/>
      <c r="J905" s="10"/>
      <c r="K905" s="10"/>
      <c r="L905" s="10"/>
      <c r="M905" s="10">
        <v>42886</v>
      </c>
      <c r="N905" s="9">
        <v>2017</v>
      </c>
      <c r="O905" s="9" t="s">
        <v>4073</v>
      </c>
      <c r="P905" s="9" t="s">
        <v>53</v>
      </c>
      <c r="Q905" s="9" t="s">
        <v>53</v>
      </c>
      <c r="T905" s="9" t="s">
        <v>661</v>
      </c>
      <c r="U905" s="9" t="s">
        <v>4035</v>
      </c>
      <c r="V905" s="9"/>
      <c r="W905" s="11">
        <f>IFERROR(VLOOKUP(B905, PlumX_snapshot!$A:$B, 2, FALSE), " ")</f>
        <v>83</v>
      </c>
      <c r="X905" s="11">
        <f>IFERROR(VLOOKUP(B905, PlumX_snapshot!$A:$C, 3, FALSE), " ")</f>
        <v>10</v>
      </c>
      <c r="Y905" s="12">
        <f>IFERROR(VLOOKUP(B905, PlumX_snapshot!$A:$D, 4, FALSE), " ")</f>
        <v>10</v>
      </c>
      <c r="Z905" s="12">
        <f>IFERROR(VLOOKUP(B905, PlumX_snapshot!$A:$E, 5, FALSE), " ")</f>
        <v>1824</v>
      </c>
      <c r="AA905" s="12">
        <f>IFERROR(VLOOKUP(B905, PlumX_snapshot!$A:$F, 6, FALSE), " ")</f>
        <v>0</v>
      </c>
      <c r="AB905" s="13">
        <v>44978</v>
      </c>
      <c r="AH905" s="9"/>
      <c r="AI905" s="9"/>
      <c r="AJ905" s="9"/>
      <c r="AK905" s="11" t="str">
        <f t="shared" si="6"/>
        <v>2017</v>
      </c>
      <c r="AL905" s="11" t="e">
        <f>VLOOKUP(AK905, Exchange_rates!$C:$D, 2, FALSE)</f>
        <v>#N/A</v>
      </c>
      <c r="AM905" s="14" t="str">
        <f t="shared" si="7"/>
        <v/>
      </c>
      <c r="AN905" s="9"/>
      <c r="AO905" s="9"/>
      <c r="AP905" s="9"/>
      <c r="AQ905" s="15" t="s">
        <v>49</v>
      </c>
      <c r="AR905" t="s">
        <v>3533</v>
      </c>
      <c r="AS905" s="16"/>
    </row>
    <row r="906" spans="1:45" ht="14.5">
      <c r="A906" s="9" t="s">
        <v>4081</v>
      </c>
      <c r="B906" s="9" t="s">
        <v>4082</v>
      </c>
      <c r="C906" s="9" t="s">
        <v>3727</v>
      </c>
      <c r="D906" s="9" t="s">
        <v>2830</v>
      </c>
      <c r="E906" s="9" t="s">
        <v>49</v>
      </c>
      <c r="F906" s="9" t="s">
        <v>50</v>
      </c>
      <c r="G906" s="9" t="s">
        <v>51</v>
      </c>
      <c r="H906" s="9"/>
      <c r="J906" s="10"/>
      <c r="K906" s="10"/>
      <c r="L906" s="10"/>
      <c r="M906" s="10">
        <v>42971</v>
      </c>
      <c r="N906" s="9">
        <v>2017</v>
      </c>
      <c r="O906" s="9" t="s">
        <v>4073</v>
      </c>
      <c r="P906" s="9" t="s">
        <v>53</v>
      </c>
      <c r="Q906" s="9" t="s">
        <v>53</v>
      </c>
      <c r="T906" s="9" t="s">
        <v>661</v>
      </c>
      <c r="U906" s="9" t="s">
        <v>4035</v>
      </c>
      <c r="V906" s="9"/>
      <c r="W906" s="11">
        <f>IFERROR(VLOOKUP(B906, PlumX_snapshot!$A:$B, 2, FALSE), " ")</f>
        <v>12</v>
      </c>
      <c r="X906" s="11">
        <f>IFERROR(VLOOKUP(B906, PlumX_snapshot!$A:$C, 3, FALSE), " ")</f>
        <v>6</v>
      </c>
      <c r="Y906" s="12">
        <f>IFERROR(VLOOKUP(B906, PlumX_snapshot!$A:$D, 4, FALSE), " ")</f>
        <v>371</v>
      </c>
      <c r="Z906" s="12">
        <f>IFERROR(VLOOKUP(B906, PlumX_snapshot!$A:$E, 5, FALSE), " ")</f>
        <v>36</v>
      </c>
      <c r="AA906" s="12">
        <f>IFERROR(VLOOKUP(B906, PlumX_snapshot!$A:$F, 6, FALSE), " ")</f>
        <v>0</v>
      </c>
      <c r="AB906" s="13">
        <v>44978</v>
      </c>
      <c r="AH906" s="9"/>
      <c r="AI906" s="9"/>
      <c r="AJ906" s="9"/>
      <c r="AK906" s="11" t="str">
        <f t="shared" si="6"/>
        <v>2017</v>
      </c>
      <c r="AL906" s="11" t="e">
        <f>VLOOKUP(AK906, Exchange_rates!$C:$D, 2, FALSE)</f>
        <v>#N/A</v>
      </c>
      <c r="AM906" s="14" t="str">
        <f t="shared" si="7"/>
        <v/>
      </c>
      <c r="AN906" s="9"/>
      <c r="AO906" s="9"/>
      <c r="AP906" s="9"/>
      <c r="AQ906" s="15" t="s">
        <v>49</v>
      </c>
      <c r="AR906" t="s">
        <v>3729</v>
      </c>
      <c r="AS906" s="16"/>
    </row>
    <row r="907" spans="1:45" ht="14.5">
      <c r="A907" s="9" t="s">
        <v>4083</v>
      </c>
      <c r="B907" s="9" t="s">
        <v>4084</v>
      </c>
      <c r="C907" s="9" t="s">
        <v>4085</v>
      </c>
      <c r="D907" s="9" t="s">
        <v>2830</v>
      </c>
      <c r="E907" s="9" t="s">
        <v>49</v>
      </c>
      <c r="F907" s="9" t="s">
        <v>50</v>
      </c>
      <c r="G907" s="9" t="s">
        <v>51</v>
      </c>
      <c r="H907" s="9"/>
      <c r="J907" s="10"/>
      <c r="K907" s="10" t="s">
        <v>4086</v>
      </c>
      <c r="L907" s="10"/>
      <c r="M907" s="28">
        <v>43034</v>
      </c>
      <c r="N907" s="9">
        <v>2017</v>
      </c>
      <c r="O907" s="9" t="s">
        <v>4073</v>
      </c>
      <c r="P907" s="9" t="s">
        <v>53</v>
      </c>
      <c r="Q907" s="9" t="s">
        <v>53</v>
      </c>
      <c r="T907" s="9" t="s">
        <v>661</v>
      </c>
      <c r="U907" s="9" t="s">
        <v>4035</v>
      </c>
      <c r="V907" s="9"/>
      <c r="W907" s="11">
        <f>IFERROR(VLOOKUP(B907, PlumX_snapshot!$A:$B, 2, FALSE), " ")</f>
        <v>4</v>
      </c>
      <c r="X907" s="11">
        <f>IFERROR(VLOOKUP(B907, PlumX_snapshot!$A:$C, 3, FALSE), " ")</f>
        <v>1</v>
      </c>
      <c r="Y907" s="12">
        <f>IFERROR(VLOOKUP(B907, PlumX_snapshot!$A:$D, 4, FALSE), " ")</f>
        <v>0</v>
      </c>
      <c r="Z907" s="12">
        <f>IFERROR(VLOOKUP(B907, PlumX_snapshot!$A:$E, 5, FALSE), " ")</f>
        <v>3</v>
      </c>
      <c r="AA907" s="12">
        <f>IFERROR(VLOOKUP(B907, PlumX_snapshot!$A:$F, 6, FALSE), " ")</f>
        <v>0</v>
      </c>
      <c r="AB907" s="13">
        <v>44978</v>
      </c>
      <c r="AH907" s="9"/>
      <c r="AI907" s="9"/>
      <c r="AJ907" s="9"/>
      <c r="AK907" s="11" t="str">
        <f t="shared" si="6"/>
        <v>2017</v>
      </c>
      <c r="AL907" s="11" t="e">
        <f>VLOOKUP(AK907, Exchange_rates!$C:$D, 2, FALSE)</f>
        <v>#N/A</v>
      </c>
      <c r="AM907" s="14" t="str">
        <f t="shared" si="7"/>
        <v/>
      </c>
      <c r="AN907" s="9"/>
      <c r="AO907" s="9"/>
      <c r="AP907" s="9"/>
      <c r="AQ907" s="15" t="s">
        <v>49</v>
      </c>
      <c r="AR907" t="s">
        <v>4087</v>
      </c>
      <c r="AS907" s="16"/>
    </row>
    <row r="908" spans="1:45" ht="14.5">
      <c r="A908" s="9" t="s">
        <v>4088</v>
      </c>
      <c r="B908" s="9" t="s">
        <v>4089</v>
      </c>
      <c r="C908" s="9" t="s">
        <v>4090</v>
      </c>
      <c r="D908" s="9" t="s">
        <v>2830</v>
      </c>
      <c r="E908" s="9" t="s">
        <v>49</v>
      </c>
      <c r="F908" s="9" t="s">
        <v>50</v>
      </c>
      <c r="G908" s="9" t="s">
        <v>51</v>
      </c>
      <c r="H908" s="9"/>
      <c r="J908" s="10"/>
      <c r="K908" s="10"/>
      <c r="L908" s="10"/>
      <c r="M908" s="28">
        <v>43031</v>
      </c>
      <c r="N908" s="9">
        <v>2017</v>
      </c>
      <c r="O908" s="9" t="s">
        <v>4073</v>
      </c>
      <c r="P908" s="9" t="s">
        <v>53</v>
      </c>
      <c r="Q908" s="9" t="s">
        <v>53</v>
      </c>
      <c r="T908" s="9" t="s">
        <v>661</v>
      </c>
      <c r="U908" s="9" t="s">
        <v>4035</v>
      </c>
      <c r="V908" s="9"/>
      <c r="W908" s="11">
        <f>IFERROR(VLOOKUP(B908, PlumX_snapshot!$A:$B, 2, FALSE), " ")</f>
        <v>7</v>
      </c>
      <c r="X908" s="11">
        <f>IFERROR(VLOOKUP(B908, PlumX_snapshot!$A:$C, 3, FALSE), " ")</f>
        <v>1</v>
      </c>
      <c r="Y908" s="12">
        <f>IFERROR(VLOOKUP(B908, PlumX_snapshot!$A:$D, 4, FALSE), " ")</f>
        <v>19</v>
      </c>
      <c r="Z908" s="12">
        <f>IFERROR(VLOOKUP(B908, PlumX_snapshot!$A:$E, 5, FALSE), " ")</f>
        <v>15</v>
      </c>
      <c r="AA908" s="12">
        <f>IFERROR(VLOOKUP(B908, PlumX_snapshot!$A:$F, 6, FALSE), " ")</f>
        <v>0</v>
      </c>
      <c r="AB908" s="13">
        <v>44978</v>
      </c>
      <c r="AH908" s="9"/>
      <c r="AI908" s="9"/>
      <c r="AJ908" s="9"/>
      <c r="AK908" s="11" t="str">
        <f t="shared" si="6"/>
        <v>2017</v>
      </c>
      <c r="AL908" s="11" t="e">
        <f>VLOOKUP(AK908, Exchange_rates!$C:$D, 2, FALSE)</f>
        <v>#N/A</v>
      </c>
      <c r="AM908" s="14" t="str">
        <f t="shared" si="7"/>
        <v/>
      </c>
      <c r="AN908" s="9"/>
      <c r="AO908" s="9"/>
      <c r="AP908" s="9"/>
      <c r="AQ908" s="15" t="s">
        <v>49</v>
      </c>
      <c r="AR908" t="s">
        <v>4091</v>
      </c>
      <c r="AS908" s="16"/>
    </row>
    <row r="909" spans="1:45" ht="14.5">
      <c r="A909" s="9" t="s">
        <v>4092</v>
      </c>
      <c r="B909" s="9" t="s">
        <v>4093</v>
      </c>
      <c r="C909" s="9" t="s">
        <v>3653</v>
      </c>
      <c r="D909" s="9" t="s">
        <v>2830</v>
      </c>
      <c r="E909" s="9" t="s">
        <v>49</v>
      </c>
      <c r="F909" s="9" t="s">
        <v>50</v>
      </c>
      <c r="G909" s="9" t="s">
        <v>51</v>
      </c>
      <c r="H909" s="9"/>
      <c r="J909" s="10"/>
      <c r="K909" s="10"/>
      <c r="L909" s="10"/>
      <c r="M909" s="28">
        <v>43020</v>
      </c>
      <c r="N909" s="9">
        <v>2017</v>
      </c>
      <c r="O909" s="9" t="s">
        <v>4073</v>
      </c>
      <c r="P909" s="9" t="s">
        <v>53</v>
      </c>
      <c r="Q909" s="9" t="s">
        <v>53</v>
      </c>
      <c r="T909" s="9" t="s">
        <v>661</v>
      </c>
      <c r="U909" s="9" t="s">
        <v>4035</v>
      </c>
      <c r="V909" s="9"/>
      <c r="W909" s="11">
        <f>IFERROR(VLOOKUP(B909, PlumX_snapshot!$A:$B, 2, FALSE), " ")</f>
        <v>101</v>
      </c>
      <c r="X909" s="11">
        <f>IFERROR(VLOOKUP(B909, PlumX_snapshot!$A:$C, 3, FALSE), " ")</f>
        <v>21</v>
      </c>
      <c r="Y909" s="12">
        <f>IFERROR(VLOOKUP(B909, PlumX_snapshot!$A:$D, 4, FALSE), " ")</f>
        <v>76</v>
      </c>
      <c r="Z909" s="12">
        <f>IFERROR(VLOOKUP(B909, PlumX_snapshot!$A:$E, 5, FALSE), " ")</f>
        <v>627</v>
      </c>
      <c r="AA909" s="12">
        <f>IFERROR(VLOOKUP(B909, PlumX_snapshot!$A:$F, 6, FALSE), " ")</f>
        <v>3</v>
      </c>
      <c r="AB909" s="13">
        <v>44978</v>
      </c>
      <c r="AH909" s="9"/>
      <c r="AI909" s="9"/>
      <c r="AJ909" s="9"/>
      <c r="AK909" s="11" t="str">
        <f t="shared" si="6"/>
        <v>2017</v>
      </c>
      <c r="AL909" s="11" t="e">
        <f>VLOOKUP(AK909, Exchange_rates!$C:$D, 2, FALSE)</f>
        <v>#N/A</v>
      </c>
      <c r="AM909" s="14" t="str">
        <f t="shared" si="7"/>
        <v/>
      </c>
      <c r="AN909" s="9"/>
      <c r="AO909" s="9"/>
      <c r="AP909" s="9"/>
      <c r="AQ909" s="15" t="s">
        <v>49</v>
      </c>
      <c r="AR909" t="s">
        <v>3654</v>
      </c>
      <c r="AS909" s="16"/>
    </row>
    <row r="910" spans="1:45" ht="14.5">
      <c r="A910" s="9" t="s">
        <v>4094</v>
      </c>
      <c r="B910" s="9" t="s">
        <v>4095</v>
      </c>
      <c r="C910" s="9" t="s">
        <v>2877</v>
      </c>
      <c r="D910" s="9" t="s">
        <v>2830</v>
      </c>
      <c r="E910" s="9" t="s">
        <v>49</v>
      </c>
      <c r="F910" s="9" t="s">
        <v>50</v>
      </c>
      <c r="G910" s="9" t="s">
        <v>51</v>
      </c>
      <c r="H910" s="9"/>
      <c r="J910" s="10"/>
      <c r="K910" s="10">
        <v>43055</v>
      </c>
      <c r="L910" s="10"/>
      <c r="M910" s="28">
        <v>43067</v>
      </c>
      <c r="N910" s="9">
        <v>2017</v>
      </c>
      <c r="O910" s="9" t="s">
        <v>4073</v>
      </c>
      <c r="P910" s="9" t="s">
        <v>53</v>
      </c>
      <c r="Q910" s="9" t="s">
        <v>53</v>
      </c>
      <c r="T910" s="9" t="s">
        <v>661</v>
      </c>
      <c r="U910" s="9" t="s">
        <v>4035</v>
      </c>
      <c r="V910" s="9"/>
      <c r="W910" s="11">
        <f>IFERROR(VLOOKUP(B910, PlumX_snapshot!$A:$B, 2, FALSE), " ")</f>
        <v>73</v>
      </c>
      <c r="X910" s="11">
        <f>IFERROR(VLOOKUP(B910, PlumX_snapshot!$A:$C, 3, FALSE), " ")</f>
        <v>9</v>
      </c>
      <c r="Y910" s="12">
        <f>IFERROR(VLOOKUP(B910, PlumX_snapshot!$A:$D, 4, FALSE), " ")</f>
        <v>4</v>
      </c>
      <c r="Z910" s="12">
        <f>IFERROR(VLOOKUP(B910, PlumX_snapshot!$A:$E, 5, FALSE), " ")</f>
        <v>245</v>
      </c>
      <c r="AA910" s="12">
        <f>IFERROR(VLOOKUP(B910, PlumX_snapshot!$A:$F, 6, FALSE), " ")</f>
        <v>0</v>
      </c>
      <c r="AB910" s="13">
        <v>44978</v>
      </c>
      <c r="AH910" s="9"/>
      <c r="AI910" s="9"/>
      <c r="AJ910" s="9"/>
      <c r="AK910" s="11" t="str">
        <f t="shared" si="6"/>
        <v>2017</v>
      </c>
      <c r="AL910" s="11" t="e">
        <f>VLOOKUP(AK910, Exchange_rates!$C:$D, 2, FALSE)</f>
        <v>#N/A</v>
      </c>
      <c r="AM910" s="14" t="str">
        <f t="shared" si="7"/>
        <v/>
      </c>
      <c r="AN910" s="9"/>
      <c r="AO910" s="9"/>
      <c r="AP910" s="9"/>
      <c r="AQ910" s="15" t="s">
        <v>49</v>
      </c>
      <c r="AR910" t="s">
        <v>2879</v>
      </c>
      <c r="AS910" s="16"/>
    </row>
    <row r="911" spans="1:45" ht="14.5">
      <c r="A911" s="9" t="s">
        <v>4096</v>
      </c>
      <c r="B911" s="9" t="s">
        <v>4097</v>
      </c>
      <c r="C911" s="9" t="s">
        <v>4098</v>
      </c>
      <c r="D911" s="9" t="s">
        <v>2830</v>
      </c>
      <c r="E911" s="9" t="s">
        <v>49</v>
      </c>
      <c r="F911" s="9" t="s">
        <v>50</v>
      </c>
      <c r="G911" s="9" t="s">
        <v>51</v>
      </c>
      <c r="H911" s="9"/>
      <c r="J911" s="10"/>
      <c r="K911" s="10"/>
      <c r="L911" s="10"/>
      <c r="M911" s="28">
        <v>43089</v>
      </c>
      <c r="N911" s="9">
        <v>2017</v>
      </c>
      <c r="O911" s="9" t="s">
        <v>4073</v>
      </c>
      <c r="P911" s="9" t="s">
        <v>53</v>
      </c>
      <c r="Q911" s="9" t="s">
        <v>53</v>
      </c>
      <c r="T911" s="9" t="s">
        <v>661</v>
      </c>
      <c r="U911" s="9" t="s">
        <v>4035</v>
      </c>
      <c r="V911" s="9"/>
      <c r="W911" s="11">
        <f>IFERROR(VLOOKUP(B911, PlumX_snapshot!$A:$B, 2, FALSE), " ")</f>
        <v>10</v>
      </c>
      <c r="X911" s="11">
        <f>IFERROR(VLOOKUP(B911, PlumX_snapshot!$A:$C, 3, FALSE), " ")</f>
        <v>2</v>
      </c>
      <c r="Y911" s="12">
        <f>IFERROR(VLOOKUP(B911, PlumX_snapshot!$A:$D, 4, FALSE), " ")</f>
        <v>9</v>
      </c>
      <c r="Z911" s="12">
        <f>IFERROR(VLOOKUP(B911, PlumX_snapshot!$A:$E, 5, FALSE), " ")</f>
        <v>35</v>
      </c>
      <c r="AA911" s="12">
        <f>IFERROR(VLOOKUP(B911, PlumX_snapshot!$A:$F, 6, FALSE), " ")</f>
        <v>0</v>
      </c>
      <c r="AB911" s="13">
        <v>44978</v>
      </c>
      <c r="AH911" s="9"/>
      <c r="AI911" s="9"/>
      <c r="AJ911" s="9"/>
      <c r="AK911" s="11" t="str">
        <f t="shared" si="6"/>
        <v>2017</v>
      </c>
      <c r="AL911" s="11" t="e">
        <f>VLOOKUP(AK911, Exchange_rates!$C:$D, 2, FALSE)</f>
        <v>#N/A</v>
      </c>
      <c r="AM911" s="14" t="str">
        <f t="shared" si="7"/>
        <v/>
      </c>
      <c r="AN911" s="9"/>
      <c r="AO911" s="9"/>
      <c r="AP911" s="9"/>
      <c r="AQ911" s="15" t="s">
        <v>49</v>
      </c>
      <c r="AR911" t="s">
        <v>4099</v>
      </c>
      <c r="AS911" s="16"/>
    </row>
    <row r="912" spans="1:45" ht="14.5">
      <c r="A912" s="9" t="s">
        <v>4100</v>
      </c>
      <c r="B912" s="9" t="s">
        <v>4101</v>
      </c>
      <c r="C912" s="9" t="s">
        <v>4102</v>
      </c>
      <c r="D912" s="9" t="s">
        <v>2830</v>
      </c>
      <c r="E912" s="9" t="s">
        <v>49</v>
      </c>
      <c r="F912" s="9" t="s">
        <v>50</v>
      </c>
      <c r="G912" s="9" t="s">
        <v>51</v>
      </c>
      <c r="H912" s="9"/>
      <c r="J912" s="10"/>
      <c r="K912" s="10">
        <v>43102</v>
      </c>
      <c r="L912" s="10"/>
      <c r="M912" s="10">
        <v>43139</v>
      </c>
      <c r="N912" s="9">
        <v>2018</v>
      </c>
      <c r="O912" s="9" t="s">
        <v>4103</v>
      </c>
      <c r="P912" s="9" t="s">
        <v>53</v>
      </c>
      <c r="Q912" s="9" t="s">
        <v>53</v>
      </c>
      <c r="T912" s="9" t="s">
        <v>661</v>
      </c>
      <c r="U912" s="9" t="s">
        <v>4035</v>
      </c>
      <c r="V912" s="9"/>
      <c r="W912" s="11">
        <f>IFERROR(VLOOKUP(B912, PlumX_snapshot!$A:$B, 2, FALSE), " ")</f>
        <v>13</v>
      </c>
      <c r="X912" s="11">
        <f>IFERROR(VLOOKUP(B912, PlumX_snapshot!$A:$C, 3, FALSE), " ")</f>
        <v>5</v>
      </c>
      <c r="Y912" s="12">
        <f>IFERROR(VLOOKUP(B912, PlumX_snapshot!$A:$D, 4, FALSE), " ")</f>
        <v>0</v>
      </c>
      <c r="Z912" s="12">
        <f>IFERROR(VLOOKUP(B912, PlumX_snapshot!$A:$E, 5, FALSE), " ")</f>
        <v>12</v>
      </c>
      <c r="AA912" s="12">
        <f>IFERROR(VLOOKUP(B912, PlumX_snapshot!$A:$F, 6, FALSE), " ")</f>
        <v>0</v>
      </c>
      <c r="AB912" s="13">
        <v>44978</v>
      </c>
      <c r="AH912" s="9"/>
      <c r="AI912" s="9"/>
      <c r="AJ912" s="9"/>
      <c r="AK912" s="11" t="str">
        <f t="shared" si="6"/>
        <v>2018</v>
      </c>
      <c r="AL912" s="11" t="e">
        <f>VLOOKUP(AK912, Exchange_rates!$C:$D, 2, FALSE)</f>
        <v>#N/A</v>
      </c>
      <c r="AM912" s="14" t="str">
        <f t="shared" si="7"/>
        <v/>
      </c>
      <c r="AN912" s="9"/>
      <c r="AO912" s="9"/>
      <c r="AP912" s="9"/>
      <c r="AQ912" s="15" t="s">
        <v>49</v>
      </c>
      <c r="AR912" t="s">
        <v>4104</v>
      </c>
      <c r="AS912" s="16"/>
    </row>
    <row r="913" spans="1:45" ht="14.5">
      <c r="A913" s="9" t="s">
        <v>4105</v>
      </c>
      <c r="B913" s="9" t="s">
        <v>4106</v>
      </c>
      <c r="C913" s="9" t="s">
        <v>3749</v>
      </c>
      <c r="D913" s="9" t="s">
        <v>2830</v>
      </c>
      <c r="E913" s="9" t="s">
        <v>49</v>
      </c>
      <c r="F913" s="9" t="s">
        <v>50</v>
      </c>
      <c r="G913" s="9" t="s">
        <v>51</v>
      </c>
      <c r="H913" s="9"/>
      <c r="J913" s="10"/>
      <c r="K913" s="10"/>
      <c r="L913" s="10"/>
      <c r="M913" s="10">
        <v>43150</v>
      </c>
      <c r="N913" s="9">
        <v>2018</v>
      </c>
      <c r="O913" s="9" t="s">
        <v>4103</v>
      </c>
      <c r="P913" s="9" t="s">
        <v>53</v>
      </c>
      <c r="Q913" s="9" t="s">
        <v>53</v>
      </c>
      <c r="T913" s="9" t="s">
        <v>661</v>
      </c>
      <c r="U913" s="9" t="s">
        <v>4035</v>
      </c>
      <c r="V913" s="9"/>
      <c r="W913" s="11">
        <f>IFERROR(VLOOKUP(B913, PlumX_snapshot!$A:$B, 2, FALSE), " ")</f>
        <v>64</v>
      </c>
      <c r="X913" s="11">
        <f>IFERROR(VLOOKUP(B913, PlumX_snapshot!$A:$C, 3, FALSE), " ")</f>
        <v>5</v>
      </c>
      <c r="Y913" s="12">
        <f>IFERROR(VLOOKUP(B913, PlumX_snapshot!$A:$D, 4, FALSE), " ")</f>
        <v>1</v>
      </c>
      <c r="Z913" s="12">
        <f>IFERROR(VLOOKUP(B913, PlumX_snapshot!$A:$E, 5, FALSE), " ")</f>
        <v>1359</v>
      </c>
      <c r="AA913" s="12">
        <f>IFERROR(VLOOKUP(B913, PlumX_snapshot!$A:$F, 6, FALSE), " ")</f>
        <v>1</v>
      </c>
      <c r="AB913" s="13">
        <v>44978</v>
      </c>
      <c r="AH913" s="9"/>
      <c r="AI913" s="9"/>
      <c r="AJ913" s="9"/>
      <c r="AK913" s="11" t="str">
        <f t="shared" si="6"/>
        <v>2018</v>
      </c>
      <c r="AL913" s="11" t="e">
        <f>VLOOKUP(AK913, Exchange_rates!$C:$D, 2, FALSE)</f>
        <v>#N/A</v>
      </c>
      <c r="AM913" s="14" t="str">
        <f t="shared" si="7"/>
        <v/>
      </c>
      <c r="AN913" s="9"/>
      <c r="AO913" s="9"/>
      <c r="AP913" s="9"/>
      <c r="AQ913" s="15" t="s">
        <v>49</v>
      </c>
      <c r="AR913" t="s">
        <v>3751</v>
      </c>
      <c r="AS913" s="16"/>
    </row>
    <row r="914" spans="1:45" ht="14.5">
      <c r="A914" s="9" t="s">
        <v>4107</v>
      </c>
      <c r="B914" s="9" t="s">
        <v>4108</v>
      </c>
      <c r="C914" s="9" t="s">
        <v>4109</v>
      </c>
      <c r="D914" s="9" t="s">
        <v>2830</v>
      </c>
      <c r="E914" s="9" t="s">
        <v>49</v>
      </c>
      <c r="F914" s="9" t="s">
        <v>50</v>
      </c>
      <c r="G914" s="9" t="s">
        <v>51</v>
      </c>
      <c r="H914" s="9"/>
      <c r="J914" s="10"/>
      <c r="K914" s="10"/>
      <c r="L914" s="10"/>
      <c r="M914" s="10">
        <v>43180</v>
      </c>
      <c r="N914" s="9">
        <v>2018</v>
      </c>
      <c r="O914" s="9" t="s">
        <v>4103</v>
      </c>
      <c r="P914" s="9" t="s">
        <v>53</v>
      </c>
      <c r="Q914" s="9" t="s">
        <v>53</v>
      </c>
      <c r="T914" s="9" t="s">
        <v>661</v>
      </c>
      <c r="U914" s="9" t="s">
        <v>4035</v>
      </c>
      <c r="V914" s="9"/>
      <c r="W914" s="11">
        <f>IFERROR(VLOOKUP(B914, PlumX_snapshot!$A:$B, 2, FALSE), " ")</f>
        <v>13</v>
      </c>
      <c r="X914" s="11">
        <f>IFERROR(VLOOKUP(B914, PlumX_snapshot!$A:$C, 3, FALSE), " ")</f>
        <v>8</v>
      </c>
      <c r="Y914" s="12">
        <f>IFERROR(VLOOKUP(B914, PlumX_snapshot!$A:$D, 4, FALSE), " ")</f>
        <v>63</v>
      </c>
      <c r="Z914" s="12">
        <f>IFERROR(VLOOKUP(B914, PlumX_snapshot!$A:$E, 5, FALSE), " ")</f>
        <v>115</v>
      </c>
      <c r="AA914" s="12">
        <f>IFERROR(VLOOKUP(B914, PlumX_snapshot!$A:$F, 6, FALSE), " ")</f>
        <v>0</v>
      </c>
      <c r="AB914" s="13">
        <v>44978</v>
      </c>
      <c r="AH914" s="9"/>
      <c r="AI914" s="9"/>
      <c r="AJ914" s="9"/>
      <c r="AK914" s="11" t="str">
        <f t="shared" si="6"/>
        <v>2018</v>
      </c>
      <c r="AL914" s="11" t="e">
        <f>VLOOKUP(AK914, Exchange_rates!$C:$D, 2, FALSE)</f>
        <v>#N/A</v>
      </c>
      <c r="AM914" s="14" t="str">
        <f t="shared" si="7"/>
        <v/>
      </c>
      <c r="AN914" s="9"/>
      <c r="AO914" s="9"/>
      <c r="AP914" s="9"/>
      <c r="AQ914" s="15" t="s">
        <v>49</v>
      </c>
      <c r="AR914" t="s">
        <v>4110</v>
      </c>
      <c r="AS914" s="16"/>
    </row>
    <row r="915" spans="1:45" ht="14.5">
      <c r="A915" s="9" t="s">
        <v>4111</v>
      </c>
      <c r="B915" s="9" t="s">
        <v>4112</v>
      </c>
      <c r="C915" s="9" t="s">
        <v>3412</v>
      </c>
      <c r="D915" s="9" t="s">
        <v>2830</v>
      </c>
      <c r="E915" s="9" t="s">
        <v>49</v>
      </c>
      <c r="F915" s="9" t="s">
        <v>50</v>
      </c>
      <c r="G915" s="9" t="s">
        <v>51</v>
      </c>
      <c r="H915" s="9"/>
      <c r="J915" s="10"/>
      <c r="K915" s="10" t="s">
        <v>4113</v>
      </c>
      <c r="L915" s="10"/>
      <c r="M915" s="10">
        <v>43185</v>
      </c>
      <c r="N915" s="9">
        <v>2018</v>
      </c>
      <c r="O915" s="9" t="s">
        <v>4103</v>
      </c>
      <c r="P915" s="9" t="s">
        <v>53</v>
      </c>
      <c r="Q915" s="9" t="s">
        <v>53</v>
      </c>
      <c r="T915" s="9" t="s">
        <v>661</v>
      </c>
      <c r="U915" s="9" t="s">
        <v>4035</v>
      </c>
      <c r="V915" s="9"/>
      <c r="W915" s="11">
        <f>IFERROR(VLOOKUP(B915, PlumX_snapshot!$A:$B, 2, FALSE), " ")</f>
        <v>9</v>
      </c>
      <c r="X915" s="11">
        <f>IFERROR(VLOOKUP(B915, PlumX_snapshot!$A:$C, 3, FALSE), " ")</f>
        <v>16</v>
      </c>
      <c r="Y915" s="12">
        <f>IFERROR(VLOOKUP(B915, PlumX_snapshot!$A:$D, 4, FALSE), " ")</f>
        <v>0</v>
      </c>
      <c r="Z915" s="12">
        <f>IFERROR(VLOOKUP(B915, PlumX_snapshot!$A:$E, 5, FALSE), " ")</f>
        <v>13</v>
      </c>
      <c r="AA915" s="12">
        <f>IFERROR(VLOOKUP(B915, PlumX_snapshot!$A:$F, 6, FALSE), " ")</f>
        <v>0</v>
      </c>
      <c r="AB915" s="13">
        <v>44978</v>
      </c>
      <c r="AH915" s="9"/>
      <c r="AI915" s="9"/>
      <c r="AJ915" s="9"/>
      <c r="AK915" s="11" t="str">
        <f t="shared" si="6"/>
        <v>2018</v>
      </c>
      <c r="AL915" s="11" t="e">
        <f>VLOOKUP(AK915, Exchange_rates!$C:$D, 2, FALSE)</f>
        <v>#N/A</v>
      </c>
      <c r="AM915" s="14" t="str">
        <f t="shared" si="7"/>
        <v/>
      </c>
      <c r="AN915" s="9"/>
      <c r="AO915" s="9"/>
      <c r="AP915" s="9"/>
      <c r="AQ915" s="15" t="s">
        <v>49</v>
      </c>
      <c r="AR915" t="s">
        <v>3413</v>
      </c>
      <c r="AS915" s="16"/>
    </row>
    <row r="916" spans="1:45" ht="14.5">
      <c r="A916" s="9" t="s">
        <v>4114</v>
      </c>
      <c r="B916" s="9" t="s">
        <v>4115</v>
      </c>
      <c r="C916" s="9" t="s">
        <v>4116</v>
      </c>
      <c r="D916" s="9" t="s">
        <v>2830</v>
      </c>
      <c r="E916" s="9" t="s">
        <v>49</v>
      </c>
      <c r="F916" s="9" t="s">
        <v>50</v>
      </c>
      <c r="G916" s="9" t="s">
        <v>51</v>
      </c>
      <c r="H916" s="9"/>
      <c r="J916" s="10"/>
      <c r="K916" s="10">
        <v>43405</v>
      </c>
      <c r="L916" s="10"/>
      <c r="M916" s="10">
        <v>43187</v>
      </c>
      <c r="N916" s="9">
        <v>2018</v>
      </c>
      <c r="O916" s="9" t="s">
        <v>4103</v>
      </c>
      <c r="P916" s="9" t="s">
        <v>53</v>
      </c>
      <c r="Q916" s="9" t="s">
        <v>53</v>
      </c>
      <c r="T916" s="9" t="s">
        <v>661</v>
      </c>
      <c r="U916" s="9" t="s">
        <v>4035</v>
      </c>
      <c r="V916" s="9"/>
      <c r="W916" s="11">
        <f>IFERROR(VLOOKUP(B916, PlumX_snapshot!$A:$B, 2, FALSE), " ")</f>
        <v>17</v>
      </c>
      <c r="X916" s="11">
        <f>IFERROR(VLOOKUP(B916, PlumX_snapshot!$A:$C, 3, FALSE), " ")</f>
        <v>4</v>
      </c>
      <c r="Y916" s="12">
        <f>IFERROR(VLOOKUP(B916, PlumX_snapshot!$A:$D, 4, FALSE), " ")</f>
        <v>1</v>
      </c>
      <c r="Z916" s="12">
        <f>IFERROR(VLOOKUP(B916, PlumX_snapshot!$A:$E, 5, FALSE), " ")</f>
        <v>4</v>
      </c>
      <c r="AA916" s="12">
        <f>IFERROR(VLOOKUP(B916, PlumX_snapshot!$A:$F, 6, FALSE), " ")</f>
        <v>0</v>
      </c>
      <c r="AB916" s="13">
        <v>44978</v>
      </c>
      <c r="AH916" s="9"/>
      <c r="AI916" s="9"/>
      <c r="AJ916" s="9"/>
      <c r="AK916" s="11" t="str">
        <f t="shared" si="6"/>
        <v>2018</v>
      </c>
      <c r="AL916" s="11" t="e">
        <f>VLOOKUP(AK916, Exchange_rates!$C:$D, 2, FALSE)</f>
        <v>#N/A</v>
      </c>
      <c r="AM916" s="14" t="str">
        <f t="shared" si="7"/>
        <v/>
      </c>
      <c r="AN916" s="9"/>
      <c r="AO916" s="9"/>
      <c r="AP916" s="9"/>
      <c r="AQ916" s="15" t="s">
        <v>49</v>
      </c>
      <c r="AR916" t="s">
        <v>3016</v>
      </c>
      <c r="AS916" s="16" t="s">
        <v>4117</v>
      </c>
    </row>
    <row r="917" spans="1:45" ht="14.5">
      <c r="A917" s="9" t="s">
        <v>4118</v>
      </c>
      <c r="B917" s="9" t="s">
        <v>4119</v>
      </c>
      <c r="C917" s="9" t="s">
        <v>4109</v>
      </c>
      <c r="D917" s="9" t="s">
        <v>2830</v>
      </c>
      <c r="E917" s="9" t="s">
        <v>49</v>
      </c>
      <c r="F917" s="9" t="s">
        <v>50</v>
      </c>
      <c r="G917" s="9" t="s">
        <v>51</v>
      </c>
      <c r="H917" s="9"/>
      <c r="J917" s="10"/>
      <c r="K917" s="10"/>
      <c r="L917" s="10"/>
      <c r="M917" s="10">
        <v>43284</v>
      </c>
      <c r="N917" s="9">
        <v>2018</v>
      </c>
      <c r="O917" s="9" t="s">
        <v>4103</v>
      </c>
      <c r="P917" s="9" t="s">
        <v>53</v>
      </c>
      <c r="Q917" s="9" t="s">
        <v>53</v>
      </c>
      <c r="T917" s="9" t="s">
        <v>661</v>
      </c>
      <c r="U917" s="9" t="s">
        <v>4035</v>
      </c>
      <c r="V917" s="9"/>
      <c r="W917" s="11">
        <f>IFERROR(VLOOKUP(B917, PlumX_snapshot!$A:$B, 2, FALSE), " ")</f>
        <v>5</v>
      </c>
      <c r="X917" s="11">
        <f>IFERROR(VLOOKUP(B917, PlumX_snapshot!$A:$C, 3, FALSE), " ")</f>
        <v>3</v>
      </c>
      <c r="Y917" s="12">
        <f>IFERROR(VLOOKUP(B917, PlumX_snapshot!$A:$D, 4, FALSE), " ")</f>
        <v>6</v>
      </c>
      <c r="Z917" s="12">
        <f>IFERROR(VLOOKUP(B917, PlumX_snapshot!$A:$E, 5, FALSE), " ")</f>
        <v>82</v>
      </c>
      <c r="AA917" s="12">
        <f>IFERROR(VLOOKUP(B917, PlumX_snapshot!$A:$F, 6, FALSE), " ")</f>
        <v>0</v>
      </c>
      <c r="AB917" s="13">
        <v>44978</v>
      </c>
      <c r="AH917" s="9"/>
      <c r="AI917" s="9"/>
      <c r="AJ917" s="9"/>
      <c r="AK917" s="11" t="str">
        <f t="shared" si="6"/>
        <v>2018</v>
      </c>
      <c r="AL917" s="11" t="e">
        <f>VLOOKUP(AK917, Exchange_rates!$C:$D, 2, FALSE)</f>
        <v>#N/A</v>
      </c>
      <c r="AM917" s="14" t="str">
        <f t="shared" si="7"/>
        <v/>
      </c>
      <c r="AN917" s="9"/>
      <c r="AO917" s="9"/>
      <c r="AP917" s="9"/>
      <c r="AQ917" s="15" t="s">
        <v>49</v>
      </c>
      <c r="AR917" t="s">
        <v>4110</v>
      </c>
      <c r="AS917" s="16"/>
    </row>
    <row r="918" spans="1:45" ht="14.5">
      <c r="A918" s="9" t="s">
        <v>4120</v>
      </c>
      <c r="B918" s="9" t="s">
        <v>4121</v>
      </c>
      <c r="C918" s="9" t="s">
        <v>4122</v>
      </c>
      <c r="D918" s="9" t="s">
        <v>2830</v>
      </c>
      <c r="E918" s="9" t="s">
        <v>49</v>
      </c>
      <c r="F918" s="9" t="s">
        <v>50</v>
      </c>
      <c r="G918" s="9" t="s">
        <v>51</v>
      </c>
      <c r="H918" s="9"/>
      <c r="J918" s="10"/>
      <c r="K918" s="10"/>
      <c r="L918" s="10"/>
      <c r="M918" s="10">
        <v>43286</v>
      </c>
      <c r="N918" s="9">
        <v>2018</v>
      </c>
      <c r="O918" s="9" t="s">
        <v>4103</v>
      </c>
      <c r="P918" s="9" t="s">
        <v>53</v>
      </c>
      <c r="Q918" s="9" t="s">
        <v>53</v>
      </c>
      <c r="T918" s="9" t="s">
        <v>661</v>
      </c>
      <c r="U918" s="9" t="s">
        <v>4035</v>
      </c>
      <c r="V918" s="9"/>
      <c r="W918" s="11">
        <f>IFERROR(VLOOKUP(B918, PlumX_snapshot!$A:$B, 2, FALSE), " ")</f>
        <v>4</v>
      </c>
      <c r="X918" s="11">
        <f>IFERROR(VLOOKUP(B918, PlumX_snapshot!$A:$C, 3, FALSE), " ")</f>
        <v>3</v>
      </c>
      <c r="Y918" s="12">
        <f>IFERROR(VLOOKUP(B918, PlumX_snapshot!$A:$D, 4, FALSE), " ")</f>
        <v>0</v>
      </c>
      <c r="Z918" s="12">
        <f>IFERROR(VLOOKUP(B918, PlumX_snapshot!$A:$E, 5, FALSE), " ")</f>
        <v>0</v>
      </c>
      <c r="AA918" s="12">
        <f>IFERROR(VLOOKUP(B918, PlumX_snapshot!$A:$F, 6, FALSE), " ")</f>
        <v>0</v>
      </c>
      <c r="AB918" s="13">
        <v>44978</v>
      </c>
      <c r="AH918" s="9"/>
      <c r="AI918" s="9"/>
      <c r="AJ918" s="9"/>
      <c r="AK918" s="11" t="str">
        <f t="shared" si="6"/>
        <v>2018</v>
      </c>
      <c r="AL918" s="11" t="e">
        <f>VLOOKUP(AK918, Exchange_rates!$C:$D, 2, FALSE)</f>
        <v>#N/A</v>
      </c>
      <c r="AM918" s="14" t="str">
        <f t="shared" si="7"/>
        <v/>
      </c>
      <c r="AN918" s="9"/>
      <c r="AO918" s="9"/>
      <c r="AP918" s="9"/>
      <c r="AQ918" s="15" t="s">
        <v>49</v>
      </c>
      <c r="AR918" t="s">
        <v>4123</v>
      </c>
      <c r="AS918" s="16"/>
    </row>
    <row r="919" spans="1:45" ht="14.5">
      <c r="A919" s="9" t="s">
        <v>4124</v>
      </c>
      <c r="B919" s="9" t="s">
        <v>4125</v>
      </c>
      <c r="C919" s="9" t="s">
        <v>2998</v>
      </c>
      <c r="D919" s="9" t="s">
        <v>2830</v>
      </c>
      <c r="E919" s="9" t="s">
        <v>49</v>
      </c>
      <c r="F919" s="9" t="s">
        <v>50</v>
      </c>
      <c r="G919" s="9" t="s">
        <v>51</v>
      </c>
      <c r="H919" s="9"/>
      <c r="J919" s="10"/>
      <c r="K919" s="10">
        <v>43340</v>
      </c>
      <c r="L919" s="10"/>
      <c r="M919" s="10">
        <v>43349</v>
      </c>
      <c r="N919" s="9">
        <v>2018</v>
      </c>
      <c r="O919" s="9" t="s">
        <v>4103</v>
      </c>
      <c r="P919" s="9" t="s">
        <v>53</v>
      </c>
      <c r="Q919" s="9" t="s">
        <v>53</v>
      </c>
      <c r="T919" s="9" t="s">
        <v>661</v>
      </c>
      <c r="U919" s="9" t="s">
        <v>4035</v>
      </c>
      <c r="V919" s="9"/>
      <c r="W919" s="11">
        <f>IFERROR(VLOOKUP(B919, PlumX_snapshot!$A:$B, 2, FALSE), " ")</f>
        <v>0</v>
      </c>
      <c r="X919" s="11">
        <f>IFERROR(VLOOKUP(B919, PlumX_snapshot!$A:$C, 3, FALSE), " ")</f>
        <v>0</v>
      </c>
      <c r="Y919" s="12">
        <f>IFERROR(VLOOKUP(B919, PlumX_snapshot!$A:$D, 4, FALSE), " ")</f>
        <v>0</v>
      </c>
      <c r="Z919" s="12">
        <f>IFERROR(VLOOKUP(B919, PlumX_snapshot!$A:$E, 5, FALSE), " ")</f>
        <v>3</v>
      </c>
      <c r="AA919" s="12">
        <f>IFERROR(VLOOKUP(B919, PlumX_snapshot!$A:$F, 6, FALSE), " ")</f>
        <v>0</v>
      </c>
      <c r="AB919" s="13">
        <v>44978</v>
      </c>
      <c r="AH919" s="9"/>
      <c r="AI919" s="9"/>
      <c r="AJ919" s="9"/>
      <c r="AK919" s="11" t="str">
        <f t="shared" si="6"/>
        <v>2018</v>
      </c>
      <c r="AL919" s="11" t="e">
        <f>VLOOKUP(AK919, Exchange_rates!$C:$D, 2, FALSE)</f>
        <v>#N/A</v>
      </c>
      <c r="AM919" s="14" t="str">
        <f t="shared" si="7"/>
        <v/>
      </c>
      <c r="AN919" s="9"/>
      <c r="AO919" s="9"/>
      <c r="AP919" s="9"/>
      <c r="AQ919" s="15" t="s">
        <v>49</v>
      </c>
      <c r="AR919" t="s">
        <v>2999</v>
      </c>
      <c r="AS919" s="16"/>
    </row>
    <row r="920" spans="1:45" ht="14.5">
      <c r="A920" s="9" t="s">
        <v>4126</v>
      </c>
      <c r="B920" s="9" t="s">
        <v>4127</v>
      </c>
      <c r="C920" s="9" t="s">
        <v>4109</v>
      </c>
      <c r="D920" s="9" t="s">
        <v>2830</v>
      </c>
      <c r="E920" s="9" t="s">
        <v>49</v>
      </c>
      <c r="F920" s="9" t="s">
        <v>50</v>
      </c>
      <c r="G920" s="9" t="s">
        <v>51</v>
      </c>
      <c r="H920" s="9"/>
      <c r="J920" s="10"/>
      <c r="K920" s="10"/>
      <c r="L920" s="10"/>
      <c r="M920" s="28">
        <v>43398</v>
      </c>
      <c r="N920" s="9">
        <v>2018</v>
      </c>
      <c r="O920" s="9" t="s">
        <v>4103</v>
      </c>
      <c r="P920" s="9" t="s">
        <v>53</v>
      </c>
      <c r="Q920" s="9" t="s">
        <v>53</v>
      </c>
      <c r="T920" s="9" t="s">
        <v>661</v>
      </c>
      <c r="U920" s="9" t="s">
        <v>4035</v>
      </c>
      <c r="V920" s="9"/>
      <c r="W920" s="11">
        <f>IFERROR(VLOOKUP(B920, PlumX_snapshot!$A:$B, 2, FALSE), " ")</f>
        <v>48</v>
      </c>
      <c r="X920" s="11">
        <f>IFERROR(VLOOKUP(B920, PlumX_snapshot!$A:$C, 3, FALSE), " ")</f>
        <v>13</v>
      </c>
      <c r="Y920" s="12">
        <f>IFERROR(VLOOKUP(B920, PlumX_snapshot!$A:$D, 4, FALSE), " ")</f>
        <v>0</v>
      </c>
      <c r="Z920" s="12">
        <f>IFERROR(VLOOKUP(B920, PlumX_snapshot!$A:$E, 5, FALSE), " ")</f>
        <v>35</v>
      </c>
      <c r="AA920" s="12">
        <f>IFERROR(VLOOKUP(B920, PlumX_snapshot!$A:$F, 6, FALSE), " ")</f>
        <v>0</v>
      </c>
      <c r="AB920" s="13">
        <v>44978</v>
      </c>
      <c r="AH920" s="9"/>
      <c r="AI920" s="9"/>
      <c r="AJ920" s="9"/>
      <c r="AK920" s="11" t="str">
        <f t="shared" si="6"/>
        <v>2018</v>
      </c>
      <c r="AL920" s="11" t="e">
        <f>VLOOKUP(AK920, Exchange_rates!$C:$D, 2, FALSE)</f>
        <v>#N/A</v>
      </c>
      <c r="AM920" s="14" t="str">
        <f t="shared" si="7"/>
        <v/>
      </c>
      <c r="AN920" s="9"/>
      <c r="AO920" s="9"/>
      <c r="AP920" s="9"/>
      <c r="AQ920" s="15" t="s">
        <v>49</v>
      </c>
      <c r="AR920" t="s">
        <v>4110</v>
      </c>
      <c r="AS920" s="16"/>
    </row>
    <row r="921" spans="1:45" ht="14.5">
      <c r="A921" s="9" t="s">
        <v>4128</v>
      </c>
      <c r="B921" s="9" t="s">
        <v>4129</v>
      </c>
      <c r="C921" s="9" t="s">
        <v>3412</v>
      </c>
      <c r="D921" s="9" t="s">
        <v>2830</v>
      </c>
      <c r="E921" s="9" t="s">
        <v>49</v>
      </c>
      <c r="F921" s="9" t="s">
        <v>50</v>
      </c>
      <c r="G921" s="9" t="s">
        <v>51</v>
      </c>
      <c r="H921" s="9"/>
      <c r="J921" s="10"/>
      <c r="K921" s="10">
        <v>43409</v>
      </c>
      <c r="L921" s="10"/>
      <c r="M921" s="28">
        <v>43421</v>
      </c>
      <c r="N921" s="9">
        <v>2018</v>
      </c>
      <c r="O921" s="9" t="s">
        <v>4103</v>
      </c>
      <c r="P921" s="9" t="s">
        <v>53</v>
      </c>
      <c r="Q921" s="9" t="s">
        <v>53</v>
      </c>
      <c r="T921" s="9" t="s">
        <v>661</v>
      </c>
      <c r="U921" s="9" t="s">
        <v>4035</v>
      </c>
      <c r="V921" s="9"/>
      <c r="W921" s="11">
        <f>IFERROR(VLOOKUP(B921, PlumX_snapshot!$A:$B, 2, FALSE), " ")</f>
        <v>24</v>
      </c>
      <c r="X921" s="11">
        <f>IFERROR(VLOOKUP(B921, PlumX_snapshot!$A:$C, 3, FALSE), " ")</f>
        <v>5</v>
      </c>
      <c r="Y921" s="12">
        <f>IFERROR(VLOOKUP(B921, PlumX_snapshot!$A:$D, 4, FALSE), " ")</f>
        <v>41</v>
      </c>
      <c r="Z921" s="12">
        <f>IFERROR(VLOOKUP(B921, PlumX_snapshot!$A:$E, 5, FALSE), " ")</f>
        <v>10</v>
      </c>
      <c r="AA921" s="12">
        <f>IFERROR(VLOOKUP(B921, PlumX_snapshot!$A:$F, 6, FALSE), " ")</f>
        <v>0</v>
      </c>
      <c r="AB921" s="13">
        <v>44978</v>
      </c>
      <c r="AH921" s="9"/>
      <c r="AI921" s="9"/>
      <c r="AJ921" s="9"/>
      <c r="AK921" s="11" t="str">
        <f t="shared" si="6"/>
        <v>2018</v>
      </c>
      <c r="AL921" s="11" t="e">
        <f>VLOOKUP(AK921, Exchange_rates!$C:$D, 2, FALSE)</f>
        <v>#N/A</v>
      </c>
      <c r="AM921" s="14" t="str">
        <f t="shared" si="7"/>
        <v/>
      </c>
      <c r="AN921" s="9"/>
      <c r="AO921" s="9"/>
      <c r="AP921" s="9"/>
      <c r="AQ921" s="15" t="s">
        <v>49</v>
      </c>
      <c r="AR921" t="s">
        <v>3413</v>
      </c>
      <c r="AS921" s="16"/>
    </row>
    <row r="922" spans="1:45" ht="14.5">
      <c r="A922" s="9" t="s">
        <v>4130</v>
      </c>
      <c r="B922" s="9" t="s">
        <v>4131</v>
      </c>
      <c r="C922" s="9" t="s">
        <v>3532</v>
      </c>
      <c r="D922" s="9" t="s">
        <v>2830</v>
      </c>
      <c r="E922" s="9" t="s">
        <v>49</v>
      </c>
      <c r="F922" s="9" t="s">
        <v>50</v>
      </c>
      <c r="G922" s="9" t="s">
        <v>51</v>
      </c>
      <c r="H922" s="9"/>
      <c r="J922" s="10"/>
      <c r="K922" s="10"/>
      <c r="L922" s="10"/>
      <c r="M922" s="28">
        <v>43430</v>
      </c>
      <c r="N922" s="9">
        <v>2018</v>
      </c>
      <c r="O922" s="9" t="s">
        <v>4103</v>
      </c>
      <c r="P922" s="9" t="s">
        <v>53</v>
      </c>
      <c r="Q922" s="9" t="s">
        <v>53</v>
      </c>
      <c r="T922" s="9" t="s">
        <v>661</v>
      </c>
      <c r="U922" s="9" t="s">
        <v>4035</v>
      </c>
      <c r="V922" s="9"/>
      <c r="W922" s="11">
        <f>IFERROR(VLOOKUP(B922, PlumX_snapshot!$A:$B, 2, FALSE), " ")</f>
        <v>323</v>
      </c>
      <c r="X922" s="11">
        <f>IFERROR(VLOOKUP(B922, PlumX_snapshot!$A:$C, 3, FALSE), " ")</f>
        <v>63</v>
      </c>
      <c r="Y922" s="12">
        <f>IFERROR(VLOOKUP(B922, PlumX_snapshot!$A:$D, 4, FALSE), " ")</f>
        <v>28</v>
      </c>
      <c r="Z922" s="12">
        <f>IFERROR(VLOOKUP(B922, PlumX_snapshot!$A:$E, 5, FALSE), " ")</f>
        <v>1665</v>
      </c>
      <c r="AA922" s="12">
        <f>IFERROR(VLOOKUP(B922, PlumX_snapshot!$A:$F, 6, FALSE), " ")</f>
        <v>0</v>
      </c>
      <c r="AB922" s="13">
        <v>44978</v>
      </c>
      <c r="AH922" s="9"/>
      <c r="AI922" s="9"/>
      <c r="AJ922" s="9"/>
      <c r="AK922" s="11" t="str">
        <f t="shared" si="6"/>
        <v>2018</v>
      </c>
      <c r="AL922" s="11" t="e">
        <f>VLOOKUP(AK922, Exchange_rates!$C:$D, 2, FALSE)</f>
        <v>#N/A</v>
      </c>
      <c r="AM922" s="14" t="str">
        <f t="shared" si="7"/>
        <v/>
      </c>
      <c r="AN922" s="9"/>
      <c r="AO922" s="9"/>
      <c r="AP922" s="9"/>
      <c r="AQ922" s="15" t="s">
        <v>49</v>
      </c>
      <c r="AR922" t="s">
        <v>3533</v>
      </c>
      <c r="AS922" s="16"/>
    </row>
    <row r="923" spans="1:45" ht="14.5">
      <c r="A923" s="9" t="s">
        <v>4132</v>
      </c>
      <c r="B923" s="9" t="s">
        <v>4133</v>
      </c>
      <c r="C923" s="9" t="s">
        <v>3511</v>
      </c>
      <c r="D923" s="9" t="s">
        <v>2830</v>
      </c>
      <c r="E923" s="9" t="s">
        <v>49</v>
      </c>
      <c r="F923" s="9" t="s">
        <v>50</v>
      </c>
      <c r="G923" s="9" t="s">
        <v>51</v>
      </c>
      <c r="H923" s="9"/>
      <c r="J923" s="10"/>
      <c r="K923" s="10">
        <v>43432</v>
      </c>
      <c r="L923" s="10"/>
      <c r="M923" s="28">
        <v>43447</v>
      </c>
      <c r="N923" s="9">
        <v>2018</v>
      </c>
      <c r="O923" s="9" t="s">
        <v>4103</v>
      </c>
      <c r="P923" s="9" t="s">
        <v>53</v>
      </c>
      <c r="Q923" s="9" t="s">
        <v>53</v>
      </c>
      <c r="T923" s="9" t="s">
        <v>661</v>
      </c>
      <c r="U923" s="9" t="s">
        <v>4035</v>
      </c>
      <c r="V923" s="9"/>
      <c r="W923" s="11">
        <f>IFERROR(VLOOKUP(B923, PlumX_snapshot!$A:$B, 2, FALSE), " ")</f>
        <v>6</v>
      </c>
      <c r="X923" s="11">
        <f>IFERROR(VLOOKUP(B923, PlumX_snapshot!$A:$C, 3, FALSE), " ")</f>
        <v>4</v>
      </c>
      <c r="Y923" s="12">
        <f>IFERROR(VLOOKUP(B923, PlumX_snapshot!$A:$D, 4, FALSE), " ")</f>
        <v>0</v>
      </c>
      <c r="Z923" s="12">
        <f>IFERROR(VLOOKUP(B923, PlumX_snapshot!$A:$E, 5, FALSE), " ")</f>
        <v>13</v>
      </c>
      <c r="AA923" s="12">
        <f>IFERROR(VLOOKUP(B923, PlumX_snapshot!$A:$F, 6, FALSE), " ")</f>
        <v>0</v>
      </c>
      <c r="AB923" s="13">
        <v>44978</v>
      </c>
      <c r="AH923" s="9"/>
      <c r="AI923" s="9"/>
      <c r="AJ923" s="9"/>
      <c r="AK923" s="11" t="str">
        <f t="shared" si="6"/>
        <v>2018</v>
      </c>
      <c r="AL923" s="11" t="e">
        <f>VLOOKUP(AK923, Exchange_rates!$C:$D, 2, FALSE)</f>
        <v>#N/A</v>
      </c>
      <c r="AM923" s="14" t="str">
        <f t="shared" si="7"/>
        <v/>
      </c>
      <c r="AN923" s="9"/>
      <c r="AO923" s="9"/>
      <c r="AP923" s="9"/>
      <c r="AQ923" s="15" t="s">
        <v>49</v>
      </c>
      <c r="AR923" t="s">
        <v>3512</v>
      </c>
      <c r="AS923" s="16"/>
    </row>
    <row r="924" spans="1:45" ht="14.5">
      <c r="A924" s="9" t="s">
        <v>4134</v>
      </c>
      <c r="B924" s="9" t="s">
        <v>4135</v>
      </c>
      <c r="C924" s="9" t="s">
        <v>4136</v>
      </c>
      <c r="D924" s="9" t="s">
        <v>2830</v>
      </c>
      <c r="E924" s="9" t="s">
        <v>49</v>
      </c>
      <c r="F924" s="9" t="s">
        <v>50</v>
      </c>
      <c r="G924" s="9" t="s">
        <v>51</v>
      </c>
      <c r="H924" s="9"/>
      <c r="J924" s="10"/>
      <c r="K924" s="10">
        <v>43446</v>
      </c>
      <c r="L924" s="10"/>
      <c r="M924" s="10">
        <v>43471</v>
      </c>
      <c r="N924" s="9">
        <v>2019</v>
      </c>
      <c r="O924" s="9" t="s">
        <v>4137</v>
      </c>
      <c r="P924" s="9" t="s">
        <v>53</v>
      </c>
      <c r="Q924" s="9" t="s">
        <v>53</v>
      </c>
      <c r="T924" s="9" t="s">
        <v>661</v>
      </c>
      <c r="U924" s="9" t="s">
        <v>4035</v>
      </c>
      <c r="V924" s="9"/>
      <c r="W924" s="11">
        <f>IFERROR(VLOOKUP(B924, PlumX_snapshot!$A:$B, 2, FALSE), " ")</f>
        <v>31</v>
      </c>
      <c r="X924" s="11">
        <f>IFERROR(VLOOKUP(B924, PlumX_snapshot!$A:$C, 3, FALSE), " ")</f>
        <v>28</v>
      </c>
      <c r="Y924" s="12">
        <f>IFERROR(VLOOKUP(B924, PlumX_snapshot!$A:$D, 4, FALSE), " ")</f>
        <v>0</v>
      </c>
      <c r="Z924" s="12">
        <f>IFERROR(VLOOKUP(B924, PlumX_snapshot!$A:$E, 5, FALSE), " ")</f>
        <v>0</v>
      </c>
      <c r="AA924" s="12">
        <f>IFERROR(VLOOKUP(B924, PlumX_snapshot!$A:$F, 6, FALSE), " ")</f>
        <v>0</v>
      </c>
      <c r="AB924" s="13">
        <v>44978</v>
      </c>
      <c r="AH924" s="9"/>
      <c r="AI924" s="9"/>
      <c r="AJ924" s="9"/>
      <c r="AK924" s="11" t="str">
        <f t="shared" si="6"/>
        <v>2019</v>
      </c>
      <c r="AL924" s="11" t="e">
        <f>VLOOKUP(AK924, Exchange_rates!$C:$D, 2, FALSE)</f>
        <v>#N/A</v>
      </c>
      <c r="AM924" s="14" t="str">
        <f t="shared" si="7"/>
        <v/>
      </c>
      <c r="AN924" s="9"/>
      <c r="AO924" s="9"/>
      <c r="AP924" s="9"/>
      <c r="AQ924" s="15" t="s">
        <v>49</v>
      </c>
      <c r="AR924" t="s">
        <v>4138</v>
      </c>
      <c r="AS924" s="16"/>
    </row>
    <row r="925" spans="1:45" ht="14.5">
      <c r="A925" s="9" t="s">
        <v>4139</v>
      </c>
      <c r="B925" s="9" t="s">
        <v>4140</v>
      </c>
      <c r="C925" s="9" t="s">
        <v>4141</v>
      </c>
      <c r="D925" s="9" t="s">
        <v>2830</v>
      </c>
      <c r="E925" s="9" t="s">
        <v>49</v>
      </c>
      <c r="F925" s="9" t="s">
        <v>50</v>
      </c>
      <c r="G925" s="9" t="s">
        <v>51</v>
      </c>
      <c r="H925" s="9"/>
      <c r="J925" s="10"/>
      <c r="K925" s="10"/>
      <c r="L925" s="10"/>
      <c r="M925" s="10">
        <v>43484</v>
      </c>
      <c r="N925" s="9">
        <v>2019</v>
      </c>
      <c r="O925" s="9" t="s">
        <v>4137</v>
      </c>
      <c r="P925" s="9" t="s">
        <v>53</v>
      </c>
      <c r="Q925" s="9" t="s">
        <v>53</v>
      </c>
      <c r="T925" s="9" t="s">
        <v>661</v>
      </c>
      <c r="U925" s="9" t="s">
        <v>4035</v>
      </c>
      <c r="V925" s="9"/>
      <c r="W925" s="11">
        <f>IFERROR(VLOOKUP(B925, PlumX_snapshot!$A:$B, 2, FALSE), " ")</f>
        <v>20</v>
      </c>
      <c r="X925" s="11">
        <f>IFERROR(VLOOKUP(B925, PlumX_snapshot!$A:$C, 3, FALSE), " ")</f>
        <v>5</v>
      </c>
      <c r="Y925" s="12">
        <f>IFERROR(VLOOKUP(B925, PlumX_snapshot!$A:$D, 4, FALSE), " ")</f>
        <v>363</v>
      </c>
      <c r="Z925" s="12">
        <f>IFERROR(VLOOKUP(B925, PlumX_snapshot!$A:$E, 5, FALSE), " ")</f>
        <v>22</v>
      </c>
      <c r="AA925" s="12">
        <f>IFERROR(VLOOKUP(B925, PlumX_snapshot!$A:$F, 6, FALSE), " ")</f>
        <v>0</v>
      </c>
      <c r="AB925" s="13">
        <v>44978</v>
      </c>
      <c r="AH925" s="9"/>
      <c r="AI925" s="9"/>
      <c r="AJ925" s="9"/>
      <c r="AK925" s="11" t="str">
        <f t="shared" si="6"/>
        <v>2019</v>
      </c>
      <c r="AL925" s="11" t="e">
        <f>VLOOKUP(AK925, Exchange_rates!$C:$D, 2, FALSE)</f>
        <v>#N/A</v>
      </c>
      <c r="AM925" s="14" t="str">
        <f t="shared" si="7"/>
        <v/>
      </c>
      <c r="AN925" s="9"/>
      <c r="AO925" s="9"/>
      <c r="AP925" s="9"/>
      <c r="AQ925" s="15" t="s">
        <v>49</v>
      </c>
      <c r="AR925" t="s">
        <v>4142</v>
      </c>
      <c r="AS925" s="16" t="s">
        <v>4143</v>
      </c>
    </row>
    <row r="926" spans="1:45" ht="14.5">
      <c r="A926" s="9" t="s">
        <v>4144</v>
      </c>
      <c r="B926" s="9" t="s">
        <v>4145</v>
      </c>
      <c r="C926" s="9" t="s">
        <v>4146</v>
      </c>
      <c r="D926" s="9" t="s">
        <v>2830</v>
      </c>
      <c r="E926" s="9" t="s">
        <v>49</v>
      </c>
      <c r="F926" s="9" t="s">
        <v>50</v>
      </c>
      <c r="G926" s="9" t="s">
        <v>51</v>
      </c>
      <c r="H926" s="9"/>
      <c r="J926" s="10"/>
      <c r="K926" s="10">
        <v>43556</v>
      </c>
      <c r="L926" s="10"/>
      <c r="M926" s="10">
        <v>43518</v>
      </c>
      <c r="N926" s="9">
        <v>2019</v>
      </c>
      <c r="O926" s="9" t="s">
        <v>4137</v>
      </c>
      <c r="P926" s="9" t="s">
        <v>53</v>
      </c>
      <c r="Q926" s="9" t="s">
        <v>53</v>
      </c>
      <c r="T926" s="9" t="s">
        <v>661</v>
      </c>
      <c r="U926" s="9" t="s">
        <v>4035</v>
      </c>
      <c r="V926" s="9"/>
      <c r="W926" s="11">
        <f>IFERROR(VLOOKUP(B926, PlumX_snapshot!$A:$B, 2, FALSE), " ")</f>
        <v>22</v>
      </c>
      <c r="X926" s="11">
        <f>IFERROR(VLOOKUP(B926, PlumX_snapshot!$A:$C, 3, FALSE), " ")</f>
        <v>5</v>
      </c>
      <c r="Y926" s="12">
        <f>IFERROR(VLOOKUP(B926, PlumX_snapshot!$A:$D, 4, FALSE), " ")</f>
        <v>21</v>
      </c>
      <c r="Z926" s="12">
        <f>IFERROR(VLOOKUP(B926, PlumX_snapshot!$A:$E, 5, FALSE), " ")</f>
        <v>0</v>
      </c>
      <c r="AA926" s="12">
        <f>IFERROR(VLOOKUP(B926, PlumX_snapshot!$A:$F, 6, FALSE), " ")</f>
        <v>0</v>
      </c>
      <c r="AB926" s="13">
        <v>44978</v>
      </c>
      <c r="AH926" s="9"/>
      <c r="AI926" s="9"/>
      <c r="AJ926" s="9"/>
      <c r="AK926" s="11" t="str">
        <f t="shared" si="6"/>
        <v>2019</v>
      </c>
      <c r="AL926" s="11" t="e">
        <f>VLOOKUP(AK926, Exchange_rates!$C:$D, 2, FALSE)</f>
        <v>#N/A</v>
      </c>
      <c r="AM926" s="14" t="str">
        <f t="shared" si="7"/>
        <v/>
      </c>
      <c r="AN926" s="9"/>
      <c r="AO926" s="9"/>
      <c r="AP926" s="9"/>
      <c r="AQ926" s="15" t="s">
        <v>49</v>
      </c>
      <c r="AR926" t="s">
        <v>4147</v>
      </c>
      <c r="AS926" s="16"/>
    </row>
    <row r="927" spans="1:45" ht="14.5">
      <c r="A927" s="9" t="s">
        <v>4148</v>
      </c>
      <c r="B927" s="9" t="s">
        <v>4149</v>
      </c>
      <c r="C927" s="9" t="s">
        <v>3925</v>
      </c>
      <c r="D927" s="9" t="s">
        <v>2830</v>
      </c>
      <c r="E927" s="9" t="s">
        <v>49</v>
      </c>
      <c r="F927" s="9" t="s">
        <v>50</v>
      </c>
      <c r="G927" s="9" t="s">
        <v>51</v>
      </c>
      <c r="H927" s="9"/>
      <c r="J927" s="10"/>
      <c r="K927" s="10"/>
      <c r="L927" s="10"/>
      <c r="M927" s="10">
        <v>43568</v>
      </c>
      <c r="N927" s="9">
        <v>2019</v>
      </c>
      <c r="O927" s="9" t="s">
        <v>4137</v>
      </c>
      <c r="P927" s="9" t="s">
        <v>53</v>
      </c>
      <c r="Q927" s="9" t="s">
        <v>53</v>
      </c>
      <c r="T927" s="9" t="s">
        <v>661</v>
      </c>
      <c r="U927" s="9" t="s">
        <v>4035</v>
      </c>
      <c r="V927" s="9"/>
      <c r="W927" s="11">
        <f>IFERROR(VLOOKUP(B927, PlumX_snapshot!$A:$B, 2, FALSE), " ")</f>
        <v>10</v>
      </c>
      <c r="X927" s="11">
        <f>IFERROR(VLOOKUP(B927, PlumX_snapshot!$A:$C, 3, FALSE), " ")</f>
        <v>4</v>
      </c>
      <c r="Y927" s="12">
        <f>IFERROR(VLOOKUP(B927, PlumX_snapshot!$A:$D, 4, FALSE), " ")</f>
        <v>9</v>
      </c>
      <c r="Z927" s="12">
        <f>IFERROR(VLOOKUP(B927, PlumX_snapshot!$A:$E, 5, FALSE), " ")</f>
        <v>0</v>
      </c>
      <c r="AA927" s="12">
        <f>IFERROR(VLOOKUP(B927, PlumX_snapshot!$A:$F, 6, FALSE), " ")</f>
        <v>0</v>
      </c>
      <c r="AB927" s="13">
        <v>44978</v>
      </c>
      <c r="AH927" s="9"/>
      <c r="AI927" s="9"/>
      <c r="AJ927" s="9"/>
      <c r="AK927" s="11" t="str">
        <f t="shared" si="6"/>
        <v>2019</v>
      </c>
      <c r="AL927" s="11" t="e">
        <f>VLOOKUP(AK927, Exchange_rates!$C:$D, 2, FALSE)</f>
        <v>#N/A</v>
      </c>
      <c r="AM927" s="14" t="str">
        <f t="shared" si="7"/>
        <v/>
      </c>
      <c r="AN927" s="9"/>
      <c r="AO927" s="9"/>
      <c r="AP927" s="9"/>
      <c r="AQ927" s="15" t="s">
        <v>49</v>
      </c>
      <c r="AR927" t="s">
        <v>3926</v>
      </c>
      <c r="AS927" s="16"/>
    </row>
    <row r="928" spans="1:45" ht="14.5">
      <c r="A928" s="9" t="s">
        <v>4150</v>
      </c>
      <c r="B928" s="9" t="s">
        <v>4151</v>
      </c>
      <c r="C928" s="9" t="s">
        <v>4152</v>
      </c>
      <c r="D928" s="9" t="s">
        <v>2830</v>
      </c>
      <c r="E928" s="9" t="s">
        <v>49</v>
      </c>
      <c r="F928" s="9" t="s">
        <v>50</v>
      </c>
      <c r="G928" s="9" t="s">
        <v>51</v>
      </c>
      <c r="H928" s="9"/>
      <c r="J928" s="10"/>
      <c r="K928" s="10"/>
      <c r="L928" s="10"/>
      <c r="M928" s="10">
        <v>43601</v>
      </c>
      <c r="N928" s="9">
        <v>2019</v>
      </c>
      <c r="O928" s="9" t="s">
        <v>4137</v>
      </c>
      <c r="P928" s="9" t="s">
        <v>53</v>
      </c>
      <c r="Q928" s="9" t="s">
        <v>53</v>
      </c>
      <c r="T928" s="9" t="s">
        <v>661</v>
      </c>
      <c r="U928" s="9" t="s">
        <v>4035</v>
      </c>
      <c r="V928" s="9"/>
      <c r="W928" s="11">
        <f>IFERROR(VLOOKUP(B928, PlumX_snapshot!$A:$B, 2, FALSE), " ")</f>
        <v>33</v>
      </c>
      <c r="X928" s="11">
        <f>IFERROR(VLOOKUP(B928, PlumX_snapshot!$A:$C, 3, FALSE), " ")</f>
        <v>14</v>
      </c>
      <c r="Y928" s="12">
        <f>IFERROR(VLOOKUP(B928, PlumX_snapshot!$A:$D, 4, FALSE), " ")</f>
        <v>34</v>
      </c>
      <c r="Z928" s="12">
        <f>IFERROR(VLOOKUP(B928, PlumX_snapshot!$A:$E, 5, FALSE), " ")</f>
        <v>0</v>
      </c>
      <c r="AA928" s="12">
        <f>IFERROR(VLOOKUP(B928, PlumX_snapshot!$A:$F, 6, FALSE), " ")</f>
        <v>1</v>
      </c>
      <c r="AB928" s="13">
        <v>44978</v>
      </c>
      <c r="AH928" s="9"/>
      <c r="AI928" s="9"/>
      <c r="AJ928" s="9"/>
      <c r="AK928" s="11" t="str">
        <f t="shared" si="6"/>
        <v>2019</v>
      </c>
      <c r="AL928" s="11" t="e">
        <f>VLOOKUP(AK928, Exchange_rates!$C:$D, 2, FALSE)</f>
        <v>#N/A</v>
      </c>
      <c r="AM928" s="14" t="str">
        <f t="shared" si="7"/>
        <v/>
      </c>
      <c r="AN928" s="9"/>
      <c r="AO928" s="9"/>
      <c r="AP928" s="9"/>
      <c r="AQ928" s="15" t="s">
        <v>49</v>
      </c>
      <c r="AR928" t="s">
        <v>4153</v>
      </c>
      <c r="AS928" s="16"/>
    </row>
    <row r="929" spans="1:45" ht="14.5">
      <c r="A929" s="9" t="s">
        <v>4154</v>
      </c>
      <c r="B929" s="9" t="s">
        <v>4155</v>
      </c>
      <c r="C929" s="9" t="s">
        <v>3540</v>
      </c>
      <c r="D929" s="9" t="s">
        <v>2830</v>
      </c>
      <c r="E929" s="9" t="s">
        <v>49</v>
      </c>
      <c r="F929" s="9" t="s">
        <v>50</v>
      </c>
      <c r="G929" s="9" t="s">
        <v>51</v>
      </c>
      <c r="H929" s="9"/>
      <c r="J929" s="10"/>
      <c r="K929" s="10" t="s">
        <v>4156</v>
      </c>
      <c r="L929" s="10"/>
      <c r="M929" s="10">
        <v>43647</v>
      </c>
      <c r="N929" s="9">
        <v>2019</v>
      </c>
      <c r="O929" s="9" t="s">
        <v>4137</v>
      </c>
      <c r="P929" s="9" t="s">
        <v>53</v>
      </c>
      <c r="Q929" s="9" t="s">
        <v>53</v>
      </c>
      <c r="T929" s="9" t="s">
        <v>661</v>
      </c>
      <c r="U929" s="9" t="s">
        <v>4035</v>
      </c>
      <c r="V929" s="9"/>
      <c r="W929" s="11">
        <f>IFERROR(VLOOKUP(B929, PlumX_snapshot!$A:$B, 2, FALSE), " ")</f>
        <v>46</v>
      </c>
      <c r="X929" s="11">
        <f>IFERROR(VLOOKUP(B929, PlumX_snapshot!$A:$C, 3, FALSE), " ")</f>
        <v>20</v>
      </c>
      <c r="Y929" s="12">
        <f>IFERROR(VLOOKUP(B929, PlumX_snapshot!$A:$D, 4, FALSE), " ")</f>
        <v>12</v>
      </c>
      <c r="Z929" s="12">
        <f>IFERROR(VLOOKUP(B929, PlumX_snapshot!$A:$E, 5, FALSE), " ")</f>
        <v>0</v>
      </c>
      <c r="AA929" s="12">
        <f>IFERROR(VLOOKUP(B929, PlumX_snapshot!$A:$F, 6, FALSE), " ")</f>
        <v>0</v>
      </c>
      <c r="AB929" s="13">
        <v>44978</v>
      </c>
      <c r="AH929" s="9"/>
      <c r="AI929" s="9"/>
      <c r="AJ929" s="9"/>
      <c r="AK929" s="11" t="str">
        <f t="shared" si="6"/>
        <v>2019</v>
      </c>
      <c r="AL929" s="11" t="e">
        <f>VLOOKUP(AK929, Exchange_rates!$C:$D, 2, FALSE)</f>
        <v>#N/A</v>
      </c>
      <c r="AM929" s="14" t="str">
        <f t="shared" si="7"/>
        <v/>
      </c>
      <c r="AN929" s="9"/>
      <c r="AO929" s="9"/>
      <c r="AP929" s="9"/>
      <c r="AQ929" s="15" t="s">
        <v>49</v>
      </c>
      <c r="AR929" t="s">
        <v>3541</v>
      </c>
      <c r="AS929" s="16"/>
    </row>
    <row r="930" spans="1:45" ht="14.5">
      <c r="A930" s="9" t="s">
        <v>4157</v>
      </c>
      <c r="B930" s="9" t="s">
        <v>4158</v>
      </c>
      <c r="C930" s="9" t="s">
        <v>4159</v>
      </c>
      <c r="D930" s="9" t="s">
        <v>2830</v>
      </c>
      <c r="E930" s="9" t="s">
        <v>49</v>
      </c>
      <c r="F930" s="9" t="s">
        <v>50</v>
      </c>
      <c r="G930" s="9" t="s">
        <v>51</v>
      </c>
      <c r="H930" s="9"/>
      <c r="J930" s="10"/>
      <c r="K930" s="10">
        <v>43624</v>
      </c>
      <c r="L930" s="10"/>
      <c r="M930" s="10">
        <v>43690</v>
      </c>
      <c r="N930" s="9">
        <v>2019</v>
      </c>
      <c r="O930" s="9" t="s">
        <v>4137</v>
      </c>
      <c r="P930" s="9" t="s">
        <v>53</v>
      </c>
      <c r="Q930" s="9" t="s">
        <v>53</v>
      </c>
      <c r="T930" s="9" t="s">
        <v>661</v>
      </c>
      <c r="U930" s="9" t="s">
        <v>4035</v>
      </c>
      <c r="V930" s="9"/>
      <c r="W930" s="11">
        <f>IFERROR(VLOOKUP(B930, PlumX_snapshot!$A:$B, 2, FALSE), " ")</f>
        <v>7</v>
      </c>
      <c r="X930" s="11">
        <f>IFERROR(VLOOKUP(B930, PlumX_snapshot!$A:$C, 3, FALSE), " ")</f>
        <v>6</v>
      </c>
      <c r="Y930" s="12">
        <f>IFERROR(VLOOKUP(B930, PlumX_snapshot!$A:$D, 4, FALSE), " ")</f>
        <v>0</v>
      </c>
      <c r="Z930" s="12">
        <f>IFERROR(VLOOKUP(B930, PlumX_snapshot!$A:$E, 5, FALSE), " ")</f>
        <v>0</v>
      </c>
      <c r="AA930" s="12">
        <f>IFERROR(VLOOKUP(B930, PlumX_snapshot!$A:$F, 6, FALSE), " ")</f>
        <v>0</v>
      </c>
      <c r="AB930" s="13">
        <v>44978</v>
      </c>
      <c r="AH930" s="9"/>
      <c r="AI930" s="9"/>
      <c r="AJ930" s="9"/>
      <c r="AK930" s="11" t="str">
        <f t="shared" si="6"/>
        <v>2019</v>
      </c>
      <c r="AL930" s="11" t="e">
        <f>VLOOKUP(AK930, Exchange_rates!$C:$D, 2, FALSE)</f>
        <v>#N/A</v>
      </c>
      <c r="AM930" s="14" t="str">
        <f t="shared" si="7"/>
        <v/>
      </c>
      <c r="AN930" s="9"/>
      <c r="AO930" s="9"/>
      <c r="AP930" s="9"/>
      <c r="AQ930" s="15" t="s">
        <v>49</v>
      </c>
      <c r="AR930" t="s">
        <v>4160</v>
      </c>
      <c r="AS930" s="16"/>
    </row>
    <row r="931" spans="1:45" ht="14.5">
      <c r="A931" s="9" t="s">
        <v>4161</v>
      </c>
      <c r="B931" s="9" t="s">
        <v>4162</v>
      </c>
      <c r="C931" s="9" t="s">
        <v>3337</v>
      </c>
      <c r="D931" s="9" t="s">
        <v>2830</v>
      </c>
      <c r="E931" s="9" t="s">
        <v>49</v>
      </c>
      <c r="F931" s="9" t="s">
        <v>69</v>
      </c>
      <c r="G931" s="9" t="s">
        <v>70</v>
      </c>
      <c r="H931" s="9" t="s">
        <v>2878</v>
      </c>
      <c r="I931" s="9" t="s">
        <v>72</v>
      </c>
      <c r="J931" s="10">
        <v>44501</v>
      </c>
      <c r="K931" s="10">
        <v>44529</v>
      </c>
      <c r="L931" s="10">
        <v>44532.677777777775</v>
      </c>
      <c r="M931" s="28">
        <v>44544</v>
      </c>
      <c r="N931" s="9">
        <v>2021</v>
      </c>
      <c r="O931" s="9" t="s">
        <v>4163</v>
      </c>
      <c r="P931" s="9" t="s">
        <v>53</v>
      </c>
      <c r="Q931" s="9" t="s">
        <v>53</v>
      </c>
      <c r="R931" s="9" t="s">
        <v>92</v>
      </c>
      <c r="T931" s="9"/>
      <c r="V931" s="9"/>
      <c r="W931" s="11">
        <f>IFERROR(VLOOKUP(B931, PlumX_snapshot!$A:$B, 2, FALSE), " ")</f>
        <v>6</v>
      </c>
      <c r="X931" s="11">
        <f>IFERROR(VLOOKUP(B931, PlumX_snapshot!$A:$C, 3, FALSE), " ")</f>
        <v>0</v>
      </c>
      <c r="Y931" s="12">
        <f>IFERROR(VLOOKUP(B931, PlumX_snapshot!$A:$D, 4, FALSE), " ")</f>
        <v>0</v>
      </c>
      <c r="Z931" s="12">
        <f>IFERROR(VLOOKUP(B931, PlumX_snapshot!$A:$E, 5, FALSE), " ")</f>
        <v>0</v>
      </c>
      <c r="AA931" s="12">
        <f>IFERROR(VLOOKUP(B931, PlumX_snapshot!$A:$F, 6, FALSE), " ")</f>
        <v>0</v>
      </c>
      <c r="AB931" s="13">
        <v>44978</v>
      </c>
      <c r="AH931" s="9">
        <v>2380</v>
      </c>
      <c r="AI931" s="9" t="s">
        <v>77</v>
      </c>
      <c r="AJ931" s="9" t="s">
        <v>1823</v>
      </c>
      <c r="AK931" s="11" t="str">
        <f t="shared" si="6"/>
        <v>2021EUR</v>
      </c>
      <c r="AL931" s="11">
        <f>VLOOKUP(AK931, Exchange_rates!$C:$D, 2, FALSE)</f>
        <v>0.8599</v>
      </c>
      <c r="AM931" s="14">
        <f t="shared" si="7"/>
        <v>2455.8743999999997</v>
      </c>
      <c r="AN931" s="9"/>
      <c r="AO931" s="9"/>
      <c r="AP931" s="9"/>
      <c r="AQ931" s="15" t="s">
        <v>49</v>
      </c>
      <c r="AR931" t="s">
        <v>3338</v>
      </c>
      <c r="AS931" s="16"/>
    </row>
    <row r="932" spans="1:45" ht="14.5">
      <c r="A932" s="9" t="s">
        <v>4164</v>
      </c>
      <c r="B932" s="9" t="s">
        <v>4165</v>
      </c>
      <c r="C932" s="9" t="s">
        <v>2929</v>
      </c>
      <c r="D932" s="9" t="s">
        <v>2830</v>
      </c>
      <c r="E932" s="9" t="s">
        <v>49</v>
      </c>
      <c r="F932" s="9" t="s">
        <v>69</v>
      </c>
      <c r="G932" s="9" t="s">
        <v>70</v>
      </c>
      <c r="H932" s="9" t="s">
        <v>2878</v>
      </c>
      <c r="I932" s="9" t="s">
        <v>72</v>
      </c>
      <c r="J932" s="10"/>
      <c r="K932" s="10">
        <v>44522</v>
      </c>
      <c r="L932" s="10">
        <v>44526.464583333334</v>
      </c>
      <c r="M932" s="10">
        <v>44533</v>
      </c>
      <c r="N932" s="9">
        <v>2021</v>
      </c>
      <c r="O932" s="9" t="s">
        <v>4163</v>
      </c>
      <c r="P932" s="9" t="s">
        <v>83</v>
      </c>
      <c r="Q932" s="9" t="s">
        <v>53</v>
      </c>
      <c r="R932" s="9" t="s">
        <v>4005</v>
      </c>
      <c r="T932" s="9"/>
      <c r="V932" s="9"/>
      <c r="W932" s="11">
        <f>IFERROR(VLOOKUP(B932, PlumX_snapshot!$A:$B, 2, FALSE), " ")</f>
        <v>13</v>
      </c>
      <c r="X932" s="11">
        <f>IFERROR(VLOOKUP(B932, PlumX_snapshot!$A:$C, 3, FALSE), " ")</f>
        <v>2</v>
      </c>
      <c r="Y932" s="12">
        <f>IFERROR(VLOOKUP(B932, PlumX_snapshot!$A:$D, 4, FALSE), " ")</f>
        <v>4</v>
      </c>
      <c r="Z932" s="12">
        <f>IFERROR(VLOOKUP(B932, PlumX_snapshot!$A:$E, 5, FALSE), " ")</f>
        <v>0</v>
      </c>
      <c r="AA932" s="12">
        <f>IFERROR(VLOOKUP(B932, PlumX_snapshot!$A:$F, 6, FALSE), " ")</f>
        <v>0</v>
      </c>
      <c r="AB932" s="13">
        <v>44978</v>
      </c>
      <c r="AH932" s="9">
        <v>2380</v>
      </c>
      <c r="AI932" s="9" t="s">
        <v>77</v>
      </c>
      <c r="AJ932" s="9" t="s">
        <v>1823</v>
      </c>
      <c r="AK932" s="11" t="str">
        <f t="shared" si="6"/>
        <v>2021EUR</v>
      </c>
      <c r="AL932" s="11">
        <f>VLOOKUP(AK932, Exchange_rates!$C:$D, 2, FALSE)</f>
        <v>0.8599</v>
      </c>
      <c r="AM932" s="14">
        <f t="shared" si="7"/>
        <v>2455.8743999999997</v>
      </c>
      <c r="AN932" s="9"/>
      <c r="AO932" s="9"/>
      <c r="AP932" s="9"/>
      <c r="AQ932" s="15" t="s">
        <v>49</v>
      </c>
      <c r="AR932" t="s">
        <v>2930</v>
      </c>
      <c r="AS932" s="16"/>
    </row>
    <row r="933" spans="1:45" ht="14.5">
      <c r="A933" s="9" t="s">
        <v>4166</v>
      </c>
      <c r="B933" s="9" t="s">
        <v>4167</v>
      </c>
      <c r="C933" s="9" t="s">
        <v>3242</v>
      </c>
      <c r="D933" s="9" t="s">
        <v>2830</v>
      </c>
      <c r="E933" s="9" t="s">
        <v>49</v>
      </c>
      <c r="F933" s="9" t="s">
        <v>69</v>
      </c>
      <c r="G933" s="9" t="s">
        <v>70</v>
      </c>
      <c r="H933" s="9" t="s">
        <v>4168</v>
      </c>
      <c r="I933" s="9" t="s">
        <v>72</v>
      </c>
      <c r="J933" s="10"/>
      <c r="K933" s="10"/>
      <c r="L933" s="10">
        <v>44565.5625</v>
      </c>
      <c r="M933" s="10">
        <v>44671</v>
      </c>
      <c r="N933" s="9">
        <v>2022</v>
      </c>
      <c r="O933" s="9" t="s">
        <v>4163</v>
      </c>
      <c r="P933" s="9" t="s">
        <v>53</v>
      </c>
      <c r="Q933" s="9" t="s">
        <v>53</v>
      </c>
      <c r="R933" s="9" t="s">
        <v>92</v>
      </c>
      <c r="T933" s="9"/>
      <c r="V933" s="9"/>
      <c r="W933" s="11">
        <f>IFERROR(VLOOKUP(B933, PlumX_snapshot!$A:$B, 2, FALSE), " ")</f>
        <v>7</v>
      </c>
      <c r="X933" s="11">
        <f>IFERROR(VLOOKUP(B933, PlumX_snapshot!$A:$C, 3, FALSE), " ")</f>
        <v>2</v>
      </c>
      <c r="Y933" s="12">
        <f>IFERROR(VLOOKUP(B933, PlumX_snapshot!$A:$D, 4, FALSE), " ")</f>
        <v>3</v>
      </c>
      <c r="Z933" s="12">
        <f>IFERROR(VLOOKUP(B933, PlumX_snapshot!$A:$E, 5, FALSE), " ")</f>
        <v>0</v>
      </c>
      <c r="AA933" s="12">
        <f>IFERROR(VLOOKUP(B933, PlumX_snapshot!$A:$F, 6, FALSE), " ")</f>
        <v>0</v>
      </c>
      <c r="AB933" s="13">
        <v>44978</v>
      </c>
      <c r="AH933" s="9">
        <v>2428</v>
      </c>
      <c r="AI933" s="9" t="s">
        <v>77</v>
      </c>
      <c r="AJ933" s="9" t="s">
        <v>1823</v>
      </c>
      <c r="AK933" s="11" t="str">
        <f t="shared" si="6"/>
        <v>2022EUR</v>
      </c>
      <c r="AL933" s="11">
        <f>VLOOKUP(AK933, Exchange_rates!$C:$D, 2, FALSE)</f>
        <v>0.8528</v>
      </c>
      <c r="AM933" s="14">
        <f t="shared" si="7"/>
        <v>2484.7180799999996</v>
      </c>
      <c r="AN933" s="9"/>
      <c r="AO933" s="9"/>
      <c r="AP933" s="9"/>
      <c r="AQ933" s="15" t="s">
        <v>49</v>
      </c>
      <c r="AR933" t="s">
        <v>3243</v>
      </c>
      <c r="AS933" s="16"/>
    </row>
    <row r="934" spans="1:45" ht="14.5">
      <c r="A934" s="9" t="s">
        <v>4169</v>
      </c>
      <c r="B934" s="9" t="s">
        <v>4170</v>
      </c>
      <c r="C934" s="9" t="s">
        <v>3178</v>
      </c>
      <c r="D934" s="9" t="s">
        <v>2830</v>
      </c>
      <c r="E934" s="9" t="s">
        <v>49</v>
      </c>
      <c r="F934" s="9" t="s">
        <v>69</v>
      </c>
      <c r="G934" s="9" t="s">
        <v>70</v>
      </c>
      <c r="H934" s="9" t="s">
        <v>2878</v>
      </c>
      <c r="I934" s="9" t="s">
        <v>72</v>
      </c>
      <c r="J934" s="10">
        <v>44259</v>
      </c>
      <c r="K934" s="10">
        <v>44515</v>
      </c>
      <c r="L934" s="10">
        <v>44543.491666666669</v>
      </c>
      <c r="M934" s="28">
        <v>44548</v>
      </c>
      <c r="N934" s="9">
        <v>2021</v>
      </c>
      <c r="O934" s="9" t="s">
        <v>4163</v>
      </c>
      <c r="P934" s="9" t="s">
        <v>83</v>
      </c>
      <c r="Q934" s="9" t="s">
        <v>53</v>
      </c>
      <c r="R934" s="9" t="s">
        <v>4171</v>
      </c>
      <c r="T934" s="9"/>
      <c r="V934" s="9"/>
      <c r="W934" s="11">
        <f>IFERROR(VLOOKUP(B934, PlumX_snapshot!$A:$B, 2, FALSE), " ")</f>
        <v>8</v>
      </c>
      <c r="X934" s="11">
        <f>IFERROR(VLOOKUP(B934, PlumX_snapshot!$A:$C, 3, FALSE), " ")</f>
        <v>0</v>
      </c>
      <c r="Y934" s="12">
        <f>IFERROR(VLOOKUP(B934, PlumX_snapshot!$A:$D, 4, FALSE), " ")</f>
        <v>1</v>
      </c>
      <c r="Z934" s="12">
        <f>IFERROR(VLOOKUP(B934, PlumX_snapshot!$A:$E, 5, FALSE), " ")</f>
        <v>0</v>
      </c>
      <c r="AA934" s="12">
        <f>IFERROR(VLOOKUP(B934, PlumX_snapshot!$A:$F, 6, FALSE), " ")</f>
        <v>1</v>
      </c>
      <c r="AB934" s="13">
        <v>44978</v>
      </c>
      <c r="AH934" s="9">
        <v>2380</v>
      </c>
      <c r="AI934" s="9" t="s">
        <v>77</v>
      </c>
      <c r="AJ934" s="9" t="s">
        <v>1823</v>
      </c>
      <c r="AK934" s="11" t="str">
        <f t="shared" si="6"/>
        <v>2021EUR</v>
      </c>
      <c r="AL934" s="11">
        <f>VLOOKUP(AK934, Exchange_rates!$C:$D, 2, FALSE)</f>
        <v>0.8599</v>
      </c>
      <c r="AM934" s="14">
        <f t="shared" si="7"/>
        <v>2455.8743999999997</v>
      </c>
      <c r="AN934" s="9"/>
      <c r="AO934" s="9"/>
      <c r="AP934" s="9"/>
      <c r="AQ934" s="15" t="s">
        <v>49</v>
      </c>
      <c r="AR934" t="s">
        <v>3179</v>
      </c>
      <c r="AS934" s="16"/>
    </row>
    <row r="935" spans="1:45" ht="14.5">
      <c r="A935" s="9" t="s">
        <v>4172</v>
      </c>
      <c r="B935" s="9" t="s">
        <v>4173</v>
      </c>
      <c r="C935" s="9" t="s">
        <v>3393</v>
      </c>
      <c r="D935" s="9" t="s">
        <v>2830</v>
      </c>
      <c r="E935" s="9" t="s">
        <v>49</v>
      </c>
      <c r="F935" s="9" t="s">
        <v>69</v>
      </c>
      <c r="G935" s="9" t="s">
        <v>70</v>
      </c>
      <c r="H935" s="9" t="s">
        <v>4168</v>
      </c>
      <c r="I935" s="9" t="s">
        <v>72</v>
      </c>
      <c r="J935" s="10">
        <v>44377</v>
      </c>
      <c r="K935" s="10">
        <v>44563</v>
      </c>
      <c r="L935" s="10">
        <v>44567.504861111112</v>
      </c>
      <c r="M935" s="10">
        <v>44572</v>
      </c>
      <c r="N935" s="9">
        <v>2022</v>
      </c>
      <c r="O935" s="9" t="s">
        <v>4163</v>
      </c>
      <c r="P935" s="9" t="s">
        <v>83</v>
      </c>
      <c r="Q935" s="9" t="s">
        <v>53</v>
      </c>
      <c r="R935" s="9" t="s">
        <v>4174</v>
      </c>
      <c r="T935" s="9"/>
      <c r="V935" s="9"/>
      <c r="W935" s="11">
        <f>IFERROR(VLOOKUP(B935, PlumX_snapshot!$A:$B, 2, FALSE), " ")</f>
        <v>31</v>
      </c>
      <c r="X935" s="11">
        <f>IFERROR(VLOOKUP(B935, PlumX_snapshot!$A:$C, 3, FALSE), " ")</f>
        <v>6</v>
      </c>
      <c r="Y935" s="12">
        <f>IFERROR(VLOOKUP(B935, PlumX_snapshot!$A:$D, 4, FALSE), " ")</f>
        <v>10</v>
      </c>
      <c r="Z935" s="12">
        <f>IFERROR(VLOOKUP(B935, PlumX_snapshot!$A:$E, 5, FALSE), " ")</f>
        <v>0</v>
      </c>
      <c r="AA935" s="12">
        <f>IFERROR(VLOOKUP(B935, PlumX_snapshot!$A:$F, 6, FALSE), " ")</f>
        <v>0</v>
      </c>
      <c r="AB935" s="13">
        <v>44978</v>
      </c>
      <c r="AH935" s="9">
        <v>2428</v>
      </c>
      <c r="AI935" s="9" t="s">
        <v>77</v>
      </c>
      <c r="AJ935" s="9" t="s">
        <v>1823</v>
      </c>
      <c r="AK935" s="11" t="str">
        <f t="shared" si="6"/>
        <v>2022EUR</v>
      </c>
      <c r="AL935" s="11">
        <f>VLOOKUP(AK935, Exchange_rates!$C:$D, 2, FALSE)</f>
        <v>0.8528</v>
      </c>
      <c r="AM935" s="14">
        <f t="shared" si="7"/>
        <v>2484.7180799999996</v>
      </c>
      <c r="AN935" s="9"/>
      <c r="AO935" s="9"/>
      <c r="AP935" s="9"/>
      <c r="AQ935" s="15" t="s">
        <v>49</v>
      </c>
      <c r="AR935" t="s">
        <v>3395</v>
      </c>
      <c r="AS935" s="16"/>
    </row>
    <row r="936" spans="1:45" ht="14.5">
      <c r="A936" s="9" t="s">
        <v>4175</v>
      </c>
      <c r="B936" s="9" t="s">
        <v>4176</v>
      </c>
      <c r="C936" s="9" t="s">
        <v>4177</v>
      </c>
      <c r="D936" s="9" t="s">
        <v>2830</v>
      </c>
      <c r="E936" s="9" t="s">
        <v>49</v>
      </c>
      <c r="F936" s="9" t="s">
        <v>69</v>
      </c>
      <c r="G936" s="9" t="s">
        <v>70</v>
      </c>
      <c r="H936" s="9" t="s">
        <v>4168</v>
      </c>
      <c r="I936" s="9" t="s">
        <v>72</v>
      </c>
      <c r="J936" s="10"/>
      <c r="K936" s="10"/>
      <c r="L936" s="10">
        <v>44606.460416666669</v>
      </c>
      <c r="M936" s="10">
        <v>44614</v>
      </c>
      <c r="N936" s="9">
        <v>2022</v>
      </c>
      <c r="O936" s="9" t="s">
        <v>4163</v>
      </c>
      <c r="P936" s="9" t="s">
        <v>53</v>
      </c>
      <c r="Q936" s="9" t="s">
        <v>53</v>
      </c>
      <c r="R936" s="9" t="s">
        <v>4178</v>
      </c>
      <c r="T936" s="9"/>
      <c r="V936" s="9"/>
      <c r="W936" s="11">
        <f>IFERROR(VLOOKUP(B936, PlumX_snapshot!$A:$B, 2, FALSE), " ")</f>
        <v>15</v>
      </c>
      <c r="X936" s="11">
        <f>IFERROR(VLOOKUP(B936, PlumX_snapshot!$A:$C, 3, FALSE), " ")</f>
        <v>5</v>
      </c>
      <c r="Y936" s="12">
        <f>IFERROR(VLOOKUP(B936, PlumX_snapshot!$A:$D, 4, FALSE), " ")</f>
        <v>11</v>
      </c>
      <c r="Z936" s="12">
        <f>IFERROR(VLOOKUP(B936, PlumX_snapshot!$A:$E, 5, FALSE), " ")</f>
        <v>0</v>
      </c>
      <c r="AA936" s="12">
        <f>IFERROR(VLOOKUP(B936, PlumX_snapshot!$A:$F, 6, FALSE), " ")</f>
        <v>1</v>
      </c>
      <c r="AB936" s="13">
        <v>44978</v>
      </c>
      <c r="AH936" s="9">
        <v>2428</v>
      </c>
      <c r="AI936" s="9" t="s">
        <v>77</v>
      </c>
      <c r="AJ936" s="9" t="s">
        <v>1823</v>
      </c>
      <c r="AK936" s="11" t="str">
        <f t="shared" si="6"/>
        <v>2022EUR</v>
      </c>
      <c r="AL936" s="11">
        <f>VLOOKUP(AK936, Exchange_rates!$C:$D, 2, FALSE)</f>
        <v>0.8528</v>
      </c>
      <c r="AM936" s="14">
        <f t="shared" si="7"/>
        <v>2484.7180799999996</v>
      </c>
      <c r="AN936" s="9"/>
      <c r="AO936" s="9"/>
      <c r="AP936" s="9"/>
      <c r="AQ936" s="15" t="s">
        <v>49</v>
      </c>
      <c r="AR936" t="s">
        <v>4179</v>
      </c>
      <c r="AS936" s="16"/>
    </row>
    <row r="937" spans="1:45" ht="14.5">
      <c r="A937" s="9" t="s">
        <v>4180</v>
      </c>
      <c r="B937" s="9" t="s">
        <v>4181</v>
      </c>
      <c r="C937" s="9" t="s">
        <v>3978</v>
      </c>
      <c r="D937" s="9" t="s">
        <v>2830</v>
      </c>
      <c r="E937" s="9" t="s">
        <v>49</v>
      </c>
      <c r="F937" s="9" t="s">
        <v>69</v>
      </c>
      <c r="G937" s="9" t="s">
        <v>70</v>
      </c>
      <c r="H937" s="9" t="s">
        <v>4168</v>
      </c>
      <c r="I937" s="9" t="s">
        <v>72</v>
      </c>
      <c r="J937" s="10">
        <v>44393</v>
      </c>
      <c r="K937" s="10">
        <v>44552</v>
      </c>
      <c r="L937" s="10">
        <v>44565.563194444447</v>
      </c>
      <c r="M937" s="10">
        <v>44567</v>
      </c>
      <c r="N937" s="9">
        <v>2022</v>
      </c>
      <c r="O937" s="9" t="s">
        <v>4163</v>
      </c>
      <c r="P937" s="9" t="s">
        <v>83</v>
      </c>
      <c r="Q937" s="9" t="s">
        <v>53</v>
      </c>
      <c r="R937" s="9" t="s">
        <v>4182</v>
      </c>
      <c r="T937" s="9"/>
      <c r="V937" s="9"/>
      <c r="W937" s="11">
        <f>IFERROR(VLOOKUP(B937, PlumX_snapshot!$A:$B, 2, FALSE), " ")</f>
        <v>16</v>
      </c>
      <c r="X937" s="11">
        <f>IFERROR(VLOOKUP(B937, PlumX_snapshot!$A:$C, 3, FALSE), " ")</f>
        <v>1</v>
      </c>
      <c r="Y937" s="12">
        <f>IFERROR(VLOOKUP(B937, PlumX_snapshot!$A:$D, 4, FALSE), " ")</f>
        <v>17</v>
      </c>
      <c r="Z937" s="12">
        <f>IFERROR(VLOOKUP(B937, PlumX_snapshot!$A:$E, 5, FALSE), " ")</f>
        <v>0</v>
      </c>
      <c r="AA937" s="12">
        <f>IFERROR(VLOOKUP(B937, PlumX_snapshot!$A:$F, 6, FALSE), " ")</f>
        <v>0</v>
      </c>
      <c r="AB937" s="13">
        <v>44978</v>
      </c>
      <c r="AH937" s="9">
        <v>2428</v>
      </c>
      <c r="AI937" s="9" t="s">
        <v>77</v>
      </c>
      <c r="AJ937" s="9" t="s">
        <v>1823</v>
      </c>
      <c r="AK937" s="11" t="str">
        <f t="shared" si="6"/>
        <v>2022EUR</v>
      </c>
      <c r="AL937" s="11">
        <f>VLOOKUP(AK937, Exchange_rates!$C:$D, 2, FALSE)</f>
        <v>0.8528</v>
      </c>
      <c r="AM937" s="14">
        <f t="shared" si="7"/>
        <v>2484.7180799999996</v>
      </c>
      <c r="AN937" s="9"/>
      <c r="AO937" s="9"/>
      <c r="AP937" s="9"/>
      <c r="AQ937" s="15" t="s">
        <v>49</v>
      </c>
      <c r="AR937" t="s">
        <v>3980</v>
      </c>
      <c r="AS937" s="16"/>
    </row>
    <row r="938" spans="1:45" ht="14.5">
      <c r="A938" s="9" t="s">
        <v>4183</v>
      </c>
      <c r="B938" s="9" t="s">
        <v>4184</v>
      </c>
      <c r="C938" s="9" t="s">
        <v>3296</v>
      </c>
      <c r="D938" s="9" t="s">
        <v>2830</v>
      </c>
      <c r="E938" s="9" t="s">
        <v>49</v>
      </c>
      <c r="F938" s="9" t="s">
        <v>69</v>
      </c>
      <c r="G938" s="9" t="s">
        <v>70</v>
      </c>
      <c r="H938" s="9" t="s">
        <v>4168</v>
      </c>
      <c r="I938" s="9" t="s">
        <v>72</v>
      </c>
      <c r="J938" s="10"/>
      <c r="K938" s="10">
        <v>44567</v>
      </c>
      <c r="L938" s="10">
        <v>44574.479166666664</v>
      </c>
      <c r="M938" s="10">
        <v>44578</v>
      </c>
      <c r="N938" s="9">
        <v>2022</v>
      </c>
      <c r="O938" s="9" t="s">
        <v>4163</v>
      </c>
      <c r="P938" s="9" t="s">
        <v>53</v>
      </c>
      <c r="Q938" s="9" t="s">
        <v>53</v>
      </c>
      <c r="R938" s="9" t="s">
        <v>4185</v>
      </c>
      <c r="T938" s="9"/>
      <c r="V938" s="9"/>
      <c r="W938" s="11">
        <f>IFERROR(VLOOKUP(B938, PlumX_snapshot!$A:$B, 2, FALSE), " ")</f>
        <v>4</v>
      </c>
      <c r="X938" s="11">
        <f>IFERROR(VLOOKUP(B938, PlumX_snapshot!$A:$C, 3, FALSE), " ")</f>
        <v>2</v>
      </c>
      <c r="Y938" s="12">
        <f>IFERROR(VLOOKUP(B938, PlumX_snapshot!$A:$D, 4, FALSE), " ")</f>
        <v>0</v>
      </c>
      <c r="Z938" s="12">
        <f>IFERROR(VLOOKUP(B938, PlumX_snapshot!$A:$E, 5, FALSE), " ")</f>
        <v>0</v>
      </c>
      <c r="AA938" s="12">
        <f>IFERROR(VLOOKUP(B938, PlumX_snapshot!$A:$F, 6, FALSE), " ")</f>
        <v>0</v>
      </c>
      <c r="AB938" s="13">
        <v>44978</v>
      </c>
      <c r="AH938" s="9">
        <v>2428</v>
      </c>
      <c r="AI938" s="9" t="s">
        <v>77</v>
      </c>
      <c r="AJ938" s="9" t="s">
        <v>1823</v>
      </c>
      <c r="AK938" s="11" t="str">
        <f t="shared" si="6"/>
        <v>2022EUR</v>
      </c>
      <c r="AL938" s="11">
        <f>VLOOKUP(AK938, Exchange_rates!$C:$D, 2, FALSE)</f>
        <v>0.8528</v>
      </c>
      <c r="AM938" s="14">
        <f t="shared" si="7"/>
        <v>2484.7180799999996</v>
      </c>
      <c r="AN938" s="9"/>
      <c r="AO938" s="9"/>
      <c r="AP938" s="9"/>
      <c r="AQ938" s="15" t="s">
        <v>49</v>
      </c>
      <c r="AR938" t="s">
        <v>3297</v>
      </c>
      <c r="AS938" s="16"/>
    </row>
    <row r="939" spans="1:45" ht="14.5">
      <c r="A939" s="9" t="s">
        <v>4186</v>
      </c>
      <c r="B939" s="9" t="s">
        <v>4187</v>
      </c>
      <c r="C939" s="9" t="s">
        <v>4188</v>
      </c>
      <c r="D939" s="9" t="s">
        <v>2830</v>
      </c>
      <c r="E939" s="9" t="s">
        <v>49</v>
      </c>
      <c r="F939" s="9" t="s">
        <v>69</v>
      </c>
      <c r="G939" s="9" t="s">
        <v>70</v>
      </c>
      <c r="H939" s="9" t="s">
        <v>4168</v>
      </c>
      <c r="I939" s="9" t="s">
        <v>72</v>
      </c>
      <c r="J939" s="10"/>
      <c r="K939" s="10">
        <v>44571</v>
      </c>
      <c r="L939" s="10">
        <v>44575.590277777781</v>
      </c>
      <c r="M939" s="10">
        <v>44576</v>
      </c>
      <c r="N939" s="9">
        <v>2022</v>
      </c>
      <c r="O939" s="9" t="s">
        <v>4163</v>
      </c>
      <c r="P939" s="9" t="s">
        <v>53</v>
      </c>
      <c r="Q939" s="9" t="s">
        <v>53</v>
      </c>
      <c r="R939" s="9" t="s">
        <v>4189</v>
      </c>
      <c r="T939" s="9"/>
      <c r="V939" s="9"/>
      <c r="W939" s="11">
        <f>IFERROR(VLOOKUP(B939, PlumX_snapshot!$A:$B, 2, FALSE), " ")</f>
        <v>6</v>
      </c>
      <c r="X939" s="11">
        <f>IFERROR(VLOOKUP(B939, PlumX_snapshot!$A:$C, 3, FALSE), " ")</f>
        <v>1</v>
      </c>
      <c r="Y939" s="12">
        <f>IFERROR(VLOOKUP(B939, PlumX_snapshot!$A:$D, 4, FALSE), " ")</f>
        <v>3</v>
      </c>
      <c r="Z939" s="12">
        <f>IFERROR(VLOOKUP(B939, PlumX_snapshot!$A:$E, 5, FALSE), " ")</f>
        <v>0</v>
      </c>
      <c r="AA939" s="12">
        <f>IFERROR(VLOOKUP(B939, PlumX_snapshot!$A:$F, 6, FALSE), " ")</f>
        <v>0</v>
      </c>
      <c r="AB939" s="13">
        <v>44978</v>
      </c>
      <c r="AH939" s="9">
        <v>2428</v>
      </c>
      <c r="AI939" s="9" t="s">
        <v>77</v>
      </c>
      <c r="AJ939" s="9" t="s">
        <v>1823</v>
      </c>
      <c r="AK939" s="11" t="str">
        <f t="shared" si="6"/>
        <v>2022EUR</v>
      </c>
      <c r="AL939" s="11">
        <f>VLOOKUP(AK939, Exchange_rates!$C:$D, 2, FALSE)</f>
        <v>0.8528</v>
      </c>
      <c r="AM939" s="14">
        <f t="shared" si="7"/>
        <v>2484.7180799999996</v>
      </c>
      <c r="AN939" s="9"/>
      <c r="AO939" s="9"/>
      <c r="AP939" s="9"/>
      <c r="AQ939" s="15" t="s">
        <v>49</v>
      </c>
      <c r="AR939" t="s">
        <v>4190</v>
      </c>
      <c r="AS939" s="16"/>
    </row>
    <row r="940" spans="1:45" ht="14.5">
      <c r="A940" s="9" t="s">
        <v>4191</v>
      </c>
      <c r="B940" s="9" t="s">
        <v>4192</v>
      </c>
      <c r="C940" s="9" t="s">
        <v>4193</v>
      </c>
      <c r="D940" s="9" t="s">
        <v>2830</v>
      </c>
      <c r="E940" s="9" t="s">
        <v>49</v>
      </c>
      <c r="F940" s="9" t="s">
        <v>69</v>
      </c>
      <c r="G940" s="9" t="s">
        <v>70</v>
      </c>
      <c r="H940" s="9" t="s">
        <v>4168</v>
      </c>
      <c r="I940" s="9" t="s">
        <v>72</v>
      </c>
      <c r="J940" s="10">
        <v>44382</v>
      </c>
      <c r="K940" s="10">
        <v>44549</v>
      </c>
      <c r="L940" s="10">
        <v>44581.589583333334</v>
      </c>
      <c r="M940" s="10">
        <v>44588</v>
      </c>
      <c r="N940" s="9">
        <v>2022</v>
      </c>
      <c r="O940" s="9" t="s">
        <v>4163</v>
      </c>
      <c r="P940" s="9" t="s">
        <v>53</v>
      </c>
      <c r="Q940" s="9" t="s">
        <v>53</v>
      </c>
      <c r="R940" s="9" t="s">
        <v>4194</v>
      </c>
      <c r="T940" s="9"/>
      <c r="V940" s="9"/>
      <c r="W940" s="11">
        <f>IFERROR(VLOOKUP(B940, PlumX_snapshot!$A:$B, 2, FALSE), " ")</f>
        <v>3</v>
      </c>
      <c r="X940" s="11">
        <f>IFERROR(VLOOKUP(B940, PlumX_snapshot!$A:$C, 3, FALSE), " ")</f>
        <v>0</v>
      </c>
      <c r="Y940" s="12">
        <f>IFERROR(VLOOKUP(B940, PlumX_snapshot!$A:$D, 4, FALSE), " ")</f>
        <v>0</v>
      </c>
      <c r="Z940" s="12">
        <f>IFERROR(VLOOKUP(B940, PlumX_snapshot!$A:$E, 5, FALSE), " ")</f>
        <v>0</v>
      </c>
      <c r="AA940" s="12">
        <f>IFERROR(VLOOKUP(B940, PlumX_snapshot!$A:$F, 6, FALSE), " ")</f>
        <v>0</v>
      </c>
      <c r="AB940" s="13">
        <v>44978</v>
      </c>
      <c r="AH940" s="9">
        <v>2428</v>
      </c>
      <c r="AI940" s="9" t="s">
        <v>77</v>
      </c>
      <c r="AJ940" s="9" t="s">
        <v>1823</v>
      </c>
      <c r="AK940" s="11" t="str">
        <f t="shared" si="6"/>
        <v>2022EUR</v>
      </c>
      <c r="AL940" s="11">
        <f>VLOOKUP(AK940, Exchange_rates!$C:$D, 2, FALSE)</f>
        <v>0.8528</v>
      </c>
      <c r="AM940" s="14">
        <f t="shared" si="7"/>
        <v>2484.7180799999996</v>
      </c>
      <c r="AN940" s="9"/>
      <c r="AO940" s="9"/>
      <c r="AP940" s="9"/>
      <c r="AQ940" s="15" t="s">
        <v>49</v>
      </c>
      <c r="AR940" t="s">
        <v>4195</v>
      </c>
      <c r="AS940" s="16"/>
    </row>
    <row r="941" spans="1:45" ht="14.5">
      <c r="A941" s="9" t="s">
        <v>4196</v>
      </c>
      <c r="B941" s="9" t="s">
        <v>4197</v>
      </c>
      <c r="C941" s="9" t="s">
        <v>2937</v>
      </c>
      <c r="D941" s="9" t="s">
        <v>2830</v>
      </c>
      <c r="E941" s="9" t="s">
        <v>49</v>
      </c>
      <c r="F941" s="9" t="s">
        <v>69</v>
      </c>
      <c r="G941" s="9" t="s">
        <v>70</v>
      </c>
      <c r="H941" s="9" t="s">
        <v>4168</v>
      </c>
      <c r="I941" s="9" t="s">
        <v>72</v>
      </c>
      <c r="J941" s="10"/>
      <c r="K941" s="10">
        <v>44596</v>
      </c>
      <c r="L941" s="10">
        <v>44606.459027777775</v>
      </c>
      <c r="M941" s="10">
        <v>44611</v>
      </c>
      <c r="N941" s="9">
        <v>2022</v>
      </c>
      <c r="O941" s="9" t="s">
        <v>4163</v>
      </c>
      <c r="P941" s="9" t="s">
        <v>83</v>
      </c>
      <c r="Q941" s="9" t="s">
        <v>53</v>
      </c>
      <c r="R941" s="9" t="s">
        <v>4198</v>
      </c>
      <c r="T941" s="9"/>
      <c r="V941" s="9"/>
      <c r="W941" s="11">
        <f>IFERROR(VLOOKUP(B941, PlumX_snapshot!$A:$B, 2, FALSE), " ")</f>
        <v>3</v>
      </c>
      <c r="X941" s="11">
        <f>IFERROR(VLOOKUP(B941, PlumX_snapshot!$A:$C, 3, FALSE), " ")</f>
        <v>3</v>
      </c>
      <c r="Y941" s="12">
        <f>IFERROR(VLOOKUP(B941, PlumX_snapshot!$A:$D, 4, FALSE), " ")</f>
        <v>0</v>
      </c>
      <c r="Z941" s="12">
        <f>IFERROR(VLOOKUP(B941, PlumX_snapshot!$A:$E, 5, FALSE), " ")</f>
        <v>0</v>
      </c>
      <c r="AA941" s="12">
        <f>IFERROR(VLOOKUP(B941, PlumX_snapshot!$A:$F, 6, FALSE), " ")</f>
        <v>0</v>
      </c>
      <c r="AB941" s="13">
        <v>44978</v>
      </c>
      <c r="AH941" s="9">
        <v>2428</v>
      </c>
      <c r="AI941" s="9" t="s">
        <v>77</v>
      </c>
      <c r="AJ941" s="9" t="s">
        <v>1823</v>
      </c>
      <c r="AK941" s="11" t="str">
        <f t="shared" si="6"/>
        <v>2022EUR</v>
      </c>
      <c r="AL941" s="11">
        <f>VLOOKUP(AK941, Exchange_rates!$C:$D, 2, FALSE)</f>
        <v>0.8528</v>
      </c>
      <c r="AM941" s="14">
        <f t="shared" si="7"/>
        <v>2484.7180799999996</v>
      </c>
      <c r="AN941" s="9"/>
      <c r="AO941" s="9"/>
      <c r="AP941" s="9"/>
      <c r="AQ941" s="15" t="s">
        <v>49</v>
      </c>
      <c r="AR941" t="s">
        <v>2938</v>
      </c>
      <c r="AS941" s="16"/>
    </row>
    <row r="942" spans="1:45" ht="14.5">
      <c r="A942" s="9" t="s">
        <v>4199</v>
      </c>
      <c r="B942" s="9" t="s">
        <v>4200</v>
      </c>
      <c r="C942" s="9" t="s">
        <v>3194</v>
      </c>
      <c r="D942" s="9" t="s">
        <v>2830</v>
      </c>
      <c r="E942" s="9" t="s">
        <v>49</v>
      </c>
      <c r="F942" s="9" t="s">
        <v>69</v>
      </c>
      <c r="G942" s="9" t="s">
        <v>70</v>
      </c>
      <c r="H942" s="9" t="s">
        <v>2878</v>
      </c>
      <c r="I942" s="9" t="s">
        <v>72</v>
      </c>
      <c r="J942" s="10">
        <v>44251</v>
      </c>
      <c r="K942" s="10">
        <v>44518</v>
      </c>
      <c r="L942" s="10">
        <v>44532.704861111109</v>
      </c>
      <c r="M942" s="10">
        <v>44572</v>
      </c>
      <c r="N942" s="9">
        <v>2021</v>
      </c>
      <c r="O942" s="9" t="s">
        <v>4163</v>
      </c>
      <c r="P942" s="9" t="s">
        <v>83</v>
      </c>
      <c r="Q942" s="9" t="s">
        <v>53</v>
      </c>
      <c r="R942" s="9" t="s">
        <v>4005</v>
      </c>
      <c r="T942" s="9"/>
      <c r="V942" s="9"/>
      <c r="W942" s="11">
        <f>IFERROR(VLOOKUP(B942, PlumX_snapshot!$A:$B, 2, FALSE), " ")</f>
        <v>93</v>
      </c>
      <c r="X942" s="11">
        <f>IFERROR(VLOOKUP(B942, PlumX_snapshot!$A:$C, 3, FALSE), " ")</f>
        <v>11</v>
      </c>
      <c r="Y942" s="12">
        <f>IFERROR(VLOOKUP(B942, PlumX_snapshot!$A:$D, 4, FALSE), " ")</f>
        <v>2</v>
      </c>
      <c r="Z942" s="12">
        <f>IFERROR(VLOOKUP(B942, PlumX_snapshot!$A:$E, 5, FALSE), " ")</f>
        <v>0</v>
      </c>
      <c r="AA942" s="12">
        <f>IFERROR(VLOOKUP(B942, PlumX_snapshot!$A:$F, 6, FALSE), " ")</f>
        <v>2</v>
      </c>
      <c r="AB942" s="13">
        <v>44978</v>
      </c>
      <c r="AH942" s="9">
        <v>2380</v>
      </c>
      <c r="AI942" s="9" t="s">
        <v>77</v>
      </c>
      <c r="AJ942" s="9" t="s">
        <v>1823</v>
      </c>
      <c r="AK942" s="11" t="str">
        <f t="shared" si="6"/>
        <v>2021EUR</v>
      </c>
      <c r="AL942" s="11">
        <f>VLOOKUP(AK942, Exchange_rates!$C:$D, 2, FALSE)</f>
        <v>0.8599</v>
      </c>
      <c r="AM942" s="14">
        <f t="shared" si="7"/>
        <v>2455.8743999999997</v>
      </c>
      <c r="AN942" s="9"/>
      <c r="AO942" s="9"/>
      <c r="AP942" s="9"/>
      <c r="AQ942" s="15" t="s">
        <v>49</v>
      </c>
      <c r="AR942" t="s">
        <v>3195</v>
      </c>
      <c r="AS942" s="16"/>
    </row>
    <row r="943" spans="1:45" ht="14.5">
      <c r="A943" s="9" t="s">
        <v>4201</v>
      </c>
      <c r="B943" s="9" t="s">
        <v>4202</v>
      </c>
      <c r="C943" s="9" t="s">
        <v>3813</v>
      </c>
      <c r="D943" s="9" t="s">
        <v>2830</v>
      </c>
      <c r="E943" s="9" t="s">
        <v>49</v>
      </c>
      <c r="F943" s="9" t="s">
        <v>69</v>
      </c>
      <c r="G943" s="9" t="s">
        <v>70</v>
      </c>
      <c r="H943" s="9" t="s">
        <v>4168</v>
      </c>
      <c r="I943" s="9" t="s">
        <v>72</v>
      </c>
      <c r="J943" s="10">
        <v>44281</v>
      </c>
      <c r="K943" s="10">
        <v>44567</v>
      </c>
      <c r="L943" s="10">
        <v>44574.612500000003</v>
      </c>
      <c r="M943" s="10">
        <v>44578</v>
      </c>
      <c r="N943" s="9">
        <v>2022</v>
      </c>
      <c r="O943" s="9" t="s">
        <v>4163</v>
      </c>
      <c r="P943" s="9" t="s">
        <v>83</v>
      </c>
      <c r="Q943" s="9" t="s">
        <v>53</v>
      </c>
      <c r="R943" s="9" t="s">
        <v>4203</v>
      </c>
      <c r="T943" s="9"/>
      <c r="V943" s="9"/>
      <c r="W943" s="11">
        <f>IFERROR(VLOOKUP(B943, PlumX_snapshot!$A:$B, 2, FALSE), " ")</f>
        <v>61</v>
      </c>
      <c r="X943" s="11">
        <f>IFERROR(VLOOKUP(B943, PlumX_snapshot!$A:$C, 3, FALSE), " ")</f>
        <v>17</v>
      </c>
      <c r="Y943" s="12">
        <f>IFERROR(VLOOKUP(B943, PlumX_snapshot!$A:$D, 4, FALSE), " ")</f>
        <v>59</v>
      </c>
      <c r="Z943" s="12">
        <f>IFERROR(VLOOKUP(B943, PlumX_snapshot!$A:$E, 5, FALSE), " ")</f>
        <v>0</v>
      </c>
      <c r="AA943" s="12">
        <f>IFERROR(VLOOKUP(B943, PlumX_snapshot!$A:$F, 6, FALSE), " ")</f>
        <v>0</v>
      </c>
      <c r="AB943" s="13">
        <v>44978</v>
      </c>
      <c r="AH943" s="9">
        <v>2428</v>
      </c>
      <c r="AI943" s="9" t="s">
        <v>77</v>
      </c>
      <c r="AJ943" s="9" t="s">
        <v>1823</v>
      </c>
      <c r="AK943" s="11" t="str">
        <f t="shared" si="6"/>
        <v>2022EUR</v>
      </c>
      <c r="AL943" s="11">
        <f>VLOOKUP(AK943, Exchange_rates!$C:$D, 2, FALSE)</f>
        <v>0.8528</v>
      </c>
      <c r="AM943" s="14">
        <f t="shared" si="7"/>
        <v>2484.7180799999996</v>
      </c>
      <c r="AN943" s="9"/>
      <c r="AO943" s="9"/>
      <c r="AP943" s="9"/>
      <c r="AQ943" s="15" t="s">
        <v>49</v>
      </c>
      <c r="AS943" s="16" t="s">
        <v>3815</v>
      </c>
    </row>
    <row r="944" spans="1:45" ht="14.5">
      <c r="A944" s="9" t="s">
        <v>4204</v>
      </c>
      <c r="B944" s="9" t="s">
        <v>4205</v>
      </c>
      <c r="C944" s="9" t="s">
        <v>4206</v>
      </c>
      <c r="D944" s="9" t="s">
        <v>2830</v>
      </c>
      <c r="E944" s="9" t="s">
        <v>49</v>
      </c>
      <c r="F944" s="9" t="s">
        <v>69</v>
      </c>
      <c r="G944" s="9" t="s">
        <v>70</v>
      </c>
      <c r="H944" s="9" t="s">
        <v>4168</v>
      </c>
      <c r="I944" s="9" t="s">
        <v>72</v>
      </c>
      <c r="J944" s="10">
        <v>44426</v>
      </c>
      <c r="K944" s="10">
        <v>44574</v>
      </c>
      <c r="L944" s="10">
        <v>44585.663194444445</v>
      </c>
      <c r="M944" s="10">
        <v>44587</v>
      </c>
      <c r="N944" s="9">
        <v>2022</v>
      </c>
      <c r="O944" s="9" t="s">
        <v>4163</v>
      </c>
      <c r="P944" s="9" t="s">
        <v>53</v>
      </c>
      <c r="Q944" s="9" t="s">
        <v>53</v>
      </c>
      <c r="R944" s="9" t="s">
        <v>92</v>
      </c>
      <c r="T944" s="9"/>
      <c r="V944" s="9"/>
      <c r="W944" s="11">
        <f>IFERROR(VLOOKUP(B944, PlumX_snapshot!$A:$B, 2, FALSE), " ")</f>
        <v>26</v>
      </c>
      <c r="X944" s="11">
        <f>IFERROR(VLOOKUP(B944, PlumX_snapshot!$A:$C, 3, FALSE), " ")</f>
        <v>8</v>
      </c>
      <c r="Y944" s="12">
        <f>IFERROR(VLOOKUP(B944, PlumX_snapshot!$A:$D, 4, FALSE), " ")</f>
        <v>153</v>
      </c>
      <c r="Z944" s="12">
        <f>IFERROR(VLOOKUP(B944, PlumX_snapshot!$A:$E, 5, FALSE), " ")</f>
        <v>0</v>
      </c>
      <c r="AA944" s="12">
        <f>IFERROR(VLOOKUP(B944, PlumX_snapshot!$A:$F, 6, FALSE), " ")</f>
        <v>4</v>
      </c>
      <c r="AB944" s="13">
        <v>44978</v>
      </c>
      <c r="AH944" s="9">
        <v>2428</v>
      </c>
      <c r="AI944" s="9" t="s">
        <v>77</v>
      </c>
      <c r="AJ944" s="9" t="s">
        <v>1823</v>
      </c>
      <c r="AK944" s="11" t="str">
        <f t="shared" si="6"/>
        <v>2022EUR</v>
      </c>
      <c r="AL944" s="11">
        <f>VLOOKUP(AK944, Exchange_rates!$C:$D, 2, FALSE)</f>
        <v>0.8528</v>
      </c>
      <c r="AM944" s="14">
        <f t="shared" si="7"/>
        <v>2484.7180799999996</v>
      </c>
      <c r="AN944" s="9"/>
      <c r="AO944" s="9"/>
      <c r="AP944" s="9"/>
      <c r="AQ944" s="15" t="s">
        <v>49</v>
      </c>
      <c r="AR944" t="s">
        <v>4207</v>
      </c>
      <c r="AS944" s="16"/>
    </row>
    <row r="945" spans="1:45" ht="14.5">
      <c r="A945" s="9" t="s">
        <v>4208</v>
      </c>
      <c r="B945" s="9" t="s">
        <v>4209</v>
      </c>
      <c r="C945" s="9" t="s">
        <v>4210</v>
      </c>
      <c r="D945" s="9" t="s">
        <v>2830</v>
      </c>
      <c r="E945" s="9" t="s">
        <v>49</v>
      </c>
      <c r="F945" s="9" t="s">
        <v>69</v>
      </c>
      <c r="G945" s="9" t="s">
        <v>70</v>
      </c>
      <c r="H945" s="9" t="s">
        <v>4168</v>
      </c>
      <c r="I945" s="9" t="s">
        <v>72</v>
      </c>
      <c r="J945" s="10">
        <v>44400</v>
      </c>
      <c r="K945" s="10">
        <v>44581</v>
      </c>
      <c r="L945" s="10">
        <v>44594.365277777775</v>
      </c>
      <c r="M945" s="10">
        <v>44596</v>
      </c>
      <c r="N945" s="9">
        <v>2022</v>
      </c>
      <c r="O945" s="9" t="s">
        <v>4163</v>
      </c>
      <c r="P945" s="9" t="s">
        <v>53</v>
      </c>
      <c r="Q945" s="9" t="s">
        <v>53</v>
      </c>
      <c r="R945" s="9" t="s">
        <v>4211</v>
      </c>
      <c r="T945" s="9"/>
      <c r="V945" s="9"/>
      <c r="W945" s="11">
        <f>IFERROR(VLOOKUP(B945, PlumX_snapshot!$A:$B, 2, FALSE), " ")</f>
        <v>12</v>
      </c>
      <c r="X945" s="11">
        <f>IFERROR(VLOOKUP(B945, PlumX_snapshot!$A:$C, 3, FALSE), " ")</f>
        <v>1</v>
      </c>
      <c r="Y945" s="12">
        <f>IFERROR(VLOOKUP(B945, PlumX_snapshot!$A:$D, 4, FALSE), " ")</f>
        <v>1</v>
      </c>
      <c r="Z945" s="12">
        <f>IFERROR(VLOOKUP(B945, PlumX_snapshot!$A:$E, 5, FALSE), " ")</f>
        <v>0</v>
      </c>
      <c r="AA945" s="12">
        <f>IFERROR(VLOOKUP(B945, PlumX_snapshot!$A:$F, 6, FALSE), " ")</f>
        <v>0</v>
      </c>
      <c r="AB945" s="13">
        <v>44978</v>
      </c>
      <c r="AH945" s="9">
        <v>2428</v>
      </c>
      <c r="AI945" s="9" t="s">
        <v>77</v>
      </c>
      <c r="AJ945" s="9" t="s">
        <v>1823</v>
      </c>
      <c r="AK945" s="11" t="str">
        <f t="shared" si="6"/>
        <v>2022EUR</v>
      </c>
      <c r="AL945" s="11">
        <f>VLOOKUP(AK945, Exchange_rates!$C:$D, 2, FALSE)</f>
        <v>0.8528</v>
      </c>
      <c r="AM945" s="14">
        <f t="shared" si="7"/>
        <v>2484.7180799999996</v>
      </c>
      <c r="AN945" s="9"/>
      <c r="AO945" s="9"/>
      <c r="AP945" s="9"/>
      <c r="AQ945" s="15" t="s">
        <v>49</v>
      </c>
      <c r="AR945" t="s">
        <v>4212</v>
      </c>
      <c r="AS945" s="16"/>
    </row>
    <row r="946" spans="1:45" ht="14.5">
      <c r="A946" s="9" t="s">
        <v>4213</v>
      </c>
      <c r="B946" s="9" t="s">
        <v>4214</v>
      </c>
      <c r="C946" s="9" t="s">
        <v>3237</v>
      </c>
      <c r="D946" s="9" t="s">
        <v>2830</v>
      </c>
      <c r="E946" s="9" t="s">
        <v>49</v>
      </c>
      <c r="F946" s="9" t="s">
        <v>69</v>
      </c>
      <c r="G946" s="9" t="s">
        <v>70</v>
      </c>
      <c r="H946" s="9" t="s">
        <v>4168</v>
      </c>
      <c r="I946" s="9" t="s">
        <v>72</v>
      </c>
      <c r="J946" s="10">
        <v>44497</v>
      </c>
      <c r="K946" s="10">
        <v>44585</v>
      </c>
      <c r="L946" s="10">
        <v>44599.59652777778</v>
      </c>
      <c r="M946" s="10">
        <v>44604</v>
      </c>
      <c r="N946" s="9">
        <v>2022</v>
      </c>
      <c r="O946" s="9" t="s">
        <v>4163</v>
      </c>
      <c r="P946" s="9" t="s">
        <v>53</v>
      </c>
      <c r="Q946" s="9" t="s">
        <v>53</v>
      </c>
      <c r="R946" s="9" t="s">
        <v>4215</v>
      </c>
      <c r="T946" s="9"/>
      <c r="V946" s="9"/>
      <c r="W946" s="11">
        <f>IFERROR(VLOOKUP(B946, PlumX_snapshot!$A:$B, 2, FALSE), " ")</f>
        <v>5</v>
      </c>
      <c r="X946" s="11">
        <f>IFERROR(VLOOKUP(B946, PlumX_snapshot!$A:$C, 3, FALSE), " ")</f>
        <v>1</v>
      </c>
      <c r="Y946" s="12">
        <f>IFERROR(VLOOKUP(B946, PlumX_snapshot!$A:$D, 4, FALSE), " ")</f>
        <v>18</v>
      </c>
      <c r="Z946" s="12">
        <f>IFERROR(VLOOKUP(B946, PlumX_snapshot!$A:$E, 5, FALSE), " ")</f>
        <v>0</v>
      </c>
      <c r="AA946" s="12">
        <f>IFERROR(VLOOKUP(B946, PlumX_snapshot!$A:$F, 6, FALSE), " ")</f>
        <v>0</v>
      </c>
      <c r="AB946" s="13">
        <v>44978</v>
      </c>
      <c r="AH946" s="9">
        <v>2428</v>
      </c>
      <c r="AI946" s="9" t="s">
        <v>77</v>
      </c>
      <c r="AJ946" s="9" t="s">
        <v>1823</v>
      </c>
      <c r="AK946" s="11" t="str">
        <f t="shared" si="6"/>
        <v>2022EUR</v>
      </c>
      <c r="AL946" s="11">
        <f>VLOOKUP(AK946, Exchange_rates!$C:$D, 2, FALSE)</f>
        <v>0.8528</v>
      </c>
      <c r="AM946" s="14">
        <f t="shared" si="7"/>
        <v>2484.7180799999996</v>
      </c>
      <c r="AN946" s="9"/>
      <c r="AO946" s="9"/>
      <c r="AP946" s="9"/>
      <c r="AQ946" s="15" t="s">
        <v>49</v>
      </c>
      <c r="AR946" t="s">
        <v>3239</v>
      </c>
      <c r="AS946" s="16"/>
    </row>
    <row r="947" spans="1:45" ht="14.5">
      <c r="A947" s="9" t="s">
        <v>4216</v>
      </c>
      <c r="B947" s="9" t="s">
        <v>4217</v>
      </c>
      <c r="C947" s="9" t="s">
        <v>4218</v>
      </c>
      <c r="D947" s="9" t="s">
        <v>2830</v>
      </c>
      <c r="E947" s="9" t="s">
        <v>49</v>
      </c>
      <c r="F947" s="9" t="s">
        <v>69</v>
      </c>
      <c r="G947" s="9" t="s">
        <v>70</v>
      </c>
      <c r="H947" s="9" t="s">
        <v>4168</v>
      </c>
      <c r="I947" s="9" t="s">
        <v>72</v>
      </c>
      <c r="J947" s="10"/>
      <c r="K947" s="10">
        <v>44587</v>
      </c>
      <c r="L947" s="10">
        <v>44599.597222222219</v>
      </c>
      <c r="M947" s="10">
        <v>44604</v>
      </c>
      <c r="N947" s="9">
        <v>2022</v>
      </c>
      <c r="O947" s="9" t="s">
        <v>4163</v>
      </c>
      <c r="P947" s="9" t="s">
        <v>53</v>
      </c>
      <c r="Q947" s="9" t="s">
        <v>53</v>
      </c>
      <c r="R947" s="9" t="s">
        <v>92</v>
      </c>
      <c r="T947" s="9"/>
      <c r="V947" s="9"/>
      <c r="W947" s="11">
        <f>IFERROR(VLOOKUP(B947, PlumX_snapshot!$A:$B, 2, FALSE), " ")</f>
        <v>15</v>
      </c>
      <c r="X947" s="11">
        <f>IFERROR(VLOOKUP(B947, PlumX_snapshot!$A:$C, 3, FALSE), " ")</f>
        <v>2</v>
      </c>
      <c r="Y947" s="12">
        <f>IFERROR(VLOOKUP(B947, PlumX_snapshot!$A:$D, 4, FALSE), " ")</f>
        <v>3</v>
      </c>
      <c r="Z947" s="12">
        <f>IFERROR(VLOOKUP(B947, PlumX_snapshot!$A:$E, 5, FALSE), " ")</f>
        <v>0</v>
      </c>
      <c r="AA947" s="12">
        <f>IFERROR(VLOOKUP(B947, PlumX_snapshot!$A:$F, 6, FALSE), " ")</f>
        <v>0</v>
      </c>
      <c r="AB947" s="13">
        <v>44978</v>
      </c>
      <c r="AH947" s="9">
        <v>2428</v>
      </c>
      <c r="AI947" s="9" t="s">
        <v>77</v>
      </c>
      <c r="AJ947" s="9" t="s">
        <v>1823</v>
      </c>
      <c r="AK947" s="11" t="str">
        <f t="shared" si="6"/>
        <v>2022EUR</v>
      </c>
      <c r="AL947" s="11">
        <f>VLOOKUP(AK947, Exchange_rates!$C:$D, 2, FALSE)</f>
        <v>0.8528</v>
      </c>
      <c r="AM947" s="14">
        <f t="shared" si="7"/>
        <v>2484.7180799999996</v>
      </c>
      <c r="AN947" s="9"/>
      <c r="AO947" s="9"/>
      <c r="AP947" s="9"/>
      <c r="AQ947" s="15" t="s">
        <v>49</v>
      </c>
      <c r="AR947" t="s">
        <v>4219</v>
      </c>
      <c r="AS947" s="16"/>
    </row>
    <row r="948" spans="1:45" ht="14.5">
      <c r="A948" s="9" t="s">
        <v>4220</v>
      </c>
      <c r="B948" s="9" t="s">
        <v>4221</v>
      </c>
      <c r="C948" s="9" t="s">
        <v>2925</v>
      </c>
      <c r="D948" s="9" t="s">
        <v>2830</v>
      </c>
      <c r="E948" s="9" t="s">
        <v>49</v>
      </c>
      <c r="F948" s="9" t="s">
        <v>69</v>
      </c>
      <c r="G948" s="9" t="s">
        <v>70</v>
      </c>
      <c r="H948" s="9" t="s">
        <v>4168</v>
      </c>
      <c r="I948" s="9" t="s">
        <v>72</v>
      </c>
      <c r="J948" s="10"/>
      <c r="K948" s="10"/>
      <c r="L948" s="10">
        <v>44606.461111111108</v>
      </c>
      <c r="M948" s="10">
        <v>44631</v>
      </c>
      <c r="N948" s="9">
        <v>2022</v>
      </c>
      <c r="O948" s="9" t="s">
        <v>4163</v>
      </c>
      <c r="P948" s="9" t="s">
        <v>83</v>
      </c>
      <c r="Q948" s="9" t="s">
        <v>53</v>
      </c>
      <c r="R948" s="9" t="s">
        <v>4005</v>
      </c>
      <c r="T948" s="9"/>
      <c r="V948" s="9"/>
      <c r="W948" s="11">
        <f>IFERROR(VLOOKUP(B948, PlumX_snapshot!$A:$B, 2, FALSE), " ")</f>
        <v>6</v>
      </c>
      <c r="X948" s="11">
        <f>IFERROR(VLOOKUP(B948, PlumX_snapshot!$A:$C, 3, FALSE), " ")</f>
        <v>0</v>
      </c>
      <c r="Y948" s="12">
        <f>IFERROR(VLOOKUP(B948, PlumX_snapshot!$A:$D, 4, FALSE), " ")</f>
        <v>3</v>
      </c>
      <c r="Z948" s="12">
        <f>IFERROR(VLOOKUP(B948, PlumX_snapshot!$A:$E, 5, FALSE), " ")</f>
        <v>0</v>
      </c>
      <c r="AA948" s="12">
        <f>IFERROR(VLOOKUP(B948, PlumX_snapshot!$A:$F, 6, FALSE), " ")</f>
        <v>0</v>
      </c>
      <c r="AB948" s="13">
        <v>44978</v>
      </c>
      <c r="AH948" s="9">
        <v>2428</v>
      </c>
      <c r="AI948" s="9" t="s">
        <v>77</v>
      </c>
      <c r="AJ948" s="9" t="s">
        <v>1823</v>
      </c>
      <c r="AK948" s="11" t="str">
        <f t="shared" si="6"/>
        <v>2022EUR</v>
      </c>
      <c r="AL948" s="11">
        <f>VLOOKUP(AK948, Exchange_rates!$C:$D, 2, FALSE)</f>
        <v>0.8528</v>
      </c>
      <c r="AM948" s="14">
        <f t="shared" si="7"/>
        <v>2484.7180799999996</v>
      </c>
      <c r="AN948" s="9"/>
      <c r="AO948" s="9"/>
      <c r="AP948" s="9"/>
      <c r="AQ948" s="15" t="s">
        <v>49</v>
      </c>
      <c r="AR948" t="s">
        <v>2926</v>
      </c>
      <c r="AS948" s="16"/>
    </row>
    <row r="949" spans="1:45" ht="14.5">
      <c r="A949" s="9" t="s">
        <v>4222</v>
      </c>
      <c r="B949" s="9" t="s">
        <v>4223</v>
      </c>
      <c r="C949" s="9" t="s">
        <v>4224</v>
      </c>
      <c r="D949" s="9" t="s">
        <v>2830</v>
      </c>
      <c r="E949" s="9" t="s">
        <v>49</v>
      </c>
      <c r="F949" s="9" t="s">
        <v>69</v>
      </c>
      <c r="G949" s="9" t="s">
        <v>70</v>
      </c>
      <c r="H949" s="9" t="s">
        <v>4168</v>
      </c>
      <c r="I949" s="9" t="s">
        <v>72</v>
      </c>
      <c r="J949" s="10"/>
      <c r="K949" s="10"/>
      <c r="L949" s="10">
        <v>44609.635416666664</v>
      </c>
      <c r="M949" s="10">
        <v>44622</v>
      </c>
      <c r="N949" s="9">
        <v>2022</v>
      </c>
      <c r="O949" s="9" t="s">
        <v>4163</v>
      </c>
      <c r="P949" s="9" t="s">
        <v>53</v>
      </c>
      <c r="Q949" s="9" t="s">
        <v>53</v>
      </c>
      <c r="R949" s="9" t="s">
        <v>74</v>
      </c>
      <c r="T949" s="9"/>
      <c r="V949" s="9"/>
      <c r="W949" s="11">
        <f>IFERROR(VLOOKUP(B949, PlumX_snapshot!$A:$B, 2, FALSE), " ")</f>
        <v>1</v>
      </c>
      <c r="X949" s="11">
        <f>IFERROR(VLOOKUP(B949, PlumX_snapshot!$A:$C, 3, FALSE), " ")</f>
        <v>0</v>
      </c>
      <c r="Y949" s="12">
        <f>IFERROR(VLOOKUP(B949, PlumX_snapshot!$A:$D, 4, FALSE), " ")</f>
        <v>0</v>
      </c>
      <c r="Z949" s="12">
        <f>IFERROR(VLOOKUP(B949, PlumX_snapshot!$A:$E, 5, FALSE), " ")</f>
        <v>0</v>
      </c>
      <c r="AA949" s="12">
        <f>IFERROR(VLOOKUP(B949, PlumX_snapshot!$A:$F, 6, FALSE), " ")</f>
        <v>0</v>
      </c>
      <c r="AB949" s="13">
        <v>44978</v>
      </c>
      <c r="AH949" s="9">
        <v>2428</v>
      </c>
      <c r="AI949" s="9" t="s">
        <v>77</v>
      </c>
      <c r="AJ949" s="9" t="s">
        <v>1823</v>
      </c>
      <c r="AK949" s="11" t="str">
        <f t="shared" si="6"/>
        <v>2022EUR</v>
      </c>
      <c r="AL949" s="11">
        <f>VLOOKUP(AK949, Exchange_rates!$C:$D, 2, FALSE)</f>
        <v>0.8528</v>
      </c>
      <c r="AM949" s="14">
        <f t="shared" si="7"/>
        <v>2484.7180799999996</v>
      </c>
      <c r="AN949" s="9"/>
      <c r="AO949" s="9"/>
      <c r="AP949" s="9"/>
      <c r="AQ949" s="15" t="s">
        <v>49</v>
      </c>
      <c r="AR949" t="s">
        <v>4225</v>
      </c>
      <c r="AS949" s="16"/>
    </row>
    <row r="950" spans="1:45" ht="14.5">
      <c r="A950" s="9" t="s">
        <v>4226</v>
      </c>
      <c r="B950" s="9" t="s">
        <v>4227</v>
      </c>
      <c r="C950" s="9" t="s">
        <v>3087</v>
      </c>
      <c r="D950" s="9" t="s">
        <v>2830</v>
      </c>
      <c r="E950" s="9" t="s">
        <v>49</v>
      </c>
      <c r="F950" s="9" t="s">
        <v>69</v>
      </c>
      <c r="G950" s="9" t="s">
        <v>70</v>
      </c>
      <c r="H950" s="9" t="s">
        <v>4168</v>
      </c>
      <c r="I950" s="9" t="s">
        <v>72</v>
      </c>
      <c r="J950" s="10"/>
      <c r="K950" s="10"/>
      <c r="L950" s="10">
        <v>44608.418749999997</v>
      </c>
      <c r="M950" s="10">
        <v>44650</v>
      </c>
      <c r="N950" s="9">
        <v>2022</v>
      </c>
      <c r="O950" s="9" t="s">
        <v>4163</v>
      </c>
      <c r="P950" s="9" t="s">
        <v>83</v>
      </c>
      <c r="Q950" s="9" t="s">
        <v>53</v>
      </c>
      <c r="R950" s="9" t="s">
        <v>4228</v>
      </c>
      <c r="T950" s="9"/>
      <c r="V950" s="9"/>
      <c r="W950" s="11">
        <f>IFERROR(VLOOKUP(B950, PlumX_snapshot!$A:$B, 2, FALSE), " ")</f>
        <v>12</v>
      </c>
      <c r="X950" s="11">
        <f>IFERROR(VLOOKUP(B950, PlumX_snapshot!$A:$C, 3, FALSE), " ")</f>
        <v>1</v>
      </c>
      <c r="Y950" s="12">
        <f>IFERROR(VLOOKUP(B950, PlumX_snapshot!$A:$D, 4, FALSE), " ")</f>
        <v>0</v>
      </c>
      <c r="Z950" s="12">
        <f>IFERROR(VLOOKUP(B950, PlumX_snapshot!$A:$E, 5, FALSE), " ")</f>
        <v>0</v>
      </c>
      <c r="AA950" s="12">
        <f>IFERROR(VLOOKUP(B950, PlumX_snapshot!$A:$F, 6, FALSE), " ")</f>
        <v>0</v>
      </c>
      <c r="AB950" s="13">
        <v>44978</v>
      </c>
      <c r="AH950" s="9">
        <v>2428</v>
      </c>
      <c r="AI950" s="9" t="s">
        <v>77</v>
      </c>
      <c r="AJ950" s="9" t="s">
        <v>1823</v>
      </c>
      <c r="AK950" s="11" t="str">
        <f t="shared" si="6"/>
        <v>2022EUR</v>
      </c>
      <c r="AL950" s="11">
        <f>VLOOKUP(AK950, Exchange_rates!$C:$D, 2, FALSE)</f>
        <v>0.8528</v>
      </c>
      <c r="AM950" s="14">
        <f t="shared" si="7"/>
        <v>2484.7180799999996</v>
      </c>
      <c r="AN950" s="9"/>
      <c r="AO950" s="9"/>
      <c r="AP950" s="9"/>
      <c r="AQ950" s="15" t="s">
        <v>49</v>
      </c>
      <c r="AR950" t="s">
        <v>3088</v>
      </c>
      <c r="AS950" s="16"/>
    </row>
    <row r="951" spans="1:45" ht="14.5">
      <c r="A951" s="9" t="s">
        <v>4229</v>
      </c>
      <c r="B951" s="9" t="s">
        <v>4230</v>
      </c>
      <c r="C951" s="9" t="s">
        <v>4231</v>
      </c>
      <c r="D951" s="9" t="s">
        <v>2830</v>
      </c>
      <c r="E951" s="9" t="s">
        <v>49</v>
      </c>
      <c r="F951" s="9" t="s">
        <v>50</v>
      </c>
      <c r="G951" s="9" t="s">
        <v>51</v>
      </c>
      <c r="H951" s="9"/>
      <c r="J951" s="10"/>
      <c r="K951" s="10"/>
      <c r="L951" s="10">
        <v>44530.636111111111</v>
      </c>
      <c r="M951" s="10">
        <v>44197</v>
      </c>
      <c r="N951" s="9">
        <v>2021</v>
      </c>
      <c r="O951" s="9" t="s">
        <v>4232</v>
      </c>
      <c r="P951" s="9" t="s">
        <v>53</v>
      </c>
      <c r="Q951" s="9" t="s">
        <v>53</v>
      </c>
      <c r="R951" s="9" t="s">
        <v>4233</v>
      </c>
      <c r="T951" s="9" t="s">
        <v>55</v>
      </c>
      <c r="U951" s="9" t="s">
        <v>4234</v>
      </c>
      <c r="V951" s="9"/>
      <c r="W951" s="11">
        <f>IFERROR(VLOOKUP(B951, PlumX_snapshot!$A:$B, 2, FALSE), " ")</f>
        <v>19</v>
      </c>
      <c r="X951" s="11">
        <f>IFERROR(VLOOKUP(B951, PlumX_snapshot!$A:$C, 3, FALSE), " ")</f>
        <v>4</v>
      </c>
      <c r="Y951" s="12">
        <f>IFERROR(VLOOKUP(B951, PlumX_snapshot!$A:$D, 4, FALSE), " ")</f>
        <v>1</v>
      </c>
      <c r="Z951" s="12">
        <f>IFERROR(VLOOKUP(B951, PlumX_snapshot!$A:$E, 5, FALSE), " ")</f>
        <v>0</v>
      </c>
      <c r="AA951" s="12">
        <f>IFERROR(VLOOKUP(B951, PlumX_snapshot!$A:$F, 6, FALSE), " ")</f>
        <v>0</v>
      </c>
      <c r="AB951" s="13">
        <v>44978</v>
      </c>
      <c r="AH951" s="9"/>
      <c r="AI951" s="9"/>
      <c r="AJ951" s="9"/>
      <c r="AK951" s="11" t="str">
        <f t="shared" si="6"/>
        <v>2021</v>
      </c>
      <c r="AL951" s="11" t="e">
        <f>VLOOKUP(AK951, Exchange_rates!$C:$D, 2, FALSE)</f>
        <v>#N/A</v>
      </c>
      <c r="AM951" s="14" t="str">
        <f t="shared" si="7"/>
        <v/>
      </c>
      <c r="AN951" s="9"/>
      <c r="AO951" s="9"/>
      <c r="AP951" s="9"/>
      <c r="AQ951" s="15" t="s">
        <v>49</v>
      </c>
      <c r="AR951" t="s">
        <v>4235</v>
      </c>
      <c r="AS951" s="16"/>
    </row>
    <row r="952" spans="1:45" ht="14.5">
      <c r="A952" s="9" t="s">
        <v>4236</v>
      </c>
      <c r="B952" s="9" t="s">
        <v>4237</v>
      </c>
      <c r="C952" s="9" t="s">
        <v>4238</v>
      </c>
      <c r="D952" s="9" t="s">
        <v>2830</v>
      </c>
      <c r="E952" s="9" t="s">
        <v>49</v>
      </c>
      <c r="F952" s="9" t="s">
        <v>50</v>
      </c>
      <c r="G952" s="9" t="s">
        <v>51</v>
      </c>
      <c r="H952" s="9"/>
      <c r="J952" s="10"/>
      <c r="K952" s="10"/>
      <c r="L952" s="10">
        <v>44600.560416666667</v>
      </c>
      <c r="M952" s="10">
        <v>44609</v>
      </c>
      <c r="N952" s="9">
        <v>2022</v>
      </c>
      <c r="O952" s="9" t="s">
        <v>4232</v>
      </c>
      <c r="P952" s="9" t="s">
        <v>53</v>
      </c>
      <c r="Q952" s="9" t="s">
        <v>53</v>
      </c>
      <c r="R952" s="9" t="s">
        <v>4239</v>
      </c>
      <c r="T952" s="9" t="s">
        <v>55</v>
      </c>
      <c r="U952" s="9" t="s">
        <v>581</v>
      </c>
      <c r="V952" s="9"/>
      <c r="W952" s="11">
        <f>IFERROR(VLOOKUP(B952, PlumX_snapshot!$A:$B, 2, FALSE), " ")</f>
        <v>1</v>
      </c>
      <c r="X952" s="11">
        <f>IFERROR(VLOOKUP(B952, PlumX_snapshot!$A:$C, 3, FALSE), " ")</f>
        <v>1</v>
      </c>
      <c r="Y952" s="12">
        <f>IFERROR(VLOOKUP(B952, PlumX_snapshot!$A:$D, 4, FALSE), " ")</f>
        <v>0</v>
      </c>
      <c r="Z952" s="12">
        <f>IFERROR(VLOOKUP(B952, PlumX_snapshot!$A:$E, 5, FALSE), " ")</f>
        <v>0</v>
      </c>
      <c r="AA952" s="12">
        <f>IFERROR(VLOOKUP(B952, PlumX_snapshot!$A:$F, 6, FALSE), " ")</f>
        <v>0</v>
      </c>
      <c r="AB952" s="13">
        <v>44978</v>
      </c>
      <c r="AG952" s="9" t="s">
        <v>70</v>
      </c>
      <c r="AH952" s="9"/>
      <c r="AI952" s="9"/>
      <c r="AJ952" s="9"/>
      <c r="AK952" s="11" t="str">
        <f t="shared" si="6"/>
        <v>2022</v>
      </c>
      <c r="AL952" s="11" t="e">
        <f>VLOOKUP(AK952, Exchange_rates!$C:$D, 2, FALSE)</f>
        <v>#N/A</v>
      </c>
      <c r="AM952" s="14" t="str">
        <f t="shared" si="7"/>
        <v/>
      </c>
      <c r="AN952" s="9"/>
      <c r="AO952" s="9"/>
      <c r="AP952" s="9"/>
      <c r="AQ952" s="15" t="s">
        <v>49</v>
      </c>
      <c r="AR952" t="s">
        <v>4240</v>
      </c>
      <c r="AS952" s="16"/>
    </row>
    <row r="953" spans="1:45" ht="14.5">
      <c r="A953" s="9" t="s">
        <v>4241</v>
      </c>
      <c r="B953" s="9" t="s">
        <v>4242</v>
      </c>
      <c r="C953" s="9" t="s">
        <v>3408</v>
      </c>
      <c r="D953" s="9" t="s">
        <v>2830</v>
      </c>
      <c r="E953" s="9" t="s">
        <v>49</v>
      </c>
      <c r="F953" s="9" t="s">
        <v>69</v>
      </c>
      <c r="G953" s="9" t="s">
        <v>70</v>
      </c>
      <c r="H953" s="9" t="s">
        <v>4168</v>
      </c>
      <c r="I953" s="9" t="s">
        <v>72</v>
      </c>
      <c r="J953" s="10"/>
      <c r="K953" s="10"/>
      <c r="L953" s="10">
        <v>44621.457638888889</v>
      </c>
      <c r="M953" s="10">
        <v>44698</v>
      </c>
      <c r="N953" s="9">
        <v>2022</v>
      </c>
      <c r="O953" s="9" t="s">
        <v>4243</v>
      </c>
      <c r="P953" s="9" t="s">
        <v>53</v>
      </c>
      <c r="Q953" s="9" t="s">
        <v>53</v>
      </c>
      <c r="R953" s="9" t="s">
        <v>4244</v>
      </c>
      <c r="T953" s="9"/>
      <c r="V953" s="9"/>
      <c r="W953" s="11">
        <f>IFERROR(VLOOKUP(B953, PlumX_snapshot!$A:$B, 2, FALSE), " ")</f>
        <v>0</v>
      </c>
      <c r="X953" s="11">
        <f>IFERROR(VLOOKUP(B953, PlumX_snapshot!$A:$C, 3, FALSE), " ")</f>
        <v>0</v>
      </c>
      <c r="Y953" s="12">
        <f>IFERROR(VLOOKUP(B953, PlumX_snapshot!$A:$D, 4, FALSE), " ")</f>
        <v>0</v>
      </c>
      <c r="Z953" s="12">
        <f>IFERROR(VLOOKUP(B953, PlumX_snapshot!$A:$E, 5, FALSE), " ")</f>
        <v>0</v>
      </c>
      <c r="AA953" s="12">
        <f>IFERROR(VLOOKUP(B953, PlumX_snapshot!$A:$F, 6, FALSE), " ")</f>
        <v>0</v>
      </c>
      <c r="AB953" s="13">
        <v>44978</v>
      </c>
      <c r="AH953" s="9">
        <v>2428</v>
      </c>
      <c r="AI953" s="9" t="s">
        <v>77</v>
      </c>
      <c r="AJ953" s="9" t="s">
        <v>1823</v>
      </c>
      <c r="AK953" s="11" t="str">
        <f t="shared" si="6"/>
        <v>2022EUR</v>
      </c>
      <c r="AL953" s="11">
        <f>VLOOKUP(AK953, Exchange_rates!$C:$D, 2, FALSE)</f>
        <v>0.8528</v>
      </c>
      <c r="AM953" s="14">
        <f t="shared" si="7"/>
        <v>2484.7180799999996</v>
      </c>
      <c r="AN953" s="9"/>
      <c r="AO953" s="9"/>
      <c r="AP953" s="9"/>
      <c r="AQ953" s="15" t="s">
        <v>49</v>
      </c>
      <c r="AR953" t="s">
        <v>3409</v>
      </c>
      <c r="AS953" s="16"/>
    </row>
    <row r="954" spans="1:45" ht="14.5">
      <c r="A954" s="9" t="s">
        <v>4245</v>
      </c>
      <c r="B954" s="9" t="s">
        <v>4246</v>
      </c>
      <c r="C954" s="9" t="s">
        <v>2969</v>
      </c>
      <c r="D954" s="9" t="s">
        <v>2830</v>
      </c>
      <c r="E954" s="9" t="s">
        <v>49</v>
      </c>
      <c r="F954" s="9" t="s">
        <v>69</v>
      </c>
      <c r="G954" s="9" t="s">
        <v>70</v>
      </c>
      <c r="H954" s="9" t="s">
        <v>4168</v>
      </c>
      <c r="I954" s="9" t="s">
        <v>72</v>
      </c>
      <c r="J954" s="10"/>
      <c r="K954" s="10">
        <v>44600</v>
      </c>
      <c r="L954" s="10">
        <v>44621.461111111108</v>
      </c>
      <c r="M954" s="10">
        <v>44638</v>
      </c>
      <c r="N954" s="9">
        <v>2022</v>
      </c>
      <c r="O954" s="9" t="s">
        <v>4243</v>
      </c>
      <c r="P954" s="9" t="s">
        <v>53</v>
      </c>
      <c r="Q954" s="9" t="s">
        <v>53</v>
      </c>
      <c r="R954" s="9" t="s">
        <v>4244</v>
      </c>
      <c r="T954" s="9"/>
      <c r="V954" s="9"/>
      <c r="W954" s="11">
        <f>IFERROR(VLOOKUP(B954, PlumX_snapshot!$A:$B, 2, FALSE), " ")</f>
        <v>1</v>
      </c>
      <c r="X954" s="11">
        <f>IFERROR(VLOOKUP(B954, PlumX_snapshot!$A:$C, 3, FALSE), " ")</f>
        <v>2</v>
      </c>
      <c r="Y954" s="12">
        <f>IFERROR(VLOOKUP(B954, PlumX_snapshot!$A:$D, 4, FALSE), " ")</f>
        <v>3</v>
      </c>
      <c r="Z954" s="12">
        <f>IFERROR(VLOOKUP(B954, PlumX_snapshot!$A:$E, 5, FALSE), " ")</f>
        <v>0</v>
      </c>
      <c r="AA954" s="12">
        <f>IFERROR(VLOOKUP(B954, PlumX_snapshot!$A:$F, 6, FALSE), " ")</f>
        <v>0</v>
      </c>
      <c r="AB954" s="13">
        <v>44978</v>
      </c>
      <c r="AH954" s="9">
        <v>2428</v>
      </c>
      <c r="AI954" s="9" t="s">
        <v>77</v>
      </c>
      <c r="AJ954" s="9" t="s">
        <v>1823</v>
      </c>
      <c r="AK954" s="11" t="str">
        <f t="shared" si="6"/>
        <v>2022EUR</v>
      </c>
      <c r="AL954" s="11">
        <f>VLOOKUP(AK954, Exchange_rates!$C:$D, 2, FALSE)</f>
        <v>0.8528</v>
      </c>
      <c r="AM954" s="14">
        <f t="shared" si="7"/>
        <v>2484.7180799999996</v>
      </c>
      <c r="AN954" s="9"/>
      <c r="AO954" s="9"/>
      <c r="AP954" s="9"/>
      <c r="AQ954" s="15" t="s">
        <v>49</v>
      </c>
      <c r="AR954" t="s">
        <v>2970</v>
      </c>
      <c r="AS954" s="16" t="s">
        <v>4247</v>
      </c>
    </row>
    <row r="955" spans="1:45" ht="14.5">
      <c r="A955" s="9" t="s">
        <v>4248</v>
      </c>
      <c r="B955" s="9" t="s">
        <v>4249</v>
      </c>
      <c r="C955" s="9" t="s">
        <v>4250</v>
      </c>
      <c r="D955" s="9" t="s">
        <v>2830</v>
      </c>
      <c r="E955" s="9" t="s">
        <v>49</v>
      </c>
      <c r="F955" s="9" t="s">
        <v>69</v>
      </c>
      <c r="G955" s="9" t="s">
        <v>70</v>
      </c>
      <c r="H955" s="9" t="s">
        <v>4168</v>
      </c>
      <c r="I955" s="9" t="s">
        <v>72</v>
      </c>
      <c r="J955" s="10"/>
      <c r="K955" s="10">
        <v>44642</v>
      </c>
      <c r="L955" s="10">
        <v>44652.544444444444</v>
      </c>
      <c r="M955" s="10">
        <v>44676</v>
      </c>
      <c r="N955" s="9">
        <v>2022</v>
      </c>
      <c r="O955" s="9" t="s">
        <v>4243</v>
      </c>
      <c r="P955" s="9" t="s">
        <v>83</v>
      </c>
      <c r="Q955" s="9" t="s">
        <v>53</v>
      </c>
      <c r="R955" s="9" t="s">
        <v>4251</v>
      </c>
      <c r="T955" s="9"/>
      <c r="V955" s="9"/>
      <c r="W955" s="11">
        <f>IFERROR(VLOOKUP(B955, PlumX_snapshot!$A:$B, 2, FALSE), " ")</f>
        <v>20</v>
      </c>
      <c r="X955" s="11">
        <f>IFERROR(VLOOKUP(B955, PlumX_snapshot!$A:$C, 3, FALSE), " ")</f>
        <v>3</v>
      </c>
      <c r="Y955" s="12">
        <f>IFERROR(VLOOKUP(B955, PlumX_snapshot!$A:$D, 4, FALSE), " ")</f>
        <v>6</v>
      </c>
      <c r="Z955" s="12">
        <f>IFERROR(VLOOKUP(B955, PlumX_snapshot!$A:$E, 5, FALSE), " ")</f>
        <v>0</v>
      </c>
      <c r="AA955" s="12">
        <f>IFERROR(VLOOKUP(B955, PlumX_snapshot!$A:$F, 6, FALSE), " ")</f>
        <v>5</v>
      </c>
      <c r="AB955" s="13">
        <v>44978</v>
      </c>
      <c r="AH955" s="9">
        <v>2428</v>
      </c>
      <c r="AI955" s="9" t="s">
        <v>77</v>
      </c>
      <c r="AJ955" s="9" t="s">
        <v>1823</v>
      </c>
      <c r="AK955" s="11" t="str">
        <f t="shared" si="6"/>
        <v>2022EUR</v>
      </c>
      <c r="AL955" s="11">
        <f>VLOOKUP(AK955, Exchange_rates!$C:$D, 2, FALSE)</f>
        <v>0.8528</v>
      </c>
      <c r="AM955" s="14">
        <f t="shared" si="7"/>
        <v>2484.7180799999996</v>
      </c>
      <c r="AN955" s="9"/>
      <c r="AO955" s="9"/>
      <c r="AP955" s="9"/>
      <c r="AQ955" s="15" t="s">
        <v>49</v>
      </c>
      <c r="AR955" t="s">
        <v>4252</v>
      </c>
      <c r="AS955" s="16"/>
    </row>
    <row r="956" spans="1:45" ht="14.5">
      <c r="A956" s="9" t="s">
        <v>4253</v>
      </c>
      <c r="B956" s="9" t="s">
        <v>4254</v>
      </c>
      <c r="C956" s="9" t="s">
        <v>2987</v>
      </c>
      <c r="D956" s="9" t="s">
        <v>2830</v>
      </c>
      <c r="E956" s="9" t="s">
        <v>49</v>
      </c>
      <c r="F956" s="9" t="s">
        <v>69</v>
      </c>
      <c r="G956" s="9" t="s">
        <v>70</v>
      </c>
      <c r="H956" s="9" t="s">
        <v>4168</v>
      </c>
      <c r="I956" s="9" t="s">
        <v>72</v>
      </c>
      <c r="J956" s="10"/>
      <c r="K956" s="10"/>
      <c r="L956" s="10">
        <v>44677.477083333331</v>
      </c>
      <c r="M956" s="10">
        <v>44698</v>
      </c>
      <c r="N956" s="9">
        <v>2022</v>
      </c>
      <c r="O956" s="9" t="s">
        <v>4243</v>
      </c>
      <c r="P956" s="9" t="s">
        <v>53</v>
      </c>
      <c r="Q956" s="9" t="s">
        <v>53</v>
      </c>
      <c r="R956" s="9" t="s">
        <v>4255</v>
      </c>
      <c r="T956" s="9"/>
      <c r="V956" s="9"/>
      <c r="W956" s="11">
        <f>IFERROR(VLOOKUP(B956, PlumX_snapshot!$A:$B, 2, FALSE), " ")</f>
        <v>9</v>
      </c>
      <c r="X956" s="11">
        <f>IFERROR(VLOOKUP(B956, PlumX_snapshot!$A:$C, 3, FALSE), " ")</f>
        <v>0</v>
      </c>
      <c r="Y956" s="12">
        <f>IFERROR(VLOOKUP(B956, PlumX_snapshot!$A:$D, 4, FALSE), " ")</f>
        <v>17</v>
      </c>
      <c r="Z956" s="12">
        <f>IFERROR(VLOOKUP(B956, PlumX_snapshot!$A:$E, 5, FALSE), " ")</f>
        <v>0</v>
      </c>
      <c r="AA956" s="12">
        <f>IFERROR(VLOOKUP(B956, PlumX_snapshot!$A:$F, 6, FALSE), " ")</f>
        <v>0</v>
      </c>
      <c r="AB956" s="13">
        <v>44978</v>
      </c>
      <c r="AH956" s="9">
        <v>2428</v>
      </c>
      <c r="AI956" s="9" t="s">
        <v>77</v>
      </c>
      <c r="AJ956" s="9" t="s">
        <v>1823</v>
      </c>
      <c r="AK956" s="11" t="str">
        <f t="shared" si="6"/>
        <v>2022EUR</v>
      </c>
      <c r="AL956" s="11">
        <f>VLOOKUP(AK956, Exchange_rates!$C:$D, 2, FALSE)</f>
        <v>0.8528</v>
      </c>
      <c r="AM956" s="14">
        <f t="shared" si="7"/>
        <v>2484.7180799999996</v>
      </c>
      <c r="AN956" s="9"/>
      <c r="AO956" s="9"/>
      <c r="AP956" s="9"/>
      <c r="AQ956" s="15" t="s">
        <v>49</v>
      </c>
      <c r="AR956" t="s">
        <v>2989</v>
      </c>
      <c r="AS956" s="16"/>
    </row>
    <row r="957" spans="1:45" ht="14.5">
      <c r="A957" s="9" t="s">
        <v>4256</v>
      </c>
      <c r="B957" s="9" t="s">
        <v>4257</v>
      </c>
      <c r="C957" s="9" t="s">
        <v>3826</v>
      </c>
      <c r="D957" s="9" t="s">
        <v>2830</v>
      </c>
      <c r="E957" s="9" t="s">
        <v>49</v>
      </c>
      <c r="F957" s="9" t="s">
        <v>69</v>
      </c>
      <c r="G957" s="9" t="s">
        <v>70</v>
      </c>
      <c r="H957" s="9" t="s">
        <v>4168</v>
      </c>
      <c r="I957" s="9" t="s">
        <v>72</v>
      </c>
      <c r="J957" s="10"/>
      <c r="K957" s="10">
        <v>44644</v>
      </c>
      <c r="L957" s="10">
        <v>44679.368750000001</v>
      </c>
      <c r="M957" s="10">
        <v>44686</v>
      </c>
      <c r="N957" s="9">
        <v>2022</v>
      </c>
      <c r="O957" s="9" t="s">
        <v>4243</v>
      </c>
      <c r="P957" s="9" t="s">
        <v>53</v>
      </c>
      <c r="Q957" s="9" t="s">
        <v>53</v>
      </c>
      <c r="R957" s="9" t="s">
        <v>4244</v>
      </c>
      <c r="T957" s="9"/>
      <c r="V957" s="9"/>
      <c r="W957" s="11">
        <f>IFERROR(VLOOKUP(B957, PlumX_snapshot!$A:$B, 2, FALSE), " ")</f>
        <v>13</v>
      </c>
      <c r="X957" s="11">
        <f>IFERROR(VLOOKUP(B957, PlumX_snapshot!$A:$C, 3, FALSE), " ")</f>
        <v>0</v>
      </c>
      <c r="Y957" s="12">
        <f>IFERROR(VLOOKUP(B957, PlumX_snapshot!$A:$D, 4, FALSE), " ")</f>
        <v>1</v>
      </c>
      <c r="Z957" s="12">
        <f>IFERROR(VLOOKUP(B957, PlumX_snapshot!$A:$E, 5, FALSE), " ")</f>
        <v>0</v>
      </c>
      <c r="AA957" s="12">
        <f>IFERROR(VLOOKUP(B957, PlumX_snapshot!$A:$F, 6, FALSE), " ")</f>
        <v>0</v>
      </c>
      <c r="AB957" s="13">
        <v>44978</v>
      </c>
      <c r="AH957" s="9">
        <v>2428</v>
      </c>
      <c r="AI957" s="9" t="s">
        <v>77</v>
      </c>
      <c r="AJ957" s="9" t="s">
        <v>1823</v>
      </c>
      <c r="AK957" s="11" t="str">
        <f t="shared" si="6"/>
        <v>2022EUR</v>
      </c>
      <c r="AL957" s="11">
        <f>VLOOKUP(AK957, Exchange_rates!$C:$D, 2, FALSE)</f>
        <v>0.8528</v>
      </c>
      <c r="AM957" s="14">
        <f t="shared" si="7"/>
        <v>2484.7180799999996</v>
      </c>
      <c r="AN957" s="9"/>
      <c r="AO957" s="9"/>
      <c r="AP957" s="9"/>
      <c r="AQ957" s="15" t="s">
        <v>49</v>
      </c>
      <c r="AR957" t="s">
        <v>3828</v>
      </c>
      <c r="AS957" s="16"/>
    </row>
    <row r="958" spans="1:45" ht="14.5">
      <c r="A958" s="9" t="s">
        <v>4258</v>
      </c>
      <c r="B958" s="9" t="s">
        <v>4259</v>
      </c>
      <c r="C958" s="9" t="s">
        <v>2937</v>
      </c>
      <c r="D958" s="9" t="s">
        <v>2830</v>
      </c>
      <c r="E958" s="9" t="s">
        <v>49</v>
      </c>
      <c r="F958" s="9" t="s">
        <v>69</v>
      </c>
      <c r="G958" s="9" t="s">
        <v>70</v>
      </c>
      <c r="H958" s="9" t="s">
        <v>4168</v>
      </c>
      <c r="I958" s="9" t="s">
        <v>72</v>
      </c>
      <c r="J958" s="10"/>
      <c r="K958" s="10">
        <v>44661</v>
      </c>
      <c r="L958" s="10">
        <v>44686.381249999999</v>
      </c>
      <c r="M958" s="10">
        <v>44695</v>
      </c>
      <c r="N958" s="9">
        <v>2022</v>
      </c>
      <c r="O958" s="9" t="s">
        <v>4243</v>
      </c>
      <c r="P958" s="9" t="s">
        <v>53</v>
      </c>
      <c r="Q958" s="9" t="s">
        <v>53</v>
      </c>
      <c r="R958" s="9" t="s">
        <v>4260</v>
      </c>
      <c r="T958" s="9"/>
      <c r="V958" s="9"/>
      <c r="W958" s="11">
        <f>IFERROR(VLOOKUP(B958, PlumX_snapshot!$A:$B, 2, FALSE), " ")</f>
        <v>0</v>
      </c>
      <c r="X958" s="11">
        <f>IFERROR(VLOOKUP(B958, PlumX_snapshot!$A:$C, 3, FALSE), " ")</f>
        <v>0</v>
      </c>
      <c r="Y958" s="12">
        <f>IFERROR(VLOOKUP(B958, PlumX_snapshot!$A:$D, 4, FALSE), " ")</f>
        <v>0</v>
      </c>
      <c r="Z958" s="12">
        <f>IFERROR(VLOOKUP(B958, PlumX_snapshot!$A:$E, 5, FALSE), " ")</f>
        <v>0</v>
      </c>
      <c r="AA958" s="12">
        <f>IFERROR(VLOOKUP(B958, PlumX_snapshot!$A:$F, 6, FALSE), " ")</f>
        <v>0</v>
      </c>
      <c r="AB958" s="13">
        <v>44978</v>
      </c>
      <c r="AH958" s="9">
        <v>2428</v>
      </c>
      <c r="AI958" s="9" t="s">
        <v>77</v>
      </c>
      <c r="AJ958" s="9" t="s">
        <v>1823</v>
      </c>
      <c r="AK958" s="11" t="str">
        <f t="shared" si="6"/>
        <v>2022EUR</v>
      </c>
      <c r="AL958" s="11">
        <f>VLOOKUP(AK958, Exchange_rates!$C:$D, 2, FALSE)</f>
        <v>0.8528</v>
      </c>
      <c r="AM958" s="14">
        <f t="shared" si="7"/>
        <v>2484.7180799999996</v>
      </c>
      <c r="AN958" s="9"/>
      <c r="AO958" s="9"/>
      <c r="AP958" s="9"/>
      <c r="AQ958" s="15" t="s">
        <v>49</v>
      </c>
      <c r="AR958" t="s">
        <v>2938</v>
      </c>
      <c r="AS958" s="16"/>
    </row>
    <row r="959" spans="1:45" ht="14.5">
      <c r="A959" s="9" t="s">
        <v>4261</v>
      </c>
      <c r="B959" s="9" t="s">
        <v>4262</v>
      </c>
      <c r="C959" s="9" t="s">
        <v>4008</v>
      </c>
      <c r="D959" s="9" t="s">
        <v>2830</v>
      </c>
      <c r="E959" s="9" t="s">
        <v>49</v>
      </c>
      <c r="F959" s="9" t="s">
        <v>50</v>
      </c>
      <c r="G959" s="9" t="s">
        <v>51</v>
      </c>
      <c r="H959" s="9"/>
      <c r="J959" s="10"/>
      <c r="K959" s="10"/>
      <c r="L959" s="10"/>
      <c r="M959" s="10">
        <v>44649</v>
      </c>
      <c r="N959" s="9">
        <v>2022</v>
      </c>
      <c r="O959" s="9" t="s">
        <v>4263</v>
      </c>
      <c r="P959" s="9" t="s">
        <v>53</v>
      </c>
      <c r="Q959" s="9" t="s">
        <v>53</v>
      </c>
      <c r="R959" s="9" t="s">
        <v>4244</v>
      </c>
      <c r="T959" s="9" t="s">
        <v>55</v>
      </c>
      <c r="U959" s="9" t="s">
        <v>4264</v>
      </c>
      <c r="V959" s="9"/>
      <c r="W959" s="11">
        <f>IFERROR(VLOOKUP(B959, PlumX_snapshot!$A:$B, 2, FALSE), " ")</f>
        <v>1</v>
      </c>
      <c r="X959" s="11">
        <f>IFERROR(VLOOKUP(B959, PlumX_snapshot!$A:$C, 3, FALSE), " ")</f>
        <v>2</v>
      </c>
      <c r="Y959" s="12">
        <f>IFERROR(VLOOKUP(B959, PlumX_snapshot!$A:$D, 4, FALSE), " ")</f>
        <v>0</v>
      </c>
      <c r="Z959" s="12">
        <f>IFERROR(VLOOKUP(B959, PlumX_snapshot!$A:$E, 5, FALSE), " ")</f>
        <v>0</v>
      </c>
      <c r="AA959" s="12">
        <f>IFERROR(VLOOKUP(B959, PlumX_snapshot!$A:$F, 6, FALSE), " ")</f>
        <v>0</v>
      </c>
      <c r="AB959" s="13">
        <v>44978</v>
      </c>
      <c r="AH959" s="9"/>
      <c r="AI959" s="9"/>
      <c r="AJ959" s="9"/>
      <c r="AK959" s="11" t="str">
        <f t="shared" si="6"/>
        <v>2022</v>
      </c>
      <c r="AL959" s="11" t="e">
        <f>VLOOKUP(AK959, Exchange_rates!$C:$D, 2, FALSE)</f>
        <v>#N/A</v>
      </c>
      <c r="AM959" s="14" t="str">
        <f t="shared" si="7"/>
        <v/>
      </c>
      <c r="AN959" s="9"/>
      <c r="AO959" s="9"/>
      <c r="AP959" s="9"/>
      <c r="AQ959" s="15" t="s">
        <v>49</v>
      </c>
      <c r="AR959" t="s">
        <v>4010</v>
      </c>
      <c r="AS959" s="16"/>
    </row>
    <row r="960" spans="1:45" ht="14.5">
      <c r="A960" s="9" t="s">
        <v>4265</v>
      </c>
      <c r="B960" s="9" t="s">
        <v>4266</v>
      </c>
      <c r="C960" s="9" t="s">
        <v>3178</v>
      </c>
      <c r="D960" s="9" t="s">
        <v>2830</v>
      </c>
      <c r="E960" s="9" t="s">
        <v>49</v>
      </c>
      <c r="F960" s="9" t="s">
        <v>69</v>
      </c>
      <c r="G960" s="9" t="s">
        <v>70</v>
      </c>
      <c r="H960" s="9" t="s">
        <v>4168</v>
      </c>
      <c r="I960" s="9" t="s">
        <v>72</v>
      </c>
      <c r="J960" s="10"/>
      <c r="K960" s="10"/>
      <c r="L960" s="10"/>
      <c r="M960" s="10">
        <v>44770</v>
      </c>
      <c r="N960" s="9">
        <v>2022</v>
      </c>
      <c r="O960" s="9" t="s">
        <v>4263</v>
      </c>
      <c r="P960" s="9" t="s">
        <v>53</v>
      </c>
      <c r="Q960" s="9" t="s">
        <v>53</v>
      </c>
      <c r="R960" s="9" t="s">
        <v>4244</v>
      </c>
      <c r="T960" s="9"/>
      <c r="V960" s="9"/>
      <c r="W960" s="11">
        <f>IFERROR(VLOOKUP(B960, PlumX_snapshot!$A:$B, 2, FALSE), " ")</f>
        <v>25</v>
      </c>
      <c r="X960" s="11">
        <f>IFERROR(VLOOKUP(B960, PlumX_snapshot!$A:$C, 3, FALSE), " ")</f>
        <v>2</v>
      </c>
      <c r="Y960" s="12">
        <f>IFERROR(VLOOKUP(B960, PlumX_snapshot!$A:$D, 4, FALSE), " ")</f>
        <v>81</v>
      </c>
      <c r="Z960" s="12">
        <f>IFERROR(VLOOKUP(B960, PlumX_snapshot!$A:$E, 5, FALSE), " ")</f>
        <v>0</v>
      </c>
      <c r="AA960" s="12">
        <f>IFERROR(VLOOKUP(B960, PlumX_snapshot!$A:$F, 6, FALSE), " ")</f>
        <v>0</v>
      </c>
      <c r="AB960" s="13">
        <v>44978</v>
      </c>
      <c r="AH960" s="9">
        <v>2428</v>
      </c>
      <c r="AI960" s="9" t="s">
        <v>77</v>
      </c>
      <c r="AJ960" s="9" t="s">
        <v>1823</v>
      </c>
      <c r="AK960" s="11" t="str">
        <f t="shared" si="6"/>
        <v>2022EUR</v>
      </c>
      <c r="AL960" s="11">
        <f>VLOOKUP(AK960, Exchange_rates!$C:$D, 2, FALSE)</f>
        <v>0.8528</v>
      </c>
      <c r="AM960" s="14">
        <f t="shared" si="7"/>
        <v>2484.7180799999996</v>
      </c>
      <c r="AN960" s="9"/>
      <c r="AO960" s="9"/>
      <c r="AP960" s="9"/>
      <c r="AQ960" s="15" t="s">
        <v>49</v>
      </c>
      <c r="AR960" t="s">
        <v>3179</v>
      </c>
      <c r="AS960" s="16"/>
    </row>
    <row r="961" spans="1:45" ht="14.5">
      <c r="A961" s="9" t="s">
        <v>4267</v>
      </c>
      <c r="B961" s="9" t="s">
        <v>4268</v>
      </c>
      <c r="C961" s="9" t="s">
        <v>2864</v>
      </c>
      <c r="D961" s="9" t="s">
        <v>2830</v>
      </c>
      <c r="E961" s="9" t="s">
        <v>49</v>
      </c>
      <c r="F961" s="9" t="s">
        <v>50</v>
      </c>
      <c r="G961" s="9" t="s">
        <v>51</v>
      </c>
      <c r="H961" s="9"/>
      <c r="J961" s="10"/>
      <c r="K961" s="10"/>
      <c r="L961" s="10"/>
      <c r="M961" s="10">
        <v>44695</v>
      </c>
      <c r="N961" s="9">
        <v>2022</v>
      </c>
      <c r="O961" s="9" t="s">
        <v>4263</v>
      </c>
      <c r="P961" s="9" t="s">
        <v>53</v>
      </c>
      <c r="Q961" s="9" t="s">
        <v>53</v>
      </c>
      <c r="R961" s="9" t="s">
        <v>4269</v>
      </c>
      <c r="T961" s="9" t="s">
        <v>55</v>
      </c>
      <c r="U961" s="9" t="s">
        <v>4270</v>
      </c>
      <c r="V961" s="9"/>
      <c r="W961" s="11">
        <f>IFERROR(VLOOKUP(B961, PlumX_snapshot!$A:$B, 2, FALSE), " ")</f>
        <v>3</v>
      </c>
      <c r="X961" s="11">
        <f>IFERROR(VLOOKUP(B961, PlumX_snapshot!$A:$C, 3, FALSE), " ")</f>
        <v>0</v>
      </c>
      <c r="Y961" s="12">
        <f>IFERROR(VLOOKUP(B961, PlumX_snapshot!$A:$D, 4, FALSE), " ")</f>
        <v>0</v>
      </c>
      <c r="Z961" s="12">
        <f>IFERROR(VLOOKUP(B961, PlumX_snapshot!$A:$E, 5, FALSE), " ")</f>
        <v>0</v>
      </c>
      <c r="AA961" s="12">
        <f>IFERROR(VLOOKUP(B961, PlumX_snapshot!$A:$F, 6, FALSE), " ")</f>
        <v>0</v>
      </c>
      <c r="AB961" s="13">
        <v>44978</v>
      </c>
      <c r="AH961" s="9"/>
      <c r="AI961" s="9"/>
      <c r="AJ961" s="9"/>
      <c r="AK961" s="11" t="str">
        <f t="shared" si="6"/>
        <v>2022</v>
      </c>
      <c r="AL961" s="11" t="e">
        <f>VLOOKUP(AK961, Exchange_rates!$C:$D, 2, FALSE)</f>
        <v>#N/A</v>
      </c>
      <c r="AM961" s="14" t="str">
        <f t="shared" si="7"/>
        <v/>
      </c>
      <c r="AN961" s="9"/>
      <c r="AO961" s="9"/>
      <c r="AP961" s="9"/>
      <c r="AQ961" s="15" t="s">
        <v>49</v>
      </c>
      <c r="AR961" t="s">
        <v>2865</v>
      </c>
      <c r="AS961" s="16"/>
    </row>
    <row r="962" spans="1:45" ht="14.5">
      <c r="A962" s="9" t="s">
        <v>4271</v>
      </c>
      <c r="B962" s="9" t="s">
        <v>4272</v>
      </c>
      <c r="C962" s="9" t="s">
        <v>3779</v>
      </c>
      <c r="D962" s="9" t="s">
        <v>2830</v>
      </c>
      <c r="E962" s="9" t="s">
        <v>49</v>
      </c>
      <c r="F962" s="9" t="s">
        <v>69</v>
      </c>
      <c r="G962" s="9" t="s">
        <v>70</v>
      </c>
      <c r="H962" s="9" t="s">
        <v>4168</v>
      </c>
      <c r="I962" s="9" t="s">
        <v>72</v>
      </c>
      <c r="J962" s="10">
        <v>44530</v>
      </c>
      <c r="K962" s="10">
        <v>44724</v>
      </c>
      <c r="L962" s="10">
        <v>44741.398784722223</v>
      </c>
      <c r="M962" s="10">
        <v>44746</v>
      </c>
      <c r="N962" s="9">
        <v>2022</v>
      </c>
      <c r="O962" s="9" t="s">
        <v>4273</v>
      </c>
      <c r="P962" s="9" t="s">
        <v>53</v>
      </c>
      <c r="Q962" s="9" t="s">
        <v>53</v>
      </c>
      <c r="R962" s="9" t="s">
        <v>4274</v>
      </c>
      <c r="T962" s="9"/>
      <c r="V962" s="9"/>
      <c r="W962" s="11">
        <f>IFERROR(VLOOKUP(B962, PlumX_snapshot!$A:$B, 2, FALSE), " ")</f>
        <v>18</v>
      </c>
      <c r="X962" s="11">
        <f>IFERROR(VLOOKUP(B962, PlumX_snapshot!$A:$C, 3, FALSE), " ")</f>
        <v>3</v>
      </c>
      <c r="Y962" s="12">
        <f>IFERROR(VLOOKUP(B962, PlumX_snapshot!$A:$D, 4, FALSE), " ")</f>
        <v>3</v>
      </c>
      <c r="Z962" s="12">
        <f>IFERROR(VLOOKUP(B962, PlumX_snapshot!$A:$E, 5, FALSE), " ")</f>
        <v>0</v>
      </c>
      <c r="AA962" s="12">
        <f>IFERROR(VLOOKUP(B962, PlumX_snapshot!$A:$F, 6, FALSE), " ")</f>
        <v>0</v>
      </c>
      <c r="AB962" s="13">
        <v>44978</v>
      </c>
      <c r="AH962" s="9">
        <v>2428</v>
      </c>
      <c r="AI962" s="9" t="s">
        <v>77</v>
      </c>
      <c r="AJ962" s="9" t="s">
        <v>1823</v>
      </c>
      <c r="AK962" s="11" t="str">
        <f t="shared" si="6"/>
        <v>2022EUR</v>
      </c>
      <c r="AL962" s="11">
        <f>VLOOKUP(AK962, Exchange_rates!$C:$D, 2, FALSE)</f>
        <v>0.8528</v>
      </c>
      <c r="AM962" s="14">
        <f t="shared" si="7"/>
        <v>2484.7180799999996</v>
      </c>
      <c r="AN962" s="9"/>
      <c r="AO962" s="9"/>
      <c r="AP962" s="9"/>
      <c r="AQ962" s="15" t="s">
        <v>49</v>
      </c>
      <c r="AR962" t="s">
        <v>3781</v>
      </c>
      <c r="AS962" s="16"/>
    </row>
    <row r="963" spans="1:45" ht="14.5">
      <c r="A963" s="9" t="s">
        <v>4275</v>
      </c>
      <c r="B963" s="9" t="s">
        <v>4276</v>
      </c>
      <c r="C963" s="9" t="s">
        <v>3292</v>
      </c>
      <c r="D963" s="9" t="s">
        <v>2830</v>
      </c>
      <c r="E963" s="9" t="s">
        <v>49</v>
      </c>
      <c r="F963" s="9" t="s">
        <v>69</v>
      </c>
      <c r="G963" s="9" t="s">
        <v>70</v>
      </c>
      <c r="H963" s="9" t="s">
        <v>4168</v>
      </c>
      <c r="I963" s="9" t="s">
        <v>72</v>
      </c>
      <c r="J963" s="10">
        <v>44658</v>
      </c>
      <c r="K963" s="10">
        <v>44755</v>
      </c>
      <c r="L963" s="10">
        <v>44775.418043981481</v>
      </c>
      <c r="M963" s="10">
        <v>44784</v>
      </c>
      <c r="N963" s="9">
        <v>2022</v>
      </c>
      <c r="O963" s="9" t="s">
        <v>4273</v>
      </c>
      <c r="P963" s="9" t="s">
        <v>83</v>
      </c>
      <c r="Q963" s="9" t="s">
        <v>53</v>
      </c>
      <c r="R963" s="9" t="s">
        <v>117</v>
      </c>
      <c r="T963" s="9"/>
      <c r="V963" s="9"/>
      <c r="W963" s="11">
        <f>IFERROR(VLOOKUP(B963, PlumX_snapshot!$A:$B, 2, FALSE), " ")</f>
        <v>1</v>
      </c>
      <c r="X963" s="11">
        <f>IFERROR(VLOOKUP(B963, PlumX_snapshot!$A:$C, 3, FALSE), " ")</f>
        <v>0</v>
      </c>
      <c r="Y963" s="12">
        <f>IFERROR(VLOOKUP(B963, PlumX_snapshot!$A:$D, 4, FALSE), " ")</f>
        <v>0</v>
      </c>
      <c r="Z963" s="12">
        <f>IFERROR(VLOOKUP(B963, PlumX_snapshot!$A:$E, 5, FALSE), " ")</f>
        <v>0</v>
      </c>
      <c r="AA963" s="12">
        <f>IFERROR(VLOOKUP(B963, PlumX_snapshot!$A:$F, 6, FALSE), " ")</f>
        <v>0</v>
      </c>
      <c r="AB963" s="13">
        <v>44978</v>
      </c>
      <c r="AH963" s="9">
        <v>2428</v>
      </c>
      <c r="AI963" s="9" t="s">
        <v>77</v>
      </c>
      <c r="AJ963" s="9" t="s">
        <v>1823</v>
      </c>
      <c r="AK963" s="11" t="str">
        <f t="shared" si="6"/>
        <v>2022EUR</v>
      </c>
      <c r="AL963" s="11">
        <f>VLOOKUP(AK963, Exchange_rates!$C:$D, 2, FALSE)</f>
        <v>0.8528</v>
      </c>
      <c r="AM963" s="14">
        <f t="shared" si="7"/>
        <v>2484.7180799999996</v>
      </c>
      <c r="AN963" s="9"/>
      <c r="AO963" s="9"/>
      <c r="AP963" s="9"/>
      <c r="AQ963" s="15" t="s">
        <v>49</v>
      </c>
      <c r="AR963" t="s">
        <v>3293</v>
      </c>
      <c r="AS963" s="16"/>
    </row>
    <row r="964" spans="1:45" ht="14.5">
      <c r="A964" s="9" t="s">
        <v>4277</v>
      </c>
      <c r="B964" s="9" t="s">
        <v>4278</v>
      </c>
      <c r="C964" s="9" t="s">
        <v>3640</v>
      </c>
      <c r="D964" s="9" t="s">
        <v>2830</v>
      </c>
      <c r="E964" s="9" t="s">
        <v>49</v>
      </c>
      <c r="F964" s="9" t="s">
        <v>69</v>
      </c>
      <c r="G964" s="9" t="s">
        <v>70</v>
      </c>
      <c r="H964" s="9" t="s">
        <v>4168</v>
      </c>
      <c r="I964" s="9" t="s">
        <v>72</v>
      </c>
      <c r="J964" s="10">
        <v>44623</v>
      </c>
      <c r="K964" s="10">
        <v>44732</v>
      </c>
      <c r="L964" s="10">
        <v>44739.396145833336</v>
      </c>
      <c r="M964" s="10">
        <v>44770</v>
      </c>
      <c r="N964" s="9">
        <v>2022</v>
      </c>
      <c r="O964" s="9" t="s">
        <v>4273</v>
      </c>
      <c r="P964" s="9" t="s">
        <v>83</v>
      </c>
      <c r="Q964" s="9" t="s">
        <v>53</v>
      </c>
      <c r="R964" s="9" t="s">
        <v>1847</v>
      </c>
      <c r="T964" s="9"/>
      <c r="V964" s="9"/>
      <c r="W964" s="11">
        <f>IFERROR(VLOOKUP(B964, PlumX_snapshot!$A:$B, 2, FALSE), " ")</f>
        <v>7</v>
      </c>
      <c r="X964" s="11">
        <f>IFERROR(VLOOKUP(B964, PlumX_snapshot!$A:$C, 3, FALSE), " ")</f>
        <v>1</v>
      </c>
      <c r="Y964" s="12">
        <f>IFERROR(VLOOKUP(B964, PlumX_snapshot!$A:$D, 4, FALSE), " ")</f>
        <v>9</v>
      </c>
      <c r="Z964" s="12">
        <f>IFERROR(VLOOKUP(B964, PlumX_snapshot!$A:$E, 5, FALSE), " ")</f>
        <v>0</v>
      </c>
      <c r="AA964" s="12">
        <f>IFERROR(VLOOKUP(B964, PlumX_snapshot!$A:$F, 6, FALSE), " ")</f>
        <v>0</v>
      </c>
      <c r="AB964" s="13">
        <v>44978</v>
      </c>
      <c r="AH964" s="9">
        <v>2428</v>
      </c>
      <c r="AI964" s="9" t="s">
        <v>77</v>
      </c>
      <c r="AJ964" s="9" t="s">
        <v>1823</v>
      </c>
      <c r="AK964" s="11" t="str">
        <f t="shared" si="6"/>
        <v>2022EUR</v>
      </c>
      <c r="AL964" s="11">
        <f>VLOOKUP(AK964, Exchange_rates!$C:$D, 2, FALSE)</f>
        <v>0.8528</v>
      </c>
      <c r="AM964" s="14">
        <f t="shared" si="7"/>
        <v>2484.7180799999996</v>
      </c>
      <c r="AN964" s="9"/>
      <c r="AO964" s="9"/>
      <c r="AP964" s="9"/>
      <c r="AQ964" s="15" t="s">
        <v>49</v>
      </c>
      <c r="AR964" t="s">
        <v>3642</v>
      </c>
      <c r="AS964" s="16"/>
    </row>
    <row r="965" spans="1:45" ht="14.5">
      <c r="A965" s="9" t="s">
        <v>4279</v>
      </c>
      <c r="B965" s="9" t="s">
        <v>4280</v>
      </c>
      <c r="C965" s="9" t="s">
        <v>4281</v>
      </c>
      <c r="D965" s="9" t="s">
        <v>2830</v>
      </c>
      <c r="E965" s="9" t="s">
        <v>49</v>
      </c>
      <c r="F965" s="9" t="s">
        <v>69</v>
      </c>
      <c r="G965" s="9" t="s">
        <v>70</v>
      </c>
      <c r="H965" s="9" t="s">
        <v>4168</v>
      </c>
      <c r="I965" s="9" t="s">
        <v>72</v>
      </c>
      <c r="J965" s="10">
        <v>44742</v>
      </c>
      <c r="K965" s="10">
        <v>44747</v>
      </c>
      <c r="L965" s="10">
        <v>44760.346932870372</v>
      </c>
      <c r="M965" s="10">
        <v>44762</v>
      </c>
      <c r="N965" s="9">
        <v>2022</v>
      </c>
      <c r="O965" s="9" t="s">
        <v>4273</v>
      </c>
      <c r="P965" s="9" t="s">
        <v>53</v>
      </c>
      <c r="Q965" s="9" t="s">
        <v>53</v>
      </c>
      <c r="T965" s="9"/>
      <c r="V965" s="9"/>
      <c r="W965" s="11">
        <f>IFERROR(VLOOKUP(B965, PlumX_snapshot!$A:$B, 2, FALSE), " ")</f>
        <v>7</v>
      </c>
      <c r="X965" s="11">
        <f>IFERROR(VLOOKUP(B965, PlumX_snapshot!$A:$C, 3, FALSE), " ")</f>
        <v>0</v>
      </c>
      <c r="Y965" s="12">
        <f>IFERROR(VLOOKUP(B965, PlumX_snapshot!$A:$D, 4, FALSE), " ")</f>
        <v>31</v>
      </c>
      <c r="Z965" s="12">
        <f>IFERROR(VLOOKUP(B965, PlumX_snapshot!$A:$E, 5, FALSE), " ")</f>
        <v>0</v>
      </c>
      <c r="AA965" s="12">
        <f>IFERROR(VLOOKUP(B965, PlumX_snapshot!$A:$F, 6, FALSE), " ")</f>
        <v>0</v>
      </c>
      <c r="AB965" s="13">
        <v>44978</v>
      </c>
      <c r="AH965" s="9">
        <v>2428</v>
      </c>
      <c r="AI965" s="9" t="s">
        <v>77</v>
      </c>
      <c r="AJ965" s="9" t="s">
        <v>1823</v>
      </c>
      <c r="AK965" s="11" t="str">
        <f t="shared" si="6"/>
        <v>2022EUR</v>
      </c>
      <c r="AL965" s="11">
        <f>VLOOKUP(AK965, Exchange_rates!$C:$D, 2, FALSE)</f>
        <v>0.8528</v>
      </c>
      <c r="AM965" s="14">
        <f t="shared" si="7"/>
        <v>2484.7180799999996</v>
      </c>
      <c r="AN965" s="9"/>
      <c r="AO965" s="9"/>
      <c r="AP965" s="9"/>
      <c r="AQ965" s="15" t="s">
        <v>49</v>
      </c>
      <c r="AR965" t="s">
        <v>4282</v>
      </c>
      <c r="AS965" s="16"/>
    </row>
    <row r="966" spans="1:45" ht="14.5">
      <c r="A966" s="9" t="s">
        <v>4283</v>
      </c>
      <c r="B966" s="9" t="s">
        <v>4284</v>
      </c>
      <c r="C966" s="9" t="s">
        <v>4285</v>
      </c>
      <c r="D966" s="9" t="s">
        <v>2830</v>
      </c>
      <c r="E966" s="9" t="s">
        <v>49</v>
      </c>
      <c r="F966" s="9" t="s">
        <v>69</v>
      </c>
      <c r="G966" s="9" t="s">
        <v>70</v>
      </c>
      <c r="H966" s="9" t="s">
        <v>4168</v>
      </c>
      <c r="I966" s="9" t="s">
        <v>72</v>
      </c>
      <c r="J966" s="10"/>
      <c r="K966" s="10">
        <v>44724</v>
      </c>
      <c r="L966" s="10">
        <v>44756.633298611108</v>
      </c>
      <c r="M966" s="10">
        <v>44770</v>
      </c>
      <c r="N966" s="9">
        <v>2022</v>
      </c>
      <c r="O966" s="9" t="s">
        <v>4273</v>
      </c>
      <c r="P966" s="9" t="s">
        <v>83</v>
      </c>
      <c r="Q966" s="9" t="s">
        <v>53</v>
      </c>
      <c r="R966" s="9" t="s">
        <v>117</v>
      </c>
      <c r="T966" s="9"/>
      <c r="V966" s="9"/>
      <c r="W966" s="11">
        <f>IFERROR(VLOOKUP(B966, PlumX_snapshot!$A:$B, 2, FALSE), " ")</f>
        <v>2</v>
      </c>
      <c r="X966" s="11">
        <f>IFERROR(VLOOKUP(B966, PlumX_snapshot!$A:$C, 3, FALSE), " ")</f>
        <v>0</v>
      </c>
      <c r="Y966" s="12">
        <f>IFERROR(VLOOKUP(B966, PlumX_snapshot!$A:$D, 4, FALSE), " ")</f>
        <v>1</v>
      </c>
      <c r="Z966" s="12">
        <f>IFERROR(VLOOKUP(B966, PlumX_snapshot!$A:$E, 5, FALSE), " ")</f>
        <v>0</v>
      </c>
      <c r="AA966" s="12">
        <f>IFERROR(VLOOKUP(B966, PlumX_snapshot!$A:$F, 6, FALSE), " ")</f>
        <v>0</v>
      </c>
      <c r="AB966" s="13">
        <v>44978</v>
      </c>
      <c r="AH966" s="9">
        <v>2428</v>
      </c>
      <c r="AI966" s="9" t="s">
        <v>77</v>
      </c>
      <c r="AJ966" s="9" t="s">
        <v>1823</v>
      </c>
      <c r="AK966" s="11" t="str">
        <f t="shared" si="6"/>
        <v>2022EUR</v>
      </c>
      <c r="AL966" s="11">
        <f>VLOOKUP(AK966, Exchange_rates!$C:$D, 2, FALSE)</f>
        <v>0.8528</v>
      </c>
      <c r="AM966" s="14">
        <f t="shared" si="7"/>
        <v>2484.7180799999996</v>
      </c>
      <c r="AN966" s="9"/>
      <c r="AO966" s="9"/>
      <c r="AP966" s="9"/>
      <c r="AQ966" s="15" t="s">
        <v>49</v>
      </c>
      <c r="AR966" t="s">
        <v>4286</v>
      </c>
      <c r="AS966" s="16"/>
    </row>
    <row r="967" spans="1:45" ht="14.5">
      <c r="A967" s="9" t="s">
        <v>4287</v>
      </c>
      <c r="B967" s="9" t="s">
        <v>4288</v>
      </c>
      <c r="C967" s="9" t="s">
        <v>2998</v>
      </c>
      <c r="D967" s="9" t="s">
        <v>2830</v>
      </c>
      <c r="E967" s="9" t="s">
        <v>49</v>
      </c>
      <c r="F967" s="9" t="s">
        <v>69</v>
      </c>
      <c r="G967" s="9" t="s">
        <v>70</v>
      </c>
      <c r="H967" s="9" t="s">
        <v>4168</v>
      </c>
      <c r="I967" s="9" t="s">
        <v>72</v>
      </c>
      <c r="J967" s="10">
        <v>44703</v>
      </c>
      <c r="K967" s="10">
        <v>44732</v>
      </c>
      <c r="L967" s="10">
        <v>44747.452534722222</v>
      </c>
      <c r="M967" s="10">
        <v>44764</v>
      </c>
      <c r="N967" s="9">
        <v>2022</v>
      </c>
      <c r="O967" s="9" t="s">
        <v>4273</v>
      </c>
      <c r="P967" s="9" t="s">
        <v>53</v>
      </c>
      <c r="Q967" s="9" t="s">
        <v>53</v>
      </c>
      <c r="T967" s="9"/>
      <c r="V967" s="9"/>
      <c r="W967" s="11">
        <f>IFERROR(VLOOKUP(B967, PlumX_snapshot!$A:$B, 2, FALSE), " ")</f>
        <v>0</v>
      </c>
      <c r="X967" s="11">
        <f>IFERROR(VLOOKUP(B967, PlumX_snapshot!$A:$C, 3, FALSE), " ")</f>
        <v>0</v>
      </c>
      <c r="Y967" s="12">
        <f>IFERROR(VLOOKUP(B967, PlumX_snapshot!$A:$D, 4, FALSE), " ")</f>
        <v>0</v>
      </c>
      <c r="Z967" s="12">
        <f>IFERROR(VLOOKUP(B967, PlumX_snapshot!$A:$E, 5, FALSE), " ")</f>
        <v>0</v>
      </c>
      <c r="AA967" s="12">
        <f>IFERROR(VLOOKUP(B967, PlumX_snapshot!$A:$F, 6, FALSE), " ")</f>
        <v>0</v>
      </c>
      <c r="AB967" s="13">
        <v>44978</v>
      </c>
      <c r="AH967" s="9">
        <v>2428</v>
      </c>
      <c r="AI967" s="9" t="s">
        <v>77</v>
      </c>
      <c r="AJ967" s="9" t="s">
        <v>1823</v>
      </c>
      <c r="AK967" s="11" t="str">
        <f t="shared" si="6"/>
        <v>2022EUR</v>
      </c>
      <c r="AL967" s="11">
        <f>VLOOKUP(AK967, Exchange_rates!$C:$D, 2, FALSE)</f>
        <v>0.8528</v>
      </c>
      <c r="AM967" s="14">
        <f t="shared" si="7"/>
        <v>2484.7180799999996</v>
      </c>
      <c r="AN967" s="9"/>
      <c r="AO967" s="9"/>
      <c r="AP967" s="9"/>
      <c r="AQ967" s="15" t="s">
        <v>49</v>
      </c>
      <c r="AR967" t="s">
        <v>2999</v>
      </c>
      <c r="AS967" s="16"/>
    </row>
    <row r="968" spans="1:45" ht="14.5">
      <c r="A968" s="9" t="s">
        <v>4289</v>
      </c>
      <c r="B968" s="9" t="s">
        <v>4290</v>
      </c>
      <c r="C968" s="9" t="s">
        <v>2969</v>
      </c>
      <c r="D968" s="9" t="s">
        <v>2830</v>
      </c>
      <c r="E968" s="9" t="s">
        <v>49</v>
      </c>
      <c r="F968" s="9" t="s">
        <v>69</v>
      </c>
      <c r="G968" s="9" t="s">
        <v>70</v>
      </c>
      <c r="H968" s="9" t="s">
        <v>4168</v>
      </c>
      <c r="I968" s="9" t="s">
        <v>72</v>
      </c>
      <c r="J968" s="10">
        <v>44596</v>
      </c>
      <c r="K968" s="10">
        <v>44747</v>
      </c>
      <c r="L968" s="10">
        <v>44769.304918981485</v>
      </c>
      <c r="M968" s="10">
        <v>44784</v>
      </c>
      <c r="N968" s="9">
        <v>2022</v>
      </c>
      <c r="O968" s="9" t="s">
        <v>4273</v>
      </c>
      <c r="P968" s="9" t="s">
        <v>53</v>
      </c>
      <c r="Q968" s="9" t="s">
        <v>53</v>
      </c>
      <c r="T968" s="9"/>
      <c r="V968" s="9"/>
      <c r="W968" s="11">
        <f>IFERROR(VLOOKUP(B968, PlumX_snapshot!$A:$B, 2, FALSE), " ")</f>
        <v>0</v>
      </c>
      <c r="X968" s="11">
        <f>IFERROR(VLOOKUP(B968, PlumX_snapshot!$A:$C, 3, FALSE), " ")</f>
        <v>1</v>
      </c>
      <c r="Y968" s="12">
        <f>IFERROR(VLOOKUP(B968, PlumX_snapshot!$A:$D, 4, FALSE), " ")</f>
        <v>0</v>
      </c>
      <c r="Z968" s="12">
        <f>IFERROR(VLOOKUP(B968, PlumX_snapshot!$A:$E, 5, FALSE), " ")</f>
        <v>0</v>
      </c>
      <c r="AA968" s="12">
        <f>IFERROR(VLOOKUP(B968, PlumX_snapshot!$A:$F, 6, FALSE), " ")</f>
        <v>0</v>
      </c>
      <c r="AB968" s="13">
        <v>44978</v>
      </c>
      <c r="AH968" s="9">
        <v>2428</v>
      </c>
      <c r="AI968" s="9" t="s">
        <v>77</v>
      </c>
      <c r="AJ968" s="9" t="s">
        <v>1823</v>
      </c>
      <c r="AK968" s="11" t="str">
        <f t="shared" si="6"/>
        <v>2022EUR</v>
      </c>
      <c r="AL968" s="11">
        <f>VLOOKUP(AK968, Exchange_rates!$C:$D, 2, FALSE)</f>
        <v>0.8528</v>
      </c>
      <c r="AM968" s="14">
        <f t="shared" si="7"/>
        <v>2484.7180799999996</v>
      </c>
      <c r="AN968" s="9"/>
      <c r="AO968" s="9"/>
      <c r="AP968" s="9"/>
      <c r="AQ968" s="15" t="s">
        <v>49</v>
      </c>
      <c r="AR968" t="s">
        <v>2970</v>
      </c>
      <c r="AS968" s="16"/>
    </row>
    <row r="969" spans="1:45" ht="14.5">
      <c r="A969" s="9" t="s">
        <v>4291</v>
      </c>
      <c r="B969" s="9" t="s">
        <v>4292</v>
      </c>
      <c r="C969" s="9" t="s">
        <v>3027</v>
      </c>
      <c r="D969" s="9" t="s">
        <v>2830</v>
      </c>
      <c r="E969" s="9" t="s">
        <v>49</v>
      </c>
      <c r="F969" s="9" t="s">
        <v>69</v>
      </c>
      <c r="G969" s="9" t="s">
        <v>70</v>
      </c>
      <c r="H969" s="9" t="s">
        <v>4168</v>
      </c>
      <c r="I969" s="9" t="s">
        <v>72</v>
      </c>
      <c r="J969" s="10">
        <v>44620</v>
      </c>
      <c r="K969" s="10">
        <v>44712</v>
      </c>
      <c r="L969" s="10">
        <v>44767.348726851851</v>
      </c>
      <c r="M969" s="10">
        <v>44827</v>
      </c>
      <c r="N969" s="9">
        <v>2022</v>
      </c>
      <c r="O969" s="9" t="s">
        <v>4273</v>
      </c>
      <c r="P969" s="9" t="s">
        <v>53</v>
      </c>
      <c r="Q969" s="9" t="s">
        <v>53</v>
      </c>
      <c r="T969" s="9"/>
      <c r="V969" s="9"/>
      <c r="W969" s="11">
        <f>IFERROR(VLOOKUP(B969, PlumX_snapshot!$A:$B, 2, FALSE), " ")</f>
        <v>0</v>
      </c>
      <c r="X969" s="11">
        <f>IFERROR(VLOOKUP(B969, PlumX_snapshot!$A:$C, 3, FALSE), " ")</f>
        <v>0</v>
      </c>
      <c r="Y969" s="12">
        <f>IFERROR(VLOOKUP(B969, PlumX_snapshot!$A:$D, 4, FALSE), " ")</f>
        <v>0</v>
      </c>
      <c r="Z969" s="12">
        <f>IFERROR(VLOOKUP(B969, PlumX_snapshot!$A:$E, 5, FALSE), " ")</f>
        <v>0</v>
      </c>
      <c r="AA969" s="12">
        <f>IFERROR(VLOOKUP(B969, PlumX_snapshot!$A:$F, 6, FALSE), " ")</f>
        <v>0</v>
      </c>
      <c r="AB969" s="13">
        <v>44978</v>
      </c>
      <c r="AH969" s="9">
        <v>2428</v>
      </c>
      <c r="AI969" s="9" t="s">
        <v>77</v>
      </c>
      <c r="AJ969" s="9" t="s">
        <v>1823</v>
      </c>
      <c r="AK969" s="11" t="str">
        <f t="shared" si="6"/>
        <v>2022EUR</v>
      </c>
      <c r="AL969" s="11">
        <f>VLOOKUP(AK969, Exchange_rates!$C:$D, 2, FALSE)</f>
        <v>0.8528</v>
      </c>
      <c r="AM969" s="14">
        <f t="shared" si="7"/>
        <v>2484.7180799999996</v>
      </c>
      <c r="AN969" s="9"/>
      <c r="AO969" s="9"/>
      <c r="AP969" s="9"/>
      <c r="AQ969" s="15" t="s">
        <v>49</v>
      </c>
      <c r="AR969" t="s">
        <v>3028</v>
      </c>
      <c r="AS969" s="16"/>
    </row>
    <row r="970" spans="1:45" ht="14.5">
      <c r="A970" s="9" t="s">
        <v>4293</v>
      </c>
      <c r="B970" s="9" t="s">
        <v>4294</v>
      </c>
      <c r="C970" s="9" t="s">
        <v>4295</v>
      </c>
      <c r="D970" s="9" t="s">
        <v>2830</v>
      </c>
      <c r="E970" s="9" t="s">
        <v>49</v>
      </c>
      <c r="F970" s="9" t="s">
        <v>69</v>
      </c>
      <c r="G970" s="9" t="s">
        <v>70</v>
      </c>
      <c r="H970" s="9" t="s">
        <v>4168</v>
      </c>
      <c r="I970" s="9" t="s">
        <v>72</v>
      </c>
      <c r="J970" s="10"/>
      <c r="K970" s="10">
        <v>44763</v>
      </c>
      <c r="L970" s="10">
        <v>44777.367546296293</v>
      </c>
      <c r="M970" s="10">
        <v>44792</v>
      </c>
      <c r="N970" s="9">
        <v>2022</v>
      </c>
      <c r="O970" s="9" t="s">
        <v>4273</v>
      </c>
      <c r="P970" s="9" t="s">
        <v>53</v>
      </c>
      <c r="Q970" s="9" t="s">
        <v>53</v>
      </c>
      <c r="T970" s="9"/>
      <c r="V970" s="9"/>
      <c r="W970" s="11">
        <f>IFERROR(VLOOKUP(B970, PlumX_snapshot!$A:$B, 2, FALSE), " ")</f>
        <v>9</v>
      </c>
      <c r="X970" s="11">
        <f>IFERROR(VLOOKUP(B970, PlumX_snapshot!$A:$C, 3, FALSE), " ")</f>
        <v>0</v>
      </c>
      <c r="Y970" s="12">
        <f>IFERROR(VLOOKUP(B970, PlumX_snapshot!$A:$D, 4, FALSE), " ")</f>
        <v>9</v>
      </c>
      <c r="Z970" s="12">
        <f>IFERROR(VLOOKUP(B970, PlumX_snapshot!$A:$E, 5, FALSE), " ")</f>
        <v>0</v>
      </c>
      <c r="AA970" s="12">
        <f>IFERROR(VLOOKUP(B970, PlumX_snapshot!$A:$F, 6, FALSE), " ")</f>
        <v>0</v>
      </c>
      <c r="AB970" s="13">
        <v>44978</v>
      </c>
      <c r="AH970" s="9">
        <v>2428</v>
      </c>
      <c r="AI970" s="9" t="s">
        <v>77</v>
      </c>
      <c r="AJ970" s="9" t="s">
        <v>1823</v>
      </c>
      <c r="AK970" s="11" t="str">
        <f t="shared" si="6"/>
        <v>2022EUR</v>
      </c>
      <c r="AL970" s="11">
        <f>VLOOKUP(AK970, Exchange_rates!$C:$D, 2, FALSE)</f>
        <v>0.8528</v>
      </c>
      <c r="AM970" s="14">
        <f t="shared" si="7"/>
        <v>2484.7180799999996</v>
      </c>
      <c r="AN970" s="9"/>
      <c r="AO970" s="9"/>
      <c r="AP970" s="9"/>
      <c r="AQ970" s="15" t="s">
        <v>49</v>
      </c>
      <c r="AR970" t="s">
        <v>4296</v>
      </c>
      <c r="AS970" s="16"/>
    </row>
    <row r="971" spans="1:45" ht="14.5">
      <c r="A971" s="9" t="s">
        <v>4297</v>
      </c>
      <c r="B971" s="9" t="s">
        <v>4298</v>
      </c>
      <c r="C971" s="9" t="s">
        <v>4299</v>
      </c>
      <c r="D971" s="9" t="s">
        <v>2830</v>
      </c>
      <c r="E971" s="9" t="s">
        <v>49</v>
      </c>
      <c r="F971" s="9" t="s">
        <v>69</v>
      </c>
      <c r="G971" s="9" t="s">
        <v>70</v>
      </c>
      <c r="H971" s="9" t="s">
        <v>4168</v>
      </c>
      <c r="I971" s="9" t="s">
        <v>72</v>
      </c>
      <c r="J971" s="10"/>
      <c r="K971" s="10">
        <v>44700</v>
      </c>
      <c r="L971" s="10">
        <v>44707.404803240737</v>
      </c>
      <c r="M971" s="10">
        <v>44735</v>
      </c>
      <c r="N971" s="9">
        <v>2022</v>
      </c>
      <c r="O971" s="9" t="s">
        <v>4273</v>
      </c>
      <c r="P971" s="9" t="s">
        <v>83</v>
      </c>
      <c r="Q971" s="9" t="s">
        <v>53</v>
      </c>
      <c r="R971" s="9" t="s">
        <v>4300</v>
      </c>
      <c r="T971" s="9"/>
      <c r="V971" s="9"/>
      <c r="W971" s="11">
        <f>IFERROR(VLOOKUP(B971, PlumX_snapshot!$A:$B, 2, FALSE), " ")</f>
        <v>4</v>
      </c>
      <c r="X971" s="11">
        <f>IFERROR(VLOOKUP(B971, PlumX_snapshot!$A:$C, 3, FALSE), " ")</f>
        <v>5</v>
      </c>
      <c r="Y971" s="12">
        <f>IFERROR(VLOOKUP(B971, PlumX_snapshot!$A:$D, 4, FALSE), " ")</f>
        <v>4</v>
      </c>
      <c r="Z971" s="12">
        <f>IFERROR(VLOOKUP(B971, PlumX_snapshot!$A:$E, 5, FALSE), " ")</f>
        <v>0</v>
      </c>
      <c r="AA971" s="12">
        <f>IFERROR(VLOOKUP(B971, PlumX_snapshot!$A:$F, 6, FALSE), " ")</f>
        <v>0</v>
      </c>
      <c r="AB971" s="13">
        <v>44978</v>
      </c>
      <c r="AH971" s="9">
        <v>2428</v>
      </c>
      <c r="AI971" s="9" t="s">
        <v>77</v>
      </c>
      <c r="AJ971" s="9" t="s">
        <v>1823</v>
      </c>
      <c r="AK971" s="11" t="str">
        <f t="shared" si="6"/>
        <v>2022EUR</v>
      </c>
      <c r="AL971" s="11">
        <f>VLOOKUP(AK971, Exchange_rates!$C:$D, 2, FALSE)</f>
        <v>0.8528</v>
      </c>
      <c r="AM971" s="14">
        <f t="shared" si="7"/>
        <v>2484.7180799999996</v>
      </c>
      <c r="AN971" s="9"/>
      <c r="AO971" s="9"/>
      <c r="AP971" s="9"/>
      <c r="AQ971" s="15" t="s">
        <v>49</v>
      </c>
      <c r="AR971" t="s">
        <v>4301</v>
      </c>
      <c r="AS971" s="16"/>
    </row>
    <row r="972" spans="1:45" ht="14.5">
      <c r="A972" s="9" t="s">
        <v>4302</v>
      </c>
      <c r="B972" s="9" t="s">
        <v>4303</v>
      </c>
      <c r="C972" s="9" t="s">
        <v>2973</v>
      </c>
      <c r="D972" s="9" t="s">
        <v>2830</v>
      </c>
      <c r="E972" s="9" t="s">
        <v>49</v>
      </c>
      <c r="F972" s="9" t="s">
        <v>69</v>
      </c>
      <c r="G972" s="9" t="s">
        <v>70</v>
      </c>
      <c r="H972" s="9" t="s">
        <v>4168</v>
      </c>
      <c r="I972" s="9" t="s">
        <v>72</v>
      </c>
      <c r="J972" s="10">
        <v>44389</v>
      </c>
      <c r="K972" s="10">
        <v>44693</v>
      </c>
      <c r="L972" s="10">
        <v>44708.322789351849</v>
      </c>
      <c r="M972" s="10">
        <v>44716</v>
      </c>
      <c r="N972" s="9">
        <v>2022</v>
      </c>
      <c r="O972" s="9" t="s">
        <v>4273</v>
      </c>
      <c r="P972" s="9" t="s">
        <v>53</v>
      </c>
      <c r="Q972" s="9" t="s">
        <v>53</v>
      </c>
      <c r="R972" s="9" t="s">
        <v>4304</v>
      </c>
      <c r="T972" s="9"/>
      <c r="V972" s="9"/>
      <c r="W972" s="11">
        <f>IFERROR(VLOOKUP(B972, PlumX_snapshot!$A:$B, 2, FALSE), " ")</f>
        <v>8</v>
      </c>
      <c r="X972" s="11">
        <f>IFERROR(VLOOKUP(B972, PlumX_snapshot!$A:$C, 3, FALSE), " ")</f>
        <v>1</v>
      </c>
      <c r="Y972" s="12">
        <f>IFERROR(VLOOKUP(B972, PlumX_snapshot!$A:$D, 4, FALSE), " ")</f>
        <v>23</v>
      </c>
      <c r="Z972" s="12">
        <f>IFERROR(VLOOKUP(B972, PlumX_snapshot!$A:$E, 5, FALSE), " ")</f>
        <v>0</v>
      </c>
      <c r="AA972" s="12">
        <f>IFERROR(VLOOKUP(B972, PlumX_snapshot!$A:$F, 6, FALSE), " ")</f>
        <v>0</v>
      </c>
      <c r="AB972" s="13">
        <v>44978</v>
      </c>
      <c r="AH972" s="9">
        <v>2428</v>
      </c>
      <c r="AI972" s="9" t="s">
        <v>77</v>
      </c>
      <c r="AJ972" s="9" t="s">
        <v>1823</v>
      </c>
      <c r="AK972" s="11" t="str">
        <f t="shared" si="6"/>
        <v>2022EUR</v>
      </c>
      <c r="AL972" s="11">
        <f>VLOOKUP(AK972, Exchange_rates!$C:$D, 2, FALSE)</f>
        <v>0.8528</v>
      </c>
      <c r="AM972" s="14">
        <f t="shared" si="7"/>
        <v>2484.7180799999996</v>
      </c>
      <c r="AN972" s="9"/>
      <c r="AO972" s="9"/>
      <c r="AP972" s="9"/>
      <c r="AQ972" s="15" t="s">
        <v>49</v>
      </c>
      <c r="AR972" t="s">
        <v>2974</v>
      </c>
      <c r="AS972" s="16"/>
    </row>
    <row r="973" spans="1:45" ht="14.5">
      <c r="A973" s="9" t="s">
        <v>4305</v>
      </c>
      <c r="B973" s="9" t="s">
        <v>4306</v>
      </c>
      <c r="C973" s="9" t="s">
        <v>4307</v>
      </c>
      <c r="D973" s="9" t="s">
        <v>2830</v>
      </c>
      <c r="E973" s="9" t="s">
        <v>49</v>
      </c>
      <c r="F973" s="9" t="s">
        <v>69</v>
      </c>
      <c r="G973" s="9" t="s">
        <v>70</v>
      </c>
      <c r="H973" s="9" t="s">
        <v>4168</v>
      </c>
      <c r="I973" s="9" t="s">
        <v>72</v>
      </c>
      <c r="J973" s="10"/>
      <c r="K973" s="10">
        <v>44713</v>
      </c>
      <c r="L973" s="10">
        <v>44719.427002314813</v>
      </c>
      <c r="M973" s="10">
        <v>44742</v>
      </c>
      <c r="N973" s="9">
        <v>2022</v>
      </c>
      <c r="O973" s="9" t="s">
        <v>4273</v>
      </c>
      <c r="P973" s="9" t="s">
        <v>53</v>
      </c>
      <c r="Q973" s="9" t="s">
        <v>53</v>
      </c>
      <c r="T973" s="9"/>
      <c r="V973" s="9"/>
      <c r="W973" s="11">
        <f>IFERROR(VLOOKUP(B973, PlumX_snapshot!$A:$B, 2, FALSE), " ")</f>
        <v>11</v>
      </c>
      <c r="X973" s="11">
        <f>IFERROR(VLOOKUP(B973, PlumX_snapshot!$A:$C, 3, FALSE), " ")</f>
        <v>1</v>
      </c>
      <c r="Y973" s="12">
        <f>IFERROR(VLOOKUP(B973, PlumX_snapshot!$A:$D, 4, FALSE), " ")</f>
        <v>8</v>
      </c>
      <c r="Z973" s="12">
        <f>IFERROR(VLOOKUP(B973, PlumX_snapshot!$A:$E, 5, FALSE), " ")</f>
        <v>0</v>
      </c>
      <c r="AA973" s="12">
        <f>IFERROR(VLOOKUP(B973, PlumX_snapshot!$A:$F, 6, FALSE), " ")</f>
        <v>0</v>
      </c>
      <c r="AB973" s="13">
        <v>44978</v>
      </c>
      <c r="AH973" s="9">
        <v>2428</v>
      </c>
      <c r="AI973" s="9" t="s">
        <v>77</v>
      </c>
      <c r="AJ973" s="9" t="s">
        <v>1823</v>
      </c>
      <c r="AK973" s="11" t="str">
        <f t="shared" si="6"/>
        <v>2022EUR</v>
      </c>
      <c r="AL973" s="11">
        <f>VLOOKUP(AK973, Exchange_rates!$C:$D, 2, FALSE)</f>
        <v>0.8528</v>
      </c>
      <c r="AM973" s="14">
        <f t="shared" si="7"/>
        <v>2484.7180799999996</v>
      </c>
      <c r="AN973" s="9"/>
      <c r="AO973" s="9"/>
      <c r="AP973" s="9"/>
      <c r="AQ973" s="15" t="s">
        <v>49</v>
      </c>
      <c r="AR973" t="s">
        <v>4308</v>
      </c>
      <c r="AS973" s="16"/>
    </row>
    <row r="974" spans="1:45" ht="14.5">
      <c r="A974" s="9" t="s">
        <v>4309</v>
      </c>
      <c r="B974" s="9" t="s">
        <v>4310</v>
      </c>
      <c r="C974" s="9" t="s">
        <v>4311</v>
      </c>
      <c r="D974" s="9" t="s">
        <v>2830</v>
      </c>
      <c r="E974" s="9" t="s">
        <v>49</v>
      </c>
      <c r="F974" s="9" t="s">
        <v>69</v>
      </c>
      <c r="G974" s="9" t="s">
        <v>70</v>
      </c>
      <c r="H974" s="9" t="s">
        <v>4168</v>
      </c>
      <c r="I974" s="9" t="s">
        <v>72</v>
      </c>
      <c r="J974" s="10"/>
      <c r="K974" s="10">
        <v>44721</v>
      </c>
      <c r="L974" s="10">
        <v>44727.607546296298</v>
      </c>
      <c r="M974" s="10">
        <v>44734</v>
      </c>
      <c r="N974" s="9">
        <v>2022</v>
      </c>
      <c r="O974" s="9" t="s">
        <v>4273</v>
      </c>
      <c r="P974" s="9" t="s">
        <v>53</v>
      </c>
      <c r="Q974" s="9" t="s">
        <v>53</v>
      </c>
      <c r="T974" s="9"/>
      <c r="V974" s="9"/>
      <c r="W974" s="11">
        <f>IFERROR(VLOOKUP(B974, PlumX_snapshot!$A:$B, 2, FALSE), " ")</f>
        <v>0</v>
      </c>
      <c r="X974" s="11">
        <f>IFERROR(VLOOKUP(B974, PlumX_snapshot!$A:$C, 3, FALSE), " ")</f>
        <v>0</v>
      </c>
      <c r="Y974" s="12">
        <f>IFERROR(VLOOKUP(B974, PlumX_snapshot!$A:$D, 4, FALSE), " ")</f>
        <v>0</v>
      </c>
      <c r="Z974" s="12">
        <f>IFERROR(VLOOKUP(B974, PlumX_snapshot!$A:$E, 5, FALSE), " ")</f>
        <v>0</v>
      </c>
      <c r="AA974" s="12">
        <f>IFERROR(VLOOKUP(B974, PlumX_snapshot!$A:$F, 6, FALSE), " ")</f>
        <v>0</v>
      </c>
      <c r="AB974" s="13">
        <v>44978</v>
      </c>
      <c r="AH974" s="9">
        <v>2428</v>
      </c>
      <c r="AI974" s="9" t="s">
        <v>77</v>
      </c>
      <c r="AJ974" s="9" t="s">
        <v>1823</v>
      </c>
      <c r="AK974" s="11" t="str">
        <f t="shared" si="6"/>
        <v>2022EUR</v>
      </c>
      <c r="AL974" s="11">
        <f>VLOOKUP(AK974, Exchange_rates!$C:$D, 2, FALSE)</f>
        <v>0.8528</v>
      </c>
      <c r="AM974" s="14">
        <f t="shared" si="7"/>
        <v>2484.7180799999996</v>
      </c>
      <c r="AN974" s="9"/>
      <c r="AO974" s="9"/>
      <c r="AP974" s="9"/>
      <c r="AQ974" s="15" t="s">
        <v>49</v>
      </c>
      <c r="AR974" t="s">
        <v>4312</v>
      </c>
      <c r="AS974" s="16"/>
    </row>
    <row r="975" spans="1:45" ht="14.5">
      <c r="A975" s="9" t="s">
        <v>4313</v>
      </c>
      <c r="B975" s="9" t="s">
        <v>4314</v>
      </c>
      <c r="C975" s="9" t="s">
        <v>4315</v>
      </c>
      <c r="D975" s="9" t="s">
        <v>2830</v>
      </c>
      <c r="E975" s="9" t="s">
        <v>49</v>
      </c>
      <c r="F975" s="9" t="s">
        <v>69</v>
      </c>
      <c r="G975" s="9" t="s">
        <v>70</v>
      </c>
      <c r="H975" s="9" t="s">
        <v>4168</v>
      </c>
      <c r="I975" s="9" t="s">
        <v>72</v>
      </c>
      <c r="J975" s="10"/>
      <c r="K975" s="10">
        <v>44690</v>
      </c>
      <c r="L975" s="10">
        <v>44700.38726851852</v>
      </c>
      <c r="M975" s="10">
        <v>44702</v>
      </c>
      <c r="N975" s="9">
        <v>2022</v>
      </c>
      <c r="O975" s="9" t="s">
        <v>4273</v>
      </c>
      <c r="P975" s="9" t="s">
        <v>53</v>
      </c>
      <c r="Q975" s="9" t="s">
        <v>53</v>
      </c>
      <c r="T975" s="9"/>
      <c r="V975" s="9"/>
      <c r="W975" s="11">
        <f>IFERROR(VLOOKUP(B975, PlumX_snapshot!$A:$B, 2, FALSE), " ")</f>
        <v>18</v>
      </c>
      <c r="X975" s="11">
        <f>IFERROR(VLOOKUP(B975, PlumX_snapshot!$A:$C, 3, FALSE), " ")</f>
        <v>2</v>
      </c>
      <c r="Y975" s="12">
        <f>IFERROR(VLOOKUP(B975, PlumX_snapshot!$A:$D, 4, FALSE), " ")</f>
        <v>20</v>
      </c>
      <c r="Z975" s="12">
        <f>IFERROR(VLOOKUP(B975, PlumX_snapshot!$A:$E, 5, FALSE), " ")</f>
        <v>0</v>
      </c>
      <c r="AA975" s="12">
        <f>IFERROR(VLOOKUP(B975, PlumX_snapshot!$A:$F, 6, FALSE), " ")</f>
        <v>0</v>
      </c>
      <c r="AB975" s="13">
        <v>44978</v>
      </c>
      <c r="AH975" s="9">
        <v>2428</v>
      </c>
      <c r="AI975" s="9" t="s">
        <v>77</v>
      </c>
      <c r="AJ975" s="9" t="s">
        <v>1823</v>
      </c>
      <c r="AK975" s="11" t="str">
        <f t="shared" si="6"/>
        <v>2022EUR</v>
      </c>
      <c r="AL975" s="11">
        <f>VLOOKUP(AK975, Exchange_rates!$C:$D, 2, FALSE)</f>
        <v>0.8528</v>
      </c>
      <c r="AM975" s="14">
        <f t="shared" si="7"/>
        <v>2484.7180799999996</v>
      </c>
      <c r="AN975" s="9"/>
      <c r="AO975" s="9"/>
      <c r="AP975" s="9"/>
      <c r="AQ975" s="15" t="s">
        <v>49</v>
      </c>
      <c r="AR975" t="s">
        <v>4316</v>
      </c>
      <c r="AS975" s="16"/>
    </row>
    <row r="976" spans="1:45" ht="14.5">
      <c r="A976" s="9" t="s">
        <v>4317</v>
      </c>
      <c r="B976" s="9" t="s">
        <v>4318</v>
      </c>
      <c r="C976" s="9" t="s">
        <v>2898</v>
      </c>
      <c r="D976" s="9" t="s">
        <v>2830</v>
      </c>
      <c r="E976" s="9" t="s">
        <v>49</v>
      </c>
      <c r="F976" s="9" t="s">
        <v>69</v>
      </c>
      <c r="G976" s="9" t="s">
        <v>70</v>
      </c>
      <c r="H976" s="9" t="s">
        <v>4168</v>
      </c>
      <c r="I976" s="9" t="s">
        <v>72</v>
      </c>
      <c r="J976" s="10">
        <v>44707</v>
      </c>
      <c r="K976" s="10">
        <v>44750</v>
      </c>
      <c r="L976" s="10">
        <v>44767.521979166668</v>
      </c>
      <c r="M976" s="10">
        <v>44776</v>
      </c>
      <c r="N976" s="9">
        <v>2022</v>
      </c>
      <c r="O976" s="9" t="s">
        <v>4273</v>
      </c>
      <c r="P976" s="9" t="s">
        <v>53</v>
      </c>
      <c r="Q976" s="9" t="s">
        <v>53</v>
      </c>
      <c r="T976" s="9"/>
      <c r="V976" s="9"/>
      <c r="W976" s="11">
        <f>IFERROR(VLOOKUP(B976, PlumX_snapshot!$A:$B, 2, FALSE), " ")</f>
        <v>0</v>
      </c>
      <c r="X976" s="11">
        <f>IFERROR(VLOOKUP(B976, PlumX_snapshot!$A:$C, 3, FALSE), " ")</f>
        <v>0</v>
      </c>
      <c r="Y976" s="12">
        <f>IFERROR(VLOOKUP(B976, PlumX_snapshot!$A:$D, 4, FALSE), " ")</f>
        <v>3</v>
      </c>
      <c r="Z976" s="12">
        <f>IFERROR(VLOOKUP(B976, PlumX_snapshot!$A:$E, 5, FALSE), " ")</f>
        <v>0</v>
      </c>
      <c r="AA976" s="12">
        <f>IFERROR(VLOOKUP(B976, PlumX_snapshot!$A:$F, 6, FALSE), " ")</f>
        <v>0</v>
      </c>
      <c r="AB976" s="13">
        <v>44978</v>
      </c>
      <c r="AH976" s="9">
        <v>2428</v>
      </c>
      <c r="AI976" s="9" t="s">
        <v>77</v>
      </c>
      <c r="AJ976" s="9" t="s">
        <v>1823</v>
      </c>
      <c r="AK976" s="11" t="str">
        <f t="shared" si="6"/>
        <v>2022EUR</v>
      </c>
      <c r="AL976" s="11">
        <f>VLOOKUP(AK976, Exchange_rates!$C:$D, 2, FALSE)</f>
        <v>0.8528</v>
      </c>
      <c r="AM976" s="14">
        <f t="shared" si="7"/>
        <v>2484.7180799999996</v>
      </c>
      <c r="AN976" s="9"/>
      <c r="AO976" s="9"/>
      <c r="AP976" s="9"/>
      <c r="AQ976" s="15" t="s">
        <v>49</v>
      </c>
      <c r="AR976" t="s">
        <v>2900</v>
      </c>
      <c r="AS976" s="16"/>
    </row>
    <row r="977" spans="1:45" ht="14.5">
      <c r="A977" s="9" t="s">
        <v>4319</v>
      </c>
      <c r="B977" s="9" t="s">
        <v>4320</v>
      </c>
      <c r="C977" s="9" t="s">
        <v>4321</v>
      </c>
      <c r="D977" s="9" t="s">
        <v>2830</v>
      </c>
      <c r="E977" s="9" t="s">
        <v>49</v>
      </c>
      <c r="F977" s="9" t="s">
        <v>69</v>
      </c>
      <c r="G977" s="9" t="s">
        <v>70</v>
      </c>
      <c r="H977" s="9" t="s">
        <v>4168</v>
      </c>
      <c r="I977" s="9" t="s">
        <v>72</v>
      </c>
      <c r="J977" s="10">
        <v>44628</v>
      </c>
      <c r="K977" s="10">
        <v>44697</v>
      </c>
      <c r="L977" s="10">
        <v>44718.39167824074</v>
      </c>
      <c r="M977" s="10">
        <v>44720</v>
      </c>
      <c r="N977" s="9">
        <v>2022</v>
      </c>
      <c r="O977" s="9" t="s">
        <v>4273</v>
      </c>
      <c r="P977" s="9" t="s">
        <v>83</v>
      </c>
      <c r="Q977" s="9" t="s">
        <v>53</v>
      </c>
      <c r="R977" s="9" t="s">
        <v>1456</v>
      </c>
      <c r="T977" s="9"/>
      <c r="V977" s="9"/>
      <c r="W977" s="11">
        <f>IFERROR(VLOOKUP(B977, PlumX_snapshot!$A:$B, 2, FALSE), " ")</f>
        <v>10</v>
      </c>
      <c r="X977" s="11">
        <f>IFERROR(VLOOKUP(B977, PlumX_snapshot!$A:$C, 3, FALSE), " ")</f>
        <v>0</v>
      </c>
      <c r="Y977" s="12">
        <f>IFERROR(VLOOKUP(B977, PlumX_snapshot!$A:$D, 4, FALSE), " ")</f>
        <v>7</v>
      </c>
      <c r="Z977" s="12">
        <f>IFERROR(VLOOKUP(B977, PlumX_snapshot!$A:$E, 5, FALSE), " ")</f>
        <v>0</v>
      </c>
      <c r="AA977" s="12">
        <f>IFERROR(VLOOKUP(B977, PlumX_snapshot!$A:$F, 6, FALSE), " ")</f>
        <v>0</v>
      </c>
      <c r="AB977" s="13">
        <v>44978</v>
      </c>
      <c r="AH977" s="9">
        <v>2428</v>
      </c>
      <c r="AI977" s="9" t="s">
        <v>77</v>
      </c>
      <c r="AJ977" s="9" t="s">
        <v>1823</v>
      </c>
      <c r="AK977" s="11" t="str">
        <f t="shared" si="6"/>
        <v>2022EUR</v>
      </c>
      <c r="AL977" s="11">
        <f>VLOOKUP(AK977, Exchange_rates!$C:$D, 2, FALSE)</f>
        <v>0.8528</v>
      </c>
      <c r="AM977" s="14">
        <f t="shared" si="7"/>
        <v>2484.7180799999996</v>
      </c>
      <c r="AN977" s="9"/>
      <c r="AO977" s="9"/>
      <c r="AP977" s="9"/>
      <c r="AQ977" s="15" t="s">
        <v>49</v>
      </c>
      <c r="AR977" t="s">
        <v>4322</v>
      </c>
      <c r="AS977" s="16"/>
    </row>
    <row r="978" spans="1:45" ht="14.5">
      <c r="A978" s="9" t="s">
        <v>4323</v>
      </c>
      <c r="B978" s="9" t="s">
        <v>4324</v>
      </c>
      <c r="C978" s="9" t="s">
        <v>4325</v>
      </c>
      <c r="D978" s="9" t="s">
        <v>2830</v>
      </c>
      <c r="E978" s="9" t="s">
        <v>49</v>
      </c>
      <c r="F978" s="9" t="s">
        <v>69</v>
      </c>
      <c r="G978" s="9" t="s">
        <v>70</v>
      </c>
      <c r="H978" s="9" t="s">
        <v>4168</v>
      </c>
      <c r="I978" s="9" t="s">
        <v>72</v>
      </c>
      <c r="J978" s="10">
        <v>44450</v>
      </c>
      <c r="K978" s="10">
        <v>44700</v>
      </c>
      <c r="L978" s="10">
        <v>44725.564085648148</v>
      </c>
      <c r="M978" s="10">
        <v>44730</v>
      </c>
      <c r="N978" s="9">
        <v>2022</v>
      </c>
      <c r="O978" s="9" t="s">
        <v>4273</v>
      </c>
      <c r="P978" s="9" t="s">
        <v>53</v>
      </c>
      <c r="Q978" s="9" t="s">
        <v>53</v>
      </c>
      <c r="T978" s="9"/>
      <c r="V978" s="9"/>
      <c r="W978" s="11">
        <f>IFERROR(VLOOKUP(B978, PlumX_snapshot!$A:$B, 2, FALSE), " ")</f>
        <v>6</v>
      </c>
      <c r="X978" s="11">
        <f>IFERROR(VLOOKUP(B978, PlumX_snapshot!$A:$C, 3, FALSE), " ")</f>
        <v>0</v>
      </c>
      <c r="Y978" s="12">
        <f>IFERROR(VLOOKUP(B978, PlumX_snapshot!$A:$D, 4, FALSE), " ")</f>
        <v>0</v>
      </c>
      <c r="Z978" s="12">
        <f>IFERROR(VLOOKUP(B978, PlumX_snapshot!$A:$E, 5, FALSE), " ")</f>
        <v>0</v>
      </c>
      <c r="AA978" s="12">
        <f>IFERROR(VLOOKUP(B978, PlumX_snapshot!$A:$F, 6, FALSE), " ")</f>
        <v>0</v>
      </c>
      <c r="AB978" s="13">
        <v>44978</v>
      </c>
      <c r="AH978" s="9">
        <v>2428</v>
      </c>
      <c r="AI978" s="9" t="s">
        <v>77</v>
      </c>
      <c r="AJ978" s="9" t="s">
        <v>1823</v>
      </c>
      <c r="AK978" s="11" t="str">
        <f t="shared" si="6"/>
        <v>2022EUR</v>
      </c>
      <c r="AL978" s="11">
        <f>VLOOKUP(AK978, Exchange_rates!$C:$D, 2, FALSE)</f>
        <v>0.8528</v>
      </c>
      <c r="AM978" s="14">
        <f t="shared" si="7"/>
        <v>2484.7180799999996</v>
      </c>
      <c r="AN978" s="9"/>
      <c r="AO978" s="9"/>
      <c r="AP978" s="9"/>
      <c r="AQ978" s="15" t="s">
        <v>49</v>
      </c>
      <c r="AR978" t="s">
        <v>4326</v>
      </c>
      <c r="AS978" s="16"/>
    </row>
    <row r="979" spans="1:45" ht="14.5">
      <c r="A979" s="9" t="s">
        <v>4327</v>
      </c>
      <c r="B979" s="9" t="s">
        <v>4328</v>
      </c>
      <c r="C979" s="9" t="s">
        <v>4329</v>
      </c>
      <c r="D979" s="9" t="s">
        <v>2830</v>
      </c>
      <c r="E979" s="9" t="s">
        <v>49</v>
      </c>
      <c r="F979" s="9" t="s">
        <v>69</v>
      </c>
      <c r="G979" s="9" t="s">
        <v>70</v>
      </c>
      <c r="H979" s="9" t="s">
        <v>4168</v>
      </c>
      <c r="I979" s="9" t="s">
        <v>72</v>
      </c>
      <c r="J979" s="10">
        <v>44720</v>
      </c>
      <c r="K979" s="10">
        <v>44764</v>
      </c>
      <c r="L979" s="10">
        <v>44781.424050925925</v>
      </c>
      <c r="M979" s="10">
        <v>44785</v>
      </c>
      <c r="N979" s="9">
        <v>2022</v>
      </c>
      <c r="O979" s="9" t="s">
        <v>4273</v>
      </c>
      <c r="P979" s="9" t="s">
        <v>53</v>
      </c>
      <c r="Q979" s="9" t="s">
        <v>53</v>
      </c>
      <c r="T979" s="9"/>
      <c r="V979" s="9"/>
      <c r="W979" s="11">
        <f>IFERROR(VLOOKUP(B979, PlumX_snapshot!$A:$B, 2, FALSE), " ")</f>
        <v>5</v>
      </c>
      <c r="X979" s="11">
        <f>IFERROR(VLOOKUP(B979, PlumX_snapshot!$A:$C, 3, FALSE), " ")</f>
        <v>2</v>
      </c>
      <c r="Y979" s="12">
        <f>IFERROR(VLOOKUP(B979, PlumX_snapshot!$A:$D, 4, FALSE), " ")</f>
        <v>0</v>
      </c>
      <c r="Z979" s="12">
        <f>IFERROR(VLOOKUP(B979, PlumX_snapshot!$A:$E, 5, FALSE), " ")</f>
        <v>0</v>
      </c>
      <c r="AA979" s="12">
        <f>IFERROR(VLOOKUP(B979, PlumX_snapshot!$A:$F, 6, FALSE), " ")</f>
        <v>0</v>
      </c>
      <c r="AB979" s="13">
        <v>44978</v>
      </c>
      <c r="AH979" s="9">
        <v>2428</v>
      </c>
      <c r="AI979" s="9" t="s">
        <v>77</v>
      </c>
      <c r="AJ979" s="9" t="s">
        <v>1823</v>
      </c>
      <c r="AK979" s="11" t="str">
        <f t="shared" si="6"/>
        <v>2022EUR</v>
      </c>
      <c r="AL979" s="11">
        <f>VLOOKUP(AK979, Exchange_rates!$C:$D, 2, FALSE)</f>
        <v>0.8528</v>
      </c>
      <c r="AM979" s="14">
        <f t="shared" si="7"/>
        <v>2484.7180799999996</v>
      </c>
      <c r="AN979" s="9"/>
      <c r="AO979" s="9"/>
      <c r="AP979" s="9"/>
      <c r="AQ979" s="15" t="s">
        <v>49</v>
      </c>
      <c r="AR979" t="s">
        <v>4330</v>
      </c>
      <c r="AS979" s="16"/>
    </row>
    <row r="980" spans="1:45" ht="14.5">
      <c r="A980" s="9" t="s">
        <v>4331</v>
      </c>
      <c r="B980" s="9" t="s">
        <v>4332</v>
      </c>
      <c r="C980" s="9" t="s">
        <v>3027</v>
      </c>
      <c r="D980" s="9" t="s">
        <v>2830</v>
      </c>
      <c r="E980" s="9" t="s">
        <v>49</v>
      </c>
      <c r="F980" s="9" t="s">
        <v>69</v>
      </c>
      <c r="G980" s="9" t="s">
        <v>70</v>
      </c>
      <c r="H980" s="9" t="s">
        <v>4168</v>
      </c>
      <c r="I980" s="9" t="s">
        <v>72</v>
      </c>
      <c r="J980" s="10">
        <v>44636</v>
      </c>
      <c r="K980" s="10">
        <v>44770</v>
      </c>
      <c r="L980" s="10">
        <v>44781.425706018519</v>
      </c>
      <c r="M980" s="10">
        <v>44796</v>
      </c>
      <c r="N980" s="9">
        <v>2022</v>
      </c>
      <c r="O980" s="9" t="s">
        <v>4273</v>
      </c>
      <c r="P980" s="9" t="s">
        <v>53</v>
      </c>
      <c r="Q980" s="9" t="s">
        <v>53</v>
      </c>
      <c r="T980" s="9"/>
      <c r="V980" s="9"/>
      <c r="W980" s="11">
        <f>IFERROR(VLOOKUP(B980, PlumX_snapshot!$A:$B, 2, FALSE), " ")</f>
        <v>2</v>
      </c>
      <c r="X980" s="11">
        <f>IFERROR(VLOOKUP(B980, PlumX_snapshot!$A:$C, 3, FALSE), " ")</f>
        <v>0</v>
      </c>
      <c r="Y980" s="12">
        <f>IFERROR(VLOOKUP(B980, PlumX_snapshot!$A:$D, 4, FALSE), " ")</f>
        <v>0</v>
      </c>
      <c r="Z980" s="12">
        <f>IFERROR(VLOOKUP(B980, PlumX_snapshot!$A:$E, 5, FALSE), " ")</f>
        <v>0</v>
      </c>
      <c r="AA980" s="12">
        <f>IFERROR(VLOOKUP(B980, PlumX_snapshot!$A:$F, 6, FALSE), " ")</f>
        <v>0</v>
      </c>
      <c r="AB980" s="13">
        <v>44978</v>
      </c>
      <c r="AH980" s="9">
        <v>2428</v>
      </c>
      <c r="AI980" s="9" t="s">
        <v>77</v>
      </c>
      <c r="AJ980" s="9" t="s">
        <v>1823</v>
      </c>
      <c r="AK980" s="11" t="str">
        <f t="shared" si="6"/>
        <v>2022EUR</v>
      </c>
      <c r="AL980" s="11">
        <f>VLOOKUP(AK980, Exchange_rates!$C:$D, 2, FALSE)</f>
        <v>0.8528</v>
      </c>
      <c r="AM980" s="14">
        <f t="shared" si="7"/>
        <v>2484.7180799999996</v>
      </c>
      <c r="AN980" s="9"/>
      <c r="AO980" s="9"/>
      <c r="AP980" s="9"/>
      <c r="AQ980" s="15" t="s">
        <v>49</v>
      </c>
      <c r="AR980" t="s">
        <v>3028</v>
      </c>
      <c r="AS980" s="16"/>
    </row>
    <row r="981" spans="1:45" ht="14.5">
      <c r="A981" s="9" t="s">
        <v>4333</v>
      </c>
      <c r="B981" s="9" t="s">
        <v>4334</v>
      </c>
      <c r="C981" s="9" t="s">
        <v>3015</v>
      </c>
      <c r="D981" s="9" t="s">
        <v>2830</v>
      </c>
      <c r="E981" s="9" t="s">
        <v>49</v>
      </c>
      <c r="F981" s="9" t="s">
        <v>69</v>
      </c>
      <c r="G981" s="9" t="s">
        <v>70</v>
      </c>
      <c r="H981" s="9" t="s">
        <v>4168</v>
      </c>
      <c r="I981" s="9" t="s">
        <v>72</v>
      </c>
      <c r="J981" s="10">
        <v>44667</v>
      </c>
      <c r="K981" s="10">
        <v>44810</v>
      </c>
      <c r="L981" s="10">
        <v>44824.370266203703</v>
      </c>
      <c r="M981" s="10">
        <v>44842</v>
      </c>
      <c r="N981" s="9">
        <v>2022</v>
      </c>
      <c r="O981" s="9" t="s">
        <v>4273</v>
      </c>
      <c r="P981" s="9" t="s">
        <v>53</v>
      </c>
      <c r="Q981" s="9" t="s">
        <v>53</v>
      </c>
      <c r="R981" s="9" t="s">
        <v>4335</v>
      </c>
      <c r="T981" s="9"/>
      <c r="V981" s="9"/>
      <c r="W981" s="11">
        <f>IFERROR(VLOOKUP(B981, PlumX_snapshot!$A:$B, 2, FALSE), " ")</f>
        <v>2</v>
      </c>
      <c r="X981" s="11">
        <f>IFERROR(VLOOKUP(B981, PlumX_snapshot!$A:$C, 3, FALSE), " ")</f>
        <v>0</v>
      </c>
      <c r="Y981" s="12">
        <f>IFERROR(VLOOKUP(B981, PlumX_snapshot!$A:$D, 4, FALSE), " ")</f>
        <v>8</v>
      </c>
      <c r="Z981" s="12">
        <f>IFERROR(VLOOKUP(B981, PlumX_snapshot!$A:$E, 5, FALSE), " ")</f>
        <v>0</v>
      </c>
      <c r="AA981" s="12">
        <f>IFERROR(VLOOKUP(B981, PlumX_snapshot!$A:$F, 6, FALSE), " ")</f>
        <v>0</v>
      </c>
      <c r="AB981" s="13">
        <v>44978</v>
      </c>
      <c r="AH981" s="9">
        <v>2428</v>
      </c>
      <c r="AI981" s="9" t="s">
        <v>77</v>
      </c>
      <c r="AJ981" s="9" t="s">
        <v>1823</v>
      </c>
      <c r="AK981" s="11" t="str">
        <f t="shared" si="6"/>
        <v>2022EUR</v>
      </c>
      <c r="AL981" s="11">
        <f>VLOOKUP(AK981, Exchange_rates!$C:$D, 2, FALSE)</f>
        <v>0.8528</v>
      </c>
      <c r="AM981" s="14">
        <f t="shared" si="7"/>
        <v>2484.7180799999996</v>
      </c>
      <c r="AN981" s="9"/>
      <c r="AO981" s="9"/>
      <c r="AP981" s="9"/>
      <c r="AQ981" s="15" t="s">
        <v>49</v>
      </c>
      <c r="AR981" t="s">
        <v>3016</v>
      </c>
      <c r="AS981" s="16"/>
    </row>
    <row r="982" spans="1:45" ht="14.5">
      <c r="A982" s="9" t="s">
        <v>4336</v>
      </c>
      <c r="B982" s="9" t="s">
        <v>4337</v>
      </c>
      <c r="C982" s="9" t="s">
        <v>3826</v>
      </c>
      <c r="D982" s="9" t="s">
        <v>2830</v>
      </c>
      <c r="E982" s="9" t="s">
        <v>49</v>
      </c>
      <c r="F982" s="9" t="s">
        <v>69</v>
      </c>
      <c r="G982" s="9" t="s">
        <v>70</v>
      </c>
      <c r="H982" s="9" t="s">
        <v>4168</v>
      </c>
      <c r="I982" s="9" t="s">
        <v>72</v>
      </c>
      <c r="J982" s="10">
        <v>44468</v>
      </c>
      <c r="K982" s="10">
        <v>44774</v>
      </c>
      <c r="L982" s="10">
        <v>44795.360312500001</v>
      </c>
      <c r="M982" s="10">
        <v>44798</v>
      </c>
      <c r="N982" s="9">
        <v>2022</v>
      </c>
      <c r="O982" s="9" t="s">
        <v>4273</v>
      </c>
      <c r="P982" s="9" t="s">
        <v>83</v>
      </c>
      <c r="Q982" s="9" t="s">
        <v>53</v>
      </c>
      <c r="R982" s="9" t="s">
        <v>117</v>
      </c>
      <c r="T982" s="9"/>
      <c r="V982" s="9"/>
      <c r="W982" s="11">
        <f>IFERROR(VLOOKUP(B982, PlumX_snapshot!$A:$B, 2, FALSE), " ")</f>
        <v>9</v>
      </c>
      <c r="X982" s="11">
        <f>IFERROR(VLOOKUP(B982, PlumX_snapshot!$A:$C, 3, FALSE), " ")</f>
        <v>1</v>
      </c>
      <c r="Y982" s="12">
        <f>IFERROR(VLOOKUP(B982, PlumX_snapshot!$A:$D, 4, FALSE), " ")</f>
        <v>4</v>
      </c>
      <c r="Z982" s="12">
        <f>IFERROR(VLOOKUP(B982, PlumX_snapshot!$A:$E, 5, FALSE), " ")</f>
        <v>0</v>
      </c>
      <c r="AA982" s="12">
        <f>IFERROR(VLOOKUP(B982, PlumX_snapshot!$A:$F, 6, FALSE), " ")</f>
        <v>0</v>
      </c>
      <c r="AB982" s="13">
        <v>44978</v>
      </c>
      <c r="AH982" s="9">
        <v>2428</v>
      </c>
      <c r="AI982" s="9" t="s">
        <v>77</v>
      </c>
      <c r="AJ982" s="9" t="s">
        <v>1823</v>
      </c>
      <c r="AK982" s="11" t="str">
        <f t="shared" si="6"/>
        <v>2022EUR</v>
      </c>
      <c r="AL982" s="11">
        <f>VLOOKUP(AK982, Exchange_rates!$C:$D, 2, FALSE)</f>
        <v>0.8528</v>
      </c>
      <c r="AM982" s="14">
        <f t="shared" si="7"/>
        <v>2484.7180799999996</v>
      </c>
      <c r="AN982" s="9"/>
      <c r="AO982" s="9"/>
      <c r="AP982" s="9"/>
      <c r="AQ982" s="15" t="s">
        <v>49</v>
      </c>
      <c r="AR982" t="s">
        <v>3828</v>
      </c>
      <c r="AS982" s="16"/>
    </row>
    <row r="983" spans="1:45" ht="14.5">
      <c r="A983" s="9" t="s">
        <v>4338</v>
      </c>
      <c r="B983" s="9" t="s">
        <v>4339</v>
      </c>
      <c r="C983" s="9" t="s">
        <v>3455</v>
      </c>
      <c r="D983" s="9" t="s">
        <v>2830</v>
      </c>
      <c r="E983" s="9" t="s">
        <v>49</v>
      </c>
      <c r="F983" s="9" t="s">
        <v>69</v>
      </c>
      <c r="G983" s="9" t="s">
        <v>70</v>
      </c>
      <c r="H983" s="9" t="s">
        <v>4168</v>
      </c>
      <c r="I983" s="9" t="s">
        <v>72</v>
      </c>
      <c r="J983" s="10"/>
      <c r="K983" s="10"/>
      <c r="L983" s="10">
        <v>44858.532893518517</v>
      </c>
      <c r="N983" s="9">
        <v>2022</v>
      </c>
      <c r="O983" s="9" t="s">
        <v>4273</v>
      </c>
      <c r="P983" s="9" t="s">
        <v>83</v>
      </c>
      <c r="Q983" s="9" t="s">
        <v>53</v>
      </c>
      <c r="R983" s="9" t="s">
        <v>4340</v>
      </c>
      <c r="T983" s="9"/>
      <c r="V983" s="9"/>
      <c r="W983" s="11">
        <f>IFERROR(VLOOKUP(B983, PlumX_snapshot!$A:$B, 2, FALSE), " ")</f>
        <v>4</v>
      </c>
      <c r="X983" s="11">
        <f>IFERROR(VLOOKUP(B983, PlumX_snapshot!$A:$C, 3, FALSE), " ")</f>
        <v>0</v>
      </c>
      <c r="Y983" s="12">
        <f>IFERROR(VLOOKUP(B983, PlumX_snapshot!$A:$D, 4, FALSE), " ")</f>
        <v>6</v>
      </c>
      <c r="Z983" s="12">
        <f>IFERROR(VLOOKUP(B983, PlumX_snapshot!$A:$E, 5, FALSE), " ")</f>
        <v>0</v>
      </c>
      <c r="AA983" s="12">
        <f>IFERROR(VLOOKUP(B983, PlumX_snapshot!$A:$F, 6, FALSE), " ")</f>
        <v>1</v>
      </c>
      <c r="AB983" s="13">
        <v>44978</v>
      </c>
      <c r="AH983" s="9">
        <v>2428</v>
      </c>
      <c r="AI983" s="9" t="s">
        <v>77</v>
      </c>
      <c r="AJ983" s="9" t="s">
        <v>1823</v>
      </c>
      <c r="AK983" s="11" t="str">
        <f t="shared" si="6"/>
        <v>2022EUR</v>
      </c>
      <c r="AL983" s="11">
        <f>VLOOKUP(AK983, Exchange_rates!$C:$D, 2, FALSE)</f>
        <v>0.8528</v>
      </c>
      <c r="AM983" s="14">
        <f t="shared" si="7"/>
        <v>2484.7180799999996</v>
      </c>
      <c r="AN983" s="9"/>
      <c r="AO983" s="9"/>
      <c r="AP983" s="9"/>
      <c r="AQ983" s="15" t="s">
        <v>49</v>
      </c>
      <c r="AR983" t="s">
        <v>3456</v>
      </c>
      <c r="AS983" s="16"/>
    </row>
    <row r="984" spans="1:45" ht="14.5">
      <c r="A984" s="9" t="s">
        <v>4341</v>
      </c>
      <c r="B984" s="9" t="s">
        <v>4342</v>
      </c>
      <c r="C984" s="9" t="s">
        <v>4050</v>
      </c>
      <c r="D984" s="9" t="s">
        <v>2830</v>
      </c>
      <c r="E984" s="9" t="s">
        <v>49</v>
      </c>
      <c r="F984" s="9" t="s">
        <v>69</v>
      </c>
      <c r="G984" s="9" t="s">
        <v>70</v>
      </c>
      <c r="H984" s="9" t="s">
        <v>4168</v>
      </c>
      <c r="I984" s="9" t="s">
        <v>72</v>
      </c>
      <c r="J984" s="10">
        <v>44684</v>
      </c>
      <c r="K984" s="10">
        <v>44824</v>
      </c>
      <c r="L984" s="10">
        <v>44840.438414351855</v>
      </c>
      <c r="M984" s="10">
        <v>44842</v>
      </c>
      <c r="N984" s="9">
        <v>2022</v>
      </c>
      <c r="O984" s="9" t="s">
        <v>4273</v>
      </c>
      <c r="P984" s="9" t="s">
        <v>83</v>
      </c>
      <c r="Q984" s="9" t="s">
        <v>53</v>
      </c>
      <c r="R984" s="9" t="s">
        <v>1456</v>
      </c>
      <c r="T984" s="9"/>
      <c r="V984" s="9"/>
      <c r="W984" s="11">
        <f>IFERROR(VLOOKUP(B984, PlumX_snapshot!$A:$B, 2, FALSE), " ")</f>
        <v>8</v>
      </c>
      <c r="X984" s="11">
        <f>IFERROR(VLOOKUP(B984, PlumX_snapshot!$A:$C, 3, FALSE), " ")</f>
        <v>24</v>
      </c>
      <c r="Y984" s="12">
        <f>IFERROR(VLOOKUP(B984, PlumX_snapshot!$A:$D, 4, FALSE), " ")</f>
        <v>0</v>
      </c>
      <c r="Z984" s="12">
        <f>IFERROR(VLOOKUP(B984, PlumX_snapshot!$A:$E, 5, FALSE), " ")</f>
        <v>0</v>
      </c>
      <c r="AA984" s="12">
        <f>IFERROR(VLOOKUP(B984, PlumX_snapshot!$A:$F, 6, FALSE), " ")</f>
        <v>0</v>
      </c>
      <c r="AB984" s="13">
        <v>44978</v>
      </c>
      <c r="AH984" s="9">
        <v>2428</v>
      </c>
      <c r="AI984" s="9" t="s">
        <v>77</v>
      </c>
      <c r="AJ984" s="9" t="s">
        <v>1823</v>
      </c>
      <c r="AK984" s="11" t="str">
        <f t="shared" si="6"/>
        <v>2022EUR</v>
      </c>
      <c r="AL984" s="11">
        <f>VLOOKUP(AK984, Exchange_rates!$C:$D, 2, FALSE)</f>
        <v>0.8528</v>
      </c>
      <c r="AM984" s="14">
        <f t="shared" si="7"/>
        <v>2484.7180799999996</v>
      </c>
      <c r="AN984" s="9"/>
      <c r="AO984" s="9"/>
      <c r="AP984" s="9"/>
      <c r="AQ984" s="15" t="s">
        <v>49</v>
      </c>
      <c r="AR984" t="s">
        <v>4051</v>
      </c>
      <c r="AS984" s="16"/>
    </row>
    <row r="985" spans="1:45" ht="14.5">
      <c r="A985" s="9" t="s">
        <v>4343</v>
      </c>
      <c r="B985" s="9" t="s">
        <v>4344</v>
      </c>
      <c r="C985" s="9" t="s">
        <v>2969</v>
      </c>
      <c r="D985" s="9" t="s">
        <v>2830</v>
      </c>
      <c r="E985" s="9" t="s">
        <v>49</v>
      </c>
      <c r="F985" s="9" t="s">
        <v>69</v>
      </c>
      <c r="G985" s="9" t="s">
        <v>70</v>
      </c>
      <c r="H985" s="9" t="s">
        <v>4168</v>
      </c>
      <c r="I985" s="9" t="s">
        <v>72</v>
      </c>
      <c r="J985" s="10">
        <v>44686</v>
      </c>
      <c r="K985" s="10">
        <v>44830</v>
      </c>
      <c r="L985" s="10">
        <v>44845.515567129631</v>
      </c>
      <c r="M985" s="28">
        <v>44855</v>
      </c>
      <c r="N985" s="9">
        <v>2022</v>
      </c>
      <c r="O985" s="9" t="s">
        <v>4273</v>
      </c>
      <c r="P985" s="9" t="s">
        <v>53</v>
      </c>
      <c r="Q985" s="9" t="s">
        <v>53</v>
      </c>
      <c r="R985" s="9" t="s">
        <v>4345</v>
      </c>
      <c r="T985" s="9"/>
      <c r="V985" s="9"/>
      <c r="W985" s="11">
        <f>IFERROR(VLOOKUP(B985, PlumX_snapshot!$A:$B, 2, FALSE), " ")</f>
        <v>2</v>
      </c>
      <c r="X985" s="11">
        <f>IFERROR(VLOOKUP(B985, PlumX_snapshot!$A:$C, 3, FALSE), " ")</f>
        <v>0</v>
      </c>
      <c r="Y985" s="12">
        <f>IFERROR(VLOOKUP(B985, PlumX_snapshot!$A:$D, 4, FALSE), " ")</f>
        <v>0</v>
      </c>
      <c r="Z985" s="12">
        <f>IFERROR(VLOOKUP(B985, PlumX_snapshot!$A:$E, 5, FALSE), " ")</f>
        <v>0</v>
      </c>
      <c r="AA985" s="12">
        <f>IFERROR(VLOOKUP(B985, PlumX_snapshot!$A:$F, 6, FALSE), " ")</f>
        <v>0</v>
      </c>
      <c r="AB985" s="13">
        <v>44978</v>
      </c>
      <c r="AH985" s="9">
        <v>2428</v>
      </c>
      <c r="AI985" s="9" t="s">
        <v>77</v>
      </c>
      <c r="AJ985" s="9" t="s">
        <v>1823</v>
      </c>
      <c r="AK985" s="11" t="str">
        <f t="shared" si="6"/>
        <v>2022EUR</v>
      </c>
      <c r="AL985" s="11">
        <f>VLOOKUP(AK985, Exchange_rates!$C:$D, 2, FALSE)</f>
        <v>0.8528</v>
      </c>
      <c r="AM985" s="14">
        <f t="shared" si="7"/>
        <v>2484.7180799999996</v>
      </c>
      <c r="AN985" s="9"/>
      <c r="AO985" s="9"/>
      <c r="AP985" s="9"/>
      <c r="AQ985" s="15" t="s">
        <v>49</v>
      </c>
      <c r="AR985" t="s">
        <v>2970</v>
      </c>
      <c r="AS985" s="16"/>
    </row>
    <row r="986" spans="1:45" ht="14.5">
      <c r="A986" s="9" t="s">
        <v>4346</v>
      </c>
      <c r="B986" s="9" t="s">
        <v>4347</v>
      </c>
      <c r="C986" s="9" t="s">
        <v>4348</v>
      </c>
      <c r="D986" s="9" t="s">
        <v>2830</v>
      </c>
      <c r="E986" s="9" t="s">
        <v>49</v>
      </c>
      <c r="F986" s="9" t="s">
        <v>69</v>
      </c>
      <c r="G986" s="9" t="s">
        <v>70</v>
      </c>
      <c r="H986" s="9" t="s">
        <v>4168</v>
      </c>
      <c r="I986" s="9" t="s">
        <v>72</v>
      </c>
      <c r="J986" s="10"/>
      <c r="K986" s="10"/>
      <c r="L986" s="10">
        <v>44853.398912037039</v>
      </c>
      <c r="N986" s="9">
        <v>2022</v>
      </c>
      <c r="O986" s="9" t="s">
        <v>4273</v>
      </c>
      <c r="P986" s="9" t="s">
        <v>53</v>
      </c>
      <c r="Q986" s="9" t="s">
        <v>53</v>
      </c>
      <c r="T986" s="9"/>
      <c r="V986" s="9"/>
      <c r="W986" s="11">
        <f>IFERROR(VLOOKUP(B986, PlumX_snapshot!$A:$B, 2, FALSE), " ")</f>
        <v>0</v>
      </c>
      <c r="X986" s="11">
        <f>IFERROR(VLOOKUP(B986, PlumX_snapshot!$A:$C, 3, FALSE), " ")</f>
        <v>0</v>
      </c>
      <c r="Y986" s="12">
        <f>IFERROR(VLOOKUP(B986, PlumX_snapshot!$A:$D, 4, FALSE), " ")</f>
        <v>0</v>
      </c>
      <c r="Z986" s="12">
        <f>IFERROR(VLOOKUP(B986, PlumX_snapshot!$A:$E, 5, FALSE), " ")</f>
        <v>0</v>
      </c>
      <c r="AA986" s="12">
        <f>IFERROR(VLOOKUP(B986, PlumX_snapshot!$A:$F, 6, FALSE), " ")</f>
        <v>0</v>
      </c>
      <c r="AB986" s="13">
        <v>44978</v>
      </c>
      <c r="AH986" s="9">
        <v>2428</v>
      </c>
      <c r="AI986" s="9" t="s">
        <v>77</v>
      </c>
      <c r="AJ986" s="9" t="s">
        <v>1823</v>
      </c>
      <c r="AK986" s="11" t="str">
        <f t="shared" si="6"/>
        <v>2022EUR</v>
      </c>
      <c r="AL986" s="11">
        <f>VLOOKUP(AK986, Exchange_rates!$C:$D, 2, FALSE)</f>
        <v>0.8528</v>
      </c>
      <c r="AM986" s="14">
        <f t="shared" si="7"/>
        <v>2484.7180799999996</v>
      </c>
      <c r="AN986" s="9"/>
      <c r="AO986" s="9"/>
      <c r="AP986" s="9"/>
      <c r="AQ986" s="15" t="s">
        <v>49</v>
      </c>
      <c r="AR986" t="s">
        <v>4349</v>
      </c>
      <c r="AS986" s="16"/>
    </row>
    <row r="987" spans="1:45" ht="14.5">
      <c r="A987" s="9" t="s">
        <v>4350</v>
      </c>
      <c r="B987" s="9" t="s">
        <v>4351</v>
      </c>
      <c r="C987" s="9" t="s">
        <v>3544</v>
      </c>
      <c r="D987" s="9" t="s">
        <v>2830</v>
      </c>
      <c r="E987" s="9" t="s">
        <v>49</v>
      </c>
      <c r="F987" s="9" t="s">
        <v>69</v>
      </c>
      <c r="G987" s="9" t="s">
        <v>70</v>
      </c>
      <c r="H987" s="9" t="s">
        <v>4168</v>
      </c>
      <c r="I987" s="9" t="s">
        <v>72</v>
      </c>
      <c r="J987" s="10"/>
      <c r="K987" s="10">
        <v>44837</v>
      </c>
      <c r="L987" s="10">
        <v>44855.419988425929</v>
      </c>
      <c r="M987" s="28">
        <v>44860</v>
      </c>
      <c r="N987" s="9">
        <v>2022</v>
      </c>
      <c r="O987" s="9" t="s">
        <v>4273</v>
      </c>
      <c r="P987" s="9" t="s">
        <v>53</v>
      </c>
      <c r="Q987" s="9" t="s">
        <v>53</v>
      </c>
      <c r="T987" s="9"/>
      <c r="V987" s="9"/>
      <c r="W987" s="11">
        <f>IFERROR(VLOOKUP(B987, PlumX_snapshot!$A:$B, 2, FALSE), " ")</f>
        <v>3</v>
      </c>
      <c r="X987" s="11">
        <f>IFERROR(VLOOKUP(B987, PlumX_snapshot!$A:$C, 3, FALSE), " ")</f>
        <v>0</v>
      </c>
      <c r="Y987" s="12">
        <f>IFERROR(VLOOKUP(B987, PlumX_snapshot!$A:$D, 4, FALSE), " ")</f>
        <v>6</v>
      </c>
      <c r="Z987" s="12">
        <f>IFERROR(VLOOKUP(B987, PlumX_snapshot!$A:$E, 5, FALSE), " ")</f>
        <v>0</v>
      </c>
      <c r="AA987" s="12">
        <f>IFERROR(VLOOKUP(B987, PlumX_snapshot!$A:$F, 6, FALSE), " ")</f>
        <v>0</v>
      </c>
      <c r="AB987" s="13">
        <v>44978</v>
      </c>
      <c r="AH987" s="9">
        <v>2428</v>
      </c>
      <c r="AI987" s="9" t="s">
        <v>77</v>
      </c>
      <c r="AJ987" s="9" t="s">
        <v>1823</v>
      </c>
      <c r="AK987" s="11" t="str">
        <f t="shared" si="6"/>
        <v>2022EUR</v>
      </c>
      <c r="AL987" s="11">
        <f>VLOOKUP(AK987, Exchange_rates!$C:$D, 2, FALSE)</f>
        <v>0.8528</v>
      </c>
      <c r="AM987" s="14">
        <f t="shared" si="7"/>
        <v>2484.7180799999996</v>
      </c>
      <c r="AN987" s="9"/>
      <c r="AO987" s="9"/>
      <c r="AP987" s="9"/>
      <c r="AQ987" s="15" t="s">
        <v>49</v>
      </c>
      <c r="AR987" t="s">
        <v>3545</v>
      </c>
      <c r="AS987" s="16"/>
    </row>
    <row r="988" spans="1:45" ht="14.5">
      <c r="A988" s="9" t="s">
        <v>4352</v>
      </c>
      <c r="B988" s="9" t="s">
        <v>4353</v>
      </c>
      <c r="C988" s="9" t="s">
        <v>4354</v>
      </c>
      <c r="D988" s="9" t="s">
        <v>2830</v>
      </c>
      <c r="E988" s="9" t="s">
        <v>49</v>
      </c>
      <c r="F988" s="9" t="s">
        <v>69</v>
      </c>
      <c r="G988" s="9" t="s">
        <v>70</v>
      </c>
      <c r="H988" s="9" t="s">
        <v>4168</v>
      </c>
      <c r="I988" s="9" t="s">
        <v>72</v>
      </c>
      <c r="J988" s="10">
        <v>44558</v>
      </c>
      <c r="K988" s="10">
        <v>44666</v>
      </c>
      <c r="L988" s="10">
        <v>44761.606840277775</v>
      </c>
      <c r="M988" s="28">
        <v>44856</v>
      </c>
      <c r="N988" s="9">
        <v>2022</v>
      </c>
      <c r="O988" s="9" t="s">
        <v>4273</v>
      </c>
      <c r="P988" s="9" t="s">
        <v>83</v>
      </c>
      <c r="Q988" s="9" t="s">
        <v>53</v>
      </c>
      <c r="R988" s="9" t="s">
        <v>4355</v>
      </c>
      <c r="T988" s="9"/>
      <c r="V988" s="9"/>
      <c r="W988" s="11">
        <f>IFERROR(VLOOKUP(B988, PlumX_snapshot!$A:$B, 2, FALSE), " ")</f>
        <v>6</v>
      </c>
      <c r="X988" s="11">
        <f>IFERROR(VLOOKUP(B988, PlumX_snapshot!$A:$C, 3, FALSE), " ")</f>
        <v>0</v>
      </c>
      <c r="Y988" s="12">
        <f>IFERROR(VLOOKUP(B988, PlumX_snapshot!$A:$D, 4, FALSE), " ")</f>
        <v>0</v>
      </c>
      <c r="Z988" s="12">
        <f>IFERROR(VLOOKUP(B988, PlumX_snapshot!$A:$E, 5, FALSE), " ")</f>
        <v>0</v>
      </c>
      <c r="AA988" s="12">
        <f>IFERROR(VLOOKUP(B988, PlumX_snapshot!$A:$F, 6, FALSE), " ")</f>
        <v>0</v>
      </c>
      <c r="AB988" s="13">
        <v>44978</v>
      </c>
      <c r="AH988" s="9">
        <v>2428</v>
      </c>
      <c r="AI988" s="9" t="s">
        <v>77</v>
      </c>
      <c r="AJ988" s="9" t="s">
        <v>1823</v>
      </c>
      <c r="AK988" s="11" t="str">
        <f t="shared" si="6"/>
        <v>2022EUR</v>
      </c>
      <c r="AL988" s="11">
        <f>VLOOKUP(AK988, Exchange_rates!$C:$D, 2, FALSE)</f>
        <v>0.8528</v>
      </c>
      <c r="AM988" s="14">
        <f t="shared" si="7"/>
        <v>2484.7180799999996</v>
      </c>
      <c r="AN988" s="9"/>
      <c r="AO988" s="9"/>
      <c r="AP988" s="9"/>
      <c r="AQ988" s="15" t="s">
        <v>49</v>
      </c>
      <c r="AR988" t="s">
        <v>4356</v>
      </c>
      <c r="AS988" s="16"/>
    </row>
    <row r="989" spans="1:45" ht="14.5">
      <c r="A989" s="9" t="s">
        <v>4357</v>
      </c>
      <c r="B989" s="9" t="s">
        <v>4358</v>
      </c>
      <c r="C989" s="9" t="s">
        <v>4359</v>
      </c>
      <c r="D989" s="9" t="s">
        <v>2830</v>
      </c>
      <c r="E989" s="9" t="s">
        <v>49</v>
      </c>
      <c r="F989" s="9" t="s">
        <v>69</v>
      </c>
      <c r="G989" s="9" t="s">
        <v>70</v>
      </c>
      <c r="H989" s="9" t="s">
        <v>4168</v>
      </c>
      <c r="I989" s="9" t="s">
        <v>72</v>
      </c>
      <c r="J989" s="10"/>
      <c r="K989" s="10">
        <v>44818</v>
      </c>
      <c r="L989" s="10">
        <v>44827.586851851855</v>
      </c>
      <c r="M989" s="28">
        <v>44861</v>
      </c>
      <c r="N989" s="9">
        <v>2022</v>
      </c>
      <c r="O989" s="9" t="s">
        <v>4273</v>
      </c>
      <c r="P989" s="9" t="s">
        <v>53</v>
      </c>
      <c r="Q989" s="9" t="s">
        <v>53</v>
      </c>
      <c r="T989" s="9"/>
      <c r="V989" s="9"/>
      <c r="W989" s="11">
        <f>IFERROR(VLOOKUP(B989, PlumX_snapshot!$A:$B, 2, FALSE), " ")</f>
        <v>1</v>
      </c>
      <c r="X989" s="11">
        <f>IFERROR(VLOOKUP(B989, PlumX_snapshot!$A:$C, 3, FALSE), " ")</f>
        <v>0</v>
      </c>
      <c r="Y989" s="12">
        <f>IFERROR(VLOOKUP(B989, PlumX_snapshot!$A:$D, 4, FALSE), " ")</f>
        <v>24</v>
      </c>
      <c r="Z989" s="12">
        <f>IFERROR(VLOOKUP(B989, PlumX_snapshot!$A:$E, 5, FALSE), " ")</f>
        <v>0</v>
      </c>
      <c r="AA989" s="12">
        <f>IFERROR(VLOOKUP(B989, PlumX_snapshot!$A:$F, 6, FALSE), " ")</f>
        <v>0</v>
      </c>
      <c r="AB989" s="13">
        <v>44978</v>
      </c>
      <c r="AH989" s="9">
        <v>2428</v>
      </c>
      <c r="AI989" s="9" t="s">
        <v>77</v>
      </c>
      <c r="AJ989" s="9" t="s">
        <v>1823</v>
      </c>
      <c r="AK989" s="11" t="str">
        <f t="shared" si="6"/>
        <v>2022EUR</v>
      </c>
      <c r="AL989" s="11">
        <f>VLOOKUP(AK989, Exchange_rates!$C:$D, 2, FALSE)</f>
        <v>0.8528</v>
      </c>
      <c r="AM989" s="14">
        <f t="shared" si="7"/>
        <v>2484.7180799999996</v>
      </c>
      <c r="AN989" s="9"/>
      <c r="AO989" s="9"/>
      <c r="AP989" s="9"/>
      <c r="AQ989" s="15" t="s">
        <v>49</v>
      </c>
      <c r="AR989" t="s">
        <v>4360</v>
      </c>
      <c r="AS989" s="16"/>
    </row>
    <row r="990" spans="1:45" ht="14.5">
      <c r="A990" s="9" t="s">
        <v>4361</v>
      </c>
      <c r="B990" s="9" t="s">
        <v>4362</v>
      </c>
      <c r="C990" s="9" t="s">
        <v>3292</v>
      </c>
      <c r="D990" s="9" t="s">
        <v>2830</v>
      </c>
      <c r="E990" s="9" t="s">
        <v>49</v>
      </c>
      <c r="F990" s="9" t="s">
        <v>69</v>
      </c>
      <c r="G990" s="9" t="s">
        <v>70</v>
      </c>
      <c r="H990" s="9" t="s">
        <v>4168</v>
      </c>
      <c r="I990" s="9" t="s">
        <v>72</v>
      </c>
      <c r="J990" s="10">
        <v>44433</v>
      </c>
      <c r="K990" s="10">
        <v>44811</v>
      </c>
      <c r="L990" s="10">
        <v>44831.620844907404</v>
      </c>
      <c r="M990" s="10">
        <v>44842</v>
      </c>
      <c r="N990" s="9">
        <v>2022</v>
      </c>
      <c r="O990" s="9" t="s">
        <v>4273</v>
      </c>
      <c r="P990" s="9" t="s">
        <v>53</v>
      </c>
      <c r="Q990" s="9" t="s">
        <v>53</v>
      </c>
      <c r="T990" s="9"/>
      <c r="V990" s="9"/>
      <c r="W990" s="11">
        <f>IFERROR(VLOOKUP(B990, PlumX_snapshot!$A:$B, 2, FALSE), " ")</f>
        <v>5</v>
      </c>
      <c r="X990" s="11">
        <f>IFERROR(VLOOKUP(B990, PlumX_snapshot!$A:$C, 3, FALSE), " ")</f>
        <v>0</v>
      </c>
      <c r="Y990" s="12">
        <f>IFERROR(VLOOKUP(B990, PlumX_snapshot!$A:$D, 4, FALSE), " ")</f>
        <v>0</v>
      </c>
      <c r="Z990" s="12">
        <f>IFERROR(VLOOKUP(B990, PlumX_snapshot!$A:$E, 5, FALSE), " ")</f>
        <v>0</v>
      </c>
      <c r="AA990" s="12">
        <f>IFERROR(VLOOKUP(B990, PlumX_snapshot!$A:$F, 6, FALSE), " ")</f>
        <v>0</v>
      </c>
      <c r="AB990" s="13">
        <v>44978</v>
      </c>
      <c r="AH990" s="9">
        <v>2428</v>
      </c>
      <c r="AI990" s="9" t="s">
        <v>77</v>
      </c>
      <c r="AJ990" s="9" t="s">
        <v>1823</v>
      </c>
      <c r="AK990" s="11" t="str">
        <f t="shared" si="6"/>
        <v>2022EUR</v>
      </c>
      <c r="AL990" s="11">
        <f>VLOOKUP(AK990, Exchange_rates!$C:$D, 2, FALSE)</f>
        <v>0.8528</v>
      </c>
      <c r="AM990" s="14">
        <f t="shared" si="7"/>
        <v>2484.7180799999996</v>
      </c>
      <c r="AN990" s="9"/>
      <c r="AO990" s="9"/>
      <c r="AP990" s="9"/>
      <c r="AQ990" s="15" t="s">
        <v>49</v>
      </c>
      <c r="AR990" t="s">
        <v>3293</v>
      </c>
      <c r="AS990" s="16"/>
    </row>
    <row r="991" spans="1:45" ht="14.5">
      <c r="A991" s="9" t="s">
        <v>4363</v>
      </c>
      <c r="B991" s="9" t="s">
        <v>4364</v>
      </c>
      <c r="C991" s="9" t="s">
        <v>4365</v>
      </c>
      <c r="D991" s="9" t="s">
        <v>2830</v>
      </c>
      <c r="E991" s="9" t="s">
        <v>49</v>
      </c>
      <c r="F991" s="9" t="s">
        <v>69</v>
      </c>
      <c r="G991" s="9" t="s">
        <v>70</v>
      </c>
      <c r="H991" s="9" t="s">
        <v>4168</v>
      </c>
      <c r="I991" s="9" t="s">
        <v>72</v>
      </c>
      <c r="J991" s="10">
        <v>44680</v>
      </c>
      <c r="K991" s="10">
        <v>44848</v>
      </c>
      <c r="L991" s="10">
        <v>44861.407534722224</v>
      </c>
      <c r="M991" s="28">
        <v>44863</v>
      </c>
      <c r="N991" s="9">
        <v>2022</v>
      </c>
      <c r="O991" s="9" t="s">
        <v>4273</v>
      </c>
      <c r="P991" s="9" t="s">
        <v>83</v>
      </c>
      <c r="Q991" s="9" t="s">
        <v>53</v>
      </c>
      <c r="R991" s="9" t="s">
        <v>4366</v>
      </c>
      <c r="T991" s="9"/>
      <c r="V991" s="9"/>
      <c r="W991" s="11">
        <f>IFERROR(VLOOKUP(B991, PlumX_snapshot!$A:$B, 2, FALSE), " ")</f>
        <v>4</v>
      </c>
      <c r="X991" s="11">
        <f>IFERROR(VLOOKUP(B991, PlumX_snapshot!$A:$C, 3, FALSE), " ")</f>
        <v>0</v>
      </c>
      <c r="Y991" s="12">
        <f>IFERROR(VLOOKUP(B991, PlumX_snapshot!$A:$D, 4, FALSE), " ")</f>
        <v>3</v>
      </c>
      <c r="Z991" s="12">
        <f>IFERROR(VLOOKUP(B991, PlumX_snapshot!$A:$E, 5, FALSE), " ")</f>
        <v>0</v>
      </c>
      <c r="AA991" s="12">
        <f>IFERROR(VLOOKUP(B991, PlumX_snapshot!$A:$F, 6, FALSE), " ")</f>
        <v>0</v>
      </c>
      <c r="AB991" s="13">
        <v>44978</v>
      </c>
      <c r="AH991" s="9">
        <v>2428</v>
      </c>
      <c r="AI991" s="9" t="s">
        <v>77</v>
      </c>
      <c r="AJ991" s="9" t="s">
        <v>1823</v>
      </c>
      <c r="AK991" s="11" t="str">
        <f t="shared" si="6"/>
        <v>2022EUR</v>
      </c>
      <c r="AL991" s="11">
        <f>VLOOKUP(AK991, Exchange_rates!$C:$D, 2, FALSE)</f>
        <v>0.8528</v>
      </c>
      <c r="AM991" s="14">
        <f t="shared" si="7"/>
        <v>2484.7180799999996</v>
      </c>
      <c r="AN991" s="9"/>
      <c r="AO991" s="9"/>
      <c r="AP991" s="9"/>
      <c r="AQ991" s="15" t="s">
        <v>49</v>
      </c>
      <c r="AR991" t="s">
        <v>4367</v>
      </c>
      <c r="AS991" s="16"/>
    </row>
    <row r="992" spans="1:45" ht="14.5">
      <c r="A992" s="9" t="s">
        <v>4368</v>
      </c>
      <c r="B992" s="9" t="s">
        <v>4369</v>
      </c>
      <c r="C992" s="9" t="s">
        <v>4370</v>
      </c>
      <c r="D992" s="9" t="s">
        <v>4371</v>
      </c>
      <c r="E992" s="9" t="s">
        <v>49</v>
      </c>
      <c r="F992" s="9" t="s">
        <v>69</v>
      </c>
      <c r="G992" s="9" t="s">
        <v>70</v>
      </c>
      <c r="H992" s="9" t="s">
        <v>4372</v>
      </c>
      <c r="I992" s="9" t="s">
        <v>291</v>
      </c>
      <c r="J992" s="10"/>
      <c r="K992" s="10"/>
      <c r="L992" s="10">
        <v>44503.452337962961</v>
      </c>
      <c r="M992" s="10">
        <v>44380</v>
      </c>
      <c r="N992" s="9">
        <v>2021</v>
      </c>
      <c r="O992" s="9" t="s">
        <v>4373</v>
      </c>
      <c r="P992" s="9" t="s">
        <v>83</v>
      </c>
      <c r="Q992" s="9" t="s">
        <v>53</v>
      </c>
      <c r="R992" s="9" t="s">
        <v>4374</v>
      </c>
      <c r="T992" s="9"/>
      <c r="V992" s="9" t="s">
        <v>4375</v>
      </c>
      <c r="W992" s="11">
        <f>IFERROR(VLOOKUP(B992, PlumX_snapshot!$A:$B, 2, FALSE), " ")</f>
        <v>3</v>
      </c>
      <c r="X992" s="11">
        <f>IFERROR(VLOOKUP(B992, PlumX_snapshot!$A:$C, 3, FALSE), " ")</f>
        <v>1</v>
      </c>
      <c r="Y992" s="12">
        <f>IFERROR(VLOOKUP(B992, PlumX_snapshot!$A:$D, 4, FALSE), " ")</f>
        <v>0</v>
      </c>
      <c r="Z992" s="12">
        <f>IFERROR(VLOOKUP(B992, PlumX_snapshot!$A:$E, 5, FALSE), " ")</f>
        <v>0</v>
      </c>
      <c r="AA992" s="12">
        <f>IFERROR(VLOOKUP(B992, PlumX_snapshot!$A:$F, 6, FALSE), " ")</f>
        <v>0</v>
      </c>
      <c r="AB992" s="13">
        <v>44978</v>
      </c>
      <c r="AC992" s="9" t="s">
        <v>737</v>
      </c>
      <c r="AD992" s="9" t="s">
        <v>738</v>
      </c>
      <c r="AE992" s="9" t="s">
        <v>4376</v>
      </c>
      <c r="AH992" s="9">
        <v>2533</v>
      </c>
      <c r="AI992" s="9" t="s">
        <v>1999</v>
      </c>
      <c r="AJ992" s="9" t="s">
        <v>301</v>
      </c>
      <c r="AK992" s="11" t="str">
        <f t="shared" si="6"/>
        <v>2021GBP</v>
      </c>
      <c r="AL992" s="11">
        <f>VLOOKUP(AK992, Exchange_rates!$C:$D, 2, FALSE)</f>
        <v>1</v>
      </c>
      <c r="AM992" s="14">
        <f t="shared" si="7"/>
        <v>3039.6</v>
      </c>
      <c r="AN992" s="9"/>
      <c r="AO992" s="9"/>
      <c r="AP992" s="9"/>
      <c r="AQ992" s="15" t="s">
        <v>49</v>
      </c>
      <c r="AR992" t="s">
        <v>4377</v>
      </c>
      <c r="AS992" s="16" t="s">
        <v>4378</v>
      </c>
    </row>
    <row r="993" spans="1:45" ht="14.5">
      <c r="A993" s="9" t="s">
        <v>4379</v>
      </c>
      <c r="B993" s="9" t="s">
        <v>4380</v>
      </c>
      <c r="C993" s="9" t="s">
        <v>4381</v>
      </c>
      <c r="D993" s="9" t="s">
        <v>4371</v>
      </c>
      <c r="E993" s="9" t="s">
        <v>49</v>
      </c>
      <c r="F993" s="9" t="s">
        <v>69</v>
      </c>
      <c r="G993" s="9" t="s">
        <v>70</v>
      </c>
      <c r="H993" s="9" t="s">
        <v>4372</v>
      </c>
      <c r="I993" s="9" t="s">
        <v>291</v>
      </c>
      <c r="J993" s="10"/>
      <c r="K993" s="10"/>
      <c r="L993" s="10">
        <v>44501.409791666665</v>
      </c>
      <c r="M993" s="28">
        <v>44543</v>
      </c>
      <c r="N993" s="9">
        <v>2021</v>
      </c>
      <c r="O993" s="9" t="s">
        <v>4373</v>
      </c>
      <c r="P993" s="9" t="s">
        <v>53</v>
      </c>
      <c r="Q993" s="9" t="s">
        <v>53</v>
      </c>
      <c r="R993" s="9" t="s">
        <v>4382</v>
      </c>
      <c r="T993" s="9"/>
      <c r="V993" s="9" t="s">
        <v>4375</v>
      </c>
      <c r="W993" s="11">
        <f>IFERROR(VLOOKUP(B993, PlumX_snapshot!$A:$B, 2, FALSE), " ")</f>
        <v>3</v>
      </c>
      <c r="X993" s="11">
        <f>IFERROR(VLOOKUP(B993, PlumX_snapshot!$A:$C, 3, FALSE), " ")</f>
        <v>1</v>
      </c>
      <c r="Y993" s="12">
        <f>IFERROR(VLOOKUP(B993, PlumX_snapshot!$A:$D, 4, FALSE), " ")</f>
        <v>38</v>
      </c>
      <c r="Z993" s="12">
        <f>IFERROR(VLOOKUP(B993, PlumX_snapshot!$A:$E, 5, FALSE), " ")</f>
        <v>0</v>
      </c>
      <c r="AA993" s="12">
        <f>IFERROR(VLOOKUP(B993, PlumX_snapshot!$A:$F, 6, FALSE), " ")</f>
        <v>2</v>
      </c>
      <c r="AB993" s="13">
        <v>44978</v>
      </c>
      <c r="AC993" s="9" t="s">
        <v>4383</v>
      </c>
      <c r="AD993" s="9" t="s">
        <v>4384</v>
      </c>
      <c r="AE993" s="9" t="s">
        <v>4385</v>
      </c>
      <c r="AH993" s="9">
        <v>2295</v>
      </c>
      <c r="AI993" s="9" t="s">
        <v>77</v>
      </c>
      <c r="AJ993" s="9" t="s">
        <v>301</v>
      </c>
      <c r="AK993" s="11" t="str">
        <f t="shared" si="6"/>
        <v>2021GBP</v>
      </c>
      <c r="AL993" s="11">
        <f>VLOOKUP(AK993, Exchange_rates!$C:$D, 2, FALSE)</f>
        <v>1</v>
      </c>
      <c r="AM993" s="14">
        <f t="shared" si="7"/>
        <v>2754</v>
      </c>
      <c r="AN993" s="9"/>
      <c r="AO993" s="9"/>
      <c r="AP993" s="9"/>
      <c r="AQ993" s="15" t="s">
        <v>49</v>
      </c>
      <c r="AR993" t="s">
        <v>4386</v>
      </c>
      <c r="AS993" s="16" t="s">
        <v>4387</v>
      </c>
    </row>
    <row r="994" spans="1:45" ht="14.5">
      <c r="A994" s="9" t="s">
        <v>4388</v>
      </c>
      <c r="B994" s="9" t="s">
        <v>4389</v>
      </c>
      <c r="C994" s="9" t="s">
        <v>4390</v>
      </c>
      <c r="D994" s="9" t="s">
        <v>4371</v>
      </c>
      <c r="E994" s="9" t="s">
        <v>49</v>
      </c>
      <c r="F994" s="9" t="s">
        <v>69</v>
      </c>
      <c r="G994" s="9" t="s">
        <v>70</v>
      </c>
      <c r="H994" s="9" t="s">
        <v>4372</v>
      </c>
      <c r="I994" s="9" t="s">
        <v>291</v>
      </c>
      <c r="J994" s="10"/>
      <c r="K994" s="10"/>
      <c r="L994" s="10">
        <v>44501.408136574071</v>
      </c>
      <c r="M994" s="28">
        <v>44522</v>
      </c>
      <c r="N994" s="9">
        <v>2021</v>
      </c>
      <c r="O994" s="9" t="s">
        <v>4373</v>
      </c>
      <c r="P994" s="9" t="s">
        <v>53</v>
      </c>
      <c r="Q994" s="9" t="s">
        <v>53</v>
      </c>
      <c r="R994" s="9" t="s">
        <v>92</v>
      </c>
      <c r="T994" s="9"/>
      <c r="V994" s="9" t="s">
        <v>4375</v>
      </c>
      <c r="W994" s="11">
        <f>IFERROR(VLOOKUP(B994, PlumX_snapshot!$A:$B, 2, FALSE), " ")</f>
        <v>3</v>
      </c>
      <c r="X994" s="11">
        <f>IFERROR(VLOOKUP(B994, PlumX_snapshot!$A:$C, 3, FALSE), " ")</f>
        <v>1</v>
      </c>
      <c r="Y994" s="12">
        <f>IFERROR(VLOOKUP(B994, PlumX_snapshot!$A:$D, 4, FALSE), " ")</f>
        <v>0</v>
      </c>
      <c r="Z994" s="12">
        <f>IFERROR(VLOOKUP(B994, PlumX_snapshot!$A:$E, 5, FALSE), " ")</f>
        <v>0</v>
      </c>
      <c r="AA994" s="12">
        <f>IFERROR(VLOOKUP(B994, PlumX_snapshot!$A:$F, 6, FALSE), " ")</f>
        <v>0</v>
      </c>
      <c r="AB994" s="13">
        <v>44978</v>
      </c>
      <c r="AC994" s="9" t="s">
        <v>4391</v>
      </c>
      <c r="AD994" s="9" t="s">
        <v>4392</v>
      </c>
      <c r="AE994" s="9"/>
      <c r="AH994" s="9">
        <v>2295</v>
      </c>
      <c r="AI994" s="9" t="s">
        <v>77</v>
      </c>
      <c r="AJ994" s="9" t="s">
        <v>301</v>
      </c>
      <c r="AK994" s="11" t="str">
        <f t="shared" si="6"/>
        <v>2021GBP</v>
      </c>
      <c r="AL994" s="11">
        <f>VLOOKUP(AK994, Exchange_rates!$C:$D, 2, FALSE)</f>
        <v>1</v>
      </c>
      <c r="AM994" s="14">
        <f t="shared" si="7"/>
        <v>2754</v>
      </c>
      <c r="AN994" s="9"/>
      <c r="AO994" s="9"/>
      <c r="AP994" s="9"/>
      <c r="AQ994" s="15" t="s">
        <v>49</v>
      </c>
      <c r="AR994" t="s">
        <v>4393</v>
      </c>
      <c r="AS994" s="16" t="s">
        <v>4394</v>
      </c>
    </row>
    <row r="995" spans="1:45" ht="14.5">
      <c r="A995" s="9" t="s">
        <v>4395</v>
      </c>
      <c r="B995" s="9" t="s">
        <v>4396</v>
      </c>
      <c r="C995" s="9" t="s">
        <v>4397</v>
      </c>
      <c r="D995" s="9" t="s">
        <v>4371</v>
      </c>
      <c r="E995" s="9" t="s">
        <v>49</v>
      </c>
      <c r="F995" s="9" t="s">
        <v>69</v>
      </c>
      <c r="G995" s="9" t="s">
        <v>70</v>
      </c>
      <c r="H995" s="9" t="s">
        <v>4372</v>
      </c>
      <c r="I995" s="9" t="s">
        <v>72</v>
      </c>
      <c r="J995" s="10"/>
      <c r="K995" s="10"/>
      <c r="L995" s="10">
        <v>44484.53533564815</v>
      </c>
      <c r="M995" s="28">
        <v>44488</v>
      </c>
      <c r="N995" s="9">
        <v>2021</v>
      </c>
      <c r="O995" s="9" t="s">
        <v>4373</v>
      </c>
      <c r="P995" s="9" t="s">
        <v>83</v>
      </c>
      <c r="Q995" s="9" t="s">
        <v>83</v>
      </c>
      <c r="T995" s="9"/>
      <c r="V995" s="9" t="s">
        <v>4375</v>
      </c>
      <c r="W995" s="11">
        <f>IFERROR(VLOOKUP(B995, PlumX_snapshot!$A:$B, 2, FALSE), " ")</f>
        <v>15</v>
      </c>
      <c r="X995" s="11">
        <f>IFERROR(VLOOKUP(B995, PlumX_snapshot!$A:$C, 3, FALSE), " ")</f>
        <v>4</v>
      </c>
      <c r="Y995" s="12">
        <f>IFERROR(VLOOKUP(B995, PlumX_snapshot!$A:$D, 4, FALSE), " ")</f>
        <v>4</v>
      </c>
      <c r="Z995" s="12">
        <f>IFERROR(VLOOKUP(B995, PlumX_snapshot!$A:$E, 5, FALSE), " ")</f>
        <v>0</v>
      </c>
      <c r="AA995" s="12">
        <f>IFERROR(VLOOKUP(B995, PlumX_snapshot!$A:$F, 6, FALSE), " ")</f>
        <v>0</v>
      </c>
      <c r="AB995" s="13">
        <v>44978</v>
      </c>
      <c r="AC995" s="9" t="s">
        <v>4398</v>
      </c>
      <c r="AD995" s="9" t="s">
        <v>4399</v>
      </c>
      <c r="AE995" s="9"/>
      <c r="AH995" s="9">
        <v>3690</v>
      </c>
      <c r="AI995" s="9" t="s">
        <v>77</v>
      </c>
      <c r="AJ995" s="9" t="s">
        <v>301</v>
      </c>
      <c r="AK995" s="11" t="str">
        <f t="shared" si="6"/>
        <v>2021GBP</v>
      </c>
      <c r="AL995" s="11">
        <f>VLOOKUP(AK995, Exchange_rates!$C:$D, 2, FALSE)</f>
        <v>1</v>
      </c>
      <c r="AM995" s="14">
        <f t="shared" si="7"/>
        <v>4428</v>
      </c>
      <c r="AN995" s="9"/>
      <c r="AO995" s="9"/>
      <c r="AP995" s="9"/>
      <c r="AQ995" s="15" t="s">
        <v>49</v>
      </c>
      <c r="AR995" t="s">
        <v>4400</v>
      </c>
      <c r="AS995" s="16" t="s">
        <v>4401</v>
      </c>
    </row>
    <row r="996" spans="1:45" ht="14.5">
      <c r="A996" s="9" t="s">
        <v>4402</v>
      </c>
      <c r="B996" s="9" t="s">
        <v>4403</v>
      </c>
      <c r="C996" s="9" t="s">
        <v>4397</v>
      </c>
      <c r="D996" s="9" t="s">
        <v>4371</v>
      </c>
      <c r="E996" s="9" t="s">
        <v>49</v>
      </c>
      <c r="F996" s="9" t="s">
        <v>69</v>
      </c>
      <c r="G996" s="9" t="s">
        <v>70</v>
      </c>
      <c r="H996" s="9" t="s">
        <v>4372</v>
      </c>
      <c r="I996" s="9" t="s">
        <v>72</v>
      </c>
      <c r="J996" s="10"/>
      <c r="K996" s="10"/>
      <c r="L996" s="10">
        <v>44481.440567129626</v>
      </c>
      <c r="M996" s="10">
        <v>44502</v>
      </c>
      <c r="N996" s="9">
        <v>2021</v>
      </c>
      <c r="O996" s="9" t="s">
        <v>4373</v>
      </c>
      <c r="P996" s="9" t="s">
        <v>83</v>
      </c>
      <c r="Q996" s="9" t="s">
        <v>83</v>
      </c>
      <c r="T996" s="9"/>
      <c r="V996" s="9" t="s">
        <v>4375</v>
      </c>
      <c r="W996" s="11">
        <f>IFERROR(VLOOKUP(B996, PlumX_snapshot!$A:$B, 2, FALSE), " ")</f>
        <v>22</v>
      </c>
      <c r="X996" s="11">
        <f>IFERROR(VLOOKUP(B996, PlumX_snapshot!$A:$C, 3, FALSE), " ")</f>
        <v>2</v>
      </c>
      <c r="Y996" s="12">
        <f>IFERROR(VLOOKUP(B996, PlumX_snapshot!$A:$D, 4, FALSE), " ")</f>
        <v>4</v>
      </c>
      <c r="Z996" s="12">
        <f>IFERROR(VLOOKUP(B996, PlumX_snapshot!$A:$E, 5, FALSE), " ")</f>
        <v>0</v>
      </c>
      <c r="AA996" s="12">
        <f>IFERROR(VLOOKUP(B996, PlumX_snapshot!$A:$F, 6, FALSE), " ")</f>
        <v>0</v>
      </c>
      <c r="AB996" s="13">
        <v>44978</v>
      </c>
      <c r="AC996" s="9" t="s">
        <v>4404</v>
      </c>
      <c r="AD996" s="9" t="s">
        <v>4405</v>
      </c>
      <c r="AE996" s="9"/>
      <c r="AH996" s="9">
        <v>3690</v>
      </c>
      <c r="AI996" s="9" t="s">
        <v>77</v>
      </c>
      <c r="AJ996" s="9" t="s">
        <v>301</v>
      </c>
      <c r="AK996" s="11" t="str">
        <f t="shared" si="6"/>
        <v>2021GBP</v>
      </c>
      <c r="AL996" s="11">
        <f>VLOOKUP(AK996, Exchange_rates!$C:$D, 2, FALSE)</f>
        <v>1</v>
      </c>
      <c r="AM996" s="14">
        <f t="shared" si="7"/>
        <v>4428</v>
      </c>
      <c r="AN996" s="9"/>
      <c r="AO996" s="9"/>
      <c r="AP996" s="9"/>
      <c r="AQ996" s="15" t="s">
        <v>49</v>
      </c>
      <c r="AR996" t="s">
        <v>4400</v>
      </c>
      <c r="AS996" s="16" t="s">
        <v>4401</v>
      </c>
    </row>
    <row r="997" spans="1:45" ht="14.5">
      <c r="A997" s="9" t="s">
        <v>4406</v>
      </c>
      <c r="B997" s="9" t="s">
        <v>4407</v>
      </c>
      <c r="C997" s="9" t="s">
        <v>4408</v>
      </c>
      <c r="D997" s="9" t="s">
        <v>4371</v>
      </c>
      <c r="E997" s="9" t="s">
        <v>49</v>
      </c>
      <c r="F997" s="9" t="s">
        <v>69</v>
      </c>
      <c r="G997" s="9" t="s">
        <v>70</v>
      </c>
      <c r="H997" s="9" t="s">
        <v>4372</v>
      </c>
      <c r="I997" s="9" t="s">
        <v>291</v>
      </c>
      <c r="J997" s="10"/>
      <c r="K997" s="10"/>
      <c r="L997" s="10">
        <v>44477.401620370372</v>
      </c>
      <c r="M997" s="10">
        <v>44502</v>
      </c>
      <c r="N997" s="9">
        <v>2021</v>
      </c>
      <c r="O997" s="9" t="s">
        <v>4373</v>
      </c>
      <c r="P997" s="9" t="s">
        <v>53</v>
      </c>
      <c r="Q997" s="9" t="s">
        <v>53</v>
      </c>
      <c r="R997" s="9" t="s">
        <v>92</v>
      </c>
      <c r="T997" s="9"/>
      <c r="V997" s="9" t="s">
        <v>4375</v>
      </c>
      <c r="W997" s="11">
        <f>IFERROR(VLOOKUP(B997, PlumX_snapshot!$A:$B, 2, FALSE), " ")</f>
        <v>1</v>
      </c>
      <c r="X997" s="11">
        <f>IFERROR(VLOOKUP(B997, PlumX_snapshot!$A:$C, 3, FALSE), " ")</f>
        <v>0</v>
      </c>
      <c r="Y997" s="12">
        <f>IFERROR(VLOOKUP(B997, PlumX_snapshot!$A:$D, 4, FALSE), " ")</f>
        <v>3</v>
      </c>
      <c r="Z997" s="12">
        <f>IFERROR(VLOOKUP(B997, PlumX_snapshot!$A:$E, 5, FALSE), " ")</f>
        <v>0</v>
      </c>
      <c r="AA997" s="12">
        <f>IFERROR(VLOOKUP(B997, PlumX_snapshot!$A:$F, 6, FALSE), " ")</f>
        <v>0</v>
      </c>
      <c r="AB997" s="13">
        <v>44978</v>
      </c>
      <c r="AC997" s="9" t="s">
        <v>4409</v>
      </c>
      <c r="AD997" s="9" t="s">
        <v>4410</v>
      </c>
      <c r="AE997" s="9" t="s">
        <v>4411</v>
      </c>
      <c r="AH997" s="9">
        <v>2295</v>
      </c>
      <c r="AI997" s="9" t="s">
        <v>77</v>
      </c>
      <c r="AJ997" s="9" t="s">
        <v>301</v>
      </c>
      <c r="AK997" s="11" t="str">
        <f t="shared" si="6"/>
        <v>2021GBP</v>
      </c>
      <c r="AL997" s="11">
        <f>VLOOKUP(AK997, Exchange_rates!$C:$D, 2, FALSE)</f>
        <v>1</v>
      </c>
      <c r="AM997" s="14">
        <f t="shared" si="7"/>
        <v>2754</v>
      </c>
      <c r="AN997" s="9"/>
      <c r="AO997" s="9"/>
      <c r="AP997" s="9"/>
      <c r="AQ997" s="15" t="s">
        <v>49</v>
      </c>
      <c r="AR997" t="s">
        <v>4412</v>
      </c>
      <c r="AS997" s="16" t="s">
        <v>4413</v>
      </c>
    </row>
    <row r="998" spans="1:45" ht="14.5">
      <c r="A998" s="9" t="s">
        <v>4414</v>
      </c>
      <c r="B998" s="9" t="s">
        <v>4415</v>
      </c>
      <c r="C998" s="9" t="s">
        <v>4416</v>
      </c>
      <c r="D998" s="9" t="s">
        <v>4371</v>
      </c>
      <c r="E998" s="9" t="s">
        <v>49</v>
      </c>
      <c r="F998" s="9" t="s">
        <v>69</v>
      </c>
      <c r="G998" s="9" t="s">
        <v>70</v>
      </c>
      <c r="H998" s="9" t="s">
        <v>4372</v>
      </c>
      <c r="I998" s="9" t="s">
        <v>291</v>
      </c>
      <c r="J998" s="10"/>
      <c r="K998" s="10"/>
      <c r="L998" s="10">
        <v>44476.415543981479</v>
      </c>
      <c r="M998" s="10">
        <v>44535</v>
      </c>
      <c r="N998" s="9">
        <v>2021</v>
      </c>
      <c r="O998" s="9" t="s">
        <v>4373</v>
      </c>
      <c r="P998" s="9" t="s">
        <v>53</v>
      </c>
      <c r="Q998" s="9" t="s">
        <v>53</v>
      </c>
      <c r="R998" s="9" t="s">
        <v>4417</v>
      </c>
      <c r="T998" s="9"/>
      <c r="V998" s="9" t="s">
        <v>4375</v>
      </c>
      <c r="W998" s="11">
        <f>IFERROR(VLOOKUP(B998, PlumX_snapshot!$A:$B, 2, FALSE), " ")</f>
        <v>1</v>
      </c>
      <c r="X998" s="11">
        <f>IFERROR(VLOOKUP(B998, PlumX_snapshot!$A:$C, 3, FALSE), " ")</f>
        <v>2</v>
      </c>
      <c r="Y998" s="12">
        <f>IFERROR(VLOOKUP(B998, PlumX_snapshot!$A:$D, 4, FALSE), " ")</f>
        <v>0</v>
      </c>
      <c r="Z998" s="12">
        <f>IFERROR(VLOOKUP(B998, PlumX_snapshot!$A:$E, 5, FALSE), " ")</f>
        <v>0</v>
      </c>
      <c r="AA998" s="12">
        <f>IFERROR(VLOOKUP(B998, PlumX_snapshot!$A:$F, 6, FALSE), " ")</f>
        <v>0</v>
      </c>
      <c r="AB998" s="13">
        <v>44978</v>
      </c>
      <c r="AC998" s="9" t="s">
        <v>199</v>
      </c>
      <c r="AD998" s="9" t="s">
        <v>200</v>
      </c>
      <c r="AE998" s="9" t="s">
        <v>4418</v>
      </c>
      <c r="AH998" s="9">
        <v>2533</v>
      </c>
      <c r="AI998" s="9" t="s">
        <v>1999</v>
      </c>
      <c r="AJ998" s="9" t="s">
        <v>301</v>
      </c>
      <c r="AK998" s="11" t="str">
        <f t="shared" si="6"/>
        <v>2021GBP</v>
      </c>
      <c r="AL998" s="11">
        <f>VLOOKUP(AK998, Exchange_rates!$C:$D, 2, FALSE)</f>
        <v>1</v>
      </c>
      <c r="AM998" s="14">
        <f t="shared" si="7"/>
        <v>3039.6</v>
      </c>
      <c r="AN998" s="9"/>
      <c r="AO998" s="9"/>
      <c r="AP998" s="9"/>
      <c r="AQ998" s="15" t="s">
        <v>49</v>
      </c>
      <c r="AR998" t="s">
        <v>4419</v>
      </c>
      <c r="AS998" s="16" t="s">
        <v>4420</v>
      </c>
    </row>
    <row r="999" spans="1:45" ht="14.5">
      <c r="A999" s="9" t="s">
        <v>4421</v>
      </c>
      <c r="B999" s="9" t="s">
        <v>4422</v>
      </c>
      <c r="C999" s="9" t="s">
        <v>4423</v>
      </c>
      <c r="D999" s="9" t="s">
        <v>4371</v>
      </c>
      <c r="E999" s="9" t="s">
        <v>49</v>
      </c>
      <c r="F999" s="9" t="s">
        <v>69</v>
      </c>
      <c r="G999" s="9" t="s">
        <v>70</v>
      </c>
      <c r="H999" s="9" t="s">
        <v>4372</v>
      </c>
      <c r="I999" s="9" t="s">
        <v>291</v>
      </c>
      <c r="J999" s="10"/>
      <c r="K999" s="10"/>
      <c r="L999" s="10">
        <v>44473.489155092589</v>
      </c>
      <c r="M999" s="28">
        <v>44857</v>
      </c>
      <c r="N999" s="9">
        <v>2021</v>
      </c>
      <c r="O999" s="9" t="s">
        <v>4373</v>
      </c>
      <c r="P999" s="9" t="s">
        <v>53</v>
      </c>
      <c r="Q999" s="9" t="s">
        <v>53</v>
      </c>
      <c r="R999" s="9" t="s">
        <v>92</v>
      </c>
      <c r="T999" s="9"/>
      <c r="V999" s="9" t="s">
        <v>4375</v>
      </c>
      <c r="W999" s="11">
        <f>IFERROR(VLOOKUP(B999, PlumX_snapshot!$A:$B, 2, FALSE), " ")</f>
        <v>2</v>
      </c>
      <c r="X999" s="11">
        <f>IFERROR(VLOOKUP(B999, PlumX_snapshot!$A:$C, 3, FALSE), " ")</f>
        <v>0</v>
      </c>
      <c r="Y999" s="12">
        <f>IFERROR(VLOOKUP(B999, PlumX_snapshot!$A:$D, 4, FALSE), " ")</f>
        <v>0</v>
      </c>
      <c r="Z999" s="12">
        <f>IFERROR(VLOOKUP(B999, PlumX_snapshot!$A:$E, 5, FALSE), " ")</f>
        <v>0</v>
      </c>
      <c r="AA999" s="12">
        <f>IFERROR(VLOOKUP(B999, PlumX_snapshot!$A:$F, 6, FALSE), " ")</f>
        <v>0</v>
      </c>
      <c r="AB999" s="13">
        <v>44978</v>
      </c>
      <c r="AC999" s="9" t="s">
        <v>4424</v>
      </c>
      <c r="AD999" s="9" t="s">
        <v>4425</v>
      </c>
      <c r="AE999" s="9"/>
      <c r="AH999" s="9">
        <v>2295</v>
      </c>
      <c r="AI999" s="9" t="s">
        <v>77</v>
      </c>
      <c r="AJ999" s="9" t="s">
        <v>301</v>
      </c>
      <c r="AK999" s="11" t="str">
        <f t="shared" si="6"/>
        <v>2021GBP</v>
      </c>
      <c r="AL999" s="11">
        <f>VLOOKUP(AK999, Exchange_rates!$C:$D, 2, FALSE)</f>
        <v>1</v>
      </c>
      <c r="AM999" s="14">
        <f t="shared" si="7"/>
        <v>2754</v>
      </c>
      <c r="AN999" s="9"/>
      <c r="AO999" s="9"/>
      <c r="AP999" s="9"/>
      <c r="AQ999" s="15" t="s">
        <v>49</v>
      </c>
      <c r="AR999" t="s">
        <v>4426</v>
      </c>
      <c r="AS999" s="16" t="s">
        <v>4427</v>
      </c>
    </row>
    <row r="1000" spans="1:45" ht="14.5">
      <c r="A1000" s="9" t="s">
        <v>4428</v>
      </c>
      <c r="B1000" s="9" t="s">
        <v>4429</v>
      </c>
      <c r="C1000" s="9" t="s">
        <v>4423</v>
      </c>
      <c r="D1000" s="9" t="s">
        <v>4371</v>
      </c>
      <c r="E1000" s="9" t="s">
        <v>49</v>
      </c>
      <c r="F1000" s="9" t="s">
        <v>69</v>
      </c>
      <c r="G1000" s="9" t="s">
        <v>70</v>
      </c>
      <c r="H1000" s="9" t="s">
        <v>4372</v>
      </c>
      <c r="I1000" s="9" t="s">
        <v>291</v>
      </c>
      <c r="J1000" s="10"/>
      <c r="K1000" s="10"/>
      <c r="L1000" s="10">
        <v>44473.489074074074</v>
      </c>
      <c r="M1000" s="28">
        <v>44857</v>
      </c>
      <c r="N1000" s="9">
        <v>2021</v>
      </c>
      <c r="O1000" s="9" t="s">
        <v>4373</v>
      </c>
      <c r="P1000" s="9" t="s">
        <v>53</v>
      </c>
      <c r="Q1000" s="9" t="s">
        <v>53</v>
      </c>
      <c r="R1000" s="9" t="s">
        <v>92</v>
      </c>
      <c r="T1000" s="9"/>
      <c r="V1000" s="9" t="s">
        <v>4375</v>
      </c>
      <c r="W1000" s="11">
        <f>IFERROR(VLOOKUP(B1000, PlumX_snapshot!$A:$B, 2, FALSE), " ")</f>
        <v>4</v>
      </c>
      <c r="X1000" s="11">
        <f>IFERROR(VLOOKUP(B1000, PlumX_snapshot!$A:$C, 3, FALSE), " ")</f>
        <v>0</v>
      </c>
      <c r="Y1000" s="12">
        <f>IFERROR(VLOOKUP(B1000, PlumX_snapshot!$A:$D, 4, FALSE), " ")</f>
        <v>0</v>
      </c>
      <c r="Z1000" s="12">
        <f>IFERROR(VLOOKUP(B1000, PlumX_snapshot!$A:$E, 5, FALSE), " ")</f>
        <v>0</v>
      </c>
      <c r="AA1000" s="12">
        <f>IFERROR(VLOOKUP(B1000, PlumX_snapshot!$A:$F, 6, FALSE), " ")</f>
        <v>0</v>
      </c>
      <c r="AB1000" s="13">
        <v>44978</v>
      </c>
      <c r="AC1000" s="9" t="s">
        <v>4424</v>
      </c>
      <c r="AD1000" s="9" t="s">
        <v>4425</v>
      </c>
      <c r="AE1000" s="9"/>
      <c r="AH1000" s="9">
        <v>2295</v>
      </c>
      <c r="AI1000" s="9" t="s">
        <v>77</v>
      </c>
      <c r="AJ1000" s="9" t="s">
        <v>301</v>
      </c>
      <c r="AK1000" s="11" t="str">
        <f t="shared" si="6"/>
        <v>2021GBP</v>
      </c>
      <c r="AL1000" s="11">
        <f>VLOOKUP(AK1000, Exchange_rates!$C:$D, 2, FALSE)</f>
        <v>1</v>
      </c>
      <c r="AM1000" s="14">
        <f t="shared" si="7"/>
        <v>2754</v>
      </c>
      <c r="AN1000" s="9"/>
      <c r="AO1000" s="9"/>
      <c r="AP1000" s="9"/>
      <c r="AQ1000" s="15" t="s">
        <v>49</v>
      </c>
      <c r="AR1000" t="s">
        <v>4426</v>
      </c>
      <c r="AS1000" s="16" t="s">
        <v>4427</v>
      </c>
    </row>
    <row r="1001" spans="1:45" ht="14.5">
      <c r="A1001" s="9" t="s">
        <v>4430</v>
      </c>
      <c r="B1001" s="9" t="s">
        <v>4431</v>
      </c>
      <c r="C1001" s="9" t="s">
        <v>4432</v>
      </c>
      <c r="D1001" s="9" t="s">
        <v>4371</v>
      </c>
      <c r="E1001" s="9" t="s">
        <v>49</v>
      </c>
      <c r="F1001" s="9" t="s">
        <v>69</v>
      </c>
      <c r="G1001" s="9" t="s">
        <v>70</v>
      </c>
      <c r="H1001" s="9" t="s">
        <v>4372</v>
      </c>
      <c r="I1001" s="9" t="s">
        <v>291</v>
      </c>
      <c r="J1001" s="10"/>
      <c r="K1001" s="10"/>
      <c r="L1001" s="10">
        <v>44470.5783912037</v>
      </c>
      <c r="M1001" s="28">
        <v>44484</v>
      </c>
      <c r="N1001" s="9">
        <v>2021</v>
      </c>
      <c r="O1001" s="9" t="s">
        <v>4373</v>
      </c>
      <c r="P1001" s="9" t="s">
        <v>53</v>
      </c>
      <c r="Q1001" s="9" t="s">
        <v>53</v>
      </c>
      <c r="R1001" s="9" t="s">
        <v>4433</v>
      </c>
      <c r="T1001" s="9"/>
      <c r="V1001" s="9" t="s">
        <v>4375</v>
      </c>
      <c r="W1001" s="11">
        <f>IFERROR(VLOOKUP(B1001, PlumX_snapshot!$A:$B, 2, FALSE), " ")</f>
        <v>16</v>
      </c>
      <c r="X1001" s="11">
        <f>IFERROR(VLOOKUP(B1001, PlumX_snapshot!$A:$C, 3, FALSE), " ")</f>
        <v>2</v>
      </c>
      <c r="Y1001" s="12">
        <f>IFERROR(VLOOKUP(B1001, PlumX_snapshot!$A:$D, 4, FALSE), " ")</f>
        <v>1</v>
      </c>
      <c r="Z1001" s="12">
        <f>IFERROR(VLOOKUP(B1001, PlumX_snapshot!$A:$E, 5, FALSE), " ")</f>
        <v>0</v>
      </c>
      <c r="AA1001" s="12">
        <f>IFERROR(VLOOKUP(B1001, PlumX_snapshot!$A:$F, 6, FALSE), " ")</f>
        <v>0</v>
      </c>
      <c r="AB1001" s="13">
        <v>44978</v>
      </c>
      <c r="AC1001" s="9" t="s">
        <v>826</v>
      </c>
      <c r="AD1001" s="9" t="s">
        <v>827</v>
      </c>
      <c r="AE1001" s="9"/>
      <c r="AH1001" s="9">
        <v>2295</v>
      </c>
      <c r="AI1001" s="9" t="s">
        <v>77</v>
      </c>
      <c r="AJ1001" s="9" t="s">
        <v>301</v>
      </c>
      <c r="AK1001" s="11" t="str">
        <f t="shared" si="6"/>
        <v>2021GBP</v>
      </c>
      <c r="AL1001" s="11">
        <f>VLOOKUP(AK1001, Exchange_rates!$C:$D, 2, FALSE)</f>
        <v>1</v>
      </c>
      <c r="AM1001" s="14">
        <f t="shared" si="7"/>
        <v>2754</v>
      </c>
      <c r="AN1001" s="9"/>
      <c r="AO1001" s="9"/>
      <c r="AP1001" s="9"/>
      <c r="AQ1001" s="15" t="s">
        <v>49</v>
      </c>
      <c r="AR1001" t="s">
        <v>4434</v>
      </c>
      <c r="AS1001" s="16" t="s">
        <v>4435</v>
      </c>
    </row>
    <row r="1002" spans="1:45" ht="14.5">
      <c r="A1002" s="9" t="s">
        <v>4436</v>
      </c>
      <c r="B1002" s="9" t="s">
        <v>4437</v>
      </c>
      <c r="C1002" s="9" t="s">
        <v>4438</v>
      </c>
      <c r="D1002" s="9" t="s">
        <v>4371</v>
      </c>
      <c r="E1002" s="9" t="s">
        <v>49</v>
      </c>
      <c r="F1002" s="9" t="s">
        <v>69</v>
      </c>
      <c r="G1002" s="9" t="s">
        <v>70</v>
      </c>
      <c r="H1002" s="9" t="s">
        <v>4372</v>
      </c>
      <c r="I1002" s="9" t="s">
        <v>72</v>
      </c>
      <c r="J1002" s="10"/>
      <c r="K1002" s="10"/>
      <c r="L1002" s="10">
        <v>44470.563125000001</v>
      </c>
      <c r="M1002" s="10">
        <v>44475</v>
      </c>
      <c r="N1002" s="9">
        <v>2021</v>
      </c>
      <c r="O1002" s="9" t="s">
        <v>4373</v>
      </c>
      <c r="P1002" s="9" t="s">
        <v>83</v>
      </c>
      <c r="Q1002" s="9" t="s">
        <v>53</v>
      </c>
      <c r="T1002" s="9"/>
      <c r="V1002" s="9" t="s">
        <v>4375</v>
      </c>
      <c r="W1002" s="11">
        <f>IFERROR(VLOOKUP(B1002, PlumX_snapshot!$A:$B, 2, FALSE), " ")</f>
        <v>35</v>
      </c>
      <c r="X1002" s="11">
        <f>IFERROR(VLOOKUP(B1002, PlumX_snapshot!$A:$C, 3, FALSE), " ")</f>
        <v>4</v>
      </c>
      <c r="Y1002" s="12">
        <f>IFERROR(VLOOKUP(B1002, PlumX_snapshot!$A:$D, 4, FALSE), " ")</f>
        <v>0</v>
      </c>
      <c r="Z1002" s="12">
        <f>IFERROR(VLOOKUP(B1002, PlumX_snapshot!$A:$E, 5, FALSE), " ")</f>
        <v>0</v>
      </c>
      <c r="AA1002" s="12">
        <f>IFERROR(VLOOKUP(B1002, PlumX_snapshot!$A:$F, 6, FALSE), " ")</f>
        <v>0</v>
      </c>
      <c r="AB1002" s="13">
        <v>44978</v>
      </c>
      <c r="AC1002" s="9" t="s">
        <v>4439</v>
      </c>
      <c r="AD1002" s="9" t="s">
        <v>4440</v>
      </c>
      <c r="AE1002" s="9"/>
      <c r="AH1002" s="9">
        <v>2295</v>
      </c>
      <c r="AI1002" s="9" t="s">
        <v>77</v>
      </c>
      <c r="AJ1002" s="9" t="s">
        <v>301</v>
      </c>
      <c r="AK1002" s="11" t="str">
        <f t="shared" si="6"/>
        <v>2021GBP</v>
      </c>
      <c r="AL1002" s="11">
        <f>VLOOKUP(AK1002, Exchange_rates!$C:$D, 2, FALSE)</f>
        <v>1</v>
      </c>
      <c r="AM1002" s="14">
        <f t="shared" si="7"/>
        <v>2754</v>
      </c>
      <c r="AN1002" s="9"/>
      <c r="AO1002" s="9"/>
      <c r="AP1002" s="9"/>
      <c r="AQ1002" s="15" t="s">
        <v>49</v>
      </c>
      <c r="AR1002" t="s">
        <v>4441</v>
      </c>
      <c r="AS1002" s="16" t="s">
        <v>4442</v>
      </c>
    </row>
    <row r="1003" spans="1:45" ht="14.5">
      <c r="A1003" s="9" t="s">
        <v>4443</v>
      </c>
      <c r="B1003" s="9" t="s">
        <v>4444</v>
      </c>
      <c r="C1003" s="9" t="s">
        <v>4445</v>
      </c>
      <c r="D1003" s="9" t="s">
        <v>4371</v>
      </c>
      <c r="E1003" s="9" t="s">
        <v>49</v>
      </c>
      <c r="F1003" s="9" t="s">
        <v>69</v>
      </c>
      <c r="G1003" s="9" t="s">
        <v>70</v>
      </c>
      <c r="H1003" s="9" t="s">
        <v>4372</v>
      </c>
      <c r="I1003" s="9" t="s">
        <v>291</v>
      </c>
      <c r="J1003" s="10"/>
      <c r="K1003" s="10"/>
      <c r="L1003" s="10">
        <v>44469.539467592593</v>
      </c>
      <c r="M1003" s="28">
        <v>44482</v>
      </c>
      <c r="N1003" s="9">
        <v>2021</v>
      </c>
      <c r="O1003" s="9" t="s">
        <v>4373</v>
      </c>
      <c r="P1003" s="9" t="s">
        <v>53</v>
      </c>
      <c r="Q1003" s="9" t="s">
        <v>53</v>
      </c>
      <c r="R1003" s="9" t="s">
        <v>92</v>
      </c>
      <c r="T1003" s="9"/>
      <c r="V1003" s="9" t="s">
        <v>4375</v>
      </c>
      <c r="W1003" s="11">
        <f>IFERROR(VLOOKUP(B1003, PlumX_snapshot!$A:$B, 2, FALSE), " ")</f>
        <v>2</v>
      </c>
      <c r="X1003" s="11">
        <f>IFERROR(VLOOKUP(B1003, PlumX_snapshot!$A:$C, 3, FALSE), " ")</f>
        <v>1</v>
      </c>
      <c r="Y1003" s="12">
        <f>IFERROR(VLOOKUP(B1003, PlumX_snapshot!$A:$D, 4, FALSE), " ")</f>
        <v>8</v>
      </c>
      <c r="Z1003" s="12">
        <f>IFERROR(VLOOKUP(B1003, PlumX_snapshot!$A:$E, 5, FALSE), " ")</f>
        <v>0</v>
      </c>
      <c r="AA1003" s="12">
        <f>IFERROR(VLOOKUP(B1003, PlumX_snapshot!$A:$F, 6, FALSE), " ")</f>
        <v>0</v>
      </c>
      <c r="AB1003" s="13">
        <v>44978</v>
      </c>
      <c r="AC1003" s="9" t="s">
        <v>4446</v>
      </c>
      <c r="AD1003" s="9" t="s">
        <v>4447</v>
      </c>
      <c r="AE1003" s="9"/>
      <c r="AH1003" s="9">
        <v>2533</v>
      </c>
      <c r="AI1003" s="9" t="s">
        <v>1999</v>
      </c>
      <c r="AJ1003" s="9" t="s">
        <v>301</v>
      </c>
      <c r="AK1003" s="11" t="str">
        <f t="shared" si="6"/>
        <v>2021GBP</v>
      </c>
      <c r="AL1003" s="11">
        <f>VLOOKUP(AK1003, Exchange_rates!$C:$D, 2, FALSE)</f>
        <v>1</v>
      </c>
      <c r="AM1003" s="14">
        <f t="shared" si="7"/>
        <v>3039.6</v>
      </c>
      <c r="AN1003" s="9"/>
      <c r="AO1003" s="9"/>
      <c r="AP1003" s="9"/>
      <c r="AQ1003" s="15" t="s">
        <v>49</v>
      </c>
      <c r="AR1003" t="s">
        <v>4448</v>
      </c>
      <c r="AS1003" s="16" t="s">
        <v>4449</v>
      </c>
    </row>
    <row r="1004" spans="1:45" ht="14.5">
      <c r="A1004" s="9" t="s">
        <v>4450</v>
      </c>
      <c r="B1004" s="9" t="s">
        <v>4451</v>
      </c>
      <c r="C1004" s="9" t="s">
        <v>4452</v>
      </c>
      <c r="D1004" s="9" t="s">
        <v>4371</v>
      </c>
      <c r="E1004" s="9" t="s">
        <v>49</v>
      </c>
      <c r="F1004" s="9" t="s">
        <v>69</v>
      </c>
      <c r="G1004" s="9" t="s">
        <v>70</v>
      </c>
      <c r="H1004" s="9" t="s">
        <v>4372</v>
      </c>
      <c r="I1004" s="9" t="s">
        <v>291</v>
      </c>
      <c r="J1004" s="10"/>
      <c r="K1004" s="10"/>
      <c r="L1004" s="10">
        <v>44467.637118055558</v>
      </c>
      <c r="M1004" s="28">
        <v>44481</v>
      </c>
      <c r="N1004" s="9">
        <v>2021</v>
      </c>
      <c r="O1004" s="9" t="s">
        <v>4373</v>
      </c>
      <c r="P1004" s="9" t="s">
        <v>53</v>
      </c>
      <c r="Q1004" s="9" t="s">
        <v>53</v>
      </c>
      <c r="R1004" s="9" t="s">
        <v>92</v>
      </c>
      <c r="T1004" s="9"/>
      <c r="V1004" s="9" t="s">
        <v>4375</v>
      </c>
      <c r="W1004" s="11">
        <f>IFERROR(VLOOKUP(B1004, PlumX_snapshot!$A:$B, 2, FALSE), " ")</f>
        <v>26</v>
      </c>
      <c r="X1004" s="11">
        <f>IFERROR(VLOOKUP(B1004, PlumX_snapshot!$A:$C, 3, FALSE), " ")</f>
        <v>1</v>
      </c>
      <c r="Y1004" s="12">
        <f>IFERROR(VLOOKUP(B1004, PlumX_snapshot!$A:$D, 4, FALSE), " ")</f>
        <v>0</v>
      </c>
      <c r="Z1004" s="12">
        <f>IFERROR(VLOOKUP(B1004, PlumX_snapshot!$A:$E, 5, FALSE), " ")</f>
        <v>0</v>
      </c>
      <c r="AA1004" s="12">
        <f>IFERROR(VLOOKUP(B1004, PlumX_snapshot!$A:$F, 6, FALSE), " ")</f>
        <v>0</v>
      </c>
      <c r="AB1004" s="13">
        <v>44978</v>
      </c>
      <c r="AC1004" s="9" t="s">
        <v>4453</v>
      </c>
      <c r="AD1004" s="9" t="s">
        <v>4454</v>
      </c>
      <c r="AE1004" s="9"/>
      <c r="AH1004" s="9">
        <v>2295</v>
      </c>
      <c r="AI1004" s="9" t="s">
        <v>77</v>
      </c>
      <c r="AJ1004" s="9" t="s">
        <v>301</v>
      </c>
      <c r="AK1004" s="11" t="str">
        <f t="shared" si="6"/>
        <v>2021GBP</v>
      </c>
      <c r="AL1004" s="11">
        <f>VLOOKUP(AK1004, Exchange_rates!$C:$D, 2, FALSE)</f>
        <v>1</v>
      </c>
      <c r="AM1004" s="14">
        <f t="shared" si="7"/>
        <v>2754</v>
      </c>
      <c r="AN1004" s="9"/>
      <c r="AO1004" s="9"/>
      <c r="AP1004" s="9"/>
      <c r="AQ1004" s="15" t="s">
        <v>49</v>
      </c>
      <c r="AR1004" t="s">
        <v>4455</v>
      </c>
      <c r="AS1004" s="16" t="s">
        <v>4456</v>
      </c>
    </row>
    <row r="1005" spans="1:45" ht="14.5">
      <c r="A1005" s="9" t="s">
        <v>4457</v>
      </c>
      <c r="B1005" s="9" t="s">
        <v>4458</v>
      </c>
      <c r="C1005" s="9" t="s">
        <v>4459</v>
      </c>
      <c r="D1005" s="9" t="s">
        <v>4371</v>
      </c>
      <c r="E1005" s="9" t="s">
        <v>49</v>
      </c>
      <c r="F1005" s="9" t="s">
        <v>69</v>
      </c>
      <c r="G1005" s="9" t="s">
        <v>70</v>
      </c>
      <c r="H1005" s="9" t="s">
        <v>4372</v>
      </c>
      <c r="I1005" s="9" t="s">
        <v>72</v>
      </c>
      <c r="J1005" s="10"/>
      <c r="K1005" s="10"/>
      <c r="L1005" s="10">
        <v>44462.558969907404</v>
      </c>
      <c r="N1005" s="9">
        <v>2021</v>
      </c>
      <c r="O1005" s="9" t="s">
        <v>4373</v>
      </c>
      <c r="P1005" s="9" t="s">
        <v>53</v>
      </c>
      <c r="Q1005" s="9" t="s">
        <v>53</v>
      </c>
      <c r="R1005" s="9" t="s">
        <v>4460</v>
      </c>
      <c r="T1005" s="9"/>
      <c r="V1005" s="9" t="s">
        <v>4375</v>
      </c>
      <c r="W1005" s="11">
        <f>IFERROR(VLOOKUP(B1005, PlumX_snapshot!$A:$B, 2, FALSE), " ")</f>
        <v>8</v>
      </c>
      <c r="X1005" s="11">
        <f>IFERROR(VLOOKUP(B1005, PlumX_snapshot!$A:$C, 3, FALSE), " ")</f>
        <v>2</v>
      </c>
      <c r="Y1005" s="12">
        <f>IFERROR(VLOOKUP(B1005, PlumX_snapshot!$A:$D, 4, FALSE), " ")</f>
        <v>80</v>
      </c>
      <c r="Z1005" s="12">
        <f>IFERROR(VLOOKUP(B1005, PlumX_snapshot!$A:$E, 5, FALSE), " ")</f>
        <v>0</v>
      </c>
      <c r="AA1005" s="12">
        <f>IFERROR(VLOOKUP(B1005, PlumX_snapshot!$A:$F, 6, FALSE), " ")</f>
        <v>2</v>
      </c>
      <c r="AB1005" s="13">
        <v>44978</v>
      </c>
      <c r="AC1005" s="9" t="s">
        <v>4461</v>
      </c>
      <c r="AD1005" s="9" t="s">
        <v>4462</v>
      </c>
      <c r="AE1005" s="9" t="s">
        <v>4463</v>
      </c>
      <c r="AH1005" s="9">
        <v>2155</v>
      </c>
      <c r="AI1005" s="9" t="s">
        <v>77</v>
      </c>
      <c r="AJ1005" s="9" t="s">
        <v>301</v>
      </c>
      <c r="AK1005" s="11" t="str">
        <f t="shared" si="6"/>
        <v>2021GBP</v>
      </c>
      <c r="AL1005" s="11">
        <f>VLOOKUP(AK1005, Exchange_rates!$C:$D, 2, FALSE)</f>
        <v>1</v>
      </c>
      <c r="AM1005" s="14">
        <f t="shared" si="7"/>
        <v>2586</v>
      </c>
      <c r="AN1005" s="9"/>
      <c r="AO1005" s="9"/>
      <c r="AP1005" s="9"/>
      <c r="AQ1005" s="15" t="s">
        <v>49</v>
      </c>
      <c r="AR1005" t="s">
        <v>4464</v>
      </c>
      <c r="AS1005" s="16" t="s">
        <v>4465</v>
      </c>
    </row>
    <row r="1006" spans="1:45" ht="14.5">
      <c r="A1006" s="9" t="s">
        <v>4466</v>
      </c>
      <c r="B1006" s="9" t="s">
        <v>4467</v>
      </c>
      <c r="C1006" s="9" t="s">
        <v>4468</v>
      </c>
      <c r="D1006" s="9" t="s">
        <v>4371</v>
      </c>
      <c r="E1006" s="9" t="s">
        <v>49</v>
      </c>
      <c r="F1006" s="9" t="s">
        <v>69</v>
      </c>
      <c r="G1006" s="9" t="s">
        <v>70</v>
      </c>
      <c r="H1006" s="9" t="s">
        <v>4372</v>
      </c>
      <c r="I1006" s="9" t="s">
        <v>72</v>
      </c>
      <c r="J1006" s="10"/>
      <c r="K1006" s="10"/>
      <c r="L1006" s="10">
        <v>44460.478912037041</v>
      </c>
      <c r="M1006" s="28">
        <v>44494</v>
      </c>
      <c r="N1006" s="9">
        <v>2021</v>
      </c>
      <c r="O1006" s="9" t="s">
        <v>4373</v>
      </c>
      <c r="P1006" s="9" t="s">
        <v>83</v>
      </c>
      <c r="Q1006" s="9" t="s">
        <v>53</v>
      </c>
      <c r="T1006" s="9"/>
      <c r="V1006" s="9" t="s">
        <v>4375</v>
      </c>
      <c r="W1006" s="11">
        <f>IFERROR(VLOOKUP(B1006, PlumX_snapshot!$A:$B, 2, FALSE), " ")</f>
        <v>46</v>
      </c>
      <c r="X1006" s="11">
        <f>IFERROR(VLOOKUP(B1006, PlumX_snapshot!$A:$C, 3, FALSE), " ")</f>
        <v>4</v>
      </c>
      <c r="Y1006" s="12">
        <f>IFERROR(VLOOKUP(B1006, PlumX_snapshot!$A:$D, 4, FALSE), " ")</f>
        <v>0</v>
      </c>
      <c r="Z1006" s="12">
        <f>IFERROR(VLOOKUP(B1006, PlumX_snapshot!$A:$E, 5, FALSE), " ")</f>
        <v>0</v>
      </c>
      <c r="AA1006" s="12">
        <f>IFERROR(VLOOKUP(B1006, PlumX_snapshot!$A:$F, 6, FALSE), " ")</f>
        <v>0</v>
      </c>
      <c r="AB1006" s="13">
        <v>44978</v>
      </c>
      <c r="AC1006" s="9" t="s">
        <v>4439</v>
      </c>
      <c r="AD1006" s="9" t="s">
        <v>4440</v>
      </c>
      <c r="AE1006" s="9"/>
      <c r="AH1006" s="9">
        <v>2690</v>
      </c>
      <c r="AI1006" s="9" t="s">
        <v>77</v>
      </c>
      <c r="AJ1006" s="9" t="s">
        <v>301</v>
      </c>
      <c r="AK1006" s="11" t="str">
        <f t="shared" si="6"/>
        <v>2021GBP</v>
      </c>
      <c r="AL1006" s="11">
        <f>VLOOKUP(AK1006, Exchange_rates!$C:$D, 2, FALSE)</f>
        <v>1</v>
      </c>
      <c r="AM1006" s="14">
        <f t="shared" si="7"/>
        <v>3228</v>
      </c>
      <c r="AN1006" s="9"/>
      <c r="AO1006" s="9"/>
      <c r="AP1006" s="9"/>
      <c r="AQ1006" s="15" t="s">
        <v>49</v>
      </c>
      <c r="AR1006" t="s">
        <v>4469</v>
      </c>
      <c r="AS1006" s="16" t="s">
        <v>4470</v>
      </c>
    </row>
    <row r="1007" spans="1:45" ht="14.5">
      <c r="A1007" s="9" t="s">
        <v>4471</v>
      </c>
      <c r="B1007" s="9" t="s">
        <v>4472</v>
      </c>
      <c r="C1007" s="9" t="s">
        <v>4473</v>
      </c>
      <c r="D1007" s="9" t="s">
        <v>4371</v>
      </c>
      <c r="E1007" s="9" t="s">
        <v>49</v>
      </c>
      <c r="F1007" s="9" t="s">
        <v>69</v>
      </c>
      <c r="G1007" s="9" t="s">
        <v>70</v>
      </c>
      <c r="H1007" s="9" t="s">
        <v>4372</v>
      </c>
      <c r="I1007" s="9" t="s">
        <v>291</v>
      </c>
      <c r="J1007" s="10"/>
      <c r="K1007" s="10"/>
      <c r="L1007" s="10">
        <v>44441.315601851849</v>
      </c>
      <c r="M1007" s="10">
        <v>44447</v>
      </c>
      <c r="N1007" s="9">
        <v>2021</v>
      </c>
      <c r="O1007" s="9" t="s">
        <v>4373</v>
      </c>
      <c r="P1007" s="9" t="s">
        <v>53</v>
      </c>
      <c r="Q1007" s="9" t="s">
        <v>53</v>
      </c>
      <c r="R1007" s="9" t="s">
        <v>4474</v>
      </c>
      <c r="T1007" s="9"/>
      <c r="V1007" s="9"/>
      <c r="W1007" s="11">
        <f>IFERROR(VLOOKUP(B1007, PlumX_snapshot!$A:$B, 2, FALSE), " ")</f>
        <v>0</v>
      </c>
      <c r="X1007" s="11">
        <f>IFERROR(VLOOKUP(B1007, PlumX_snapshot!$A:$C, 3, FALSE), " ")</f>
        <v>0</v>
      </c>
      <c r="Y1007" s="12">
        <f>IFERROR(VLOOKUP(B1007, PlumX_snapshot!$A:$D, 4, FALSE), " ")</f>
        <v>12</v>
      </c>
      <c r="Z1007" s="12">
        <f>IFERROR(VLOOKUP(B1007, PlumX_snapshot!$A:$E, 5, FALSE), " ")</f>
        <v>0</v>
      </c>
      <c r="AA1007" s="12">
        <f>IFERROR(VLOOKUP(B1007, PlumX_snapshot!$A:$F, 6, FALSE), " ")</f>
        <v>0</v>
      </c>
      <c r="AB1007" s="13">
        <v>44978</v>
      </c>
      <c r="AC1007" s="9" t="s">
        <v>4475</v>
      </c>
      <c r="AD1007" s="9" t="s">
        <v>4476</v>
      </c>
      <c r="AE1007" s="9"/>
      <c r="AH1007" s="9">
        <v>2690</v>
      </c>
      <c r="AI1007" s="9" t="s">
        <v>77</v>
      </c>
      <c r="AJ1007" s="9" t="s">
        <v>301</v>
      </c>
      <c r="AK1007" s="11" t="str">
        <f t="shared" si="6"/>
        <v>2021GBP</v>
      </c>
      <c r="AL1007" s="11">
        <f>VLOOKUP(AK1007, Exchange_rates!$C:$D, 2, FALSE)</f>
        <v>1</v>
      </c>
      <c r="AM1007" s="14">
        <f t="shared" si="7"/>
        <v>3228</v>
      </c>
      <c r="AN1007" s="9"/>
      <c r="AO1007" s="9"/>
      <c r="AP1007" s="9"/>
      <c r="AQ1007" s="15" t="s">
        <v>49</v>
      </c>
      <c r="AR1007" t="s">
        <v>4477</v>
      </c>
      <c r="AS1007" s="16" t="s">
        <v>4478</v>
      </c>
    </row>
    <row r="1008" spans="1:45" ht="14.5">
      <c r="A1008" s="9" t="s">
        <v>4479</v>
      </c>
      <c r="B1008" s="9" t="s">
        <v>4480</v>
      </c>
      <c r="C1008" s="9" t="s">
        <v>4481</v>
      </c>
      <c r="D1008" s="9" t="s">
        <v>4371</v>
      </c>
      <c r="E1008" s="9" t="s">
        <v>49</v>
      </c>
      <c r="F1008" s="9" t="s">
        <v>69</v>
      </c>
      <c r="G1008" s="9" t="s">
        <v>70</v>
      </c>
      <c r="H1008" s="9" t="s">
        <v>4372</v>
      </c>
      <c r="I1008" s="9" t="s">
        <v>291</v>
      </c>
      <c r="J1008" s="10"/>
      <c r="K1008" s="10"/>
      <c r="L1008" s="10">
        <v>44425.571851851855</v>
      </c>
      <c r="M1008" s="10">
        <v>44452</v>
      </c>
      <c r="N1008" s="9">
        <v>2021</v>
      </c>
      <c r="O1008" s="9" t="s">
        <v>4373</v>
      </c>
      <c r="P1008" s="9" t="s">
        <v>53</v>
      </c>
      <c r="Q1008" s="9" t="s">
        <v>53</v>
      </c>
      <c r="R1008" s="9" t="s">
        <v>92</v>
      </c>
      <c r="T1008" s="9"/>
      <c r="V1008" s="9"/>
      <c r="W1008" s="11">
        <f>IFERROR(VLOOKUP(B1008, PlumX_snapshot!$A:$B, 2, FALSE), " ")</f>
        <v>9</v>
      </c>
      <c r="X1008" s="11">
        <f>IFERROR(VLOOKUP(B1008, PlumX_snapshot!$A:$C, 3, FALSE), " ")</f>
        <v>0</v>
      </c>
      <c r="Y1008" s="12">
        <f>IFERROR(VLOOKUP(B1008, PlumX_snapshot!$A:$D, 4, FALSE), " ")</f>
        <v>92</v>
      </c>
      <c r="Z1008" s="12">
        <f>IFERROR(VLOOKUP(B1008, PlumX_snapshot!$A:$E, 5, FALSE), " ")</f>
        <v>0</v>
      </c>
      <c r="AA1008" s="12">
        <f>IFERROR(VLOOKUP(B1008, PlumX_snapshot!$A:$F, 6, FALSE), " ")</f>
        <v>2</v>
      </c>
      <c r="AB1008" s="13">
        <v>44978</v>
      </c>
      <c r="AC1008" s="9" t="s">
        <v>4482</v>
      </c>
      <c r="AD1008" s="9" t="s">
        <v>4483</v>
      </c>
      <c r="AE1008" s="9" t="s">
        <v>4484</v>
      </c>
      <c r="AH1008" s="9">
        <v>2533</v>
      </c>
      <c r="AI1008" s="9" t="s">
        <v>1999</v>
      </c>
      <c r="AJ1008" s="9" t="s">
        <v>301</v>
      </c>
      <c r="AK1008" s="11" t="str">
        <f t="shared" si="6"/>
        <v>2021GBP</v>
      </c>
      <c r="AL1008" s="11">
        <f>VLOOKUP(AK1008, Exchange_rates!$C:$D, 2, FALSE)</f>
        <v>1</v>
      </c>
      <c r="AM1008" s="14">
        <f t="shared" si="7"/>
        <v>3039.6</v>
      </c>
      <c r="AN1008" s="9"/>
      <c r="AO1008" s="9"/>
      <c r="AP1008" s="9"/>
      <c r="AQ1008" s="15" t="s">
        <v>49</v>
      </c>
      <c r="AR1008" t="s">
        <v>4485</v>
      </c>
      <c r="AS1008" s="16" t="s">
        <v>4486</v>
      </c>
    </row>
    <row r="1009" spans="1:45" ht="14.5">
      <c r="A1009" s="9" t="s">
        <v>4487</v>
      </c>
      <c r="B1009" s="9" t="s">
        <v>4488</v>
      </c>
      <c r="C1009" s="9" t="s">
        <v>4489</v>
      </c>
      <c r="D1009" s="9" t="s">
        <v>4371</v>
      </c>
      <c r="E1009" s="9" t="s">
        <v>49</v>
      </c>
      <c r="F1009" s="9" t="s">
        <v>69</v>
      </c>
      <c r="G1009" s="9" t="s">
        <v>70</v>
      </c>
      <c r="H1009" s="9" t="s">
        <v>4372</v>
      </c>
      <c r="I1009" s="9" t="s">
        <v>291</v>
      </c>
      <c r="J1009" s="10"/>
      <c r="K1009" s="10"/>
      <c r="L1009" s="10">
        <v>44413.530543981484</v>
      </c>
      <c r="M1009" s="10">
        <v>44445</v>
      </c>
      <c r="N1009" s="9">
        <v>2021</v>
      </c>
      <c r="O1009" s="9" t="s">
        <v>4373</v>
      </c>
      <c r="P1009" s="9" t="s">
        <v>53</v>
      </c>
      <c r="Q1009" s="9" t="s">
        <v>53</v>
      </c>
      <c r="R1009" s="9" t="s">
        <v>92</v>
      </c>
      <c r="T1009" s="9"/>
      <c r="V1009" s="9"/>
      <c r="W1009" s="11">
        <f>IFERROR(VLOOKUP(B1009, PlumX_snapshot!$A:$B, 2, FALSE), " ")</f>
        <v>42</v>
      </c>
      <c r="X1009" s="11">
        <f>IFERROR(VLOOKUP(B1009, PlumX_snapshot!$A:$C, 3, FALSE), " ")</f>
        <v>5</v>
      </c>
      <c r="Y1009" s="12">
        <f>IFERROR(VLOOKUP(B1009, PlumX_snapshot!$A:$D, 4, FALSE), " ")</f>
        <v>6</v>
      </c>
      <c r="Z1009" s="12">
        <f>IFERROR(VLOOKUP(B1009, PlumX_snapshot!$A:$E, 5, FALSE), " ")</f>
        <v>0</v>
      </c>
      <c r="AA1009" s="12">
        <f>IFERROR(VLOOKUP(B1009, PlumX_snapshot!$A:$F, 6, FALSE), " ")</f>
        <v>0</v>
      </c>
      <c r="AB1009" s="13">
        <v>44978</v>
      </c>
      <c r="AC1009" s="9" t="s">
        <v>4490</v>
      </c>
      <c r="AD1009" s="9" t="s">
        <v>4491</v>
      </c>
      <c r="AE1009" s="9" t="s">
        <v>4492</v>
      </c>
      <c r="AH1009" s="9">
        <v>2533</v>
      </c>
      <c r="AI1009" s="9" t="s">
        <v>1999</v>
      </c>
      <c r="AJ1009" s="9" t="s">
        <v>301</v>
      </c>
      <c r="AK1009" s="11" t="str">
        <f t="shared" si="6"/>
        <v>2021GBP</v>
      </c>
      <c r="AL1009" s="11">
        <f>VLOOKUP(AK1009, Exchange_rates!$C:$D, 2, FALSE)</f>
        <v>1</v>
      </c>
      <c r="AM1009" s="14">
        <f t="shared" si="7"/>
        <v>3039.6</v>
      </c>
      <c r="AN1009" s="9"/>
      <c r="AO1009" s="9"/>
      <c r="AP1009" s="9"/>
      <c r="AQ1009" s="15" t="s">
        <v>49</v>
      </c>
      <c r="AR1009" t="s">
        <v>4493</v>
      </c>
      <c r="AS1009" s="16" t="s">
        <v>4494</v>
      </c>
    </row>
    <row r="1010" spans="1:45" ht="14.5">
      <c r="A1010" s="9" t="s">
        <v>4495</v>
      </c>
      <c r="B1010" s="9" t="s">
        <v>4496</v>
      </c>
      <c r="C1010" s="9" t="s">
        <v>4497</v>
      </c>
      <c r="D1010" s="9" t="s">
        <v>4371</v>
      </c>
      <c r="E1010" s="9" t="s">
        <v>49</v>
      </c>
      <c r="F1010" s="9" t="s">
        <v>69</v>
      </c>
      <c r="G1010" s="9" t="s">
        <v>70</v>
      </c>
      <c r="H1010" s="9" t="s">
        <v>4372</v>
      </c>
      <c r="I1010" s="9" t="s">
        <v>291</v>
      </c>
      <c r="J1010" s="10"/>
      <c r="K1010" s="10"/>
      <c r="L1010" s="10">
        <v>44407.657685185186</v>
      </c>
      <c r="M1010" s="10">
        <v>44439</v>
      </c>
      <c r="N1010" s="9">
        <v>2021</v>
      </c>
      <c r="O1010" s="9" t="s">
        <v>4373</v>
      </c>
      <c r="P1010" s="9" t="s">
        <v>53</v>
      </c>
      <c r="Q1010" s="9" t="s">
        <v>53</v>
      </c>
      <c r="R1010" s="9" t="s">
        <v>4498</v>
      </c>
      <c r="T1010" s="9"/>
      <c r="V1010" s="9"/>
      <c r="W1010" s="11">
        <f>IFERROR(VLOOKUP(B1010, PlumX_snapshot!$A:$B, 2, FALSE), " ")</f>
        <v>4</v>
      </c>
      <c r="X1010" s="11">
        <f>IFERROR(VLOOKUP(B1010, PlumX_snapshot!$A:$C, 3, FALSE), " ")</f>
        <v>1</v>
      </c>
      <c r="Y1010" s="12">
        <f>IFERROR(VLOOKUP(B1010, PlumX_snapshot!$A:$D, 4, FALSE), " ")</f>
        <v>2</v>
      </c>
      <c r="Z1010" s="12">
        <f>IFERROR(VLOOKUP(B1010, PlumX_snapshot!$A:$E, 5, FALSE), " ")</f>
        <v>0</v>
      </c>
      <c r="AA1010" s="12">
        <f>IFERROR(VLOOKUP(B1010, PlumX_snapshot!$A:$F, 6, FALSE), " ")</f>
        <v>0</v>
      </c>
      <c r="AB1010" s="13">
        <v>44978</v>
      </c>
      <c r="AC1010" s="9" t="s">
        <v>4499</v>
      </c>
      <c r="AD1010" s="9" t="s">
        <v>4500</v>
      </c>
      <c r="AE1010" s="9" t="s">
        <v>4501</v>
      </c>
      <c r="AH1010" s="9">
        <v>2690</v>
      </c>
      <c r="AI1010" s="9" t="s">
        <v>77</v>
      </c>
      <c r="AJ1010" s="9" t="s">
        <v>301</v>
      </c>
      <c r="AK1010" s="11" t="str">
        <f t="shared" si="6"/>
        <v>2021GBP</v>
      </c>
      <c r="AL1010" s="11">
        <f>VLOOKUP(AK1010, Exchange_rates!$C:$D, 2, FALSE)</f>
        <v>1</v>
      </c>
      <c r="AM1010" s="14">
        <f t="shared" si="7"/>
        <v>3228</v>
      </c>
      <c r="AN1010" s="9"/>
      <c r="AO1010" s="9"/>
      <c r="AP1010" s="9"/>
      <c r="AQ1010" s="15" t="s">
        <v>49</v>
      </c>
      <c r="AR1010" t="s">
        <v>4502</v>
      </c>
      <c r="AS1010" s="16" t="s">
        <v>4503</v>
      </c>
    </row>
    <row r="1011" spans="1:45" ht="14.5">
      <c r="A1011" s="9" t="s">
        <v>4504</v>
      </c>
      <c r="B1011" s="9" t="s">
        <v>4505</v>
      </c>
      <c r="C1011" s="9" t="s">
        <v>4506</v>
      </c>
      <c r="D1011" s="9" t="s">
        <v>4371</v>
      </c>
      <c r="E1011" s="9" t="s">
        <v>49</v>
      </c>
      <c r="F1011" s="9" t="s">
        <v>69</v>
      </c>
      <c r="G1011" s="9" t="s">
        <v>70</v>
      </c>
      <c r="H1011" s="9" t="s">
        <v>4372</v>
      </c>
      <c r="I1011" s="9" t="s">
        <v>291</v>
      </c>
      <c r="J1011" s="10"/>
      <c r="K1011" s="10"/>
      <c r="L1011" s="10">
        <v>44404.593159722222</v>
      </c>
      <c r="M1011" s="10">
        <v>44443</v>
      </c>
      <c r="N1011" s="9">
        <v>2021</v>
      </c>
      <c r="O1011" s="9" t="s">
        <v>4373</v>
      </c>
      <c r="P1011" s="9" t="s">
        <v>53</v>
      </c>
      <c r="Q1011" s="9" t="s">
        <v>53</v>
      </c>
      <c r="R1011" s="9" t="s">
        <v>92</v>
      </c>
      <c r="T1011" s="9"/>
      <c r="V1011" s="9"/>
      <c r="W1011" s="11">
        <f>IFERROR(VLOOKUP(B1011, PlumX_snapshot!$A:$B, 2, FALSE), " ")</f>
        <v>18</v>
      </c>
      <c r="X1011" s="11">
        <f>IFERROR(VLOOKUP(B1011, PlumX_snapshot!$A:$C, 3, FALSE), " ")</f>
        <v>4</v>
      </c>
      <c r="Y1011" s="12">
        <f>IFERROR(VLOOKUP(B1011, PlumX_snapshot!$A:$D, 4, FALSE), " ")</f>
        <v>5</v>
      </c>
      <c r="Z1011" s="12">
        <f>IFERROR(VLOOKUP(B1011, PlumX_snapshot!$A:$E, 5, FALSE), " ")</f>
        <v>0</v>
      </c>
      <c r="AA1011" s="12">
        <f>IFERROR(VLOOKUP(B1011, PlumX_snapshot!$A:$F, 6, FALSE), " ")</f>
        <v>0</v>
      </c>
      <c r="AB1011" s="13">
        <v>44978</v>
      </c>
      <c r="AC1011" s="9" t="s">
        <v>4507</v>
      </c>
      <c r="AD1011" s="9" t="s">
        <v>4508</v>
      </c>
      <c r="AE1011" s="9" t="s">
        <v>4501</v>
      </c>
      <c r="AH1011" s="9">
        <v>2540</v>
      </c>
      <c r="AI1011" s="9" t="s">
        <v>77</v>
      </c>
      <c r="AJ1011" s="9" t="s">
        <v>301</v>
      </c>
      <c r="AK1011" s="11" t="str">
        <f t="shared" si="6"/>
        <v>2021GBP</v>
      </c>
      <c r="AL1011" s="11">
        <f>VLOOKUP(AK1011, Exchange_rates!$C:$D, 2, FALSE)</f>
        <v>1</v>
      </c>
      <c r="AM1011" s="14">
        <f t="shared" si="7"/>
        <v>3048</v>
      </c>
      <c r="AN1011" s="9"/>
      <c r="AO1011" s="9"/>
      <c r="AP1011" s="9"/>
      <c r="AQ1011" s="15" t="s">
        <v>49</v>
      </c>
      <c r="AR1011" t="s">
        <v>4509</v>
      </c>
      <c r="AS1011" s="16" t="s">
        <v>4510</v>
      </c>
    </row>
    <row r="1012" spans="1:45" ht="14.5">
      <c r="A1012" s="9" t="s">
        <v>4511</v>
      </c>
      <c r="B1012" s="9" t="s">
        <v>4512</v>
      </c>
      <c r="C1012" s="9" t="s">
        <v>4513</v>
      </c>
      <c r="D1012" s="9" t="s">
        <v>4371</v>
      </c>
      <c r="E1012" s="9" t="s">
        <v>49</v>
      </c>
      <c r="F1012" s="9" t="s">
        <v>69</v>
      </c>
      <c r="G1012" s="9" t="s">
        <v>70</v>
      </c>
      <c r="H1012" s="9" t="s">
        <v>4372</v>
      </c>
      <c r="I1012" s="9" t="s">
        <v>291</v>
      </c>
      <c r="J1012" s="10"/>
      <c r="K1012" s="10"/>
      <c r="L1012" s="10">
        <v>44399.382708333331</v>
      </c>
      <c r="M1012" s="10">
        <v>44476</v>
      </c>
      <c r="N1012" s="9">
        <v>2021</v>
      </c>
      <c r="O1012" s="9" t="s">
        <v>4373</v>
      </c>
      <c r="P1012" s="9" t="s">
        <v>53</v>
      </c>
      <c r="Q1012" s="9" t="s">
        <v>53</v>
      </c>
      <c r="R1012" s="9" t="s">
        <v>92</v>
      </c>
      <c r="T1012" s="9"/>
      <c r="V1012" s="9"/>
      <c r="W1012" s="11">
        <f>IFERROR(VLOOKUP(B1012, PlumX_snapshot!$A:$B, 2, FALSE), " ")</f>
        <v>11</v>
      </c>
      <c r="X1012" s="11">
        <f>IFERROR(VLOOKUP(B1012, PlumX_snapshot!$A:$C, 3, FALSE), " ")</f>
        <v>0</v>
      </c>
      <c r="Y1012" s="12">
        <f>IFERROR(VLOOKUP(B1012, PlumX_snapshot!$A:$D, 4, FALSE), " ")</f>
        <v>253</v>
      </c>
      <c r="Z1012" s="12">
        <f>IFERROR(VLOOKUP(B1012, PlumX_snapshot!$A:$E, 5, FALSE), " ")</f>
        <v>0</v>
      </c>
      <c r="AA1012" s="12">
        <f>IFERROR(VLOOKUP(B1012, PlumX_snapshot!$A:$F, 6, FALSE), " ")</f>
        <v>0</v>
      </c>
      <c r="AB1012" s="13">
        <v>44978</v>
      </c>
      <c r="AC1012" s="9" t="s">
        <v>4514</v>
      </c>
      <c r="AD1012" s="9" t="s">
        <v>4515</v>
      </c>
      <c r="AE1012" s="9" t="s">
        <v>4501</v>
      </c>
      <c r="AH1012" s="9">
        <v>2295</v>
      </c>
      <c r="AI1012" s="9" t="s">
        <v>77</v>
      </c>
      <c r="AJ1012" s="9" t="s">
        <v>301</v>
      </c>
      <c r="AK1012" s="11" t="str">
        <f t="shared" si="6"/>
        <v>2021GBP</v>
      </c>
      <c r="AL1012" s="11">
        <f>VLOOKUP(AK1012, Exchange_rates!$C:$D, 2, FALSE)</f>
        <v>1</v>
      </c>
      <c r="AM1012" s="14">
        <f t="shared" si="7"/>
        <v>2754</v>
      </c>
      <c r="AN1012" s="9"/>
      <c r="AO1012" s="9"/>
      <c r="AP1012" s="9"/>
      <c r="AQ1012" s="15" t="s">
        <v>49</v>
      </c>
      <c r="AR1012" t="s">
        <v>4516</v>
      </c>
      <c r="AS1012" s="16" t="s">
        <v>4517</v>
      </c>
    </row>
    <row r="1013" spans="1:45" ht="14.5">
      <c r="A1013" s="9" t="s">
        <v>4518</v>
      </c>
      <c r="B1013" s="9" t="s">
        <v>4519</v>
      </c>
      <c r="C1013" s="9" t="s">
        <v>4520</v>
      </c>
      <c r="D1013" s="9" t="s">
        <v>4371</v>
      </c>
      <c r="E1013" s="9" t="s">
        <v>49</v>
      </c>
      <c r="F1013" s="9" t="s">
        <v>69</v>
      </c>
      <c r="G1013" s="9" t="s">
        <v>70</v>
      </c>
      <c r="H1013" s="9" t="s">
        <v>4372</v>
      </c>
      <c r="I1013" s="9" t="s">
        <v>72</v>
      </c>
      <c r="J1013" s="10"/>
      <c r="K1013" s="10"/>
      <c r="L1013" s="10">
        <v>44390.331446759257</v>
      </c>
      <c r="M1013" s="10">
        <v>44599</v>
      </c>
      <c r="N1013" s="9">
        <v>2021</v>
      </c>
      <c r="O1013" s="9" t="s">
        <v>4373</v>
      </c>
      <c r="P1013" s="9" t="s">
        <v>83</v>
      </c>
      <c r="Q1013" s="9" t="s">
        <v>53</v>
      </c>
      <c r="R1013" s="9" t="s">
        <v>4521</v>
      </c>
      <c r="T1013" s="9"/>
      <c r="V1013" s="9"/>
      <c r="W1013" s="11">
        <f>IFERROR(VLOOKUP(B1013, PlumX_snapshot!$A:$B, 2, FALSE), " ")</f>
        <v>4</v>
      </c>
      <c r="X1013" s="11">
        <f>IFERROR(VLOOKUP(B1013, PlumX_snapshot!$A:$C, 3, FALSE), " ")</f>
        <v>0</v>
      </c>
      <c r="Y1013" s="12">
        <f>IFERROR(VLOOKUP(B1013, PlumX_snapshot!$A:$D, 4, FALSE), " ")</f>
        <v>15</v>
      </c>
      <c r="Z1013" s="12">
        <f>IFERROR(VLOOKUP(B1013, PlumX_snapshot!$A:$E, 5, FALSE), " ")</f>
        <v>0</v>
      </c>
      <c r="AA1013" s="12">
        <f>IFERROR(VLOOKUP(B1013, PlumX_snapshot!$A:$F, 6, FALSE), " ")</f>
        <v>0</v>
      </c>
      <c r="AB1013" s="13">
        <v>44978</v>
      </c>
      <c r="AC1013" s="9" t="s">
        <v>4522</v>
      </c>
      <c r="AD1013" s="9" t="s">
        <v>4523</v>
      </c>
      <c r="AE1013" s="9" t="s">
        <v>4524</v>
      </c>
      <c r="AH1013" s="9">
        <v>2295</v>
      </c>
      <c r="AI1013" s="9" t="s">
        <v>77</v>
      </c>
      <c r="AJ1013" s="9" t="s">
        <v>301</v>
      </c>
      <c r="AK1013" s="11" t="str">
        <f t="shared" si="6"/>
        <v>2021GBP</v>
      </c>
      <c r="AL1013" s="11">
        <f>VLOOKUP(AK1013, Exchange_rates!$C:$D, 2, FALSE)</f>
        <v>1</v>
      </c>
      <c r="AM1013" s="14">
        <f t="shared" si="7"/>
        <v>2754</v>
      </c>
      <c r="AN1013" s="9"/>
      <c r="AO1013" s="9"/>
      <c r="AP1013" s="9"/>
      <c r="AQ1013" s="15" t="s">
        <v>49</v>
      </c>
      <c r="AR1013" t="s">
        <v>4525</v>
      </c>
      <c r="AS1013" s="16" t="s">
        <v>4526</v>
      </c>
    </row>
    <row r="1014" spans="1:45" ht="14.5">
      <c r="A1014" s="9" t="s">
        <v>4527</v>
      </c>
      <c r="B1014" s="9" t="s">
        <v>4528</v>
      </c>
      <c r="C1014" s="9" t="s">
        <v>4529</v>
      </c>
      <c r="D1014" s="9" t="s">
        <v>4371</v>
      </c>
      <c r="E1014" s="9" t="s">
        <v>49</v>
      </c>
      <c r="F1014" s="9" t="s">
        <v>69</v>
      </c>
      <c r="G1014" s="9" t="s">
        <v>70</v>
      </c>
      <c r="H1014" s="9" t="s">
        <v>4372</v>
      </c>
      <c r="I1014" s="9" t="s">
        <v>291</v>
      </c>
      <c r="J1014" s="10"/>
      <c r="K1014" s="10"/>
      <c r="L1014" s="10">
        <v>44389.545138888891</v>
      </c>
      <c r="M1014" s="10">
        <v>44380</v>
      </c>
      <c r="N1014" s="9">
        <v>2021</v>
      </c>
      <c r="O1014" s="9" t="s">
        <v>4373</v>
      </c>
      <c r="P1014" s="9" t="s">
        <v>53</v>
      </c>
      <c r="Q1014" s="9" t="s">
        <v>53</v>
      </c>
      <c r="R1014" s="9" t="s">
        <v>4530</v>
      </c>
      <c r="T1014" s="9"/>
      <c r="V1014" s="9"/>
      <c r="W1014" s="11">
        <f>IFERROR(VLOOKUP(B1014, PlumX_snapshot!$A:$B, 2, FALSE), " ")</f>
        <v>1</v>
      </c>
      <c r="X1014" s="11">
        <f>IFERROR(VLOOKUP(B1014, PlumX_snapshot!$A:$C, 3, FALSE), " ")</f>
        <v>1</v>
      </c>
      <c r="Y1014" s="12">
        <f>IFERROR(VLOOKUP(B1014, PlumX_snapshot!$A:$D, 4, FALSE), " ")</f>
        <v>2</v>
      </c>
      <c r="Z1014" s="12">
        <f>IFERROR(VLOOKUP(B1014, PlumX_snapshot!$A:$E, 5, FALSE), " ")</f>
        <v>0</v>
      </c>
      <c r="AA1014" s="12">
        <f>IFERROR(VLOOKUP(B1014, PlumX_snapshot!$A:$F, 6, FALSE), " ")</f>
        <v>0</v>
      </c>
      <c r="AB1014" s="13">
        <v>44978</v>
      </c>
      <c r="AC1014" s="9" t="s">
        <v>4531</v>
      </c>
      <c r="AD1014" s="9" t="s">
        <v>4532</v>
      </c>
      <c r="AE1014" s="9" t="s">
        <v>4533</v>
      </c>
      <c r="AH1014" s="9">
        <v>2533</v>
      </c>
      <c r="AI1014" s="9" t="s">
        <v>1999</v>
      </c>
      <c r="AJ1014" s="9" t="s">
        <v>301</v>
      </c>
      <c r="AK1014" s="11" t="str">
        <f t="shared" si="6"/>
        <v>2021GBP</v>
      </c>
      <c r="AL1014" s="11">
        <f>VLOOKUP(AK1014, Exchange_rates!$C:$D, 2, FALSE)</f>
        <v>1</v>
      </c>
      <c r="AM1014" s="14">
        <f t="shared" si="7"/>
        <v>3039.6</v>
      </c>
      <c r="AN1014" s="9"/>
      <c r="AO1014" s="9"/>
      <c r="AP1014" s="9"/>
      <c r="AQ1014" s="15" t="s">
        <v>49</v>
      </c>
      <c r="AR1014" t="s">
        <v>4534</v>
      </c>
      <c r="AS1014" s="16" t="s">
        <v>4535</v>
      </c>
    </row>
    <row r="1015" spans="1:45" ht="14.5">
      <c r="A1015" s="9" t="s">
        <v>4536</v>
      </c>
      <c r="B1015" s="9" t="s">
        <v>4537</v>
      </c>
      <c r="C1015" s="9" t="s">
        <v>4538</v>
      </c>
      <c r="D1015" s="9" t="s">
        <v>4371</v>
      </c>
      <c r="E1015" s="9" t="s">
        <v>49</v>
      </c>
      <c r="F1015" s="9" t="s">
        <v>69</v>
      </c>
      <c r="G1015" s="9" t="s">
        <v>70</v>
      </c>
      <c r="H1015" s="9" t="s">
        <v>4372</v>
      </c>
      <c r="I1015" s="9" t="s">
        <v>291</v>
      </c>
      <c r="J1015" s="10"/>
      <c r="K1015" s="10"/>
      <c r="L1015" s="10">
        <v>44389.544571759259</v>
      </c>
      <c r="M1015" s="10">
        <v>44398</v>
      </c>
      <c r="N1015" s="9">
        <v>2021</v>
      </c>
      <c r="O1015" s="9" t="s">
        <v>4373</v>
      </c>
      <c r="P1015" s="9" t="s">
        <v>53</v>
      </c>
      <c r="Q1015" s="9" t="s">
        <v>53</v>
      </c>
      <c r="R1015" s="9" t="s">
        <v>4539</v>
      </c>
      <c r="T1015" s="9"/>
      <c r="V1015" s="9"/>
      <c r="W1015" s="11">
        <f>IFERROR(VLOOKUP(B1015, PlumX_snapshot!$A:$B, 2, FALSE), " ")</f>
        <v>19</v>
      </c>
      <c r="X1015" s="11">
        <f>IFERROR(VLOOKUP(B1015, PlumX_snapshot!$A:$C, 3, FALSE), " ")</f>
        <v>0</v>
      </c>
      <c r="Y1015" s="12">
        <f>IFERROR(VLOOKUP(B1015, PlumX_snapshot!$A:$D, 4, FALSE), " ")</f>
        <v>23</v>
      </c>
      <c r="Z1015" s="12">
        <f>IFERROR(VLOOKUP(B1015, PlumX_snapshot!$A:$E, 5, FALSE), " ")</f>
        <v>0</v>
      </c>
      <c r="AA1015" s="12">
        <f>IFERROR(VLOOKUP(B1015, PlumX_snapshot!$A:$F, 6, FALSE), " ")</f>
        <v>0</v>
      </c>
      <c r="AB1015" s="13">
        <v>44978</v>
      </c>
      <c r="AC1015" s="9" t="s">
        <v>4540</v>
      </c>
      <c r="AD1015" s="9" t="s">
        <v>4541</v>
      </c>
      <c r="AE1015" s="9" t="s">
        <v>4501</v>
      </c>
      <c r="AH1015" s="9">
        <v>3690</v>
      </c>
      <c r="AI1015" s="9" t="s">
        <v>77</v>
      </c>
      <c r="AJ1015" s="9" t="s">
        <v>301</v>
      </c>
      <c r="AK1015" s="11" t="str">
        <f t="shared" si="6"/>
        <v>2021GBP</v>
      </c>
      <c r="AL1015" s="11">
        <f>VLOOKUP(AK1015, Exchange_rates!$C:$D, 2, FALSE)</f>
        <v>1</v>
      </c>
      <c r="AM1015" s="14">
        <f t="shared" si="7"/>
        <v>4428</v>
      </c>
      <c r="AN1015" s="9"/>
      <c r="AO1015" s="9"/>
      <c r="AP1015" s="9"/>
      <c r="AQ1015" s="15" t="s">
        <v>49</v>
      </c>
      <c r="AR1015" t="s">
        <v>4542</v>
      </c>
      <c r="AS1015" s="16" t="s">
        <v>4543</v>
      </c>
    </row>
    <row r="1016" spans="1:45" ht="14.5">
      <c r="A1016" s="9" t="s">
        <v>4544</v>
      </c>
      <c r="B1016" s="9" t="s">
        <v>4545</v>
      </c>
      <c r="C1016" s="9" t="s">
        <v>4546</v>
      </c>
      <c r="D1016" s="9" t="s">
        <v>4371</v>
      </c>
      <c r="E1016" s="9" t="s">
        <v>49</v>
      </c>
      <c r="F1016" s="9" t="s">
        <v>69</v>
      </c>
      <c r="G1016" s="9" t="s">
        <v>70</v>
      </c>
      <c r="H1016" s="9" t="s">
        <v>4372</v>
      </c>
      <c r="I1016" s="9" t="s">
        <v>72</v>
      </c>
      <c r="J1016" s="10"/>
      <c r="K1016" s="10"/>
      <c r="L1016" s="10">
        <v>44382.369849537034</v>
      </c>
      <c r="M1016" s="10">
        <v>44399</v>
      </c>
      <c r="N1016" s="9">
        <v>2021</v>
      </c>
      <c r="O1016" s="9" t="s">
        <v>4373</v>
      </c>
      <c r="P1016" s="9" t="s">
        <v>53</v>
      </c>
      <c r="Q1016" s="9" t="s">
        <v>83</v>
      </c>
      <c r="T1016" s="9"/>
      <c r="V1016" s="9"/>
      <c r="W1016" s="11">
        <f>IFERROR(VLOOKUP(B1016, PlumX_snapshot!$A:$B, 2, FALSE), " ")</f>
        <v>13</v>
      </c>
      <c r="X1016" s="11">
        <f>IFERROR(VLOOKUP(B1016, PlumX_snapshot!$A:$C, 3, FALSE), " ")</f>
        <v>5</v>
      </c>
      <c r="Y1016" s="12">
        <f>IFERROR(VLOOKUP(B1016, PlumX_snapshot!$A:$D, 4, FALSE), " ")</f>
        <v>8</v>
      </c>
      <c r="Z1016" s="12">
        <f>IFERROR(VLOOKUP(B1016, PlumX_snapshot!$A:$E, 5, FALSE), " ")</f>
        <v>0</v>
      </c>
      <c r="AA1016" s="12">
        <f>IFERROR(VLOOKUP(B1016, PlumX_snapshot!$A:$F, 6, FALSE), " ")</f>
        <v>0</v>
      </c>
      <c r="AB1016" s="13">
        <v>44978</v>
      </c>
      <c r="AC1016" s="9" t="s">
        <v>4547</v>
      </c>
      <c r="AD1016" s="9" t="s">
        <v>4548</v>
      </c>
      <c r="AE1016" s="9" t="s">
        <v>4549</v>
      </c>
      <c r="AH1016" s="9">
        <v>2690</v>
      </c>
      <c r="AI1016" s="9" t="s">
        <v>77</v>
      </c>
      <c r="AJ1016" s="9" t="s">
        <v>301</v>
      </c>
      <c r="AK1016" s="11" t="str">
        <f t="shared" si="6"/>
        <v>2021GBP</v>
      </c>
      <c r="AL1016" s="11">
        <f>VLOOKUP(AK1016, Exchange_rates!$C:$D, 2, FALSE)</f>
        <v>1</v>
      </c>
      <c r="AM1016" s="14">
        <f t="shared" si="7"/>
        <v>3228</v>
      </c>
      <c r="AN1016" s="9"/>
      <c r="AO1016" s="9"/>
      <c r="AP1016" s="9"/>
      <c r="AQ1016" s="15" t="s">
        <v>49</v>
      </c>
      <c r="AR1016" t="s">
        <v>4550</v>
      </c>
      <c r="AS1016" s="16" t="s">
        <v>4551</v>
      </c>
    </row>
    <row r="1017" spans="1:45" ht="14.5">
      <c r="A1017" s="9" t="s">
        <v>4552</v>
      </c>
      <c r="B1017" s="9" t="s">
        <v>4553</v>
      </c>
      <c r="C1017" s="9" t="s">
        <v>4554</v>
      </c>
      <c r="D1017" s="9" t="s">
        <v>4371</v>
      </c>
      <c r="E1017" s="9" t="s">
        <v>49</v>
      </c>
      <c r="F1017" s="9" t="s">
        <v>69</v>
      </c>
      <c r="G1017" s="9" t="s">
        <v>70</v>
      </c>
      <c r="H1017" s="9" t="s">
        <v>4372</v>
      </c>
      <c r="I1017" s="9" t="s">
        <v>291</v>
      </c>
      <c r="J1017" s="10"/>
      <c r="K1017" s="10"/>
      <c r="L1017" s="10">
        <v>44379.537997685184</v>
      </c>
      <c r="M1017" s="10">
        <v>44389</v>
      </c>
      <c r="N1017" s="9">
        <v>2021</v>
      </c>
      <c r="O1017" s="9" t="s">
        <v>4373</v>
      </c>
      <c r="P1017" s="9" t="s">
        <v>53</v>
      </c>
      <c r="Q1017" s="9" t="s">
        <v>53</v>
      </c>
      <c r="R1017" s="9" t="s">
        <v>92</v>
      </c>
      <c r="T1017" s="9"/>
      <c r="V1017" s="9"/>
      <c r="W1017" s="11">
        <f>IFERROR(VLOOKUP(B1017, PlumX_snapshot!$A:$B, 2, FALSE), " ")</f>
        <v>10</v>
      </c>
      <c r="X1017" s="11">
        <f>IFERROR(VLOOKUP(B1017, PlumX_snapshot!$A:$C, 3, FALSE), " ")</f>
        <v>0</v>
      </c>
      <c r="Y1017" s="12">
        <f>IFERROR(VLOOKUP(B1017, PlumX_snapshot!$A:$D, 4, FALSE), " ")</f>
        <v>0</v>
      </c>
      <c r="Z1017" s="12">
        <f>IFERROR(VLOOKUP(B1017, PlumX_snapshot!$A:$E, 5, FALSE), " ")</f>
        <v>0</v>
      </c>
      <c r="AA1017" s="12">
        <f>IFERROR(VLOOKUP(B1017, PlumX_snapshot!$A:$F, 6, FALSE), " ")</f>
        <v>0</v>
      </c>
      <c r="AB1017" s="13">
        <v>44978</v>
      </c>
      <c r="AC1017" s="9" t="s">
        <v>4446</v>
      </c>
      <c r="AD1017" s="9" t="s">
        <v>4447</v>
      </c>
      <c r="AE1017" s="9" t="s">
        <v>4501</v>
      </c>
      <c r="AH1017" s="9">
        <v>2295</v>
      </c>
      <c r="AI1017" s="9" t="s">
        <v>77</v>
      </c>
      <c r="AJ1017" s="9" t="s">
        <v>301</v>
      </c>
      <c r="AK1017" s="11" t="str">
        <f t="shared" si="6"/>
        <v>2021GBP</v>
      </c>
      <c r="AL1017" s="11">
        <f>VLOOKUP(AK1017, Exchange_rates!$C:$D, 2, FALSE)</f>
        <v>1</v>
      </c>
      <c r="AM1017" s="14">
        <f t="shared" si="7"/>
        <v>2754</v>
      </c>
      <c r="AN1017" s="9"/>
      <c r="AO1017" s="9"/>
      <c r="AP1017" s="9"/>
      <c r="AQ1017" s="15" t="s">
        <v>49</v>
      </c>
      <c r="AR1017" t="s">
        <v>4555</v>
      </c>
      <c r="AS1017" s="16" t="s">
        <v>4556</v>
      </c>
    </row>
    <row r="1018" spans="1:45" ht="14.5">
      <c r="A1018" s="9" t="s">
        <v>4557</v>
      </c>
      <c r="B1018" s="9" t="s">
        <v>4558</v>
      </c>
      <c r="C1018" s="9" t="s">
        <v>4559</v>
      </c>
      <c r="D1018" s="9" t="s">
        <v>4371</v>
      </c>
      <c r="E1018" s="9" t="s">
        <v>49</v>
      </c>
      <c r="F1018" s="9" t="s">
        <v>69</v>
      </c>
      <c r="G1018" s="9" t="s">
        <v>70</v>
      </c>
      <c r="H1018" s="9" t="s">
        <v>4372</v>
      </c>
      <c r="I1018" s="9" t="s">
        <v>72</v>
      </c>
      <c r="J1018" s="10"/>
      <c r="K1018" s="10"/>
      <c r="L1018" s="10">
        <v>44379.536481481482</v>
      </c>
      <c r="M1018" s="10">
        <v>44391</v>
      </c>
      <c r="N1018" s="9">
        <v>2021</v>
      </c>
      <c r="O1018" s="9" t="s">
        <v>4373</v>
      </c>
      <c r="P1018" s="9" t="s">
        <v>83</v>
      </c>
      <c r="Q1018" s="9" t="s">
        <v>53</v>
      </c>
      <c r="T1018" s="9"/>
      <c r="V1018" s="9"/>
      <c r="W1018" s="11">
        <f>IFERROR(VLOOKUP(B1018, PlumX_snapshot!$A:$B, 2, FALSE), " ")</f>
        <v>4</v>
      </c>
      <c r="X1018" s="11">
        <f>IFERROR(VLOOKUP(B1018, PlumX_snapshot!$A:$C, 3, FALSE), " ")</f>
        <v>0</v>
      </c>
      <c r="Y1018" s="12">
        <f>IFERROR(VLOOKUP(B1018, PlumX_snapshot!$A:$D, 4, FALSE), " ")</f>
        <v>2</v>
      </c>
      <c r="Z1018" s="12">
        <f>IFERROR(VLOOKUP(B1018, PlumX_snapshot!$A:$E, 5, FALSE), " ")</f>
        <v>0</v>
      </c>
      <c r="AA1018" s="12">
        <f>IFERROR(VLOOKUP(B1018, PlumX_snapshot!$A:$F, 6, FALSE), " ")</f>
        <v>0</v>
      </c>
      <c r="AB1018" s="13">
        <v>44978</v>
      </c>
      <c r="AC1018" s="9" t="s">
        <v>4560</v>
      </c>
      <c r="AD1018" s="9" t="s">
        <v>4561</v>
      </c>
      <c r="AE1018" s="9" t="s">
        <v>4501</v>
      </c>
      <c r="AH1018" s="9">
        <v>2295</v>
      </c>
      <c r="AI1018" s="9" t="s">
        <v>77</v>
      </c>
      <c r="AJ1018" s="9" t="s">
        <v>301</v>
      </c>
      <c r="AK1018" s="11" t="str">
        <f t="shared" si="6"/>
        <v>2021GBP</v>
      </c>
      <c r="AL1018" s="11">
        <f>VLOOKUP(AK1018, Exchange_rates!$C:$D, 2, FALSE)</f>
        <v>1</v>
      </c>
      <c r="AM1018" s="14">
        <f t="shared" si="7"/>
        <v>2754</v>
      </c>
      <c r="AN1018" s="9"/>
      <c r="AO1018" s="9"/>
      <c r="AP1018" s="9"/>
      <c r="AQ1018" s="15" t="s">
        <v>49</v>
      </c>
      <c r="AR1018" t="s">
        <v>4562</v>
      </c>
      <c r="AS1018" s="16" t="s">
        <v>4563</v>
      </c>
    </row>
    <row r="1019" spans="1:45" ht="14.5">
      <c r="A1019" s="9" t="s">
        <v>4564</v>
      </c>
      <c r="B1019" s="9" t="s">
        <v>4565</v>
      </c>
      <c r="C1019" s="9" t="s">
        <v>4566</v>
      </c>
      <c r="D1019" s="9" t="s">
        <v>4371</v>
      </c>
      <c r="E1019" s="9" t="s">
        <v>49</v>
      </c>
      <c r="F1019" s="9" t="s">
        <v>69</v>
      </c>
      <c r="G1019" s="9" t="s">
        <v>70</v>
      </c>
      <c r="H1019" s="9" t="s">
        <v>4372</v>
      </c>
      <c r="I1019" s="9" t="s">
        <v>291</v>
      </c>
      <c r="J1019" s="10"/>
      <c r="K1019" s="10"/>
      <c r="L1019" s="10">
        <v>44375.525520833333</v>
      </c>
      <c r="M1019" s="10">
        <v>44399</v>
      </c>
      <c r="N1019" s="9">
        <v>2021</v>
      </c>
      <c r="O1019" s="9" t="s">
        <v>4373</v>
      </c>
      <c r="P1019" s="9" t="s">
        <v>53</v>
      </c>
      <c r="Q1019" s="9" t="s">
        <v>53</v>
      </c>
      <c r="R1019" s="9" t="s">
        <v>92</v>
      </c>
      <c r="T1019" s="9"/>
      <c r="V1019" s="9"/>
      <c r="W1019" s="11">
        <f>IFERROR(VLOOKUP(B1019, PlumX_snapshot!$A:$B, 2, FALSE), " ")</f>
        <v>12</v>
      </c>
      <c r="X1019" s="11">
        <f>IFERROR(VLOOKUP(B1019, PlumX_snapshot!$A:$C, 3, FALSE), " ")</f>
        <v>3</v>
      </c>
      <c r="Y1019" s="12">
        <f>IFERROR(VLOOKUP(B1019, PlumX_snapshot!$A:$D, 4, FALSE), " ")</f>
        <v>20</v>
      </c>
      <c r="Z1019" s="12">
        <f>IFERROR(VLOOKUP(B1019, PlumX_snapshot!$A:$E, 5, FALSE), " ")</f>
        <v>0</v>
      </c>
      <c r="AA1019" s="12">
        <f>IFERROR(VLOOKUP(B1019, PlumX_snapshot!$A:$F, 6, FALSE), " ")</f>
        <v>0</v>
      </c>
      <c r="AB1019" s="13">
        <v>44978</v>
      </c>
      <c r="AC1019" s="9" t="s">
        <v>4567</v>
      </c>
      <c r="AD1019" s="9" t="s">
        <v>4568</v>
      </c>
      <c r="AE1019" s="9" t="s">
        <v>4569</v>
      </c>
      <c r="AH1019" s="9">
        <v>2690</v>
      </c>
      <c r="AI1019" s="9" t="s">
        <v>77</v>
      </c>
      <c r="AJ1019" s="9" t="s">
        <v>301</v>
      </c>
      <c r="AK1019" s="11" t="str">
        <f t="shared" si="6"/>
        <v>2021GBP</v>
      </c>
      <c r="AL1019" s="11">
        <f>VLOOKUP(AK1019, Exchange_rates!$C:$D, 2, FALSE)</f>
        <v>1</v>
      </c>
      <c r="AM1019" s="14">
        <f t="shared" si="7"/>
        <v>3228</v>
      </c>
      <c r="AN1019" s="9"/>
      <c r="AO1019" s="9"/>
      <c r="AP1019" s="9"/>
      <c r="AQ1019" s="15" t="s">
        <v>49</v>
      </c>
      <c r="AR1019" t="s">
        <v>4570</v>
      </c>
      <c r="AS1019" s="16" t="s">
        <v>4571</v>
      </c>
    </row>
    <row r="1020" spans="1:45" ht="14.5">
      <c r="A1020" s="9" t="s">
        <v>4572</v>
      </c>
      <c r="B1020" s="9" t="s">
        <v>4573</v>
      </c>
      <c r="C1020" s="9" t="s">
        <v>4574</v>
      </c>
      <c r="D1020" s="9" t="s">
        <v>4371</v>
      </c>
      <c r="E1020" s="9" t="s">
        <v>49</v>
      </c>
      <c r="F1020" s="9" t="s">
        <v>69</v>
      </c>
      <c r="G1020" s="9" t="s">
        <v>70</v>
      </c>
      <c r="H1020" s="9" t="s">
        <v>4372</v>
      </c>
      <c r="I1020" s="9" t="s">
        <v>291</v>
      </c>
      <c r="J1020" s="10"/>
      <c r="K1020" s="10"/>
      <c r="L1020" s="10">
        <v>44373.427534722221</v>
      </c>
      <c r="M1020" s="10">
        <v>44383</v>
      </c>
      <c r="N1020" s="9">
        <v>2021</v>
      </c>
      <c r="O1020" s="9" t="s">
        <v>4373</v>
      </c>
      <c r="P1020" s="9" t="s">
        <v>53</v>
      </c>
      <c r="Q1020" s="9" t="s">
        <v>53</v>
      </c>
      <c r="R1020" s="9" t="s">
        <v>4575</v>
      </c>
      <c r="T1020" s="9"/>
      <c r="V1020" s="9"/>
      <c r="W1020" s="11">
        <f>IFERROR(VLOOKUP(B1020, PlumX_snapshot!$A:$B, 2, FALSE), " ")</f>
        <v>68</v>
      </c>
      <c r="X1020" s="11">
        <f>IFERROR(VLOOKUP(B1020, PlumX_snapshot!$A:$C, 3, FALSE), " ")</f>
        <v>9</v>
      </c>
      <c r="Y1020" s="12">
        <f>IFERROR(VLOOKUP(B1020, PlumX_snapshot!$A:$D, 4, FALSE), " ")</f>
        <v>1</v>
      </c>
      <c r="Z1020" s="12">
        <f>IFERROR(VLOOKUP(B1020, PlumX_snapshot!$A:$E, 5, FALSE), " ")</f>
        <v>0</v>
      </c>
      <c r="AA1020" s="12">
        <f>IFERROR(VLOOKUP(B1020, PlumX_snapshot!$A:$F, 6, FALSE), " ")</f>
        <v>0</v>
      </c>
      <c r="AB1020" s="13">
        <v>44978</v>
      </c>
      <c r="AC1020" s="9" t="s">
        <v>4576</v>
      </c>
      <c r="AD1020" s="9" t="s">
        <v>4577</v>
      </c>
      <c r="AE1020" s="9" t="s">
        <v>4578</v>
      </c>
      <c r="AH1020" s="9">
        <v>2295</v>
      </c>
      <c r="AI1020" s="9" t="s">
        <v>77</v>
      </c>
      <c r="AJ1020" s="9" t="s">
        <v>301</v>
      </c>
      <c r="AK1020" s="11" t="str">
        <f t="shared" si="6"/>
        <v>2021GBP</v>
      </c>
      <c r="AL1020" s="11">
        <f>VLOOKUP(AK1020, Exchange_rates!$C:$D, 2, FALSE)</f>
        <v>1</v>
      </c>
      <c r="AM1020" s="14">
        <f t="shared" si="7"/>
        <v>2754</v>
      </c>
      <c r="AN1020" s="9"/>
      <c r="AO1020" s="9"/>
      <c r="AP1020" s="9"/>
      <c r="AQ1020" s="15" t="s">
        <v>49</v>
      </c>
      <c r="AR1020" t="s">
        <v>4579</v>
      </c>
      <c r="AS1020" s="16" t="s">
        <v>4580</v>
      </c>
    </row>
    <row r="1021" spans="1:45" ht="14.5">
      <c r="A1021" s="9" t="s">
        <v>4581</v>
      </c>
      <c r="B1021" s="9" t="s">
        <v>4582</v>
      </c>
      <c r="C1021" s="9" t="s">
        <v>4583</v>
      </c>
      <c r="D1021" s="9" t="s">
        <v>4371</v>
      </c>
      <c r="E1021" s="9" t="s">
        <v>49</v>
      </c>
      <c r="F1021" s="9" t="s">
        <v>69</v>
      </c>
      <c r="G1021" s="9" t="s">
        <v>70</v>
      </c>
      <c r="H1021" s="9" t="s">
        <v>4372</v>
      </c>
      <c r="I1021" s="9" t="s">
        <v>291</v>
      </c>
      <c r="J1021" s="10"/>
      <c r="K1021" s="10"/>
      <c r="L1021" s="10">
        <v>44372.393495370372</v>
      </c>
      <c r="M1021" s="10">
        <v>44382</v>
      </c>
      <c r="N1021" s="9">
        <v>2021</v>
      </c>
      <c r="O1021" s="9" t="s">
        <v>4373</v>
      </c>
      <c r="P1021" s="9" t="s">
        <v>53</v>
      </c>
      <c r="Q1021" s="9" t="s">
        <v>53</v>
      </c>
      <c r="R1021" s="9" t="s">
        <v>4584</v>
      </c>
      <c r="T1021" s="9"/>
      <c r="V1021" s="9"/>
      <c r="W1021" s="11">
        <f>IFERROR(VLOOKUP(B1021, PlumX_snapshot!$A:$B, 2, FALSE), " ")</f>
        <v>10</v>
      </c>
      <c r="X1021" s="11">
        <f>IFERROR(VLOOKUP(B1021, PlumX_snapshot!$A:$C, 3, FALSE), " ")</f>
        <v>5</v>
      </c>
      <c r="Y1021" s="12">
        <f>IFERROR(VLOOKUP(B1021, PlumX_snapshot!$A:$D, 4, FALSE), " ")</f>
        <v>0</v>
      </c>
      <c r="Z1021" s="12">
        <f>IFERROR(VLOOKUP(B1021, PlumX_snapshot!$A:$E, 5, FALSE), " ")</f>
        <v>0</v>
      </c>
      <c r="AA1021" s="12">
        <f>IFERROR(VLOOKUP(B1021, PlumX_snapshot!$A:$F, 6, FALSE), " ")</f>
        <v>0</v>
      </c>
      <c r="AB1021" s="13">
        <v>44978</v>
      </c>
      <c r="AC1021" s="9" t="s">
        <v>4585</v>
      </c>
      <c r="AD1021" s="9" t="s">
        <v>4586</v>
      </c>
      <c r="AE1021" s="9" t="s">
        <v>4501</v>
      </c>
      <c r="AH1021" s="9">
        <v>3690</v>
      </c>
      <c r="AI1021" s="9" t="s">
        <v>77</v>
      </c>
      <c r="AJ1021" s="9" t="s">
        <v>301</v>
      </c>
      <c r="AK1021" s="11" t="str">
        <f t="shared" si="6"/>
        <v>2021GBP</v>
      </c>
      <c r="AL1021" s="11">
        <f>VLOOKUP(AK1021, Exchange_rates!$C:$D, 2, FALSE)</f>
        <v>1</v>
      </c>
      <c r="AM1021" s="14">
        <f t="shared" si="7"/>
        <v>4428</v>
      </c>
      <c r="AN1021" s="9"/>
      <c r="AO1021" s="9"/>
      <c r="AP1021" s="9"/>
      <c r="AQ1021" s="15" t="s">
        <v>49</v>
      </c>
      <c r="AR1021" t="s">
        <v>4587</v>
      </c>
      <c r="AS1021" s="16" t="s">
        <v>4588</v>
      </c>
    </row>
    <row r="1022" spans="1:45" ht="14.5">
      <c r="A1022" s="9" t="s">
        <v>4589</v>
      </c>
      <c r="B1022" s="9" t="s">
        <v>4590</v>
      </c>
      <c r="C1022" s="9" t="s">
        <v>4574</v>
      </c>
      <c r="D1022" s="9" t="s">
        <v>4371</v>
      </c>
      <c r="E1022" s="9" t="s">
        <v>49</v>
      </c>
      <c r="F1022" s="9" t="s">
        <v>69</v>
      </c>
      <c r="G1022" s="9" t="s">
        <v>70</v>
      </c>
      <c r="H1022" s="9" t="s">
        <v>4372</v>
      </c>
      <c r="I1022" s="9" t="s">
        <v>291</v>
      </c>
      <c r="J1022" s="10"/>
      <c r="K1022" s="10"/>
      <c r="L1022" s="10">
        <v>44363.388090277775</v>
      </c>
      <c r="M1022" s="10">
        <v>44378</v>
      </c>
      <c r="N1022" s="9">
        <v>2021</v>
      </c>
      <c r="O1022" s="9" t="s">
        <v>4373</v>
      </c>
      <c r="P1022" s="9" t="s">
        <v>53</v>
      </c>
      <c r="Q1022" s="9" t="s">
        <v>53</v>
      </c>
      <c r="R1022" s="9" t="s">
        <v>4591</v>
      </c>
      <c r="T1022" s="9"/>
      <c r="V1022" s="9"/>
      <c r="W1022" s="11">
        <f>IFERROR(VLOOKUP(B1022, PlumX_snapshot!$A:$B, 2, FALSE), " ")</f>
        <v>95</v>
      </c>
      <c r="X1022" s="11">
        <f>IFERROR(VLOOKUP(B1022, PlumX_snapshot!$A:$C, 3, FALSE), " ")</f>
        <v>13</v>
      </c>
      <c r="Y1022" s="12">
        <f>IFERROR(VLOOKUP(B1022, PlumX_snapshot!$A:$D, 4, FALSE), " ")</f>
        <v>0</v>
      </c>
      <c r="Z1022" s="12">
        <f>IFERROR(VLOOKUP(B1022, PlumX_snapshot!$A:$E, 5, FALSE), " ")</f>
        <v>0</v>
      </c>
      <c r="AA1022" s="12">
        <f>IFERROR(VLOOKUP(B1022, PlumX_snapshot!$A:$F, 6, FALSE), " ")</f>
        <v>0</v>
      </c>
      <c r="AB1022" s="13">
        <v>44978</v>
      </c>
      <c r="AC1022" s="9" t="s">
        <v>4576</v>
      </c>
      <c r="AD1022" s="9" t="s">
        <v>4592</v>
      </c>
      <c r="AE1022" s="9" t="s">
        <v>4578</v>
      </c>
      <c r="AH1022" s="9">
        <v>2295</v>
      </c>
      <c r="AI1022" s="9" t="s">
        <v>77</v>
      </c>
      <c r="AJ1022" s="9" t="s">
        <v>301</v>
      </c>
      <c r="AK1022" s="11" t="str">
        <f t="shared" ref="AK1022:AK1276" si="8">CONCATENATE(N1022,AJ1022)</f>
        <v>2021GBP</v>
      </c>
      <c r="AL1022" s="11">
        <f>VLOOKUP(AK1022, Exchange_rates!$C:$D, 2, FALSE)</f>
        <v>1</v>
      </c>
      <c r="AM1022" s="14">
        <f t="shared" ref="AM1022:AM1276" si="9">IFERROR(((AH1022*AL1022)*1.2), "")</f>
        <v>2754</v>
      </c>
      <c r="AN1022" s="9"/>
      <c r="AO1022" s="9"/>
      <c r="AP1022" s="9"/>
      <c r="AQ1022" s="15" t="s">
        <v>49</v>
      </c>
      <c r="AR1022" t="s">
        <v>4579</v>
      </c>
      <c r="AS1022" s="16" t="s">
        <v>4580</v>
      </c>
    </row>
    <row r="1023" spans="1:45" ht="14.5">
      <c r="A1023" s="9" t="s">
        <v>4593</v>
      </c>
      <c r="B1023" s="9" t="s">
        <v>4594</v>
      </c>
      <c r="C1023" s="9" t="s">
        <v>4595</v>
      </c>
      <c r="D1023" s="9" t="s">
        <v>4371</v>
      </c>
      <c r="E1023" s="9" t="s">
        <v>49</v>
      </c>
      <c r="F1023" s="9" t="s">
        <v>69</v>
      </c>
      <c r="G1023" s="9" t="s">
        <v>70</v>
      </c>
      <c r="H1023" s="9" t="s">
        <v>4372</v>
      </c>
      <c r="I1023" s="9" t="s">
        <v>291</v>
      </c>
      <c r="J1023" s="10"/>
      <c r="K1023" s="10"/>
      <c r="L1023" s="10">
        <v>44343.461944444447</v>
      </c>
      <c r="M1023" s="10">
        <v>44370</v>
      </c>
      <c r="N1023" s="9">
        <v>2021</v>
      </c>
      <c r="O1023" s="9" t="s">
        <v>4373</v>
      </c>
      <c r="P1023" s="9" t="s">
        <v>53</v>
      </c>
      <c r="Q1023" s="9" t="s">
        <v>53</v>
      </c>
      <c r="R1023" s="9" t="s">
        <v>4596</v>
      </c>
      <c r="T1023" s="9"/>
      <c r="V1023" s="9"/>
      <c r="W1023" s="11">
        <f>IFERROR(VLOOKUP(B1023, PlumX_snapshot!$A:$B, 2, FALSE), " ")</f>
        <v>13</v>
      </c>
      <c r="X1023" s="11">
        <f>IFERROR(VLOOKUP(B1023, PlumX_snapshot!$A:$C, 3, FALSE), " ")</f>
        <v>5</v>
      </c>
      <c r="Y1023" s="12">
        <f>IFERROR(VLOOKUP(B1023, PlumX_snapshot!$A:$D, 4, FALSE), " ")</f>
        <v>5</v>
      </c>
      <c r="Z1023" s="12">
        <f>IFERROR(VLOOKUP(B1023, PlumX_snapshot!$A:$E, 5, FALSE), " ")</f>
        <v>0</v>
      </c>
      <c r="AA1023" s="12">
        <f>IFERROR(VLOOKUP(B1023, PlumX_snapshot!$A:$F, 6, FALSE), " ")</f>
        <v>0</v>
      </c>
      <c r="AB1023" s="13">
        <v>44978</v>
      </c>
      <c r="AC1023" s="9" t="s">
        <v>4597</v>
      </c>
      <c r="AD1023" s="9" t="s">
        <v>4598</v>
      </c>
      <c r="AE1023" s="9" t="s">
        <v>4501</v>
      </c>
      <c r="AH1023" s="9">
        <v>2295</v>
      </c>
      <c r="AI1023" s="9" t="s">
        <v>77</v>
      </c>
      <c r="AJ1023" s="9" t="s">
        <v>301</v>
      </c>
      <c r="AK1023" s="11" t="str">
        <f t="shared" si="8"/>
        <v>2021GBP</v>
      </c>
      <c r="AL1023" s="11">
        <f>VLOOKUP(AK1023, Exchange_rates!$C:$D, 2, FALSE)</f>
        <v>1</v>
      </c>
      <c r="AM1023" s="14">
        <f t="shared" si="9"/>
        <v>2754</v>
      </c>
      <c r="AN1023" s="9"/>
      <c r="AO1023" s="9"/>
      <c r="AP1023" s="9"/>
      <c r="AQ1023" s="15" t="s">
        <v>49</v>
      </c>
      <c r="AR1023" t="s">
        <v>4599</v>
      </c>
      <c r="AS1023" s="16" t="s">
        <v>4600</v>
      </c>
    </row>
    <row r="1024" spans="1:45" ht="14.5">
      <c r="A1024" s="9" t="s">
        <v>4601</v>
      </c>
      <c r="B1024" s="9" t="s">
        <v>4602</v>
      </c>
      <c r="C1024" s="9" t="s">
        <v>4603</v>
      </c>
      <c r="D1024" s="9" t="s">
        <v>4371</v>
      </c>
      <c r="E1024" s="9" t="s">
        <v>49</v>
      </c>
      <c r="F1024" s="9" t="s">
        <v>69</v>
      </c>
      <c r="G1024" s="9" t="s">
        <v>70</v>
      </c>
      <c r="H1024" s="9" t="s">
        <v>4372</v>
      </c>
      <c r="I1024" s="9" t="s">
        <v>291</v>
      </c>
      <c r="J1024" s="10"/>
      <c r="K1024" s="10"/>
      <c r="L1024" s="10">
        <v>44340.526145833333</v>
      </c>
      <c r="M1024" s="10">
        <v>44355</v>
      </c>
      <c r="N1024" s="9">
        <v>2021</v>
      </c>
      <c r="O1024" s="9" t="s">
        <v>4373</v>
      </c>
      <c r="P1024" s="9" t="s">
        <v>53</v>
      </c>
      <c r="Q1024" s="9" t="s">
        <v>53</v>
      </c>
      <c r="R1024" s="9" t="s">
        <v>4604</v>
      </c>
      <c r="T1024" s="9"/>
      <c r="V1024" s="9"/>
      <c r="W1024" s="11">
        <f>IFERROR(VLOOKUP(B1024, PlumX_snapshot!$A:$B, 2, FALSE), " ")</f>
        <v>5</v>
      </c>
      <c r="X1024" s="11">
        <f>IFERROR(VLOOKUP(B1024, PlumX_snapshot!$A:$C, 3, FALSE), " ")</f>
        <v>0</v>
      </c>
      <c r="Y1024" s="12">
        <f>IFERROR(VLOOKUP(B1024, PlumX_snapshot!$A:$D, 4, FALSE), " ")</f>
        <v>0</v>
      </c>
      <c r="Z1024" s="12">
        <f>IFERROR(VLOOKUP(B1024, PlumX_snapshot!$A:$E, 5, FALSE), " ")</f>
        <v>0</v>
      </c>
      <c r="AA1024" s="12">
        <f>IFERROR(VLOOKUP(B1024, PlumX_snapshot!$A:$F, 6, FALSE), " ")</f>
        <v>0</v>
      </c>
      <c r="AB1024" s="13">
        <v>44978</v>
      </c>
      <c r="AC1024" s="9" t="s">
        <v>4605</v>
      </c>
      <c r="AD1024" s="9" t="s">
        <v>4606</v>
      </c>
      <c r="AE1024" s="9" t="s">
        <v>4501</v>
      </c>
      <c r="AH1024" s="9">
        <v>2295</v>
      </c>
      <c r="AI1024" s="9" t="s">
        <v>77</v>
      </c>
      <c r="AJ1024" s="9" t="s">
        <v>301</v>
      </c>
      <c r="AK1024" s="11" t="str">
        <f t="shared" si="8"/>
        <v>2021GBP</v>
      </c>
      <c r="AL1024" s="11">
        <f>VLOOKUP(AK1024, Exchange_rates!$C:$D, 2, FALSE)</f>
        <v>1</v>
      </c>
      <c r="AM1024" s="14">
        <f t="shared" si="9"/>
        <v>2754</v>
      </c>
      <c r="AN1024" s="9"/>
      <c r="AO1024" s="9"/>
      <c r="AP1024" s="9"/>
      <c r="AQ1024" s="15" t="s">
        <v>49</v>
      </c>
      <c r="AR1024" t="s">
        <v>4607</v>
      </c>
      <c r="AS1024" s="16" t="s">
        <v>4608</v>
      </c>
    </row>
    <row r="1025" spans="1:45" ht="14.5">
      <c r="A1025" s="9" t="s">
        <v>4609</v>
      </c>
      <c r="B1025" s="9" t="s">
        <v>4610</v>
      </c>
      <c r="C1025" s="9" t="s">
        <v>4611</v>
      </c>
      <c r="D1025" s="9" t="s">
        <v>4371</v>
      </c>
      <c r="E1025" s="9" t="s">
        <v>49</v>
      </c>
      <c r="F1025" s="9" t="s">
        <v>69</v>
      </c>
      <c r="G1025" s="9" t="s">
        <v>70</v>
      </c>
      <c r="H1025" s="9" t="s">
        <v>4372</v>
      </c>
      <c r="I1025" s="9" t="s">
        <v>72</v>
      </c>
      <c r="J1025" s="10"/>
      <c r="K1025" s="10"/>
      <c r="L1025" s="10">
        <v>44340.508703703701</v>
      </c>
      <c r="M1025" s="10">
        <v>44350</v>
      </c>
      <c r="N1025" s="9">
        <v>2021</v>
      </c>
      <c r="O1025" s="9" t="s">
        <v>4373</v>
      </c>
      <c r="P1025" s="9" t="s">
        <v>53</v>
      </c>
      <c r="Q1025" s="9" t="s">
        <v>83</v>
      </c>
      <c r="T1025" s="9"/>
      <c r="V1025" s="9"/>
      <c r="W1025" s="11">
        <f>IFERROR(VLOOKUP(B1025, PlumX_snapshot!$A:$B, 2, FALSE), " ")</f>
        <v>12</v>
      </c>
      <c r="X1025" s="11">
        <f>IFERROR(VLOOKUP(B1025, PlumX_snapshot!$A:$C, 3, FALSE), " ")</f>
        <v>4</v>
      </c>
      <c r="Y1025" s="12">
        <f>IFERROR(VLOOKUP(B1025, PlumX_snapshot!$A:$D, 4, FALSE), " ")</f>
        <v>10</v>
      </c>
      <c r="Z1025" s="12">
        <f>IFERROR(VLOOKUP(B1025, PlumX_snapshot!$A:$E, 5, FALSE), " ")</f>
        <v>0</v>
      </c>
      <c r="AA1025" s="12">
        <f>IFERROR(VLOOKUP(B1025, PlumX_snapshot!$A:$F, 6, FALSE), " ")</f>
        <v>0</v>
      </c>
      <c r="AB1025" s="13">
        <v>44978</v>
      </c>
      <c r="AC1025" s="9" t="s">
        <v>4567</v>
      </c>
      <c r="AD1025" s="9" t="s">
        <v>4568</v>
      </c>
      <c r="AE1025" s="9" t="s">
        <v>4569</v>
      </c>
      <c r="AH1025" s="9">
        <v>2295</v>
      </c>
      <c r="AI1025" s="9" t="s">
        <v>77</v>
      </c>
      <c r="AJ1025" s="9" t="s">
        <v>301</v>
      </c>
      <c r="AK1025" s="11" t="str">
        <f t="shared" si="8"/>
        <v>2021GBP</v>
      </c>
      <c r="AL1025" s="11">
        <f>VLOOKUP(AK1025, Exchange_rates!$C:$D, 2, FALSE)</f>
        <v>1</v>
      </c>
      <c r="AM1025" s="14">
        <f t="shared" si="9"/>
        <v>2754</v>
      </c>
      <c r="AN1025" s="9"/>
      <c r="AO1025" s="9"/>
      <c r="AP1025" s="9"/>
      <c r="AQ1025" s="15" t="s">
        <v>49</v>
      </c>
      <c r="AR1025" t="s">
        <v>4612</v>
      </c>
      <c r="AS1025" s="16" t="s">
        <v>4613</v>
      </c>
    </row>
    <row r="1026" spans="1:45" ht="14.5">
      <c r="A1026" s="9" t="s">
        <v>4614</v>
      </c>
      <c r="B1026" s="9" t="s">
        <v>4615</v>
      </c>
      <c r="C1026" s="9" t="s">
        <v>4616</v>
      </c>
      <c r="D1026" s="9" t="s">
        <v>4371</v>
      </c>
      <c r="E1026" s="9" t="s">
        <v>49</v>
      </c>
      <c r="F1026" s="9" t="s">
        <v>69</v>
      </c>
      <c r="G1026" s="9" t="s">
        <v>70</v>
      </c>
      <c r="H1026" s="9" t="s">
        <v>4372</v>
      </c>
      <c r="I1026" s="9" t="s">
        <v>291</v>
      </c>
      <c r="J1026" s="10"/>
      <c r="K1026" s="10"/>
      <c r="L1026" s="10">
        <v>44333.664814814816</v>
      </c>
      <c r="M1026" s="10">
        <v>44277</v>
      </c>
      <c r="N1026" s="9">
        <v>2021</v>
      </c>
      <c r="O1026" s="9" t="s">
        <v>4373</v>
      </c>
      <c r="P1026" s="9" t="s">
        <v>53</v>
      </c>
      <c r="Q1026" s="9" t="s">
        <v>53</v>
      </c>
      <c r="T1026" s="9"/>
      <c r="V1026" s="9"/>
      <c r="W1026" s="11">
        <f>IFERROR(VLOOKUP(B1026, PlumX_snapshot!$A:$B, 2, FALSE), " ")</f>
        <v>4</v>
      </c>
      <c r="X1026" s="11">
        <f>IFERROR(VLOOKUP(B1026, PlumX_snapshot!$A:$C, 3, FALSE), " ")</f>
        <v>0</v>
      </c>
      <c r="Y1026" s="12">
        <f>IFERROR(VLOOKUP(B1026, PlumX_snapshot!$A:$D, 4, FALSE), " ")</f>
        <v>0</v>
      </c>
      <c r="Z1026" s="12">
        <f>IFERROR(VLOOKUP(B1026, PlumX_snapshot!$A:$E, 5, FALSE), " ")</f>
        <v>0</v>
      </c>
      <c r="AA1026" s="12">
        <f>IFERROR(VLOOKUP(B1026, PlumX_snapshot!$A:$F, 6, FALSE), " ")</f>
        <v>0</v>
      </c>
      <c r="AB1026" s="13">
        <v>44978</v>
      </c>
      <c r="AC1026" s="9" t="s">
        <v>4617</v>
      </c>
      <c r="AD1026" s="9" t="s">
        <v>4618</v>
      </c>
      <c r="AE1026" s="9" t="s">
        <v>4501</v>
      </c>
      <c r="AH1026" s="9">
        <v>2533</v>
      </c>
      <c r="AI1026" s="9" t="s">
        <v>1999</v>
      </c>
      <c r="AJ1026" s="9" t="s">
        <v>301</v>
      </c>
      <c r="AK1026" s="11" t="str">
        <f t="shared" si="8"/>
        <v>2021GBP</v>
      </c>
      <c r="AL1026" s="11">
        <f>VLOOKUP(AK1026, Exchange_rates!$C:$D, 2, FALSE)</f>
        <v>1</v>
      </c>
      <c r="AM1026" s="14">
        <f t="shared" si="9"/>
        <v>3039.6</v>
      </c>
      <c r="AN1026" s="9"/>
      <c r="AO1026" s="9"/>
      <c r="AP1026" s="9"/>
      <c r="AQ1026" s="15" t="s">
        <v>49</v>
      </c>
      <c r="AR1026" t="s">
        <v>4619</v>
      </c>
      <c r="AS1026" s="16" t="s">
        <v>4620</v>
      </c>
    </row>
    <row r="1027" spans="1:45" ht="14.5">
      <c r="A1027" s="9" t="s">
        <v>4621</v>
      </c>
      <c r="B1027" s="9" t="s">
        <v>4622</v>
      </c>
      <c r="C1027" s="9" t="s">
        <v>4623</v>
      </c>
      <c r="D1027" s="9" t="s">
        <v>4371</v>
      </c>
      <c r="E1027" s="9" t="s">
        <v>49</v>
      </c>
      <c r="F1027" s="9" t="s">
        <v>69</v>
      </c>
      <c r="G1027" s="9" t="s">
        <v>70</v>
      </c>
      <c r="H1027" s="9" t="s">
        <v>4372</v>
      </c>
      <c r="I1027" s="9" t="s">
        <v>291</v>
      </c>
      <c r="J1027" s="10"/>
      <c r="K1027" s="10"/>
      <c r="L1027" s="10">
        <v>44333.662928240738</v>
      </c>
      <c r="M1027" s="10">
        <v>44353</v>
      </c>
      <c r="N1027" s="9">
        <v>2021</v>
      </c>
      <c r="O1027" s="9" t="s">
        <v>4373</v>
      </c>
      <c r="P1027" s="9" t="s">
        <v>53</v>
      </c>
      <c r="Q1027" s="9" t="s">
        <v>53</v>
      </c>
      <c r="R1027" s="9" t="s">
        <v>92</v>
      </c>
      <c r="T1027" s="9"/>
      <c r="V1027" s="9"/>
      <c r="W1027" s="11">
        <f>IFERROR(VLOOKUP(B1027, PlumX_snapshot!$A:$B, 2, FALSE), " ")</f>
        <v>3</v>
      </c>
      <c r="X1027" s="11">
        <f>IFERROR(VLOOKUP(B1027, PlumX_snapshot!$A:$C, 3, FALSE), " ")</f>
        <v>0</v>
      </c>
      <c r="Y1027" s="12">
        <f>IFERROR(VLOOKUP(B1027, PlumX_snapshot!$A:$D, 4, FALSE), " ")</f>
        <v>1</v>
      </c>
      <c r="Z1027" s="12">
        <f>IFERROR(VLOOKUP(B1027, PlumX_snapshot!$A:$E, 5, FALSE), " ")</f>
        <v>0</v>
      </c>
      <c r="AA1027" s="12">
        <f>IFERROR(VLOOKUP(B1027, PlumX_snapshot!$A:$F, 6, FALSE), " ")</f>
        <v>0</v>
      </c>
      <c r="AB1027" s="13">
        <v>44978</v>
      </c>
      <c r="AC1027" s="9" t="s">
        <v>702</v>
      </c>
      <c r="AD1027" s="9" t="s">
        <v>703</v>
      </c>
      <c r="AE1027" s="9" t="s">
        <v>4501</v>
      </c>
      <c r="AH1027" s="9">
        <v>2533</v>
      </c>
      <c r="AI1027" s="9" t="s">
        <v>1999</v>
      </c>
      <c r="AJ1027" s="9" t="s">
        <v>301</v>
      </c>
      <c r="AK1027" s="11" t="str">
        <f t="shared" si="8"/>
        <v>2021GBP</v>
      </c>
      <c r="AL1027" s="11">
        <f>VLOOKUP(AK1027, Exchange_rates!$C:$D, 2, FALSE)</f>
        <v>1</v>
      </c>
      <c r="AM1027" s="14">
        <f t="shared" si="9"/>
        <v>3039.6</v>
      </c>
      <c r="AN1027" s="9"/>
      <c r="AO1027" s="9"/>
      <c r="AP1027" s="9"/>
      <c r="AQ1027" s="15" t="s">
        <v>49</v>
      </c>
      <c r="AR1027" t="s">
        <v>4624</v>
      </c>
      <c r="AS1027" s="16" t="s">
        <v>4625</v>
      </c>
    </row>
    <row r="1028" spans="1:45" ht="14.5">
      <c r="A1028" s="9" t="s">
        <v>4626</v>
      </c>
      <c r="B1028" s="9" t="s">
        <v>4627</v>
      </c>
      <c r="C1028" s="9" t="s">
        <v>4628</v>
      </c>
      <c r="D1028" s="9" t="s">
        <v>4371</v>
      </c>
      <c r="E1028" s="9" t="s">
        <v>49</v>
      </c>
      <c r="F1028" s="9" t="s">
        <v>69</v>
      </c>
      <c r="G1028" s="9" t="s">
        <v>70</v>
      </c>
      <c r="H1028" s="9" t="s">
        <v>4372</v>
      </c>
      <c r="I1028" s="9" t="s">
        <v>291</v>
      </c>
      <c r="J1028" s="10"/>
      <c r="K1028" s="10"/>
      <c r="L1028" s="10">
        <v>44333.661759259259</v>
      </c>
      <c r="M1028" s="10">
        <v>44380</v>
      </c>
      <c r="N1028" s="9">
        <v>2021</v>
      </c>
      <c r="O1028" s="9" t="s">
        <v>4373</v>
      </c>
      <c r="P1028" s="9" t="s">
        <v>53</v>
      </c>
      <c r="Q1028" s="9" t="s">
        <v>53</v>
      </c>
      <c r="R1028" s="9" t="s">
        <v>92</v>
      </c>
      <c r="T1028" s="9"/>
      <c r="V1028" s="9"/>
      <c r="W1028" s="11">
        <f>IFERROR(VLOOKUP(B1028, PlumX_snapshot!$A:$B, 2, FALSE), " ")</f>
        <v>1</v>
      </c>
      <c r="X1028" s="11">
        <f>IFERROR(VLOOKUP(B1028, PlumX_snapshot!$A:$C, 3, FALSE), " ")</f>
        <v>0</v>
      </c>
      <c r="Y1028" s="12">
        <f>IFERROR(VLOOKUP(B1028, PlumX_snapshot!$A:$D, 4, FALSE), " ")</f>
        <v>159</v>
      </c>
      <c r="Z1028" s="12">
        <f>IFERROR(VLOOKUP(B1028, PlumX_snapshot!$A:$E, 5, FALSE), " ")</f>
        <v>0</v>
      </c>
      <c r="AA1028" s="12">
        <f>IFERROR(VLOOKUP(B1028, PlumX_snapshot!$A:$F, 6, FALSE), " ")</f>
        <v>0</v>
      </c>
      <c r="AB1028" s="13">
        <v>44978</v>
      </c>
      <c r="AC1028" s="9" t="s">
        <v>4629</v>
      </c>
      <c r="AD1028" s="9" t="s">
        <v>4630</v>
      </c>
      <c r="AE1028" s="9" t="s">
        <v>4631</v>
      </c>
      <c r="AH1028" s="9">
        <v>2533</v>
      </c>
      <c r="AI1028" s="9" t="s">
        <v>1999</v>
      </c>
      <c r="AJ1028" s="9" t="s">
        <v>301</v>
      </c>
      <c r="AK1028" s="11" t="str">
        <f t="shared" si="8"/>
        <v>2021GBP</v>
      </c>
      <c r="AL1028" s="11">
        <f>VLOOKUP(AK1028, Exchange_rates!$C:$D, 2, FALSE)</f>
        <v>1</v>
      </c>
      <c r="AM1028" s="14">
        <f t="shared" si="9"/>
        <v>3039.6</v>
      </c>
      <c r="AN1028" s="9"/>
      <c r="AO1028" s="9"/>
      <c r="AP1028" s="9"/>
      <c r="AQ1028" s="15" t="s">
        <v>49</v>
      </c>
      <c r="AR1028" t="s">
        <v>4632</v>
      </c>
      <c r="AS1028" s="16" t="s">
        <v>4633</v>
      </c>
    </row>
    <row r="1029" spans="1:45" ht="14.5">
      <c r="A1029" s="9" t="s">
        <v>4634</v>
      </c>
      <c r="B1029" s="9" t="s">
        <v>4635</v>
      </c>
      <c r="C1029" s="9" t="s">
        <v>4636</v>
      </c>
      <c r="D1029" s="9" t="s">
        <v>4371</v>
      </c>
      <c r="E1029" s="9" t="s">
        <v>49</v>
      </c>
      <c r="F1029" s="9" t="s">
        <v>69</v>
      </c>
      <c r="G1029" s="9" t="s">
        <v>70</v>
      </c>
      <c r="H1029" s="9" t="s">
        <v>4372</v>
      </c>
      <c r="I1029" s="9" t="s">
        <v>291</v>
      </c>
      <c r="J1029" s="10"/>
      <c r="K1029" s="10"/>
      <c r="L1029" s="10">
        <v>44333.660752314812</v>
      </c>
      <c r="M1029" s="10">
        <v>44198</v>
      </c>
      <c r="N1029" s="9">
        <v>2021</v>
      </c>
      <c r="O1029" s="9" t="s">
        <v>4373</v>
      </c>
      <c r="P1029" s="9" t="s">
        <v>53</v>
      </c>
      <c r="Q1029" s="9" t="s">
        <v>53</v>
      </c>
      <c r="R1029" s="9" t="s">
        <v>92</v>
      </c>
      <c r="T1029" s="9"/>
      <c r="V1029" s="9"/>
      <c r="W1029" s="11">
        <f>IFERROR(VLOOKUP(B1029, PlumX_snapshot!$A:$B, 2, FALSE), " ")</f>
        <v>11</v>
      </c>
      <c r="X1029" s="11">
        <f>IFERROR(VLOOKUP(B1029, PlumX_snapshot!$A:$C, 3, FALSE), " ")</f>
        <v>3</v>
      </c>
      <c r="Y1029" s="12">
        <f>IFERROR(VLOOKUP(B1029, PlumX_snapshot!$A:$D, 4, FALSE), " ")</f>
        <v>153</v>
      </c>
      <c r="Z1029" s="12">
        <f>IFERROR(VLOOKUP(B1029, PlumX_snapshot!$A:$E, 5, FALSE), " ")</f>
        <v>0</v>
      </c>
      <c r="AA1029" s="12">
        <f>IFERROR(VLOOKUP(B1029, PlumX_snapshot!$A:$F, 6, FALSE), " ")</f>
        <v>1</v>
      </c>
      <c r="AB1029" s="13">
        <v>44978</v>
      </c>
      <c r="AC1029" s="9" t="s">
        <v>532</v>
      </c>
      <c r="AD1029" s="9" t="s">
        <v>533</v>
      </c>
      <c r="AE1029" s="9" t="s">
        <v>4501</v>
      </c>
      <c r="AH1029" s="9">
        <v>2533</v>
      </c>
      <c r="AI1029" s="9" t="s">
        <v>1999</v>
      </c>
      <c r="AJ1029" s="9" t="s">
        <v>301</v>
      </c>
      <c r="AK1029" s="11" t="str">
        <f t="shared" si="8"/>
        <v>2021GBP</v>
      </c>
      <c r="AL1029" s="11">
        <f>VLOOKUP(AK1029, Exchange_rates!$C:$D, 2, FALSE)</f>
        <v>1</v>
      </c>
      <c r="AM1029" s="14">
        <f t="shared" si="9"/>
        <v>3039.6</v>
      </c>
      <c r="AN1029" s="9"/>
      <c r="AO1029" s="9"/>
      <c r="AP1029" s="9"/>
      <c r="AQ1029" s="15" t="s">
        <v>49</v>
      </c>
      <c r="AR1029" t="s">
        <v>4637</v>
      </c>
      <c r="AS1029" s="16" t="s">
        <v>4638</v>
      </c>
    </row>
    <row r="1030" spans="1:45" ht="14.5">
      <c r="A1030" s="9" t="s">
        <v>4639</v>
      </c>
      <c r="B1030" s="9" t="s">
        <v>4640</v>
      </c>
      <c r="C1030" s="9" t="s">
        <v>4432</v>
      </c>
      <c r="D1030" s="9" t="s">
        <v>4371</v>
      </c>
      <c r="E1030" s="9" t="s">
        <v>49</v>
      </c>
      <c r="F1030" s="9" t="s">
        <v>69</v>
      </c>
      <c r="G1030" s="9" t="s">
        <v>70</v>
      </c>
      <c r="H1030" s="9" t="s">
        <v>4372</v>
      </c>
      <c r="I1030" s="9" t="s">
        <v>72</v>
      </c>
      <c r="J1030" s="10"/>
      <c r="K1030" s="10"/>
      <c r="L1030" s="10">
        <v>44333.660057870373</v>
      </c>
      <c r="M1030" s="28">
        <v>44485</v>
      </c>
      <c r="N1030" s="9">
        <v>2021</v>
      </c>
      <c r="O1030" s="9" t="s">
        <v>4373</v>
      </c>
      <c r="P1030" s="9" t="s">
        <v>53</v>
      </c>
      <c r="Q1030" s="9" t="s">
        <v>53</v>
      </c>
      <c r="R1030" s="9" t="s">
        <v>92</v>
      </c>
      <c r="T1030" s="9"/>
      <c r="V1030" s="9"/>
      <c r="W1030" s="11">
        <f>IFERROR(VLOOKUP(B1030, PlumX_snapshot!$A:$B, 2, FALSE), " ")</f>
        <v>10</v>
      </c>
      <c r="X1030" s="11">
        <f>IFERROR(VLOOKUP(B1030, PlumX_snapshot!$A:$C, 3, FALSE), " ")</f>
        <v>1</v>
      </c>
      <c r="Y1030" s="12">
        <f>IFERROR(VLOOKUP(B1030, PlumX_snapshot!$A:$D, 4, FALSE), " ")</f>
        <v>0</v>
      </c>
      <c r="Z1030" s="12">
        <f>IFERROR(VLOOKUP(B1030, PlumX_snapshot!$A:$E, 5, FALSE), " ")</f>
        <v>0</v>
      </c>
      <c r="AA1030" s="12">
        <f>IFERROR(VLOOKUP(B1030, PlumX_snapshot!$A:$F, 6, FALSE), " ")</f>
        <v>0</v>
      </c>
      <c r="AB1030" s="13">
        <v>44978</v>
      </c>
      <c r="AC1030" s="9" t="s">
        <v>4641</v>
      </c>
      <c r="AD1030" s="9" t="s">
        <v>4642</v>
      </c>
      <c r="AE1030" s="9" t="s">
        <v>4643</v>
      </c>
      <c r="AH1030" s="9">
        <v>2533</v>
      </c>
      <c r="AI1030" s="9" t="s">
        <v>1999</v>
      </c>
      <c r="AJ1030" s="9" t="s">
        <v>301</v>
      </c>
      <c r="AK1030" s="11" t="str">
        <f t="shared" si="8"/>
        <v>2021GBP</v>
      </c>
      <c r="AL1030" s="11">
        <f>VLOOKUP(AK1030, Exchange_rates!$C:$D, 2, FALSE)</f>
        <v>1</v>
      </c>
      <c r="AM1030" s="14">
        <f t="shared" si="9"/>
        <v>3039.6</v>
      </c>
      <c r="AN1030" s="9"/>
      <c r="AO1030" s="9"/>
      <c r="AP1030" s="9"/>
      <c r="AQ1030" s="15" t="s">
        <v>49</v>
      </c>
      <c r="AR1030" t="s">
        <v>4434</v>
      </c>
      <c r="AS1030" s="16" t="s">
        <v>4435</v>
      </c>
    </row>
    <row r="1031" spans="1:45" ht="14.5">
      <c r="A1031" s="9" t="s">
        <v>4644</v>
      </c>
      <c r="B1031" s="9" t="s">
        <v>4645</v>
      </c>
      <c r="C1031" s="9" t="s">
        <v>4646</v>
      </c>
      <c r="D1031" s="9" t="s">
        <v>4371</v>
      </c>
      <c r="E1031" s="9" t="s">
        <v>49</v>
      </c>
      <c r="F1031" s="9" t="s">
        <v>69</v>
      </c>
      <c r="G1031" s="9" t="s">
        <v>70</v>
      </c>
      <c r="H1031" s="9" t="s">
        <v>4372</v>
      </c>
      <c r="I1031" s="9" t="s">
        <v>291</v>
      </c>
      <c r="J1031" s="10"/>
      <c r="K1031" s="10"/>
      <c r="L1031" s="10">
        <v>44333.659097222226</v>
      </c>
      <c r="M1031" s="10">
        <v>44260</v>
      </c>
      <c r="N1031" s="9">
        <v>2021</v>
      </c>
      <c r="O1031" s="9" t="s">
        <v>4373</v>
      </c>
      <c r="P1031" s="9" t="s">
        <v>53</v>
      </c>
      <c r="Q1031" s="9" t="s">
        <v>53</v>
      </c>
      <c r="R1031" s="9" t="s">
        <v>92</v>
      </c>
      <c r="T1031" s="9"/>
      <c r="V1031" s="9"/>
      <c r="W1031" s="11">
        <f>IFERROR(VLOOKUP(B1031, PlumX_snapshot!$A:$B, 2, FALSE), " ")</f>
        <v>3</v>
      </c>
      <c r="X1031" s="11">
        <f>IFERROR(VLOOKUP(B1031, PlumX_snapshot!$A:$C, 3, FALSE), " ")</f>
        <v>0</v>
      </c>
      <c r="Y1031" s="12">
        <f>IFERROR(VLOOKUP(B1031, PlumX_snapshot!$A:$D, 4, FALSE), " ")</f>
        <v>604</v>
      </c>
      <c r="Z1031" s="12">
        <f>IFERROR(VLOOKUP(B1031, PlumX_snapshot!$A:$E, 5, FALSE), " ")</f>
        <v>0</v>
      </c>
      <c r="AA1031" s="12">
        <f>IFERROR(VLOOKUP(B1031, PlumX_snapshot!$A:$F, 6, FALSE), " ")</f>
        <v>0</v>
      </c>
      <c r="AB1031" s="13">
        <v>44978</v>
      </c>
      <c r="AC1031" s="9" t="s">
        <v>532</v>
      </c>
      <c r="AD1031" s="9" t="s">
        <v>4647</v>
      </c>
      <c r="AE1031" s="9" t="s">
        <v>4501</v>
      </c>
      <c r="AH1031" s="9">
        <v>2533</v>
      </c>
      <c r="AI1031" s="9" t="s">
        <v>1999</v>
      </c>
      <c r="AJ1031" s="9" t="s">
        <v>301</v>
      </c>
      <c r="AK1031" s="11" t="str">
        <f t="shared" si="8"/>
        <v>2021GBP</v>
      </c>
      <c r="AL1031" s="11">
        <f>VLOOKUP(AK1031, Exchange_rates!$C:$D, 2, FALSE)</f>
        <v>1</v>
      </c>
      <c r="AM1031" s="14">
        <f t="shared" si="9"/>
        <v>3039.6</v>
      </c>
      <c r="AN1031" s="9"/>
      <c r="AO1031" s="9"/>
      <c r="AP1031" s="9"/>
      <c r="AQ1031" s="15" t="s">
        <v>49</v>
      </c>
      <c r="AR1031" t="s">
        <v>4648</v>
      </c>
      <c r="AS1031" s="16" t="s">
        <v>4649</v>
      </c>
    </row>
    <row r="1032" spans="1:45" ht="14.5">
      <c r="A1032" s="9" t="s">
        <v>4650</v>
      </c>
      <c r="B1032" s="9" t="s">
        <v>4651</v>
      </c>
      <c r="C1032" s="9" t="s">
        <v>4652</v>
      </c>
      <c r="D1032" s="9" t="s">
        <v>4371</v>
      </c>
      <c r="E1032" s="9" t="s">
        <v>49</v>
      </c>
      <c r="F1032" s="9" t="s">
        <v>69</v>
      </c>
      <c r="G1032" s="9" t="s">
        <v>70</v>
      </c>
      <c r="H1032" s="9" t="s">
        <v>4372</v>
      </c>
      <c r="I1032" s="9" t="s">
        <v>291</v>
      </c>
      <c r="J1032" s="10"/>
      <c r="K1032" s="10"/>
      <c r="L1032" s="10">
        <v>44333.654814814814</v>
      </c>
      <c r="M1032" s="10">
        <v>44266</v>
      </c>
      <c r="N1032" s="9">
        <v>2021</v>
      </c>
      <c r="O1032" s="9" t="s">
        <v>4373</v>
      </c>
      <c r="P1032" s="9" t="s">
        <v>53</v>
      </c>
      <c r="Q1032" s="9" t="s">
        <v>53</v>
      </c>
      <c r="R1032" s="9" t="s">
        <v>92</v>
      </c>
      <c r="T1032" s="9"/>
      <c r="V1032" s="9"/>
      <c r="W1032" s="11">
        <f>IFERROR(VLOOKUP(B1032, PlumX_snapshot!$A:$B, 2, FALSE), " ")</f>
        <v>18</v>
      </c>
      <c r="X1032" s="11">
        <f>IFERROR(VLOOKUP(B1032, PlumX_snapshot!$A:$C, 3, FALSE), " ")</f>
        <v>6</v>
      </c>
      <c r="Y1032" s="12">
        <f>IFERROR(VLOOKUP(B1032, PlumX_snapshot!$A:$D, 4, FALSE), " ")</f>
        <v>97</v>
      </c>
      <c r="Z1032" s="12">
        <f>IFERROR(VLOOKUP(B1032, PlumX_snapshot!$A:$E, 5, FALSE), " ")</f>
        <v>0</v>
      </c>
      <c r="AA1032" s="12">
        <f>IFERROR(VLOOKUP(B1032, PlumX_snapshot!$A:$F, 6, FALSE), " ")</f>
        <v>1</v>
      </c>
      <c r="AB1032" s="13">
        <v>44978</v>
      </c>
      <c r="AC1032" s="9" t="s">
        <v>433</v>
      </c>
      <c r="AD1032" s="9" t="s">
        <v>434</v>
      </c>
      <c r="AE1032" s="9" t="s">
        <v>4501</v>
      </c>
      <c r="AH1032" s="9">
        <v>2533</v>
      </c>
      <c r="AI1032" s="9" t="s">
        <v>1999</v>
      </c>
      <c r="AJ1032" s="9" t="s">
        <v>301</v>
      </c>
      <c r="AK1032" s="11" t="str">
        <f t="shared" si="8"/>
        <v>2021GBP</v>
      </c>
      <c r="AL1032" s="11">
        <f>VLOOKUP(AK1032, Exchange_rates!$C:$D, 2, FALSE)</f>
        <v>1</v>
      </c>
      <c r="AM1032" s="14">
        <f t="shared" si="9"/>
        <v>3039.6</v>
      </c>
      <c r="AN1032" s="9"/>
      <c r="AO1032" s="9"/>
      <c r="AP1032" s="9"/>
      <c r="AQ1032" s="15" t="s">
        <v>49</v>
      </c>
      <c r="AR1032" t="s">
        <v>4653</v>
      </c>
      <c r="AS1032" s="16" t="s">
        <v>4654</v>
      </c>
    </row>
    <row r="1033" spans="1:45" ht="14.5">
      <c r="A1033" s="9" t="s">
        <v>4655</v>
      </c>
      <c r="B1033" s="9" t="s">
        <v>4656</v>
      </c>
      <c r="C1033" s="9" t="s">
        <v>4657</v>
      </c>
      <c r="D1033" s="9" t="s">
        <v>4371</v>
      </c>
      <c r="E1033" s="9" t="s">
        <v>49</v>
      </c>
      <c r="F1033" s="9" t="s">
        <v>69</v>
      </c>
      <c r="G1033" s="9" t="s">
        <v>70</v>
      </c>
      <c r="H1033" s="9" t="s">
        <v>4372</v>
      </c>
      <c r="I1033" s="9" t="s">
        <v>291</v>
      </c>
      <c r="J1033" s="10"/>
      <c r="K1033" s="10"/>
      <c r="L1033" s="10">
        <v>44333.64638888889</v>
      </c>
      <c r="M1033" s="10">
        <v>44198</v>
      </c>
      <c r="N1033" s="9">
        <v>2021</v>
      </c>
      <c r="O1033" s="9" t="s">
        <v>4373</v>
      </c>
      <c r="P1033" s="9" t="s">
        <v>53</v>
      </c>
      <c r="Q1033" s="9" t="s">
        <v>53</v>
      </c>
      <c r="R1033" s="9" t="s">
        <v>92</v>
      </c>
      <c r="T1033" s="9"/>
      <c r="V1033" s="9"/>
      <c r="W1033" s="11">
        <f>IFERROR(VLOOKUP(B1033, PlumX_snapshot!$A:$B, 2, FALSE), " ")</f>
        <v>3</v>
      </c>
      <c r="X1033" s="11">
        <f>IFERROR(VLOOKUP(B1033, PlumX_snapshot!$A:$C, 3, FALSE), " ")</f>
        <v>1</v>
      </c>
      <c r="Y1033" s="12">
        <f>IFERROR(VLOOKUP(B1033, PlumX_snapshot!$A:$D, 4, FALSE), " ")</f>
        <v>21</v>
      </c>
      <c r="Z1033" s="12">
        <f>IFERROR(VLOOKUP(B1033, PlumX_snapshot!$A:$E, 5, FALSE), " ")</f>
        <v>0</v>
      </c>
      <c r="AA1033" s="12">
        <f>IFERROR(VLOOKUP(B1033, PlumX_snapshot!$A:$F, 6, FALSE), " ")</f>
        <v>0</v>
      </c>
      <c r="AB1033" s="13">
        <v>44978</v>
      </c>
      <c r="AC1033" s="9" t="s">
        <v>4658</v>
      </c>
      <c r="AD1033" s="9" t="s">
        <v>4659</v>
      </c>
      <c r="AE1033" s="9" t="s">
        <v>4501</v>
      </c>
      <c r="AH1033" s="9">
        <v>2533</v>
      </c>
      <c r="AI1033" s="9" t="s">
        <v>1999</v>
      </c>
      <c r="AJ1033" s="9" t="s">
        <v>301</v>
      </c>
      <c r="AK1033" s="11" t="str">
        <f t="shared" si="8"/>
        <v>2021GBP</v>
      </c>
      <c r="AL1033" s="11">
        <f>VLOOKUP(AK1033, Exchange_rates!$C:$D, 2, FALSE)</f>
        <v>1</v>
      </c>
      <c r="AM1033" s="14">
        <f t="shared" si="9"/>
        <v>3039.6</v>
      </c>
      <c r="AN1033" s="9"/>
      <c r="AO1033" s="9"/>
      <c r="AP1033" s="9"/>
      <c r="AQ1033" s="15" t="s">
        <v>49</v>
      </c>
      <c r="AR1033" t="s">
        <v>4660</v>
      </c>
      <c r="AS1033" s="16" t="s">
        <v>4661</v>
      </c>
    </row>
    <row r="1034" spans="1:45" ht="14.5">
      <c r="A1034" s="9" t="s">
        <v>4662</v>
      </c>
      <c r="B1034" s="9" t="s">
        <v>4663</v>
      </c>
      <c r="C1034" s="9" t="s">
        <v>4664</v>
      </c>
      <c r="D1034" s="9" t="s">
        <v>4371</v>
      </c>
      <c r="E1034" s="9" t="s">
        <v>49</v>
      </c>
      <c r="F1034" s="9" t="s">
        <v>69</v>
      </c>
      <c r="G1034" s="9" t="s">
        <v>70</v>
      </c>
      <c r="H1034" s="9" t="s">
        <v>4372</v>
      </c>
      <c r="I1034" s="9" t="s">
        <v>291</v>
      </c>
      <c r="J1034" s="10"/>
      <c r="K1034" s="10"/>
      <c r="L1034" s="10">
        <v>44333.645115740743</v>
      </c>
      <c r="M1034" s="10">
        <v>44347</v>
      </c>
      <c r="N1034" s="9">
        <v>2021</v>
      </c>
      <c r="O1034" s="9" t="s">
        <v>4373</v>
      </c>
      <c r="P1034" s="9" t="s">
        <v>53</v>
      </c>
      <c r="Q1034" s="9" t="s">
        <v>53</v>
      </c>
      <c r="R1034" s="9" t="s">
        <v>92</v>
      </c>
      <c r="T1034" s="9"/>
      <c r="V1034" s="9"/>
      <c r="W1034" s="11">
        <f>IFERROR(VLOOKUP(B1034, PlumX_snapshot!$A:$B, 2, FALSE), " ")</f>
        <v>59</v>
      </c>
      <c r="X1034" s="11">
        <f>IFERROR(VLOOKUP(B1034, PlumX_snapshot!$A:$C, 3, FALSE), " ")</f>
        <v>10</v>
      </c>
      <c r="Y1034" s="12">
        <f>IFERROR(VLOOKUP(B1034, PlumX_snapshot!$A:$D, 4, FALSE), " ")</f>
        <v>2</v>
      </c>
      <c r="Z1034" s="12">
        <f>IFERROR(VLOOKUP(B1034, PlumX_snapshot!$A:$E, 5, FALSE), " ")</f>
        <v>0</v>
      </c>
      <c r="AA1034" s="12">
        <f>IFERROR(VLOOKUP(B1034, PlumX_snapshot!$A:$F, 6, FALSE), " ")</f>
        <v>0</v>
      </c>
      <c r="AB1034" s="13">
        <v>44978</v>
      </c>
      <c r="AC1034" s="9" t="s">
        <v>4665</v>
      </c>
      <c r="AD1034" s="9" t="s">
        <v>4666</v>
      </c>
      <c r="AE1034" s="9" t="s">
        <v>4667</v>
      </c>
      <c r="AH1034" s="9">
        <v>2533</v>
      </c>
      <c r="AI1034" s="9" t="s">
        <v>1999</v>
      </c>
      <c r="AJ1034" s="9" t="s">
        <v>301</v>
      </c>
      <c r="AK1034" s="11" t="str">
        <f t="shared" si="8"/>
        <v>2021GBP</v>
      </c>
      <c r="AL1034" s="11">
        <f>VLOOKUP(AK1034, Exchange_rates!$C:$D, 2, FALSE)</f>
        <v>1</v>
      </c>
      <c r="AM1034" s="14">
        <f t="shared" si="9"/>
        <v>3039.6</v>
      </c>
      <c r="AN1034" s="9"/>
      <c r="AO1034" s="9"/>
      <c r="AP1034" s="9"/>
      <c r="AQ1034" s="15" t="s">
        <v>49</v>
      </c>
      <c r="AR1034" t="s">
        <v>4668</v>
      </c>
      <c r="AS1034" s="16" t="s">
        <v>4669</v>
      </c>
    </row>
    <row r="1035" spans="1:45" ht="14.5">
      <c r="A1035" s="9" t="s">
        <v>4670</v>
      </c>
      <c r="B1035" s="9" t="s">
        <v>4671</v>
      </c>
      <c r="C1035" s="9" t="s">
        <v>4672</v>
      </c>
      <c r="D1035" s="9" t="s">
        <v>4371</v>
      </c>
      <c r="E1035" s="9" t="s">
        <v>49</v>
      </c>
      <c r="F1035" s="9" t="s">
        <v>69</v>
      </c>
      <c r="G1035" s="9" t="s">
        <v>70</v>
      </c>
      <c r="H1035" s="9" t="s">
        <v>4372</v>
      </c>
      <c r="I1035" s="9" t="s">
        <v>291</v>
      </c>
      <c r="J1035" s="10"/>
      <c r="K1035" s="10"/>
      <c r="L1035" s="10">
        <v>44333.637476851851</v>
      </c>
      <c r="M1035" s="10">
        <v>44217</v>
      </c>
      <c r="N1035" s="9">
        <v>2021</v>
      </c>
      <c r="O1035" s="9" t="s">
        <v>4373</v>
      </c>
      <c r="P1035" s="9" t="s">
        <v>53</v>
      </c>
      <c r="Q1035" s="9" t="s">
        <v>53</v>
      </c>
      <c r="R1035" s="9" t="s">
        <v>92</v>
      </c>
      <c r="T1035" s="9"/>
      <c r="V1035" s="9"/>
      <c r="W1035" s="11">
        <f>IFERROR(VLOOKUP(B1035, PlumX_snapshot!$A:$B, 2, FALSE), " ")</f>
        <v>9</v>
      </c>
      <c r="X1035" s="11">
        <f>IFERROR(VLOOKUP(B1035, PlumX_snapshot!$A:$C, 3, FALSE), " ")</f>
        <v>0</v>
      </c>
      <c r="Y1035" s="12">
        <f>IFERROR(VLOOKUP(B1035, PlumX_snapshot!$A:$D, 4, FALSE), " ")</f>
        <v>1</v>
      </c>
      <c r="Z1035" s="12">
        <f>IFERROR(VLOOKUP(B1035, PlumX_snapshot!$A:$E, 5, FALSE), " ")</f>
        <v>0</v>
      </c>
      <c r="AA1035" s="12">
        <f>IFERROR(VLOOKUP(B1035, PlumX_snapshot!$A:$F, 6, FALSE), " ")</f>
        <v>0</v>
      </c>
      <c r="AB1035" s="13">
        <v>44978</v>
      </c>
      <c r="AC1035" s="9" t="s">
        <v>4673</v>
      </c>
      <c r="AD1035" s="9" t="s">
        <v>4674</v>
      </c>
      <c r="AE1035" s="9" t="s">
        <v>4675</v>
      </c>
      <c r="AH1035" s="9">
        <v>2533</v>
      </c>
      <c r="AI1035" s="9" t="s">
        <v>1999</v>
      </c>
      <c r="AJ1035" s="9" t="s">
        <v>301</v>
      </c>
      <c r="AK1035" s="11" t="str">
        <f t="shared" si="8"/>
        <v>2021GBP</v>
      </c>
      <c r="AL1035" s="11">
        <f>VLOOKUP(AK1035, Exchange_rates!$C:$D, 2, FALSE)</f>
        <v>1</v>
      </c>
      <c r="AM1035" s="14">
        <f t="shared" si="9"/>
        <v>3039.6</v>
      </c>
      <c r="AN1035" s="9"/>
      <c r="AO1035" s="9"/>
      <c r="AP1035" s="9"/>
      <c r="AQ1035" s="15" t="s">
        <v>49</v>
      </c>
      <c r="AR1035" t="s">
        <v>4676</v>
      </c>
      <c r="AS1035" s="16" t="s">
        <v>4677</v>
      </c>
    </row>
    <row r="1036" spans="1:45" ht="14.5">
      <c r="A1036" s="9" t="s">
        <v>4678</v>
      </c>
      <c r="B1036" s="9" t="s">
        <v>4679</v>
      </c>
      <c r="C1036" s="9" t="s">
        <v>4538</v>
      </c>
      <c r="D1036" s="9" t="s">
        <v>4371</v>
      </c>
      <c r="E1036" s="9" t="s">
        <v>49</v>
      </c>
      <c r="F1036" s="9" t="s">
        <v>69</v>
      </c>
      <c r="G1036" s="9" t="s">
        <v>70</v>
      </c>
      <c r="H1036" s="9" t="s">
        <v>4372</v>
      </c>
      <c r="I1036" s="9" t="s">
        <v>291</v>
      </c>
      <c r="J1036" s="10"/>
      <c r="K1036" s="10"/>
      <c r="L1036" s="10">
        <v>44333.636030092595</v>
      </c>
      <c r="M1036" s="10">
        <v>44259</v>
      </c>
      <c r="N1036" s="9">
        <v>2021</v>
      </c>
      <c r="O1036" s="9" t="s">
        <v>4373</v>
      </c>
      <c r="P1036" s="9" t="s">
        <v>53</v>
      </c>
      <c r="Q1036" s="9" t="s">
        <v>53</v>
      </c>
      <c r="R1036" s="9" t="s">
        <v>4680</v>
      </c>
      <c r="T1036" s="9"/>
      <c r="V1036" s="9"/>
      <c r="W1036" s="11">
        <f>IFERROR(VLOOKUP(B1036, PlumX_snapshot!$A:$B, 2, FALSE), " ")</f>
        <v>28</v>
      </c>
      <c r="X1036" s="11">
        <f>IFERROR(VLOOKUP(B1036, PlumX_snapshot!$A:$C, 3, FALSE), " ")</f>
        <v>1</v>
      </c>
      <c r="Y1036" s="12">
        <f>IFERROR(VLOOKUP(B1036, PlumX_snapshot!$A:$D, 4, FALSE), " ")</f>
        <v>13</v>
      </c>
      <c r="Z1036" s="12">
        <f>IFERROR(VLOOKUP(B1036, PlumX_snapshot!$A:$E, 5, FALSE), " ")</f>
        <v>0</v>
      </c>
      <c r="AA1036" s="12">
        <f>IFERROR(VLOOKUP(B1036, PlumX_snapshot!$A:$F, 6, FALSE), " ")</f>
        <v>0</v>
      </c>
      <c r="AB1036" s="13">
        <v>44978</v>
      </c>
      <c r="AC1036" s="9" t="s">
        <v>4681</v>
      </c>
      <c r="AD1036" s="9" t="s">
        <v>4682</v>
      </c>
      <c r="AE1036" s="9" t="s">
        <v>4683</v>
      </c>
      <c r="AH1036" s="9">
        <v>2533</v>
      </c>
      <c r="AI1036" s="9" t="s">
        <v>1999</v>
      </c>
      <c r="AJ1036" s="9" t="s">
        <v>301</v>
      </c>
      <c r="AK1036" s="11" t="str">
        <f t="shared" si="8"/>
        <v>2021GBP</v>
      </c>
      <c r="AL1036" s="11">
        <f>VLOOKUP(AK1036, Exchange_rates!$C:$D, 2, FALSE)</f>
        <v>1</v>
      </c>
      <c r="AM1036" s="14">
        <f t="shared" si="9"/>
        <v>3039.6</v>
      </c>
      <c r="AN1036" s="9"/>
      <c r="AO1036" s="9"/>
      <c r="AP1036" s="9"/>
      <c r="AQ1036" s="15" t="s">
        <v>49</v>
      </c>
      <c r="AR1036" t="s">
        <v>4542</v>
      </c>
      <c r="AS1036" s="16" t="s">
        <v>4543</v>
      </c>
    </row>
    <row r="1037" spans="1:45" ht="14.5">
      <c r="A1037" s="9" t="s">
        <v>4684</v>
      </c>
      <c r="B1037" s="9" t="s">
        <v>4685</v>
      </c>
      <c r="C1037" s="9" t="s">
        <v>4686</v>
      </c>
      <c r="D1037" s="9" t="s">
        <v>4371</v>
      </c>
      <c r="E1037" s="9" t="s">
        <v>49</v>
      </c>
      <c r="F1037" s="9" t="s">
        <v>69</v>
      </c>
      <c r="G1037" s="9" t="s">
        <v>70</v>
      </c>
      <c r="H1037" s="9" t="s">
        <v>4372</v>
      </c>
      <c r="I1037" s="9" t="s">
        <v>72</v>
      </c>
      <c r="J1037" s="10"/>
      <c r="K1037" s="10"/>
      <c r="L1037" s="10">
        <v>44333.633553240739</v>
      </c>
      <c r="M1037" s="10">
        <v>44220</v>
      </c>
      <c r="N1037" s="9">
        <v>2021</v>
      </c>
      <c r="O1037" s="9" t="s">
        <v>4373</v>
      </c>
      <c r="P1037" s="9" t="s">
        <v>53</v>
      </c>
      <c r="Q1037" s="9" t="s">
        <v>53</v>
      </c>
      <c r="R1037" s="9" t="s">
        <v>92</v>
      </c>
      <c r="T1037" s="9"/>
      <c r="V1037" s="9"/>
      <c r="W1037" s="11">
        <f>IFERROR(VLOOKUP(B1037, PlumX_snapshot!$A:$B, 2, FALSE), " ")</f>
        <v>15</v>
      </c>
      <c r="X1037" s="11">
        <f>IFERROR(VLOOKUP(B1037, PlumX_snapshot!$A:$C, 3, FALSE), " ")</f>
        <v>0</v>
      </c>
      <c r="Y1037" s="12">
        <f>IFERROR(VLOOKUP(B1037, PlumX_snapshot!$A:$D, 4, FALSE), " ")</f>
        <v>43</v>
      </c>
      <c r="Z1037" s="12">
        <f>IFERROR(VLOOKUP(B1037, PlumX_snapshot!$A:$E, 5, FALSE), " ")</f>
        <v>0</v>
      </c>
      <c r="AA1037" s="12">
        <f>IFERROR(VLOOKUP(B1037, PlumX_snapshot!$A:$F, 6, FALSE), " ")</f>
        <v>0</v>
      </c>
      <c r="AB1037" s="13">
        <v>44978</v>
      </c>
      <c r="AC1037" s="9" t="s">
        <v>4687</v>
      </c>
      <c r="AD1037" s="9" t="s">
        <v>4688</v>
      </c>
      <c r="AE1037" s="9" t="s">
        <v>4689</v>
      </c>
      <c r="AH1037" s="9">
        <v>2533</v>
      </c>
      <c r="AI1037" s="9" t="s">
        <v>1999</v>
      </c>
      <c r="AJ1037" s="9" t="s">
        <v>301</v>
      </c>
      <c r="AK1037" s="11" t="str">
        <f t="shared" si="8"/>
        <v>2021GBP</v>
      </c>
      <c r="AL1037" s="11">
        <f>VLOOKUP(AK1037, Exchange_rates!$C:$D, 2, FALSE)</f>
        <v>1</v>
      </c>
      <c r="AM1037" s="14">
        <f t="shared" si="9"/>
        <v>3039.6</v>
      </c>
      <c r="AN1037" s="9"/>
      <c r="AO1037" s="9"/>
      <c r="AP1037" s="9"/>
      <c r="AQ1037" s="15" t="s">
        <v>49</v>
      </c>
      <c r="AR1037" t="s">
        <v>4690</v>
      </c>
      <c r="AS1037" s="16" t="s">
        <v>4691</v>
      </c>
    </row>
    <row r="1038" spans="1:45" ht="14.5">
      <c r="A1038" s="9" t="s">
        <v>4692</v>
      </c>
      <c r="B1038" s="9" t="s">
        <v>4693</v>
      </c>
      <c r="C1038" s="9" t="s">
        <v>4694</v>
      </c>
      <c r="D1038" s="9" t="s">
        <v>4371</v>
      </c>
      <c r="E1038" s="9" t="s">
        <v>49</v>
      </c>
      <c r="F1038" s="9" t="s">
        <v>69</v>
      </c>
      <c r="G1038" s="9" t="s">
        <v>70</v>
      </c>
      <c r="H1038" s="9" t="s">
        <v>4372</v>
      </c>
      <c r="I1038" s="9" t="s">
        <v>291</v>
      </c>
      <c r="J1038" s="10"/>
      <c r="K1038" s="10"/>
      <c r="L1038" s="10">
        <v>44333.629756944443</v>
      </c>
      <c r="M1038" s="10">
        <v>44284</v>
      </c>
      <c r="N1038" s="9">
        <v>2021</v>
      </c>
      <c r="O1038" s="9" t="s">
        <v>4373</v>
      </c>
      <c r="P1038" s="9" t="s">
        <v>53</v>
      </c>
      <c r="Q1038" s="9" t="s">
        <v>53</v>
      </c>
      <c r="R1038" s="9" t="s">
        <v>4695</v>
      </c>
      <c r="T1038" s="9"/>
      <c r="V1038" s="9"/>
      <c r="W1038" s="11">
        <f>IFERROR(VLOOKUP(B1038, PlumX_snapshot!$A:$B, 2, FALSE), " ")</f>
        <v>10</v>
      </c>
      <c r="X1038" s="11">
        <f>IFERROR(VLOOKUP(B1038, PlumX_snapshot!$A:$C, 3, FALSE), " ")</f>
        <v>3</v>
      </c>
      <c r="Y1038" s="12">
        <f>IFERROR(VLOOKUP(B1038, PlumX_snapshot!$A:$D, 4, FALSE), " ")</f>
        <v>15</v>
      </c>
      <c r="Z1038" s="12">
        <f>IFERROR(VLOOKUP(B1038, PlumX_snapshot!$A:$E, 5, FALSE), " ")</f>
        <v>0</v>
      </c>
      <c r="AA1038" s="12">
        <f>IFERROR(VLOOKUP(B1038, PlumX_snapshot!$A:$F, 6, FALSE), " ")</f>
        <v>0</v>
      </c>
      <c r="AB1038" s="13">
        <v>44978</v>
      </c>
      <c r="AC1038" s="9" t="s">
        <v>4696</v>
      </c>
      <c r="AD1038" s="9" t="s">
        <v>4697</v>
      </c>
      <c r="AE1038" s="9" t="s">
        <v>4501</v>
      </c>
      <c r="AH1038" s="9">
        <v>2533</v>
      </c>
      <c r="AI1038" s="9" t="s">
        <v>1999</v>
      </c>
      <c r="AJ1038" s="9" t="s">
        <v>301</v>
      </c>
      <c r="AK1038" s="11" t="str">
        <f t="shared" si="8"/>
        <v>2021GBP</v>
      </c>
      <c r="AL1038" s="11">
        <f>VLOOKUP(AK1038, Exchange_rates!$C:$D, 2, FALSE)</f>
        <v>1</v>
      </c>
      <c r="AM1038" s="14">
        <f t="shared" si="9"/>
        <v>3039.6</v>
      </c>
      <c r="AN1038" s="9"/>
      <c r="AO1038" s="9"/>
      <c r="AP1038" s="9"/>
      <c r="AQ1038" s="15" t="s">
        <v>49</v>
      </c>
      <c r="AR1038" t="s">
        <v>4698</v>
      </c>
      <c r="AS1038" s="16" t="s">
        <v>4699</v>
      </c>
    </row>
    <row r="1039" spans="1:45" ht="14.5">
      <c r="A1039" s="9" t="s">
        <v>4700</v>
      </c>
      <c r="B1039" s="9" t="s">
        <v>4701</v>
      </c>
      <c r="C1039" s="9" t="s">
        <v>4702</v>
      </c>
      <c r="D1039" s="9" t="s">
        <v>4371</v>
      </c>
      <c r="E1039" s="9" t="s">
        <v>49</v>
      </c>
      <c r="F1039" s="9" t="s">
        <v>69</v>
      </c>
      <c r="G1039" s="9" t="s">
        <v>70</v>
      </c>
      <c r="H1039" s="9" t="s">
        <v>4372</v>
      </c>
      <c r="I1039" s="9" t="s">
        <v>291</v>
      </c>
      <c r="J1039" s="10"/>
      <c r="K1039" s="10"/>
      <c r="L1039" s="10">
        <v>44333.625717592593</v>
      </c>
      <c r="M1039" s="10">
        <v>44050</v>
      </c>
      <c r="N1039" s="9">
        <v>2021</v>
      </c>
      <c r="O1039" s="9" t="s">
        <v>4373</v>
      </c>
      <c r="P1039" s="9" t="s">
        <v>53</v>
      </c>
      <c r="Q1039" s="9" t="s">
        <v>53</v>
      </c>
      <c r="R1039" s="9" t="s">
        <v>92</v>
      </c>
      <c r="T1039" s="9"/>
      <c r="V1039" s="9"/>
      <c r="W1039" s="11">
        <f>IFERROR(VLOOKUP(B1039, PlumX_snapshot!$A:$B, 2, FALSE), " ")</f>
        <v>11</v>
      </c>
      <c r="X1039" s="11">
        <f>IFERROR(VLOOKUP(B1039, PlumX_snapshot!$A:$C, 3, FALSE), " ")</f>
        <v>2</v>
      </c>
      <c r="Y1039" s="12">
        <f>IFERROR(VLOOKUP(B1039, PlumX_snapshot!$A:$D, 4, FALSE), " ")</f>
        <v>121</v>
      </c>
      <c r="Z1039" s="12">
        <f>IFERROR(VLOOKUP(B1039, PlumX_snapshot!$A:$E, 5, FALSE), " ")</f>
        <v>0</v>
      </c>
      <c r="AA1039" s="12">
        <f>IFERROR(VLOOKUP(B1039, PlumX_snapshot!$A:$F, 6, FALSE), " ")</f>
        <v>0</v>
      </c>
      <c r="AB1039" s="13">
        <v>44978</v>
      </c>
      <c r="AC1039" s="9" t="s">
        <v>532</v>
      </c>
      <c r="AD1039" s="9" t="s">
        <v>4703</v>
      </c>
      <c r="AE1039" s="9" t="s">
        <v>4501</v>
      </c>
      <c r="AH1039" s="9">
        <v>2533</v>
      </c>
      <c r="AI1039" s="9" t="s">
        <v>1999</v>
      </c>
      <c r="AJ1039" s="9" t="s">
        <v>301</v>
      </c>
      <c r="AK1039" s="11" t="str">
        <f t="shared" si="8"/>
        <v>2021GBP</v>
      </c>
      <c r="AL1039" s="11">
        <f>VLOOKUP(AK1039, Exchange_rates!$C:$D, 2, FALSE)</f>
        <v>1</v>
      </c>
      <c r="AM1039" s="14">
        <f t="shared" si="9"/>
        <v>3039.6</v>
      </c>
      <c r="AN1039" s="9"/>
      <c r="AO1039" s="9"/>
      <c r="AP1039" s="9"/>
      <c r="AQ1039" s="15" t="s">
        <v>49</v>
      </c>
      <c r="AR1039" t="s">
        <v>4704</v>
      </c>
      <c r="AS1039" s="16" t="s">
        <v>4705</v>
      </c>
    </row>
    <row r="1040" spans="1:45" ht="14.5">
      <c r="A1040" s="9" t="s">
        <v>4706</v>
      </c>
      <c r="B1040" s="9" t="s">
        <v>4707</v>
      </c>
      <c r="C1040" s="9" t="s">
        <v>4708</v>
      </c>
      <c r="D1040" s="9" t="s">
        <v>4371</v>
      </c>
      <c r="E1040" s="9" t="s">
        <v>49</v>
      </c>
      <c r="F1040" s="9" t="s">
        <v>69</v>
      </c>
      <c r="G1040" s="9" t="s">
        <v>70</v>
      </c>
      <c r="H1040" s="9" t="s">
        <v>4372</v>
      </c>
      <c r="I1040" s="9" t="s">
        <v>291</v>
      </c>
      <c r="J1040" s="10"/>
      <c r="K1040" s="10"/>
      <c r="L1040" s="10">
        <v>44333.615694444445</v>
      </c>
      <c r="M1040" s="10">
        <v>44333</v>
      </c>
      <c r="N1040" s="9">
        <v>2021</v>
      </c>
      <c r="O1040" s="9" t="s">
        <v>4373</v>
      </c>
      <c r="P1040" s="9" t="s">
        <v>53</v>
      </c>
      <c r="Q1040" s="9" t="s">
        <v>53</v>
      </c>
      <c r="R1040" s="9" t="s">
        <v>4709</v>
      </c>
      <c r="T1040" s="9"/>
      <c r="V1040" s="9"/>
      <c r="W1040" s="11">
        <f>IFERROR(VLOOKUP(B1040, PlumX_snapshot!$A:$B, 2, FALSE), " ")</f>
        <v>2</v>
      </c>
      <c r="X1040" s="11">
        <f>IFERROR(VLOOKUP(B1040, PlumX_snapshot!$A:$C, 3, FALSE), " ")</f>
        <v>0</v>
      </c>
      <c r="Y1040" s="12">
        <f>IFERROR(VLOOKUP(B1040, PlumX_snapshot!$A:$D, 4, FALSE), " ")</f>
        <v>6</v>
      </c>
      <c r="Z1040" s="12">
        <f>IFERROR(VLOOKUP(B1040, PlumX_snapshot!$A:$E, 5, FALSE), " ")</f>
        <v>0</v>
      </c>
      <c r="AA1040" s="12">
        <f>IFERROR(VLOOKUP(B1040, PlumX_snapshot!$A:$F, 6, FALSE), " ")</f>
        <v>0</v>
      </c>
      <c r="AB1040" s="13">
        <v>44978</v>
      </c>
      <c r="AC1040" s="9" t="s">
        <v>4710</v>
      </c>
      <c r="AD1040" s="9" t="s">
        <v>4711</v>
      </c>
      <c r="AE1040" s="9" t="s">
        <v>4712</v>
      </c>
      <c r="AH1040" s="9">
        <v>2533</v>
      </c>
      <c r="AI1040" s="9" t="s">
        <v>1999</v>
      </c>
      <c r="AJ1040" s="9" t="s">
        <v>301</v>
      </c>
      <c r="AK1040" s="11" t="str">
        <f t="shared" si="8"/>
        <v>2021GBP</v>
      </c>
      <c r="AL1040" s="11">
        <f>VLOOKUP(AK1040, Exchange_rates!$C:$D, 2, FALSE)</f>
        <v>1</v>
      </c>
      <c r="AM1040" s="14">
        <f t="shared" si="9"/>
        <v>3039.6</v>
      </c>
      <c r="AN1040" s="9"/>
      <c r="AO1040" s="9"/>
      <c r="AP1040" s="9"/>
      <c r="AQ1040" s="15" t="s">
        <v>49</v>
      </c>
      <c r="AR1040" t="s">
        <v>4713</v>
      </c>
      <c r="AS1040" s="16" t="s">
        <v>4714</v>
      </c>
    </row>
    <row r="1041" spans="1:45" ht="14.5">
      <c r="A1041" s="9" t="s">
        <v>4715</v>
      </c>
      <c r="B1041" s="9" t="s">
        <v>4716</v>
      </c>
      <c r="C1041" s="9" t="s">
        <v>4717</v>
      </c>
      <c r="D1041" s="9" t="s">
        <v>4371</v>
      </c>
      <c r="E1041" s="9" t="s">
        <v>49</v>
      </c>
      <c r="F1041" s="9" t="s">
        <v>69</v>
      </c>
      <c r="G1041" s="9" t="s">
        <v>70</v>
      </c>
      <c r="H1041" s="9" t="s">
        <v>4372</v>
      </c>
      <c r="I1041" s="9" t="s">
        <v>291</v>
      </c>
      <c r="J1041" s="10"/>
      <c r="K1041" s="10"/>
      <c r="L1041" s="10">
        <v>44333.614641203705</v>
      </c>
      <c r="M1041" s="10">
        <v>44323</v>
      </c>
      <c r="N1041" s="9">
        <v>2021</v>
      </c>
      <c r="O1041" s="9" t="s">
        <v>4373</v>
      </c>
      <c r="P1041" s="9" t="s">
        <v>53</v>
      </c>
      <c r="Q1041" s="9" t="s">
        <v>53</v>
      </c>
      <c r="R1041" s="9" t="s">
        <v>92</v>
      </c>
      <c r="T1041" s="9"/>
      <c r="V1041" s="9"/>
      <c r="W1041" s="11">
        <f>IFERROR(VLOOKUP(B1041, PlumX_snapshot!$A:$B, 2, FALSE), " ")</f>
        <v>57</v>
      </c>
      <c r="X1041" s="11">
        <f>IFERROR(VLOOKUP(B1041, PlumX_snapshot!$A:$C, 3, FALSE), " ")</f>
        <v>4</v>
      </c>
      <c r="Y1041" s="12">
        <f>IFERROR(VLOOKUP(B1041, PlumX_snapshot!$A:$D, 4, FALSE), " ")</f>
        <v>0</v>
      </c>
      <c r="Z1041" s="12">
        <f>IFERROR(VLOOKUP(B1041, PlumX_snapshot!$A:$E, 5, FALSE), " ")</f>
        <v>0</v>
      </c>
      <c r="AA1041" s="12">
        <f>IFERROR(VLOOKUP(B1041, PlumX_snapshot!$A:$F, 6, FALSE), " ")</f>
        <v>0</v>
      </c>
      <c r="AB1041" s="13">
        <v>44978</v>
      </c>
      <c r="AC1041" s="9" t="s">
        <v>4718</v>
      </c>
      <c r="AD1041" s="9" t="s">
        <v>4719</v>
      </c>
      <c r="AE1041" s="9" t="s">
        <v>4501</v>
      </c>
      <c r="AH1041" s="9">
        <v>2533</v>
      </c>
      <c r="AI1041" s="9" t="s">
        <v>1999</v>
      </c>
      <c r="AJ1041" s="9" t="s">
        <v>301</v>
      </c>
      <c r="AK1041" s="11" t="str">
        <f t="shared" si="8"/>
        <v>2021GBP</v>
      </c>
      <c r="AL1041" s="11">
        <f>VLOOKUP(AK1041, Exchange_rates!$C:$D, 2, FALSE)</f>
        <v>1</v>
      </c>
      <c r="AM1041" s="14">
        <f t="shared" si="9"/>
        <v>3039.6</v>
      </c>
      <c r="AN1041" s="9"/>
      <c r="AO1041" s="9"/>
      <c r="AP1041" s="9"/>
      <c r="AQ1041" s="15" t="s">
        <v>49</v>
      </c>
      <c r="AR1041" t="s">
        <v>4720</v>
      </c>
      <c r="AS1041" s="16" t="s">
        <v>4721</v>
      </c>
    </row>
    <row r="1042" spans="1:45" ht="14.5">
      <c r="A1042" s="9" t="s">
        <v>4722</v>
      </c>
      <c r="B1042" s="9" t="s">
        <v>4723</v>
      </c>
      <c r="C1042" s="9" t="s">
        <v>4724</v>
      </c>
      <c r="D1042" s="9" t="s">
        <v>4371</v>
      </c>
      <c r="E1042" s="9" t="s">
        <v>49</v>
      </c>
      <c r="F1042" s="9" t="s">
        <v>69</v>
      </c>
      <c r="G1042" s="9" t="s">
        <v>70</v>
      </c>
      <c r="H1042" s="9" t="s">
        <v>4372</v>
      </c>
      <c r="I1042" s="9" t="s">
        <v>291</v>
      </c>
      <c r="J1042" s="10"/>
      <c r="K1042" s="10"/>
      <c r="L1042" s="10">
        <v>44333.612175925926</v>
      </c>
      <c r="M1042" s="10">
        <v>44240</v>
      </c>
      <c r="N1042" s="9">
        <v>2021</v>
      </c>
      <c r="O1042" s="9" t="s">
        <v>4373</v>
      </c>
      <c r="P1042" s="9" t="s">
        <v>53</v>
      </c>
      <c r="Q1042" s="9" t="s">
        <v>53</v>
      </c>
      <c r="R1042" s="9" t="s">
        <v>92</v>
      </c>
      <c r="T1042" s="9"/>
      <c r="V1042" s="9"/>
      <c r="W1042" s="11">
        <f>IFERROR(VLOOKUP(B1042, PlumX_snapshot!$A:$B, 2, FALSE), " ")</f>
        <v>20</v>
      </c>
      <c r="X1042" s="11">
        <f>IFERROR(VLOOKUP(B1042, PlumX_snapshot!$A:$C, 3, FALSE), " ")</f>
        <v>2</v>
      </c>
      <c r="Y1042" s="12">
        <f>IFERROR(VLOOKUP(B1042, PlumX_snapshot!$A:$D, 4, FALSE), " ")</f>
        <v>1</v>
      </c>
      <c r="Z1042" s="12">
        <f>IFERROR(VLOOKUP(B1042, PlumX_snapshot!$A:$E, 5, FALSE), " ")</f>
        <v>0</v>
      </c>
      <c r="AA1042" s="12">
        <f>IFERROR(VLOOKUP(B1042, PlumX_snapshot!$A:$F, 6, FALSE), " ")</f>
        <v>0</v>
      </c>
      <c r="AB1042" s="13">
        <v>44978</v>
      </c>
      <c r="AC1042" s="9" t="s">
        <v>4547</v>
      </c>
      <c r="AD1042" s="9" t="s">
        <v>4548</v>
      </c>
      <c r="AE1042" s="9" t="s">
        <v>4549</v>
      </c>
      <c r="AH1042" s="9">
        <v>2533</v>
      </c>
      <c r="AI1042" s="9" t="s">
        <v>1999</v>
      </c>
      <c r="AJ1042" s="9" t="s">
        <v>301</v>
      </c>
      <c r="AK1042" s="11" t="str">
        <f t="shared" si="8"/>
        <v>2021GBP</v>
      </c>
      <c r="AL1042" s="11">
        <f>VLOOKUP(AK1042, Exchange_rates!$C:$D, 2, FALSE)</f>
        <v>1</v>
      </c>
      <c r="AM1042" s="14">
        <f t="shared" si="9"/>
        <v>3039.6</v>
      </c>
      <c r="AN1042" s="9"/>
      <c r="AO1042" s="9"/>
      <c r="AP1042" s="9"/>
      <c r="AQ1042" s="15" t="s">
        <v>49</v>
      </c>
      <c r="AR1042" t="s">
        <v>4725</v>
      </c>
      <c r="AS1042" s="16" t="s">
        <v>4726</v>
      </c>
    </row>
    <row r="1043" spans="1:45" ht="14.5">
      <c r="A1043" s="9" t="s">
        <v>4727</v>
      </c>
      <c r="B1043" s="9" t="s">
        <v>4728</v>
      </c>
      <c r="C1043" s="9" t="s">
        <v>4729</v>
      </c>
      <c r="D1043" s="9" t="s">
        <v>4371</v>
      </c>
      <c r="E1043" s="9" t="s">
        <v>49</v>
      </c>
      <c r="F1043" s="9" t="s">
        <v>69</v>
      </c>
      <c r="G1043" s="9" t="s">
        <v>70</v>
      </c>
      <c r="H1043" s="9" t="s">
        <v>4372</v>
      </c>
      <c r="I1043" s="9" t="s">
        <v>72</v>
      </c>
      <c r="J1043" s="10"/>
      <c r="K1043" s="10"/>
      <c r="L1043" s="10">
        <v>44333.603402777779</v>
      </c>
      <c r="M1043" s="10">
        <v>44308</v>
      </c>
      <c r="N1043" s="9">
        <v>2021</v>
      </c>
      <c r="O1043" s="9" t="s">
        <v>4373</v>
      </c>
      <c r="P1043" s="9" t="s">
        <v>53</v>
      </c>
      <c r="Q1043" s="9" t="s">
        <v>53</v>
      </c>
      <c r="R1043" s="9" t="s">
        <v>4730</v>
      </c>
      <c r="T1043" s="9"/>
      <c r="V1043" s="9"/>
      <c r="W1043" s="11">
        <f>IFERROR(VLOOKUP(B1043, PlumX_snapshot!$A:$B, 2, FALSE), " ")</f>
        <v>35</v>
      </c>
      <c r="X1043" s="11">
        <f>IFERROR(VLOOKUP(B1043, PlumX_snapshot!$A:$C, 3, FALSE), " ")</f>
        <v>5</v>
      </c>
      <c r="Y1043" s="12">
        <f>IFERROR(VLOOKUP(B1043, PlumX_snapshot!$A:$D, 4, FALSE), " ")</f>
        <v>69</v>
      </c>
      <c r="Z1043" s="12">
        <f>IFERROR(VLOOKUP(B1043, PlumX_snapshot!$A:$E, 5, FALSE), " ")</f>
        <v>0</v>
      </c>
      <c r="AA1043" s="12">
        <f>IFERROR(VLOOKUP(B1043, PlumX_snapshot!$A:$F, 6, FALSE), " ")</f>
        <v>0</v>
      </c>
      <c r="AB1043" s="13">
        <v>44978</v>
      </c>
      <c r="AC1043" s="9" t="s">
        <v>4731</v>
      </c>
      <c r="AD1043" s="9" t="s">
        <v>4732</v>
      </c>
      <c r="AE1043" s="9" t="s">
        <v>4501</v>
      </c>
      <c r="AH1043" s="9">
        <v>2533</v>
      </c>
      <c r="AI1043" s="9" t="s">
        <v>1999</v>
      </c>
      <c r="AJ1043" s="9" t="s">
        <v>301</v>
      </c>
      <c r="AK1043" s="11" t="str">
        <f t="shared" si="8"/>
        <v>2021GBP</v>
      </c>
      <c r="AL1043" s="11">
        <f>VLOOKUP(AK1043, Exchange_rates!$C:$D, 2, FALSE)</f>
        <v>1</v>
      </c>
      <c r="AM1043" s="14">
        <f t="shared" si="9"/>
        <v>3039.6</v>
      </c>
      <c r="AN1043" s="9"/>
      <c r="AO1043" s="9"/>
      <c r="AP1043" s="9"/>
      <c r="AQ1043" s="15" t="s">
        <v>49</v>
      </c>
      <c r="AR1043" t="s">
        <v>4733</v>
      </c>
      <c r="AS1043" s="16" t="s">
        <v>4734</v>
      </c>
    </row>
    <row r="1044" spans="1:45" ht="14.5">
      <c r="A1044" s="9" t="s">
        <v>4735</v>
      </c>
      <c r="B1044" s="9" t="s">
        <v>4736</v>
      </c>
      <c r="C1044" s="9" t="s">
        <v>4538</v>
      </c>
      <c r="D1044" s="9" t="s">
        <v>4371</v>
      </c>
      <c r="E1044" s="9" t="s">
        <v>49</v>
      </c>
      <c r="F1044" s="9" t="s">
        <v>69</v>
      </c>
      <c r="G1044" s="9" t="s">
        <v>70</v>
      </c>
      <c r="H1044" s="9" t="s">
        <v>4372</v>
      </c>
      <c r="I1044" s="9" t="s">
        <v>291</v>
      </c>
      <c r="J1044" s="10"/>
      <c r="K1044" s="10"/>
      <c r="L1044" s="10">
        <v>44333.59952546296</v>
      </c>
      <c r="M1044" s="10">
        <v>44312</v>
      </c>
      <c r="N1044" s="9">
        <v>2021</v>
      </c>
      <c r="O1044" s="9" t="s">
        <v>4373</v>
      </c>
      <c r="P1044" s="9" t="s">
        <v>53</v>
      </c>
      <c r="Q1044" s="9" t="s">
        <v>53</v>
      </c>
      <c r="R1044" s="9" t="s">
        <v>4737</v>
      </c>
      <c r="T1044" s="9"/>
      <c r="V1044" s="9"/>
      <c r="W1044" s="11">
        <f>IFERROR(VLOOKUP(B1044, PlumX_snapshot!$A:$B, 2, FALSE), " ")</f>
        <v>5</v>
      </c>
      <c r="X1044" s="11">
        <f>IFERROR(VLOOKUP(B1044, PlumX_snapshot!$A:$C, 3, FALSE), " ")</f>
        <v>0</v>
      </c>
      <c r="Y1044" s="12">
        <f>IFERROR(VLOOKUP(B1044, PlumX_snapshot!$A:$D, 4, FALSE), " ")</f>
        <v>7</v>
      </c>
      <c r="Z1044" s="12">
        <f>IFERROR(VLOOKUP(B1044, PlumX_snapshot!$A:$E, 5, FALSE), " ")</f>
        <v>0</v>
      </c>
      <c r="AA1044" s="12">
        <f>IFERROR(VLOOKUP(B1044, PlumX_snapshot!$A:$F, 6, FALSE), " ")</f>
        <v>0</v>
      </c>
      <c r="AB1044" s="13">
        <v>44978</v>
      </c>
      <c r="AC1044" s="9" t="s">
        <v>4738</v>
      </c>
      <c r="AD1044" s="9" t="s">
        <v>4739</v>
      </c>
      <c r="AE1044" s="9" t="s">
        <v>4501</v>
      </c>
      <c r="AH1044" s="9">
        <v>2533</v>
      </c>
      <c r="AI1044" s="9" t="s">
        <v>1999</v>
      </c>
      <c r="AJ1044" s="9" t="s">
        <v>301</v>
      </c>
      <c r="AK1044" s="11" t="str">
        <f t="shared" si="8"/>
        <v>2021GBP</v>
      </c>
      <c r="AL1044" s="11">
        <f>VLOOKUP(AK1044, Exchange_rates!$C:$D, 2, FALSE)</f>
        <v>1</v>
      </c>
      <c r="AM1044" s="14">
        <f t="shared" si="9"/>
        <v>3039.6</v>
      </c>
      <c r="AN1044" s="9"/>
      <c r="AO1044" s="9"/>
      <c r="AP1044" s="9"/>
      <c r="AQ1044" s="15" t="s">
        <v>49</v>
      </c>
      <c r="AR1044" t="s">
        <v>4542</v>
      </c>
      <c r="AS1044" s="16" t="s">
        <v>4543</v>
      </c>
    </row>
    <row r="1045" spans="1:45" ht="14.5">
      <c r="A1045" s="9" t="s">
        <v>4740</v>
      </c>
      <c r="B1045" s="9" t="s">
        <v>4741</v>
      </c>
      <c r="C1045" s="9" t="s">
        <v>4742</v>
      </c>
      <c r="D1045" s="9" t="s">
        <v>4371</v>
      </c>
      <c r="E1045" s="9" t="s">
        <v>49</v>
      </c>
      <c r="F1045" s="9" t="s">
        <v>69</v>
      </c>
      <c r="G1045" s="9" t="s">
        <v>70</v>
      </c>
      <c r="H1045" s="9" t="s">
        <v>4372</v>
      </c>
      <c r="I1045" s="9" t="s">
        <v>291</v>
      </c>
      <c r="J1045" s="10"/>
      <c r="K1045" s="10"/>
      <c r="L1045" s="10">
        <v>44333.597916666666</v>
      </c>
      <c r="M1045" s="10">
        <v>44346</v>
      </c>
      <c r="N1045" s="9">
        <v>2021</v>
      </c>
      <c r="O1045" s="9" t="s">
        <v>4373</v>
      </c>
      <c r="P1045" s="9" t="s">
        <v>53</v>
      </c>
      <c r="Q1045" s="9" t="s">
        <v>53</v>
      </c>
      <c r="R1045" s="9" t="s">
        <v>4743</v>
      </c>
      <c r="T1045" s="9"/>
      <c r="V1045" s="9"/>
      <c r="W1045" s="11">
        <f>IFERROR(VLOOKUP(B1045, PlumX_snapshot!$A:$B, 2, FALSE), " ")</f>
        <v>13</v>
      </c>
      <c r="X1045" s="11">
        <f>IFERROR(VLOOKUP(B1045, PlumX_snapshot!$A:$C, 3, FALSE), " ")</f>
        <v>0</v>
      </c>
      <c r="Y1045" s="12">
        <f>IFERROR(VLOOKUP(B1045, PlumX_snapshot!$A:$D, 4, FALSE), " ")</f>
        <v>18</v>
      </c>
      <c r="Z1045" s="12">
        <f>IFERROR(VLOOKUP(B1045, PlumX_snapshot!$A:$E, 5, FALSE), " ")</f>
        <v>0</v>
      </c>
      <c r="AA1045" s="12">
        <f>IFERROR(VLOOKUP(B1045, PlumX_snapshot!$A:$F, 6, FALSE), " ")</f>
        <v>0</v>
      </c>
      <c r="AB1045" s="13">
        <v>44978</v>
      </c>
      <c r="AC1045" s="9" t="s">
        <v>4744</v>
      </c>
      <c r="AD1045" s="9" t="s">
        <v>1600</v>
      </c>
      <c r="AE1045" s="9" t="s">
        <v>4501</v>
      </c>
      <c r="AH1045" s="9">
        <v>2295</v>
      </c>
      <c r="AI1045" s="9" t="s">
        <v>77</v>
      </c>
      <c r="AJ1045" s="9" t="s">
        <v>301</v>
      </c>
      <c r="AK1045" s="11" t="str">
        <f t="shared" si="8"/>
        <v>2021GBP</v>
      </c>
      <c r="AL1045" s="11">
        <f>VLOOKUP(AK1045, Exchange_rates!$C:$D, 2, FALSE)</f>
        <v>1</v>
      </c>
      <c r="AM1045" s="14">
        <f t="shared" si="9"/>
        <v>2754</v>
      </c>
      <c r="AN1045" s="9"/>
      <c r="AO1045" s="9"/>
      <c r="AP1045" s="9"/>
      <c r="AQ1045" s="15" t="s">
        <v>49</v>
      </c>
      <c r="AR1045" t="s">
        <v>4745</v>
      </c>
      <c r="AS1045" s="16" t="s">
        <v>4746</v>
      </c>
    </row>
    <row r="1046" spans="1:45" ht="14.5">
      <c r="A1046" s="9" t="s">
        <v>4747</v>
      </c>
      <c r="B1046" s="9" t="s">
        <v>4748</v>
      </c>
      <c r="C1046" s="9" t="s">
        <v>4749</v>
      </c>
      <c r="D1046" s="9" t="s">
        <v>4371</v>
      </c>
      <c r="E1046" s="9" t="s">
        <v>49</v>
      </c>
      <c r="F1046" s="9" t="s">
        <v>69</v>
      </c>
      <c r="G1046" s="9" t="s">
        <v>70</v>
      </c>
      <c r="H1046" s="9" t="s">
        <v>4372</v>
      </c>
      <c r="I1046" s="9" t="s">
        <v>72</v>
      </c>
      <c r="J1046" s="10"/>
      <c r="K1046" s="10"/>
      <c r="L1046" s="10">
        <v>44333.582384259258</v>
      </c>
      <c r="M1046" s="10">
        <v>44014</v>
      </c>
      <c r="N1046" s="9">
        <v>2021</v>
      </c>
      <c r="O1046" s="9" t="s">
        <v>4373</v>
      </c>
      <c r="P1046" s="9" t="s">
        <v>53</v>
      </c>
      <c r="Q1046" s="9" t="s">
        <v>53</v>
      </c>
      <c r="R1046" s="9" t="s">
        <v>4750</v>
      </c>
      <c r="T1046" s="9"/>
      <c r="V1046" s="9"/>
      <c r="W1046" s="11">
        <f>IFERROR(VLOOKUP(B1046, PlumX_snapshot!$A:$B, 2, FALSE), " ")</f>
        <v>2</v>
      </c>
      <c r="X1046" s="11">
        <f>IFERROR(VLOOKUP(B1046, PlumX_snapshot!$A:$C, 3, FALSE), " ")</f>
        <v>1</v>
      </c>
      <c r="Y1046" s="12">
        <f>IFERROR(VLOOKUP(B1046, PlumX_snapshot!$A:$D, 4, FALSE), " ")</f>
        <v>0</v>
      </c>
      <c r="Z1046" s="12">
        <f>IFERROR(VLOOKUP(B1046, PlumX_snapshot!$A:$E, 5, FALSE), " ")</f>
        <v>0</v>
      </c>
      <c r="AA1046" s="12">
        <f>IFERROR(VLOOKUP(B1046, PlumX_snapshot!$A:$F, 6, FALSE), " ")</f>
        <v>1</v>
      </c>
      <c r="AB1046" s="13">
        <v>44978</v>
      </c>
      <c r="AC1046" s="9" t="s">
        <v>4751</v>
      </c>
      <c r="AD1046" s="9" t="s">
        <v>4752</v>
      </c>
      <c r="AE1046" s="9" t="s">
        <v>4753</v>
      </c>
      <c r="AH1046" s="9">
        <v>2155</v>
      </c>
      <c r="AI1046" s="9" t="s">
        <v>77</v>
      </c>
      <c r="AJ1046" s="9" t="s">
        <v>301</v>
      </c>
      <c r="AK1046" s="11" t="str">
        <f t="shared" si="8"/>
        <v>2021GBP</v>
      </c>
      <c r="AL1046" s="11">
        <f>VLOOKUP(AK1046, Exchange_rates!$C:$D, 2, FALSE)</f>
        <v>1</v>
      </c>
      <c r="AM1046" s="14">
        <f t="shared" si="9"/>
        <v>2586</v>
      </c>
      <c r="AN1046" s="9"/>
      <c r="AO1046" s="9"/>
      <c r="AP1046" s="9"/>
      <c r="AQ1046" s="15" t="s">
        <v>49</v>
      </c>
      <c r="AR1046" t="s">
        <v>4754</v>
      </c>
      <c r="AS1046" s="16" t="s">
        <v>4755</v>
      </c>
    </row>
    <row r="1047" spans="1:45" ht="14.5">
      <c r="A1047" s="9" t="s">
        <v>4756</v>
      </c>
      <c r="B1047" s="9" t="s">
        <v>4757</v>
      </c>
      <c r="C1047" s="9" t="s">
        <v>4758</v>
      </c>
      <c r="D1047" s="9" t="s">
        <v>4371</v>
      </c>
      <c r="E1047" s="9" t="s">
        <v>49</v>
      </c>
      <c r="F1047" s="9" t="s">
        <v>69</v>
      </c>
      <c r="G1047" s="9" t="s">
        <v>70</v>
      </c>
      <c r="H1047" s="9" t="s">
        <v>4372</v>
      </c>
      <c r="I1047" s="9" t="s">
        <v>291</v>
      </c>
      <c r="J1047" s="10"/>
      <c r="K1047" s="10"/>
      <c r="L1047" s="10">
        <v>44333.363217592596</v>
      </c>
      <c r="M1047" s="10">
        <v>44338</v>
      </c>
      <c r="N1047" s="9">
        <v>2021</v>
      </c>
      <c r="O1047" s="9" t="s">
        <v>4373</v>
      </c>
      <c r="P1047" s="9" t="s">
        <v>53</v>
      </c>
      <c r="Q1047" s="9" t="s">
        <v>53</v>
      </c>
      <c r="R1047" s="9" t="s">
        <v>92</v>
      </c>
      <c r="T1047" s="9"/>
      <c r="V1047" s="9"/>
      <c r="W1047" s="11">
        <f>IFERROR(VLOOKUP(B1047, PlumX_snapshot!$A:$B, 2, FALSE), " ")</f>
        <v>25</v>
      </c>
      <c r="X1047" s="11">
        <f>IFERROR(VLOOKUP(B1047, PlumX_snapshot!$A:$C, 3, FALSE), " ")</f>
        <v>1</v>
      </c>
      <c r="Y1047" s="12">
        <f>IFERROR(VLOOKUP(B1047, PlumX_snapshot!$A:$D, 4, FALSE), " ")</f>
        <v>21</v>
      </c>
      <c r="Z1047" s="12">
        <f>IFERROR(VLOOKUP(B1047, PlumX_snapshot!$A:$E, 5, FALSE), " ")</f>
        <v>0</v>
      </c>
      <c r="AA1047" s="12">
        <f>IFERROR(VLOOKUP(B1047, PlumX_snapshot!$A:$F, 6, FALSE), " ")</f>
        <v>0</v>
      </c>
      <c r="AB1047" s="13">
        <v>44978</v>
      </c>
      <c r="AC1047" s="9" t="s">
        <v>4759</v>
      </c>
      <c r="AD1047" s="9" t="s">
        <v>4760</v>
      </c>
      <c r="AE1047" s="9" t="s">
        <v>4501</v>
      </c>
      <c r="AH1047" s="9">
        <v>2533</v>
      </c>
      <c r="AI1047" s="9" t="s">
        <v>1999</v>
      </c>
      <c r="AJ1047" s="9" t="s">
        <v>301</v>
      </c>
      <c r="AK1047" s="11" t="str">
        <f t="shared" si="8"/>
        <v>2021GBP</v>
      </c>
      <c r="AL1047" s="11">
        <f>VLOOKUP(AK1047, Exchange_rates!$C:$D, 2, FALSE)</f>
        <v>1</v>
      </c>
      <c r="AM1047" s="14">
        <f t="shared" si="9"/>
        <v>3039.6</v>
      </c>
      <c r="AN1047" s="9"/>
      <c r="AO1047" s="9"/>
      <c r="AP1047" s="9"/>
      <c r="AQ1047" s="15" t="s">
        <v>49</v>
      </c>
      <c r="AR1047" t="s">
        <v>4761</v>
      </c>
      <c r="AS1047" s="16" t="s">
        <v>4762</v>
      </c>
    </row>
    <row r="1048" spans="1:45" ht="14.5">
      <c r="A1048" s="9" t="s">
        <v>4763</v>
      </c>
      <c r="B1048" s="9" t="s">
        <v>4764</v>
      </c>
      <c r="C1048" s="9" t="s">
        <v>4765</v>
      </c>
      <c r="D1048" s="9" t="s">
        <v>4371</v>
      </c>
      <c r="E1048" s="9" t="s">
        <v>49</v>
      </c>
      <c r="F1048" s="9" t="s">
        <v>69</v>
      </c>
      <c r="G1048" s="9" t="s">
        <v>70</v>
      </c>
      <c r="H1048" s="9" t="s">
        <v>4372</v>
      </c>
      <c r="I1048" s="9" t="s">
        <v>291</v>
      </c>
      <c r="J1048" s="10"/>
      <c r="K1048" s="10"/>
      <c r="L1048" s="10">
        <v>44330.415451388886</v>
      </c>
      <c r="M1048" s="28">
        <v>44151</v>
      </c>
      <c r="N1048" s="9">
        <v>2021</v>
      </c>
      <c r="O1048" s="9" t="s">
        <v>4373</v>
      </c>
      <c r="P1048" s="9" t="s">
        <v>53</v>
      </c>
      <c r="Q1048" s="9" t="s">
        <v>53</v>
      </c>
      <c r="R1048" s="9" t="s">
        <v>92</v>
      </c>
      <c r="T1048" s="9"/>
      <c r="V1048" s="9"/>
      <c r="W1048" s="11">
        <f>IFERROR(VLOOKUP(B1048, PlumX_snapshot!$A:$B, 2, FALSE), " ")</f>
        <v>12</v>
      </c>
      <c r="X1048" s="11">
        <f>IFERROR(VLOOKUP(B1048, PlumX_snapshot!$A:$C, 3, FALSE), " ")</f>
        <v>0</v>
      </c>
      <c r="Y1048" s="12">
        <f>IFERROR(VLOOKUP(B1048, PlumX_snapshot!$A:$D, 4, FALSE), " ")</f>
        <v>2</v>
      </c>
      <c r="Z1048" s="12">
        <f>IFERROR(VLOOKUP(B1048, PlumX_snapshot!$A:$E, 5, FALSE), " ")</f>
        <v>0</v>
      </c>
      <c r="AA1048" s="12">
        <f>IFERROR(VLOOKUP(B1048, PlumX_snapshot!$A:$F, 6, FALSE), " ")</f>
        <v>0</v>
      </c>
      <c r="AB1048" s="13">
        <v>44978</v>
      </c>
      <c r="AC1048" s="9" t="s">
        <v>4766</v>
      </c>
      <c r="AD1048" s="9" t="s">
        <v>4767</v>
      </c>
      <c r="AE1048" s="9"/>
      <c r="AH1048" s="9">
        <v>2540</v>
      </c>
      <c r="AI1048" s="9" t="s">
        <v>77</v>
      </c>
      <c r="AJ1048" s="9" t="s">
        <v>301</v>
      </c>
      <c r="AK1048" s="11" t="str">
        <f t="shared" si="8"/>
        <v>2021GBP</v>
      </c>
      <c r="AL1048" s="11">
        <f>VLOOKUP(AK1048, Exchange_rates!$C:$D, 2, FALSE)</f>
        <v>1</v>
      </c>
      <c r="AM1048" s="14">
        <f t="shared" si="9"/>
        <v>3048</v>
      </c>
      <c r="AN1048" s="9"/>
      <c r="AO1048" s="9"/>
      <c r="AP1048" s="9"/>
      <c r="AQ1048" s="15" t="s">
        <v>49</v>
      </c>
      <c r="AR1048" t="s">
        <v>4768</v>
      </c>
      <c r="AS1048" s="16" t="s">
        <v>4769</v>
      </c>
    </row>
    <row r="1049" spans="1:45" ht="14.5">
      <c r="A1049" s="9" t="s">
        <v>4770</v>
      </c>
      <c r="B1049" s="9" t="s">
        <v>4771</v>
      </c>
      <c r="C1049" s="9" t="s">
        <v>4652</v>
      </c>
      <c r="D1049" s="9" t="s">
        <v>4371</v>
      </c>
      <c r="E1049" s="9" t="s">
        <v>49</v>
      </c>
      <c r="F1049" s="9" t="s">
        <v>69</v>
      </c>
      <c r="G1049" s="9" t="s">
        <v>70</v>
      </c>
      <c r="H1049" s="9" t="s">
        <v>4372</v>
      </c>
      <c r="I1049" s="9" t="s">
        <v>291</v>
      </c>
      <c r="J1049" s="10"/>
      <c r="K1049" s="10"/>
      <c r="L1049" s="10">
        <v>44329.622060185182</v>
      </c>
      <c r="M1049" s="10">
        <v>44348</v>
      </c>
      <c r="N1049" s="9">
        <v>2021</v>
      </c>
      <c r="O1049" s="9" t="s">
        <v>4373</v>
      </c>
      <c r="P1049" s="9" t="s">
        <v>53</v>
      </c>
      <c r="Q1049" s="9" t="s">
        <v>53</v>
      </c>
      <c r="R1049" s="9" t="s">
        <v>92</v>
      </c>
      <c r="T1049" s="9"/>
      <c r="V1049" s="9"/>
      <c r="W1049" s="11">
        <f>IFERROR(VLOOKUP(B1049, PlumX_snapshot!$A:$B, 2, FALSE), " ")</f>
        <v>16</v>
      </c>
      <c r="X1049" s="11">
        <f>IFERROR(VLOOKUP(B1049, PlumX_snapshot!$A:$C, 3, FALSE), " ")</f>
        <v>0</v>
      </c>
      <c r="Y1049" s="12">
        <f>IFERROR(VLOOKUP(B1049, PlumX_snapshot!$A:$D, 4, FALSE), " ")</f>
        <v>13</v>
      </c>
      <c r="Z1049" s="12">
        <f>IFERROR(VLOOKUP(B1049, PlumX_snapshot!$A:$E, 5, FALSE), " ")</f>
        <v>0</v>
      </c>
      <c r="AA1049" s="12">
        <f>IFERROR(VLOOKUP(B1049, PlumX_snapshot!$A:$F, 6, FALSE), " ")</f>
        <v>0</v>
      </c>
      <c r="AB1049" s="13">
        <v>44978</v>
      </c>
      <c r="AC1049" s="9" t="s">
        <v>4772</v>
      </c>
      <c r="AD1049" s="9" t="s">
        <v>4773</v>
      </c>
      <c r="AE1049" s="9"/>
      <c r="AH1049" s="9">
        <v>2533</v>
      </c>
      <c r="AI1049" s="9" t="s">
        <v>1999</v>
      </c>
      <c r="AJ1049" s="9" t="s">
        <v>301</v>
      </c>
      <c r="AK1049" s="11" t="str">
        <f t="shared" si="8"/>
        <v>2021GBP</v>
      </c>
      <c r="AL1049" s="11">
        <f>VLOOKUP(AK1049, Exchange_rates!$C:$D, 2, FALSE)</f>
        <v>1</v>
      </c>
      <c r="AM1049" s="14">
        <f t="shared" si="9"/>
        <v>3039.6</v>
      </c>
      <c r="AN1049" s="9"/>
      <c r="AO1049" s="9"/>
      <c r="AP1049" s="9"/>
      <c r="AQ1049" s="15" t="s">
        <v>49</v>
      </c>
      <c r="AR1049" t="s">
        <v>4653</v>
      </c>
      <c r="AS1049" s="16" t="s">
        <v>4654</v>
      </c>
    </row>
    <row r="1050" spans="1:45" ht="14.5">
      <c r="A1050" s="9" t="s">
        <v>4774</v>
      </c>
      <c r="B1050" s="9" t="s">
        <v>4775</v>
      </c>
      <c r="C1050" s="9" t="s">
        <v>4776</v>
      </c>
      <c r="D1050" s="9" t="s">
        <v>4371</v>
      </c>
      <c r="E1050" s="9" t="s">
        <v>49</v>
      </c>
      <c r="F1050" s="9" t="s">
        <v>69</v>
      </c>
      <c r="G1050" s="9" t="s">
        <v>70</v>
      </c>
      <c r="H1050" s="9" t="s">
        <v>4372</v>
      </c>
      <c r="I1050" s="9" t="s">
        <v>291</v>
      </c>
      <c r="J1050" s="10"/>
      <c r="K1050" s="10"/>
      <c r="L1050" s="10">
        <v>44327.568865740737</v>
      </c>
      <c r="M1050" s="10">
        <v>44348</v>
      </c>
      <c r="N1050" s="9">
        <v>2021</v>
      </c>
      <c r="O1050" s="9" t="s">
        <v>4373</v>
      </c>
      <c r="P1050" s="9" t="s">
        <v>53</v>
      </c>
      <c r="Q1050" s="9" t="s">
        <v>53</v>
      </c>
      <c r="R1050" s="9" t="s">
        <v>92</v>
      </c>
      <c r="T1050" s="9"/>
      <c r="V1050" s="9"/>
      <c r="W1050" s="11">
        <f>IFERROR(VLOOKUP(B1050, PlumX_snapshot!$A:$B, 2, FALSE), " ")</f>
        <v>4</v>
      </c>
      <c r="X1050" s="11">
        <f>IFERROR(VLOOKUP(B1050, PlumX_snapshot!$A:$C, 3, FALSE), " ")</f>
        <v>0</v>
      </c>
      <c r="Y1050" s="12">
        <f>IFERROR(VLOOKUP(B1050, PlumX_snapshot!$A:$D, 4, FALSE), " ")</f>
        <v>8</v>
      </c>
      <c r="Z1050" s="12">
        <f>IFERROR(VLOOKUP(B1050, PlumX_snapshot!$A:$E, 5, FALSE), " ")</f>
        <v>0</v>
      </c>
      <c r="AA1050" s="12">
        <f>IFERROR(VLOOKUP(B1050, PlumX_snapshot!$A:$F, 6, FALSE), " ")</f>
        <v>0</v>
      </c>
      <c r="AB1050" s="13">
        <v>44978</v>
      </c>
      <c r="AC1050" s="9" t="s">
        <v>4777</v>
      </c>
      <c r="AD1050" s="9" t="s">
        <v>4778</v>
      </c>
      <c r="AE1050" s="9" t="s">
        <v>4779</v>
      </c>
      <c r="AH1050" s="9">
        <v>2155</v>
      </c>
      <c r="AI1050" s="9" t="s">
        <v>77</v>
      </c>
      <c r="AJ1050" s="9" t="s">
        <v>301</v>
      </c>
      <c r="AK1050" s="11" t="str">
        <f t="shared" si="8"/>
        <v>2021GBP</v>
      </c>
      <c r="AL1050" s="11">
        <f>VLOOKUP(AK1050, Exchange_rates!$C:$D, 2, FALSE)</f>
        <v>1</v>
      </c>
      <c r="AM1050" s="14">
        <f t="shared" si="9"/>
        <v>2586</v>
      </c>
      <c r="AN1050" s="9"/>
      <c r="AO1050" s="9"/>
      <c r="AP1050" s="9"/>
      <c r="AQ1050" s="15" t="s">
        <v>49</v>
      </c>
      <c r="AR1050" t="s">
        <v>4780</v>
      </c>
      <c r="AS1050" s="16" t="s">
        <v>4781</v>
      </c>
    </row>
    <row r="1051" spans="1:45" ht="14.5">
      <c r="A1051" s="9" t="s">
        <v>4782</v>
      </c>
      <c r="B1051" s="9" t="s">
        <v>4783</v>
      </c>
      <c r="C1051" s="9" t="s">
        <v>4784</v>
      </c>
      <c r="D1051" s="9" t="s">
        <v>4371</v>
      </c>
      <c r="E1051" s="9" t="s">
        <v>49</v>
      </c>
      <c r="F1051" s="9" t="s">
        <v>69</v>
      </c>
      <c r="G1051" s="9" t="s">
        <v>70</v>
      </c>
      <c r="H1051" s="9" t="s">
        <v>4372</v>
      </c>
      <c r="I1051" s="9" t="s">
        <v>72</v>
      </c>
      <c r="J1051" s="10"/>
      <c r="K1051" s="10"/>
      <c r="L1051" s="10">
        <v>44326.337453703702</v>
      </c>
      <c r="M1051" s="10">
        <v>44269</v>
      </c>
      <c r="N1051" s="9">
        <v>2021</v>
      </c>
      <c r="O1051" s="9" t="s">
        <v>4373</v>
      </c>
      <c r="P1051" s="9" t="s">
        <v>53</v>
      </c>
      <c r="Q1051" s="9" t="s">
        <v>83</v>
      </c>
      <c r="T1051" s="9"/>
      <c r="V1051" s="9"/>
      <c r="W1051" s="11">
        <f>IFERROR(VLOOKUP(B1051, PlumX_snapshot!$A:$B, 2, FALSE), " ")</f>
        <v>25</v>
      </c>
      <c r="X1051" s="11">
        <f>IFERROR(VLOOKUP(B1051, PlumX_snapshot!$A:$C, 3, FALSE), " ")</f>
        <v>0</v>
      </c>
      <c r="Y1051" s="12">
        <f>IFERROR(VLOOKUP(B1051, PlumX_snapshot!$A:$D, 4, FALSE), " ")</f>
        <v>15</v>
      </c>
      <c r="Z1051" s="12">
        <f>IFERROR(VLOOKUP(B1051, PlumX_snapshot!$A:$E, 5, FALSE), " ")</f>
        <v>0</v>
      </c>
      <c r="AA1051" s="12">
        <f>IFERROR(VLOOKUP(B1051, PlumX_snapshot!$A:$F, 6, FALSE), " ")</f>
        <v>0</v>
      </c>
      <c r="AB1051" s="13">
        <v>44978</v>
      </c>
      <c r="AC1051" s="9" t="s">
        <v>4785</v>
      </c>
      <c r="AD1051" s="9" t="s">
        <v>1747</v>
      </c>
      <c r="AE1051" s="9" t="s">
        <v>4786</v>
      </c>
      <c r="AH1051" s="9">
        <v>2533</v>
      </c>
      <c r="AI1051" s="9" t="s">
        <v>1999</v>
      </c>
      <c r="AJ1051" s="9" t="s">
        <v>301</v>
      </c>
      <c r="AK1051" s="11" t="str">
        <f t="shared" si="8"/>
        <v>2021GBP</v>
      </c>
      <c r="AL1051" s="11">
        <f>VLOOKUP(AK1051, Exchange_rates!$C:$D, 2, FALSE)</f>
        <v>1</v>
      </c>
      <c r="AM1051" s="14">
        <f t="shared" si="9"/>
        <v>3039.6</v>
      </c>
      <c r="AN1051" s="9"/>
      <c r="AO1051" s="9"/>
      <c r="AP1051" s="9"/>
      <c r="AQ1051" s="15" t="s">
        <v>49</v>
      </c>
      <c r="AR1051" t="s">
        <v>4787</v>
      </c>
      <c r="AS1051" s="16" t="s">
        <v>4788</v>
      </c>
    </row>
    <row r="1052" spans="1:45" ht="14.5">
      <c r="A1052" s="9" t="s">
        <v>4789</v>
      </c>
      <c r="B1052" s="9" t="s">
        <v>4790</v>
      </c>
      <c r="C1052" s="9" t="s">
        <v>4791</v>
      </c>
      <c r="D1052" s="9" t="s">
        <v>4371</v>
      </c>
      <c r="E1052" s="9" t="s">
        <v>49</v>
      </c>
      <c r="F1052" s="9" t="s">
        <v>69</v>
      </c>
      <c r="G1052" s="9" t="s">
        <v>70</v>
      </c>
      <c r="H1052" s="9" t="s">
        <v>4372</v>
      </c>
      <c r="I1052" s="9" t="s">
        <v>72</v>
      </c>
      <c r="J1052" s="10"/>
      <c r="K1052" s="10"/>
      <c r="L1052" s="10">
        <v>44320.545763888891</v>
      </c>
      <c r="M1052" s="10">
        <v>44289</v>
      </c>
      <c r="N1052" s="9">
        <v>2021</v>
      </c>
      <c r="O1052" s="9" t="s">
        <v>4373</v>
      </c>
      <c r="P1052" s="9" t="s">
        <v>83</v>
      </c>
      <c r="Q1052" s="9" t="s">
        <v>53</v>
      </c>
      <c r="T1052" s="9"/>
      <c r="V1052" s="9"/>
      <c r="W1052" s="11">
        <f>IFERROR(VLOOKUP(B1052, PlumX_snapshot!$A:$B, 2, FALSE), " ")</f>
        <v>93</v>
      </c>
      <c r="X1052" s="11">
        <f>IFERROR(VLOOKUP(B1052, PlumX_snapshot!$A:$C, 3, FALSE), " ")</f>
        <v>9</v>
      </c>
      <c r="Y1052" s="12">
        <f>IFERROR(VLOOKUP(B1052, PlumX_snapshot!$A:$D, 4, FALSE), " ")</f>
        <v>15</v>
      </c>
      <c r="Z1052" s="12">
        <f>IFERROR(VLOOKUP(B1052, PlumX_snapshot!$A:$E, 5, FALSE), " ")</f>
        <v>0</v>
      </c>
      <c r="AA1052" s="12">
        <f>IFERROR(VLOOKUP(B1052, PlumX_snapshot!$A:$F, 6, FALSE), " ")</f>
        <v>6</v>
      </c>
      <c r="AB1052" s="13">
        <v>44978</v>
      </c>
      <c r="AC1052" s="9" t="s">
        <v>4439</v>
      </c>
      <c r="AD1052" s="9" t="s">
        <v>4440</v>
      </c>
      <c r="AE1052" s="9" t="s">
        <v>4501</v>
      </c>
      <c r="AH1052" s="9">
        <v>2533</v>
      </c>
      <c r="AI1052" s="9" t="s">
        <v>1999</v>
      </c>
      <c r="AJ1052" s="9" t="s">
        <v>301</v>
      </c>
      <c r="AK1052" s="11" t="str">
        <f t="shared" si="8"/>
        <v>2021GBP</v>
      </c>
      <c r="AL1052" s="11">
        <f>VLOOKUP(AK1052, Exchange_rates!$C:$D, 2, FALSE)</f>
        <v>1</v>
      </c>
      <c r="AM1052" s="14">
        <f t="shared" si="9"/>
        <v>3039.6</v>
      </c>
      <c r="AN1052" s="9"/>
      <c r="AO1052" s="9"/>
      <c r="AP1052" s="9"/>
      <c r="AQ1052" s="15" t="s">
        <v>49</v>
      </c>
      <c r="AR1052" t="s">
        <v>4792</v>
      </c>
      <c r="AS1052" s="16"/>
    </row>
    <row r="1053" spans="1:45" ht="14.5">
      <c r="A1053" s="9" t="s">
        <v>4793</v>
      </c>
      <c r="B1053" s="9" t="s">
        <v>4794</v>
      </c>
      <c r="C1053" s="9" t="s">
        <v>4795</v>
      </c>
      <c r="D1053" s="9" t="s">
        <v>4371</v>
      </c>
      <c r="E1053" s="9" t="s">
        <v>49</v>
      </c>
      <c r="F1053" s="9" t="s">
        <v>69</v>
      </c>
      <c r="G1053" s="9" t="s">
        <v>70</v>
      </c>
      <c r="H1053" s="9" t="s">
        <v>4372</v>
      </c>
      <c r="I1053" s="9" t="s">
        <v>72</v>
      </c>
      <c r="J1053" s="10"/>
      <c r="K1053" s="10"/>
      <c r="L1053" s="10">
        <v>44320.536817129629</v>
      </c>
      <c r="M1053" s="10">
        <v>44354</v>
      </c>
      <c r="N1053" s="9">
        <v>2021</v>
      </c>
      <c r="O1053" s="9" t="s">
        <v>4373</v>
      </c>
      <c r="P1053" s="9" t="s">
        <v>53</v>
      </c>
      <c r="Q1053" s="9" t="s">
        <v>53</v>
      </c>
      <c r="R1053" s="9" t="s">
        <v>4796</v>
      </c>
      <c r="T1053" s="9"/>
      <c r="V1053" s="9"/>
      <c r="W1053" s="11">
        <f>IFERROR(VLOOKUP(B1053, PlumX_snapshot!$A:$B, 2, FALSE), " ")</f>
        <v>31</v>
      </c>
      <c r="X1053" s="11">
        <f>IFERROR(VLOOKUP(B1053, PlumX_snapshot!$A:$C, 3, FALSE), " ")</f>
        <v>6</v>
      </c>
      <c r="Y1053" s="12">
        <f>IFERROR(VLOOKUP(B1053, PlumX_snapshot!$A:$D, 4, FALSE), " ")</f>
        <v>5</v>
      </c>
      <c r="Z1053" s="12">
        <f>IFERROR(VLOOKUP(B1053, PlumX_snapshot!$A:$E, 5, FALSE), " ")</f>
        <v>0</v>
      </c>
      <c r="AA1053" s="12">
        <f>IFERROR(VLOOKUP(B1053, PlumX_snapshot!$A:$F, 6, FALSE), " ")</f>
        <v>0</v>
      </c>
      <c r="AB1053" s="13">
        <v>44978</v>
      </c>
      <c r="AC1053" s="9" t="s">
        <v>4797</v>
      </c>
      <c r="AD1053" s="9" t="s">
        <v>4798</v>
      </c>
      <c r="AE1053" s="9"/>
      <c r="AH1053" s="9">
        <v>3690</v>
      </c>
      <c r="AI1053" s="9" t="s">
        <v>77</v>
      </c>
      <c r="AJ1053" s="9" t="s">
        <v>301</v>
      </c>
      <c r="AK1053" s="11" t="str">
        <f t="shared" si="8"/>
        <v>2021GBP</v>
      </c>
      <c r="AL1053" s="11">
        <f>VLOOKUP(AK1053, Exchange_rates!$C:$D, 2, FALSE)</f>
        <v>1</v>
      </c>
      <c r="AM1053" s="14">
        <f t="shared" si="9"/>
        <v>4428</v>
      </c>
      <c r="AN1053" s="9"/>
      <c r="AO1053" s="9"/>
      <c r="AP1053" s="9"/>
      <c r="AQ1053" s="15" t="s">
        <v>49</v>
      </c>
      <c r="AR1053" t="s">
        <v>4799</v>
      </c>
      <c r="AS1053" s="16" t="s">
        <v>4800</v>
      </c>
    </row>
    <row r="1054" spans="1:45" ht="14.5">
      <c r="A1054" s="9" t="s">
        <v>4801</v>
      </c>
      <c r="B1054" s="9" t="s">
        <v>4802</v>
      </c>
      <c r="C1054" s="9" t="s">
        <v>4803</v>
      </c>
      <c r="D1054" s="9" t="s">
        <v>4371</v>
      </c>
      <c r="E1054" s="17" t="s">
        <v>49</v>
      </c>
      <c r="F1054" s="9" t="s">
        <v>69</v>
      </c>
      <c r="G1054" s="9" t="s">
        <v>70</v>
      </c>
      <c r="H1054" s="9" t="s">
        <v>4372</v>
      </c>
      <c r="I1054" s="9" t="s">
        <v>291</v>
      </c>
      <c r="J1054" s="10"/>
      <c r="K1054" s="10">
        <v>44327</v>
      </c>
      <c r="L1054" s="10">
        <v>44551.621122685188</v>
      </c>
      <c r="M1054" s="10">
        <v>44339</v>
      </c>
      <c r="N1054" s="9">
        <v>2021</v>
      </c>
      <c r="O1054" s="9" t="s">
        <v>4804</v>
      </c>
      <c r="P1054" s="9" t="s">
        <v>53</v>
      </c>
      <c r="Q1054" s="9" t="s">
        <v>53</v>
      </c>
      <c r="R1054" s="9" t="s">
        <v>4805</v>
      </c>
      <c r="T1054" s="9"/>
      <c r="V1054" s="9" t="s">
        <v>4806</v>
      </c>
      <c r="W1054" s="11">
        <f>IFERROR(VLOOKUP(B1054, PlumX_snapshot!$A:$B, 2, FALSE), " ")</f>
        <v>17</v>
      </c>
      <c r="X1054" s="11">
        <f>IFERROR(VLOOKUP(B1054, PlumX_snapshot!$A:$C, 3, FALSE), " ")</f>
        <v>2</v>
      </c>
      <c r="Y1054" s="12">
        <f>IFERROR(VLOOKUP(B1054, PlumX_snapshot!$A:$D, 4, FALSE), " ")</f>
        <v>3</v>
      </c>
      <c r="Z1054" s="12">
        <f>IFERROR(VLOOKUP(B1054, PlumX_snapshot!$A:$E, 5, FALSE), " ")</f>
        <v>0</v>
      </c>
      <c r="AA1054" s="12">
        <f>IFERROR(VLOOKUP(B1054, PlumX_snapshot!$A:$F, 6, FALSE), " ")</f>
        <v>0</v>
      </c>
      <c r="AB1054" s="13">
        <v>44978</v>
      </c>
      <c r="AC1054" s="9" t="s">
        <v>4807</v>
      </c>
      <c r="AD1054" s="9" t="s">
        <v>4808</v>
      </c>
      <c r="AE1054" s="9" t="s">
        <v>4501</v>
      </c>
      <c r="AH1054" s="9">
        <v>2533</v>
      </c>
      <c r="AI1054" s="9" t="s">
        <v>1999</v>
      </c>
      <c r="AJ1054" s="9" t="s">
        <v>301</v>
      </c>
      <c r="AK1054" s="11" t="str">
        <f t="shared" si="8"/>
        <v>2021GBP</v>
      </c>
      <c r="AL1054" s="11">
        <f>VLOOKUP(AK1054, Exchange_rates!$C:$D, 2, FALSE)</f>
        <v>1</v>
      </c>
      <c r="AM1054" s="14">
        <f t="shared" si="9"/>
        <v>3039.6</v>
      </c>
      <c r="AN1054" s="9"/>
      <c r="AO1054" s="9"/>
      <c r="AP1054" s="17"/>
      <c r="AQ1054" s="15" t="s">
        <v>49</v>
      </c>
      <c r="AR1054" t="s">
        <v>4809</v>
      </c>
      <c r="AS1054" s="16" t="s">
        <v>4810</v>
      </c>
    </row>
    <row r="1055" spans="1:45" ht="14.5">
      <c r="A1055" s="9" t="s">
        <v>4811</v>
      </c>
      <c r="B1055" s="9" t="s">
        <v>4812</v>
      </c>
      <c r="C1055" s="9" t="s">
        <v>4813</v>
      </c>
      <c r="D1055" s="9" t="s">
        <v>4371</v>
      </c>
      <c r="E1055" s="17" t="s">
        <v>49</v>
      </c>
      <c r="F1055" s="9" t="s">
        <v>69</v>
      </c>
      <c r="G1055" s="9" t="s">
        <v>70</v>
      </c>
      <c r="H1055" s="9" t="s">
        <v>4372</v>
      </c>
      <c r="I1055" s="9" t="s">
        <v>291</v>
      </c>
      <c r="J1055" s="10"/>
      <c r="K1055" s="10">
        <v>44386</v>
      </c>
      <c r="L1055" s="10">
        <v>44551.611701388887</v>
      </c>
      <c r="M1055" s="10">
        <v>44397</v>
      </c>
      <c r="N1055" s="9">
        <v>2021</v>
      </c>
      <c r="O1055" s="9" t="s">
        <v>4804</v>
      </c>
      <c r="P1055" s="9" t="s">
        <v>83</v>
      </c>
      <c r="Q1055" s="9" t="s">
        <v>53</v>
      </c>
      <c r="R1055" s="9" t="s">
        <v>4814</v>
      </c>
      <c r="T1055" s="9"/>
      <c r="V1055" s="9" t="s">
        <v>4806</v>
      </c>
      <c r="W1055" s="11">
        <f>IFERROR(VLOOKUP(B1055, PlumX_snapshot!$A:$B, 2, FALSE), " ")</f>
        <v>12</v>
      </c>
      <c r="X1055" s="11">
        <f>IFERROR(VLOOKUP(B1055, PlumX_snapshot!$A:$C, 3, FALSE), " ")</f>
        <v>3</v>
      </c>
      <c r="Y1055" s="12">
        <f>IFERROR(VLOOKUP(B1055, PlumX_snapshot!$A:$D, 4, FALSE), " ")</f>
        <v>471</v>
      </c>
      <c r="Z1055" s="12">
        <f>IFERROR(VLOOKUP(B1055, PlumX_snapshot!$A:$E, 5, FALSE), " ")</f>
        <v>0</v>
      </c>
      <c r="AA1055" s="12">
        <f>IFERROR(VLOOKUP(B1055, PlumX_snapshot!$A:$F, 6, FALSE), " ")</f>
        <v>0</v>
      </c>
      <c r="AB1055" s="13">
        <v>44978</v>
      </c>
      <c r="AC1055" s="9" t="s">
        <v>4815</v>
      </c>
      <c r="AD1055" s="9" t="s">
        <v>4816</v>
      </c>
      <c r="AE1055" s="9" t="s">
        <v>4817</v>
      </c>
      <c r="AH1055" s="9">
        <v>2295</v>
      </c>
      <c r="AI1055" s="9" t="s">
        <v>77</v>
      </c>
      <c r="AJ1055" s="9" t="s">
        <v>301</v>
      </c>
      <c r="AK1055" s="11" t="str">
        <f t="shared" si="8"/>
        <v>2021GBP</v>
      </c>
      <c r="AL1055" s="11">
        <f>VLOOKUP(AK1055, Exchange_rates!$C:$D, 2, FALSE)</f>
        <v>1</v>
      </c>
      <c r="AM1055" s="14">
        <f t="shared" si="9"/>
        <v>2754</v>
      </c>
      <c r="AN1055" s="9"/>
      <c r="AO1055" s="9"/>
      <c r="AP1055" s="17"/>
      <c r="AQ1055" s="15" t="s">
        <v>49</v>
      </c>
      <c r="AR1055" t="s">
        <v>4818</v>
      </c>
      <c r="AS1055" s="16" t="s">
        <v>4819</v>
      </c>
    </row>
    <row r="1056" spans="1:45" ht="14.5">
      <c r="A1056" s="9" t="s">
        <v>4820</v>
      </c>
      <c r="B1056" s="9" t="s">
        <v>4821</v>
      </c>
      <c r="C1056" s="9" t="s">
        <v>4822</v>
      </c>
      <c r="D1056" s="9" t="s">
        <v>4371</v>
      </c>
      <c r="E1056" s="17" t="s">
        <v>49</v>
      </c>
      <c r="F1056" s="9" t="s">
        <v>69</v>
      </c>
      <c r="G1056" s="9" t="s">
        <v>70</v>
      </c>
      <c r="H1056" s="9" t="s">
        <v>4372</v>
      </c>
      <c r="I1056" s="9" t="s">
        <v>291</v>
      </c>
      <c r="J1056" s="10"/>
      <c r="K1056" s="10"/>
      <c r="L1056" s="10">
        <v>44551.589398148149</v>
      </c>
      <c r="M1056" s="10">
        <v>44281</v>
      </c>
      <c r="N1056" s="9">
        <v>2021</v>
      </c>
      <c r="O1056" s="9" t="s">
        <v>4804</v>
      </c>
      <c r="P1056" s="9" t="s">
        <v>53</v>
      </c>
      <c r="Q1056" s="9" t="s">
        <v>53</v>
      </c>
      <c r="R1056" s="9" t="s">
        <v>4823</v>
      </c>
      <c r="T1056" s="9"/>
      <c r="V1056" s="9" t="s">
        <v>4806</v>
      </c>
      <c r="W1056" s="11">
        <f>IFERROR(VLOOKUP(B1056, PlumX_snapshot!$A:$B, 2, FALSE), " ")</f>
        <v>34</v>
      </c>
      <c r="X1056" s="11">
        <f>IFERROR(VLOOKUP(B1056, PlumX_snapshot!$A:$C, 3, FALSE), " ")</f>
        <v>6</v>
      </c>
      <c r="Y1056" s="12">
        <f>IFERROR(VLOOKUP(B1056, PlumX_snapshot!$A:$D, 4, FALSE), " ")</f>
        <v>9</v>
      </c>
      <c r="Z1056" s="12">
        <f>IFERROR(VLOOKUP(B1056, PlumX_snapshot!$A:$E, 5, FALSE), " ")</f>
        <v>0</v>
      </c>
      <c r="AA1056" s="12">
        <f>IFERROR(VLOOKUP(B1056, PlumX_snapshot!$A:$F, 6, FALSE), " ")</f>
        <v>0</v>
      </c>
      <c r="AB1056" s="13">
        <v>44978</v>
      </c>
      <c r="AC1056" s="9" t="s">
        <v>4824</v>
      </c>
      <c r="AD1056" s="9" t="s">
        <v>4825</v>
      </c>
      <c r="AE1056" s="9" t="s">
        <v>4826</v>
      </c>
      <c r="AH1056" s="9">
        <v>2533</v>
      </c>
      <c r="AI1056" s="9" t="s">
        <v>1999</v>
      </c>
      <c r="AJ1056" s="9" t="s">
        <v>301</v>
      </c>
      <c r="AK1056" s="11" t="str">
        <f t="shared" si="8"/>
        <v>2021GBP</v>
      </c>
      <c r="AL1056" s="11">
        <f>VLOOKUP(AK1056, Exchange_rates!$C:$D, 2, FALSE)</f>
        <v>1</v>
      </c>
      <c r="AM1056" s="14">
        <f t="shared" si="9"/>
        <v>3039.6</v>
      </c>
      <c r="AN1056" s="9"/>
      <c r="AO1056" s="9"/>
      <c r="AP1056" s="17"/>
      <c r="AQ1056" s="15" t="s">
        <v>49</v>
      </c>
      <c r="AR1056" t="s">
        <v>4827</v>
      </c>
      <c r="AS1056" s="16" t="s">
        <v>4828</v>
      </c>
    </row>
    <row r="1057" spans="1:45" ht="14.5">
      <c r="A1057" s="9" t="s">
        <v>4829</v>
      </c>
      <c r="B1057" s="9" t="s">
        <v>4830</v>
      </c>
      <c r="C1057" s="9" t="s">
        <v>4831</v>
      </c>
      <c r="D1057" s="9" t="s">
        <v>4371</v>
      </c>
      <c r="E1057" s="17" t="s">
        <v>49</v>
      </c>
      <c r="F1057" s="9" t="s">
        <v>69</v>
      </c>
      <c r="G1057" s="9" t="s">
        <v>70</v>
      </c>
      <c r="H1057" s="9" t="s">
        <v>4372</v>
      </c>
      <c r="I1057" s="9" t="s">
        <v>291</v>
      </c>
      <c r="J1057" s="10"/>
      <c r="K1057" s="10"/>
      <c r="L1057" s="10">
        <v>44551.584930555553</v>
      </c>
      <c r="M1057" s="10">
        <v>44286</v>
      </c>
      <c r="N1057" s="9">
        <v>2021</v>
      </c>
      <c r="O1057" s="9" t="s">
        <v>4804</v>
      </c>
      <c r="P1057" s="9" t="s">
        <v>53</v>
      </c>
      <c r="Q1057" s="9" t="s">
        <v>53</v>
      </c>
      <c r="R1057" s="9" t="s">
        <v>4823</v>
      </c>
      <c r="T1057" s="9"/>
      <c r="V1057" s="9" t="s">
        <v>4806</v>
      </c>
      <c r="W1057" s="11">
        <f>IFERROR(VLOOKUP(B1057, PlumX_snapshot!$A:$B, 2, FALSE), " ")</f>
        <v>89</v>
      </c>
      <c r="X1057" s="11">
        <f>IFERROR(VLOOKUP(B1057, PlumX_snapshot!$A:$C, 3, FALSE), " ")</f>
        <v>16</v>
      </c>
      <c r="Y1057" s="12">
        <f>IFERROR(VLOOKUP(B1057, PlumX_snapshot!$A:$D, 4, FALSE), " ")</f>
        <v>75</v>
      </c>
      <c r="Z1057" s="12">
        <f>IFERROR(VLOOKUP(B1057, PlumX_snapshot!$A:$E, 5, FALSE), " ")</f>
        <v>0</v>
      </c>
      <c r="AA1057" s="12">
        <f>IFERROR(VLOOKUP(B1057, PlumX_snapshot!$A:$F, 6, FALSE), " ")</f>
        <v>0</v>
      </c>
      <c r="AB1057" s="13">
        <v>44978</v>
      </c>
      <c r="AC1057" s="9" t="s">
        <v>4832</v>
      </c>
      <c r="AD1057" s="9" t="s">
        <v>4833</v>
      </c>
      <c r="AE1057" s="9" t="s">
        <v>4834</v>
      </c>
      <c r="AH1057" s="9">
        <v>2533</v>
      </c>
      <c r="AI1057" s="9" t="s">
        <v>1999</v>
      </c>
      <c r="AJ1057" s="9" t="s">
        <v>301</v>
      </c>
      <c r="AK1057" s="11" t="str">
        <f t="shared" si="8"/>
        <v>2021GBP</v>
      </c>
      <c r="AL1057" s="11">
        <f>VLOOKUP(AK1057, Exchange_rates!$C:$D, 2, FALSE)</f>
        <v>1</v>
      </c>
      <c r="AM1057" s="14">
        <f t="shared" si="9"/>
        <v>3039.6</v>
      </c>
      <c r="AN1057" s="9"/>
      <c r="AO1057" s="9"/>
      <c r="AP1057" s="17"/>
      <c r="AQ1057" s="15" t="s">
        <v>49</v>
      </c>
      <c r="AR1057" t="s">
        <v>4835</v>
      </c>
      <c r="AS1057" s="16" t="s">
        <v>4836</v>
      </c>
    </row>
    <row r="1058" spans="1:45" ht="14.5">
      <c r="A1058" s="9" t="s">
        <v>4837</v>
      </c>
      <c r="B1058" s="9" t="s">
        <v>4838</v>
      </c>
      <c r="C1058" s="9" t="s">
        <v>4839</v>
      </c>
      <c r="D1058" s="9" t="s">
        <v>4371</v>
      </c>
      <c r="E1058" s="17" t="s">
        <v>49</v>
      </c>
      <c r="F1058" s="9" t="s">
        <v>69</v>
      </c>
      <c r="G1058" s="9" t="s">
        <v>70</v>
      </c>
      <c r="H1058" s="9" t="s">
        <v>4372</v>
      </c>
      <c r="I1058" s="9" t="s">
        <v>291</v>
      </c>
      <c r="J1058" s="10"/>
      <c r="K1058" s="10">
        <v>44498</v>
      </c>
      <c r="L1058" s="10">
        <v>44551.567685185182</v>
      </c>
      <c r="M1058" s="28">
        <v>44517</v>
      </c>
      <c r="N1058" s="9">
        <v>2021</v>
      </c>
      <c r="O1058" s="9" t="s">
        <v>4804</v>
      </c>
      <c r="P1058" s="9" t="s">
        <v>53</v>
      </c>
      <c r="Q1058" s="9" t="s">
        <v>53</v>
      </c>
      <c r="R1058" s="9" t="s">
        <v>4840</v>
      </c>
      <c r="T1058" s="9"/>
      <c r="V1058" s="9" t="s">
        <v>4806</v>
      </c>
      <c r="W1058" s="11">
        <f>IFERROR(VLOOKUP(B1058, PlumX_snapshot!$A:$B, 2, FALSE), " ")</f>
        <v>19</v>
      </c>
      <c r="X1058" s="11">
        <f>IFERROR(VLOOKUP(B1058, PlumX_snapshot!$A:$C, 3, FALSE), " ")</f>
        <v>0</v>
      </c>
      <c r="Y1058" s="12">
        <f>IFERROR(VLOOKUP(B1058, PlumX_snapshot!$A:$D, 4, FALSE), " ")</f>
        <v>24</v>
      </c>
      <c r="Z1058" s="12">
        <f>IFERROR(VLOOKUP(B1058, PlumX_snapshot!$A:$E, 5, FALSE), " ")</f>
        <v>0</v>
      </c>
      <c r="AA1058" s="12">
        <f>IFERROR(VLOOKUP(B1058, PlumX_snapshot!$A:$F, 6, FALSE), " ")</f>
        <v>0</v>
      </c>
      <c r="AB1058" s="13">
        <v>44978</v>
      </c>
      <c r="AC1058" s="9" t="s">
        <v>4841</v>
      </c>
      <c r="AD1058" s="9" t="s">
        <v>4842</v>
      </c>
      <c r="AE1058" s="9" t="s">
        <v>4843</v>
      </c>
      <c r="AH1058" s="9">
        <v>2533</v>
      </c>
      <c r="AI1058" s="9" t="s">
        <v>1999</v>
      </c>
      <c r="AJ1058" s="9" t="s">
        <v>301</v>
      </c>
      <c r="AK1058" s="11" t="str">
        <f t="shared" si="8"/>
        <v>2021GBP</v>
      </c>
      <c r="AL1058" s="11">
        <f>VLOOKUP(AK1058, Exchange_rates!$C:$D, 2, FALSE)</f>
        <v>1</v>
      </c>
      <c r="AM1058" s="14">
        <f t="shared" si="9"/>
        <v>3039.6</v>
      </c>
      <c r="AN1058" s="9"/>
      <c r="AO1058" s="9"/>
      <c r="AP1058" s="17"/>
      <c r="AQ1058" s="15" t="s">
        <v>49</v>
      </c>
      <c r="AR1058" t="s">
        <v>4844</v>
      </c>
      <c r="AS1058" s="16" t="s">
        <v>4845</v>
      </c>
    </row>
    <row r="1059" spans="1:45" ht="14.5">
      <c r="A1059" s="9" t="s">
        <v>4846</v>
      </c>
      <c r="B1059" s="9" t="s">
        <v>4847</v>
      </c>
      <c r="C1059" s="9" t="s">
        <v>4848</v>
      </c>
      <c r="D1059" s="9" t="s">
        <v>4371</v>
      </c>
      <c r="E1059" s="17" t="s">
        <v>49</v>
      </c>
      <c r="F1059" s="9" t="s">
        <v>69</v>
      </c>
      <c r="G1059" s="9" t="s">
        <v>70</v>
      </c>
      <c r="H1059" s="9" t="s">
        <v>4372</v>
      </c>
      <c r="I1059" s="9" t="s">
        <v>291</v>
      </c>
      <c r="J1059" s="10"/>
      <c r="K1059" s="10">
        <v>44528</v>
      </c>
      <c r="L1059" s="10">
        <v>44533.46603009259</v>
      </c>
      <c r="M1059" s="28">
        <v>44543</v>
      </c>
      <c r="N1059" s="9">
        <v>2021</v>
      </c>
      <c r="O1059" s="9" t="s">
        <v>4804</v>
      </c>
      <c r="P1059" s="9" t="s">
        <v>53</v>
      </c>
      <c r="Q1059" s="9" t="s">
        <v>53</v>
      </c>
      <c r="R1059" s="9" t="s">
        <v>4849</v>
      </c>
      <c r="T1059" s="9"/>
      <c r="V1059" s="9" t="s">
        <v>4375</v>
      </c>
      <c r="W1059" s="11">
        <f>IFERROR(VLOOKUP(B1059, PlumX_snapshot!$A:$B, 2, FALSE), " ")</f>
        <v>7</v>
      </c>
      <c r="X1059" s="11">
        <f>IFERROR(VLOOKUP(B1059, PlumX_snapshot!$A:$C, 3, FALSE), " ")</f>
        <v>4</v>
      </c>
      <c r="Y1059" s="12">
        <f>IFERROR(VLOOKUP(B1059, PlumX_snapshot!$A:$D, 4, FALSE), " ")</f>
        <v>19</v>
      </c>
      <c r="Z1059" s="12">
        <f>IFERROR(VLOOKUP(B1059, PlumX_snapshot!$A:$E, 5, FALSE), " ")</f>
        <v>0</v>
      </c>
      <c r="AA1059" s="12">
        <f>IFERROR(VLOOKUP(B1059, PlumX_snapshot!$A:$F, 6, FALSE), " ")</f>
        <v>1</v>
      </c>
      <c r="AB1059" s="13">
        <v>44978</v>
      </c>
      <c r="AC1059" s="9" t="s">
        <v>433</v>
      </c>
      <c r="AD1059" s="9" t="s">
        <v>434</v>
      </c>
      <c r="AE1059" s="9"/>
      <c r="AH1059" s="9">
        <v>2540</v>
      </c>
      <c r="AI1059" s="9" t="s">
        <v>77</v>
      </c>
      <c r="AJ1059" s="9" t="s">
        <v>301</v>
      </c>
      <c r="AK1059" s="11" t="str">
        <f t="shared" si="8"/>
        <v>2021GBP</v>
      </c>
      <c r="AL1059" s="11">
        <f>VLOOKUP(AK1059, Exchange_rates!$C:$D, 2, FALSE)</f>
        <v>1</v>
      </c>
      <c r="AM1059" s="14">
        <f t="shared" si="9"/>
        <v>3048</v>
      </c>
      <c r="AN1059" s="9"/>
      <c r="AO1059" s="9"/>
      <c r="AP1059" s="17"/>
      <c r="AQ1059" s="15" t="s">
        <v>49</v>
      </c>
      <c r="AR1059" t="s">
        <v>4850</v>
      </c>
      <c r="AS1059" s="16" t="s">
        <v>4851</v>
      </c>
    </row>
    <row r="1060" spans="1:45" ht="14.5">
      <c r="A1060" s="9" t="s">
        <v>4852</v>
      </c>
      <c r="B1060" s="9" t="s">
        <v>4853</v>
      </c>
      <c r="C1060" s="9" t="s">
        <v>4652</v>
      </c>
      <c r="D1060" s="9" t="s">
        <v>4371</v>
      </c>
      <c r="E1060" s="17" t="s">
        <v>49</v>
      </c>
      <c r="F1060" s="9" t="s">
        <v>69</v>
      </c>
      <c r="G1060" s="9" t="s">
        <v>70</v>
      </c>
      <c r="H1060" s="9" t="s">
        <v>4372</v>
      </c>
      <c r="I1060" s="9" t="s">
        <v>291</v>
      </c>
      <c r="J1060" s="10"/>
      <c r="K1060" s="10">
        <v>44529</v>
      </c>
      <c r="L1060" s="10">
        <v>44532.460879629631</v>
      </c>
      <c r="M1060" s="10">
        <v>44539</v>
      </c>
      <c r="N1060" s="9">
        <v>2021</v>
      </c>
      <c r="O1060" s="9" t="s">
        <v>4804</v>
      </c>
      <c r="P1060" s="9" t="s">
        <v>53</v>
      </c>
      <c r="Q1060" s="9" t="s">
        <v>53</v>
      </c>
      <c r="R1060" s="9" t="s">
        <v>4823</v>
      </c>
      <c r="T1060" s="9"/>
      <c r="V1060" s="9" t="s">
        <v>4375</v>
      </c>
      <c r="W1060" s="11">
        <f>IFERROR(VLOOKUP(B1060, PlumX_snapshot!$A:$B, 2, FALSE), " ")</f>
        <v>8</v>
      </c>
      <c r="X1060" s="11">
        <f>IFERROR(VLOOKUP(B1060, PlumX_snapshot!$A:$C, 3, FALSE), " ")</f>
        <v>0</v>
      </c>
      <c r="Y1060" s="12">
        <f>IFERROR(VLOOKUP(B1060, PlumX_snapshot!$A:$D, 4, FALSE), " ")</f>
        <v>42</v>
      </c>
      <c r="Z1060" s="12">
        <f>IFERROR(VLOOKUP(B1060, PlumX_snapshot!$A:$E, 5, FALSE), " ")</f>
        <v>0</v>
      </c>
      <c r="AA1060" s="12">
        <f>IFERROR(VLOOKUP(B1060, PlumX_snapshot!$A:$F, 6, FALSE), " ")</f>
        <v>0</v>
      </c>
      <c r="AB1060" s="13">
        <v>44978</v>
      </c>
      <c r="AC1060" s="9" t="s">
        <v>433</v>
      </c>
      <c r="AD1060" s="9" t="s">
        <v>434</v>
      </c>
      <c r="AE1060" s="9"/>
      <c r="AH1060" s="9">
        <v>2295</v>
      </c>
      <c r="AI1060" s="9" t="s">
        <v>77</v>
      </c>
      <c r="AJ1060" s="9" t="s">
        <v>301</v>
      </c>
      <c r="AK1060" s="11" t="str">
        <f t="shared" si="8"/>
        <v>2021GBP</v>
      </c>
      <c r="AL1060" s="11">
        <f>VLOOKUP(AK1060, Exchange_rates!$C:$D, 2, FALSE)</f>
        <v>1</v>
      </c>
      <c r="AM1060" s="14">
        <f t="shared" si="9"/>
        <v>2754</v>
      </c>
      <c r="AN1060" s="9"/>
      <c r="AO1060" s="9"/>
      <c r="AP1060" s="17"/>
      <c r="AQ1060" s="15" t="s">
        <v>49</v>
      </c>
      <c r="AR1060" t="s">
        <v>4653</v>
      </c>
      <c r="AS1060" s="16" t="s">
        <v>4654</v>
      </c>
    </row>
    <row r="1061" spans="1:45" ht="14.5">
      <c r="A1061" s="9" t="s">
        <v>4854</v>
      </c>
      <c r="B1061" s="9" t="s">
        <v>4855</v>
      </c>
      <c r="C1061" s="9" t="s">
        <v>4856</v>
      </c>
      <c r="D1061" s="9" t="s">
        <v>4371</v>
      </c>
      <c r="E1061" s="17" t="s">
        <v>49</v>
      </c>
      <c r="F1061" s="9" t="s">
        <v>69</v>
      </c>
      <c r="G1061" s="9" t="s">
        <v>70</v>
      </c>
      <c r="H1061" s="9" t="s">
        <v>4372</v>
      </c>
      <c r="I1061" s="9" t="s">
        <v>72</v>
      </c>
      <c r="J1061" s="10"/>
      <c r="K1061" s="10">
        <v>44519</v>
      </c>
      <c r="L1061" s="10">
        <v>44530.498194444444</v>
      </c>
      <c r="M1061" s="10">
        <v>44537</v>
      </c>
      <c r="N1061" s="9">
        <v>2021</v>
      </c>
      <c r="O1061" s="9" t="s">
        <v>4804</v>
      </c>
      <c r="P1061" s="9" t="s">
        <v>83</v>
      </c>
      <c r="Q1061" s="9" t="s">
        <v>53</v>
      </c>
      <c r="R1061" s="9" t="s">
        <v>2684</v>
      </c>
      <c r="T1061" s="9"/>
      <c r="V1061" s="9" t="s">
        <v>4375</v>
      </c>
      <c r="W1061" s="11">
        <f>IFERROR(VLOOKUP(B1061, PlumX_snapshot!$A:$B, 2, FALSE), " ")</f>
        <v>3</v>
      </c>
      <c r="X1061" s="11">
        <f>IFERROR(VLOOKUP(B1061, PlumX_snapshot!$A:$C, 3, FALSE), " ")</f>
        <v>1</v>
      </c>
      <c r="Y1061" s="12">
        <f>IFERROR(VLOOKUP(B1061, PlumX_snapshot!$A:$D, 4, FALSE), " ")</f>
        <v>0</v>
      </c>
      <c r="Z1061" s="12">
        <f>IFERROR(VLOOKUP(B1061, PlumX_snapshot!$A:$E, 5, FALSE), " ")</f>
        <v>0</v>
      </c>
      <c r="AA1061" s="12">
        <f>IFERROR(VLOOKUP(B1061, PlumX_snapshot!$A:$F, 6, FALSE), " ")</f>
        <v>0</v>
      </c>
      <c r="AB1061" s="13">
        <v>44978</v>
      </c>
      <c r="AC1061" s="9" t="s">
        <v>4857</v>
      </c>
      <c r="AD1061" s="9" t="s">
        <v>4858</v>
      </c>
      <c r="AE1061" s="9"/>
      <c r="AH1061" s="9">
        <v>2690</v>
      </c>
      <c r="AI1061" s="9" t="s">
        <v>77</v>
      </c>
      <c r="AJ1061" s="9" t="s">
        <v>301</v>
      </c>
      <c r="AK1061" s="11" t="str">
        <f t="shared" si="8"/>
        <v>2021GBP</v>
      </c>
      <c r="AL1061" s="11">
        <f>VLOOKUP(AK1061, Exchange_rates!$C:$D, 2, FALSE)</f>
        <v>1</v>
      </c>
      <c r="AM1061" s="14">
        <f t="shared" si="9"/>
        <v>3228</v>
      </c>
      <c r="AN1061" s="9"/>
      <c r="AO1061" s="9"/>
      <c r="AP1061" s="17"/>
      <c r="AQ1061" s="15" t="s">
        <v>49</v>
      </c>
      <c r="AR1061" t="s">
        <v>4859</v>
      </c>
      <c r="AS1061" s="16" t="s">
        <v>4860</v>
      </c>
    </row>
    <row r="1062" spans="1:45" ht="14.5">
      <c r="A1062" s="9" t="s">
        <v>4861</v>
      </c>
      <c r="B1062" s="9" t="s">
        <v>4862</v>
      </c>
      <c r="C1062" s="9" t="s">
        <v>4863</v>
      </c>
      <c r="D1062" s="9" t="s">
        <v>4371</v>
      </c>
      <c r="E1062" s="17" t="s">
        <v>49</v>
      </c>
      <c r="F1062" s="9" t="s">
        <v>69</v>
      </c>
      <c r="G1062" s="9" t="s">
        <v>70</v>
      </c>
      <c r="H1062" s="9" t="s">
        <v>4372</v>
      </c>
      <c r="I1062" s="9" t="s">
        <v>291</v>
      </c>
      <c r="J1062" s="10"/>
      <c r="K1062" s="10"/>
      <c r="L1062" s="10">
        <v>44517.453622685185</v>
      </c>
      <c r="M1062" s="10">
        <v>44601</v>
      </c>
      <c r="N1062" s="9">
        <v>2021</v>
      </c>
      <c r="O1062" s="9" t="s">
        <v>4804</v>
      </c>
      <c r="P1062" s="9" t="s">
        <v>53</v>
      </c>
      <c r="Q1062" s="9" t="s">
        <v>53</v>
      </c>
      <c r="R1062" s="9" t="s">
        <v>4823</v>
      </c>
      <c r="T1062" s="9"/>
      <c r="V1062" s="9" t="s">
        <v>4375</v>
      </c>
      <c r="W1062" s="11">
        <f>IFERROR(VLOOKUP(B1062, PlumX_snapshot!$A:$B, 2, FALSE), " ")</f>
        <v>15</v>
      </c>
      <c r="X1062" s="11">
        <f>IFERROR(VLOOKUP(B1062, PlumX_snapshot!$A:$C, 3, FALSE), " ")</f>
        <v>1</v>
      </c>
      <c r="Y1062" s="12">
        <f>IFERROR(VLOOKUP(B1062, PlumX_snapshot!$A:$D, 4, FALSE), " ")</f>
        <v>5</v>
      </c>
      <c r="Z1062" s="12">
        <f>IFERROR(VLOOKUP(B1062, PlumX_snapshot!$A:$E, 5, FALSE), " ")</f>
        <v>0</v>
      </c>
      <c r="AA1062" s="12">
        <f>IFERROR(VLOOKUP(B1062, PlumX_snapshot!$A:$F, 6, FALSE), " ")</f>
        <v>0</v>
      </c>
      <c r="AB1062" s="13">
        <v>44978</v>
      </c>
      <c r="AC1062" s="9" t="s">
        <v>2203</v>
      </c>
      <c r="AD1062" s="9" t="s">
        <v>2204</v>
      </c>
      <c r="AE1062" s="9" t="s">
        <v>4864</v>
      </c>
      <c r="AH1062" s="9">
        <v>2295</v>
      </c>
      <c r="AI1062" s="9" t="s">
        <v>77</v>
      </c>
      <c r="AJ1062" s="9" t="s">
        <v>301</v>
      </c>
      <c r="AK1062" s="11" t="str">
        <f t="shared" si="8"/>
        <v>2021GBP</v>
      </c>
      <c r="AL1062" s="11">
        <f>VLOOKUP(AK1062, Exchange_rates!$C:$D, 2, FALSE)</f>
        <v>1</v>
      </c>
      <c r="AM1062" s="14">
        <f t="shared" si="9"/>
        <v>2754</v>
      </c>
      <c r="AN1062" s="9"/>
      <c r="AO1062" s="9"/>
      <c r="AP1062" s="17"/>
      <c r="AQ1062" s="15" t="s">
        <v>49</v>
      </c>
      <c r="AR1062" t="s">
        <v>4865</v>
      </c>
      <c r="AS1062" s="16" t="s">
        <v>4866</v>
      </c>
    </row>
    <row r="1063" spans="1:45" ht="14.5">
      <c r="A1063" s="9" t="s">
        <v>4867</v>
      </c>
      <c r="B1063" s="9" t="s">
        <v>4868</v>
      </c>
      <c r="C1063" s="9" t="s">
        <v>4869</v>
      </c>
      <c r="D1063" s="9" t="s">
        <v>4371</v>
      </c>
      <c r="E1063" s="17" t="s">
        <v>49</v>
      </c>
      <c r="F1063" s="9" t="s">
        <v>69</v>
      </c>
      <c r="G1063" s="9" t="s">
        <v>70</v>
      </c>
      <c r="H1063" s="9" t="s">
        <v>4372</v>
      </c>
      <c r="I1063" s="9" t="s">
        <v>291</v>
      </c>
      <c r="J1063" s="10"/>
      <c r="K1063" s="10">
        <v>44500</v>
      </c>
      <c r="L1063" s="10">
        <v>44504.338773148149</v>
      </c>
      <c r="M1063" s="10">
        <v>44509</v>
      </c>
      <c r="N1063" s="9">
        <v>2021</v>
      </c>
      <c r="O1063" s="9" t="s">
        <v>4804</v>
      </c>
      <c r="P1063" s="9" t="s">
        <v>53</v>
      </c>
      <c r="Q1063" s="9" t="s">
        <v>53</v>
      </c>
      <c r="R1063" s="9" t="s">
        <v>4870</v>
      </c>
      <c r="T1063" s="9"/>
      <c r="V1063" s="9" t="s">
        <v>4375</v>
      </c>
      <c r="W1063" s="11">
        <f>IFERROR(VLOOKUP(B1063, PlumX_snapshot!$A:$B, 2, FALSE), " ")</f>
        <v>16</v>
      </c>
      <c r="X1063" s="11">
        <f>IFERROR(VLOOKUP(B1063, PlumX_snapshot!$A:$C, 3, FALSE), " ")</f>
        <v>2</v>
      </c>
      <c r="Y1063" s="12">
        <f>IFERROR(VLOOKUP(B1063, PlumX_snapshot!$A:$D, 4, FALSE), " ")</f>
        <v>1</v>
      </c>
      <c r="Z1063" s="12">
        <f>IFERROR(VLOOKUP(B1063, PlumX_snapshot!$A:$E, 5, FALSE), " ")</f>
        <v>0</v>
      </c>
      <c r="AA1063" s="12">
        <f>IFERROR(VLOOKUP(B1063, PlumX_snapshot!$A:$F, 6, FALSE), " ")</f>
        <v>0</v>
      </c>
      <c r="AB1063" s="13">
        <v>44978</v>
      </c>
      <c r="AC1063" s="9" t="s">
        <v>4871</v>
      </c>
      <c r="AD1063" s="9" t="s">
        <v>4872</v>
      </c>
      <c r="AE1063" s="9"/>
      <c r="AH1063" s="9">
        <v>2295</v>
      </c>
      <c r="AI1063" s="9" t="s">
        <v>77</v>
      </c>
      <c r="AJ1063" s="9" t="s">
        <v>301</v>
      </c>
      <c r="AK1063" s="11" t="str">
        <f t="shared" si="8"/>
        <v>2021GBP</v>
      </c>
      <c r="AL1063" s="11">
        <f>VLOOKUP(AK1063, Exchange_rates!$C:$D, 2, FALSE)</f>
        <v>1</v>
      </c>
      <c r="AM1063" s="14">
        <f t="shared" si="9"/>
        <v>2754</v>
      </c>
      <c r="AN1063" s="9"/>
      <c r="AO1063" s="9"/>
      <c r="AP1063" s="17"/>
      <c r="AQ1063" s="15" t="s">
        <v>49</v>
      </c>
      <c r="AR1063" t="s">
        <v>4873</v>
      </c>
      <c r="AS1063" s="16" t="s">
        <v>4874</v>
      </c>
    </row>
    <row r="1064" spans="1:45" ht="14.5">
      <c r="A1064" s="9" t="s">
        <v>4875</v>
      </c>
      <c r="B1064" s="9" t="s">
        <v>4876</v>
      </c>
      <c r="C1064" s="9" t="s">
        <v>4877</v>
      </c>
      <c r="D1064" s="9" t="s">
        <v>4371</v>
      </c>
      <c r="E1064" s="9" t="s">
        <v>49</v>
      </c>
      <c r="F1064" s="9"/>
      <c r="G1064" s="9" t="s">
        <v>51</v>
      </c>
      <c r="H1064" s="9"/>
      <c r="J1064" s="10"/>
      <c r="K1064" s="10">
        <v>44336</v>
      </c>
      <c r="L1064" s="10">
        <v>44390</v>
      </c>
      <c r="N1064" s="9">
        <v>2021</v>
      </c>
      <c r="O1064" s="9" t="s">
        <v>4878</v>
      </c>
      <c r="P1064" s="9" t="s">
        <v>53</v>
      </c>
      <c r="Q1064" s="9" t="s">
        <v>53</v>
      </c>
      <c r="T1064" s="9" t="s">
        <v>55</v>
      </c>
      <c r="U1064" s="9" t="s">
        <v>4879</v>
      </c>
      <c r="V1064" s="9"/>
      <c r="W1064" s="11">
        <f>IFERROR(VLOOKUP(B1064, PlumX_snapshot!$A:$B, 2, FALSE), " ")</f>
        <v>4</v>
      </c>
      <c r="X1064" s="11">
        <f>IFERROR(VLOOKUP(B1064, PlumX_snapshot!$A:$C, 3, FALSE), " ")</f>
        <v>1</v>
      </c>
      <c r="Y1064" s="12">
        <f>IFERROR(VLOOKUP(B1064, PlumX_snapshot!$A:$D, 4, FALSE), " ")</f>
        <v>0</v>
      </c>
      <c r="Z1064" s="12">
        <f>IFERROR(VLOOKUP(B1064, PlumX_snapshot!$A:$E, 5, FALSE), " ")</f>
        <v>0</v>
      </c>
      <c r="AA1064" s="12">
        <f>IFERROR(VLOOKUP(B1064, PlumX_snapshot!$A:$F, 6, FALSE), " ")</f>
        <v>0</v>
      </c>
      <c r="AB1064" s="13">
        <v>44978</v>
      </c>
      <c r="AC1064" s="9"/>
      <c r="AD1064" s="9"/>
      <c r="AE1064" s="9"/>
      <c r="AI1064" s="9"/>
      <c r="AJ1064" s="9"/>
      <c r="AK1064" s="11" t="str">
        <f t="shared" si="8"/>
        <v>2021</v>
      </c>
      <c r="AL1064" s="11" t="e">
        <f>VLOOKUP(AK1064, Exchange_rates!$C:$D, 2, FALSE)</f>
        <v>#N/A</v>
      </c>
      <c r="AM1064" s="14" t="str">
        <f t="shared" si="9"/>
        <v/>
      </c>
      <c r="AN1064" s="9"/>
      <c r="AO1064" s="9"/>
      <c r="AP1064" s="9"/>
      <c r="AQ1064" s="15" t="s">
        <v>49</v>
      </c>
      <c r="AR1064" t="s">
        <v>4880</v>
      </c>
      <c r="AS1064" s="16" t="s">
        <v>4881</v>
      </c>
    </row>
    <row r="1065" spans="1:45" ht="14.5">
      <c r="A1065" s="9" t="s">
        <v>4882</v>
      </c>
      <c r="B1065" s="9" t="s">
        <v>4883</v>
      </c>
      <c r="C1065" s="9" t="s">
        <v>4652</v>
      </c>
      <c r="D1065" s="9" t="s">
        <v>4371</v>
      </c>
      <c r="E1065" s="9" t="s">
        <v>49</v>
      </c>
      <c r="F1065" s="9"/>
      <c r="G1065" s="9" t="s">
        <v>51</v>
      </c>
      <c r="H1065" s="9"/>
      <c r="J1065" s="10"/>
      <c r="K1065" s="10"/>
      <c r="L1065" s="10"/>
      <c r="N1065" s="9">
        <v>2021</v>
      </c>
      <c r="O1065" s="9" t="s">
        <v>4878</v>
      </c>
      <c r="P1065" s="9" t="s">
        <v>53</v>
      </c>
      <c r="Q1065" s="9" t="s">
        <v>53</v>
      </c>
      <c r="T1065" s="9" t="s">
        <v>55</v>
      </c>
      <c r="U1065" s="9" t="s">
        <v>4884</v>
      </c>
      <c r="V1065" s="9"/>
      <c r="W1065" s="11">
        <f>IFERROR(VLOOKUP(B1065, PlumX_snapshot!$A:$B, 2, FALSE), " ")</f>
        <v>8</v>
      </c>
      <c r="X1065" s="11">
        <f>IFERROR(VLOOKUP(B1065, PlumX_snapshot!$A:$C, 3, FALSE), " ")</f>
        <v>4</v>
      </c>
      <c r="Y1065" s="12">
        <f>IFERROR(VLOOKUP(B1065, PlumX_snapshot!$A:$D, 4, FALSE), " ")</f>
        <v>5</v>
      </c>
      <c r="Z1065" s="12">
        <f>IFERROR(VLOOKUP(B1065, PlumX_snapshot!$A:$E, 5, FALSE), " ")</f>
        <v>0</v>
      </c>
      <c r="AA1065" s="12">
        <f>IFERROR(VLOOKUP(B1065, PlumX_snapshot!$A:$F, 6, FALSE), " ")</f>
        <v>1</v>
      </c>
      <c r="AB1065" s="13">
        <v>44978</v>
      </c>
      <c r="AC1065" s="9"/>
      <c r="AD1065" s="9"/>
      <c r="AE1065" s="9"/>
      <c r="AI1065" s="9"/>
      <c r="AJ1065" s="9"/>
      <c r="AK1065" s="11" t="str">
        <f t="shared" si="8"/>
        <v>2021</v>
      </c>
      <c r="AL1065" s="11" t="e">
        <f>VLOOKUP(AK1065, Exchange_rates!$C:$D, 2, FALSE)</f>
        <v>#N/A</v>
      </c>
      <c r="AM1065" s="14" t="str">
        <f t="shared" si="9"/>
        <v/>
      </c>
      <c r="AN1065" s="9"/>
      <c r="AO1065" s="9"/>
      <c r="AP1065" s="9"/>
      <c r="AQ1065" s="15" t="s">
        <v>49</v>
      </c>
      <c r="AR1065" t="s">
        <v>4653</v>
      </c>
      <c r="AS1065" s="16" t="s">
        <v>4654</v>
      </c>
    </row>
    <row r="1066" spans="1:45" ht="14.5">
      <c r="A1066" s="9" t="s">
        <v>4885</v>
      </c>
      <c r="B1066" s="9" t="s">
        <v>4886</v>
      </c>
      <c r="C1066" s="9" t="s">
        <v>4869</v>
      </c>
      <c r="D1066" s="9" t="s">
        <v>4371</v>
      </c>
      <c r="E1066" s="9" t="s">
        <v>49</v>
      </c>
      <c r="F1066" s="9"/>
      <c r="G1066" s="9" t="s">
        <v>51</v>
      </c>
      <c r="H1066" s="9"/>
      <c r="J1066" s="10"/>
      <c r="K1066" s="10"/>
      <c r="L1066" s="10"/>
      <c r="N1066" s="9">
        <v>2021</v>
      </c>
      <c r="O1066" s="9" t="s">
        <v>4878</v>
      </c>
      <c r="P1066" s="9" t="s">
        <v>53</v>
      </c>
      <c r="Q1066" s="9" t="s">
        <v>53</v>
      </c>
      <c r="T1066" s="9" t="s">
        <v>55</v>
      </c>
      <c r="U1066" s="9" t="s">
        <v>4887</v>
      </c>
      <c r="V1066" s="9"/>
      <c r="W1066" s="11">
        <f>IFERROR(VLOOKUP(B1066, PlumX_snapshot!$A:$B, 2, FALSE), " ")</f>
        <v>20</v>
      </c>
      <c r="X1066" s="11">
        <f>IFERROR(VLOOKUP(B1066, PlumX_snapshot!$A:$C, 3, FALSE), " ")</f>
        <v>1</v>
      </c>
      <c r="Y1066" s="12">
        <f>IFERROR(VLOOKUP(B1066, PlumX_snapshot!$A:$D, 4, FALSE), " ")</f>
        <v>0</v>
      </c>
      <c r="Z1066" s="12">
        <f>IFERROR(VLOOKUP(B1066, PlumX_snapshot!$A:$E, 5, FALSE), " ")</f>
        <v>0</v>
      </c>
      <c r="AA1066" s="12">
        <f>IFERROR(VLOOKUP(B1066, PlumX_snapshot!$A:$F, 6, FALSE), " ")</f>
        <v>0</v>
      </c>
      <c r="AB1066" s="13">
        <v>44978</v>
      </c>
      <c r="AC1066" s="9"/>
      <c r="AD1066" s="9"/>
      <c r="AE1066" s="9"/>
      <c r="AI1066" s="9"/>
      <c r="AJ1066" s="9"/>
      <c r="AK1066" s="11" t="str">
        <f t="shared" si="8"/>
        <v>2021</v>
      </c>
      <c r="AL1066" s="11" t="e">
        <f>VLOOKUP(AK1066, Exchange_rates!$C:$D, 2, FALSE)</f>
        <v>#N/A</v>
      </c>
      <c r="AM1066" s="14" t="str">
        <f t="shared" si="9"/>
        <v/>
      </c>
      <c r="AN1066" s="9"/>
      <c r="AO1066" s="9"/>
      <c r="AP1066" s="9"/>
      <c r="AQ1066" s="15" t="s">
        <v>49</v>
      </c>
      <c r="AR1066" t="s">
        <v>4873</v>
      </c>
      <c r="AS1066" s="16" t="s">
        <v>4874</v>
      </c>
    </row>
    <row r="1067" spans="1:45" ht="14.5">
      <c r="A1067" s="9" t="s">
        <v>4888</v>
      </c>
      <c r="B1067" s="9" t="s">
        <v>4889</v>
      </c>
      <c r="C1067" s="9" t="s">
        <v>4890</v>
      </c>
      <c r="D1067" s="9" t="s">
        <v>4371</v>
      </c>
      <c r="E1067" s="9" t="s">
        <v>49</v>
      </c>
      <c r="F1067" s="9"/>
      <c r="G1067" s="9" t="s">
        <v>51</v>
      </c>
      <c r="H1067" s="9"/>
      <c r="J1067" s="10"/>
      <c r="K1067" s="10"/>
      <c r="L1067" s="10"/>
      <c r="N1067" s="9">
        <v>2021</v>
      </c>
      <c r="O1067" s="9" t="s">
        <v>4878</v>
      </c>
      <c r="P1067" s="9" t="s">
        <v>53</v>
      </c>
      <c r="Q1067" s="9" t="s">
        <v>53</v>
      </c>
      <c r="T1067" s="9" t="s">
        <v>55</v>
      </c>
      <c r="U1067" s="9" t="s">
        <v>4891</v>
      </c>
      <c r="V1067" s="9"/>
      <c r="W1067" s="11">
        <f>IFERROR(VLOOKUP(B1067, PlumX_snapshot!$A:$B, 2, FALSE), " ")</f>
        <v>9</v>
      </c>
      <c r="X1067" s="11">
        <f>IFERROR(VLOOKUP(B1067, PlumX_snapshot!$A:$C, 3, FALSE), " ")</f>
        <v>2</v>
      </c>
      <c r="Y1067" s="12">
        <f>IFERROR(VLOOKUP(B1067, PlumX_snapshot!$A:$D, 4, FALSE), " ")</f>
        <v>4</v>
      </c>
      <c r="Z1067" s="12">
        <f>IFERROR(VLOOKUP(B1067, PlumX_snapshot!$A:$E, 5, FALSE), " ")</f>
        <v>0</v>
      </c>
      <c r="AA1067" s="12">
        <f>IFERROR(VLOOKUP(B1067, PlumX_snapshot!$A:$F, 6, FALSE), " ")</f>
        <v>0</v>
      </c>
      <c r="AB1067" s="13">
        <v>44978</v>
      </c>
      <c r="AC1067" s="9" t="s">
        <v>4892</v>
      </c>
      <c r="AD1067" s="9"/>
      <c r="AE1067" s="9"/>
      <c r="AG1067" s="9" t="s">
        <v>70</v>
      </c>
      <c r="AI1067" s="9"/>
      <c r="AJ1067" s="9"/>
      <c r="AK1067" s="11" t="str">
        <f t="shared" si="8"/>
        <v>2021</v>
      </c>
      <c r="AL1067" s="11" t="e">
        <f>VLOOKUP(AK1067, Exchange_rates!$C:$D, 2, FALSE)</f>
        <v>#N/A</v>
      </c>
      <c r="AM1067" s="14" t="str">
        <f t="shared" si="9"/>
        <v/>
      </c>
      <c r="AN1067" s="9"/>
      <c r="AO1067" s="9"/>
      <c r="AP1067" s="9"/>
      <c r="AQ1067" s="15" t="s">
        <v>49</v>
      </c>
      <c r="AR1067" t="s">
        <v>4893</v>
      </c>
      <c r="AS1067" s="16" t="s">
        <v>4894</v>
      </c>
    </row>
    <row r="1068" spans="1:45" ht="14.5">
      <c r="A1068" s="9" t="s">
        <v>4895</v>
      </c>
      <c r="B1068" s="9" t="s">
        <v>4896</v>
      </c>
      <c r="C1068" s="9" t="s">
        <v>4897</v>
      </c>
      <c r="D1068" s="9" t="s">
        <v>4371</v>
      </c>
      <c r="E1068" s="9" t="s">
        <v>125</v>
      </c>
      <c r="F1068" s="9"/>
      <c r="G1068" s="9" t="s">
        <v>51</v>
      </c>
      <c r="H1068" s="9"/>
      <c r="J1068" s="10"/>
      <c r="K1068" s="10"/>
      <c r="L1068" s="10"/>
      <c r="N1068" s="9">
        <v>2021</v>
      </c>
      <c r="O1068" s="9" t="s">
        <v>4878</v>
      </c>
      <c r="P1068" s="9" t="s">
        <v>53</v>
      </c>
      <c r="Q1068" s="9" t="s">
        <v>53</v>
      </c>
      <c r="T1068" s="9" t="s">
        <v>279</v>
      </c>
      <c r="V1068" s="9"/>
      <c r="W1068" s="11">
        <f>IFERROR(VLOOKUP(B1068, PlumX_snapshot!$A:$B, 2, FALSE), " ")</f>
        <v>6</v>
      </c>
      <c r="X1068" s="11">
        <f>IFERROR(VLOOKUP(B1068, PlumX_snapshot!$A:$C, 3, FALSE), " ")</f>
        <v>0</v>
      </c>
      <c r="Y1068" s="12">
        <f>IFERROR(VLOOKUP(B1068, PlumX_snapshot!$A:$D, 4, FALSE), " ")</f>
        <v>1</v>
      </c>
      <c r="Z1068" s="12">
        <f>IFERROR(VLOOKUP(B1068, PlumX_snapshot!$A:$E, 5, FALSE), " ")</f>
        <v>0</v>
      </c>
      <c r="AA1068" s="12">
        <f>IFERROR(VLOOKUP(B1068, PlumX_snapshot!$A:$F, 6, FALSE), " ")</f>
        <v>0</v>
      </c>
      <c r="AB1068" s="13">
        <v>44978</v>
      </c>
      <c r="AC1068" s="9"/>
      <c r="AD1068" s="9"/>
      <c r="AE1068" s="9"/>
      <c r="AI1068" s="9"/>
      <c r="AJ1068" s="9"/>
      <c r="AK1068" s="11" t="str">
        <f t="shared" si="8"/>
        <v>2021</v>
      </c>
      <c r="AL1068" s="11" t="e">
        <f>VLOOKUP(AK1068, Exchange_rates!$C:$D, 2, FALSE)</f>
        <v>#N/A</v>
      </c>
      <c r="AM1068" s="14" t="str">
        <f t="shared" si="9"/>
        <v/>
      </c>
      <c r="AN1068" s="9"/>
      <c r="AO1068" s="9"/>
      <c r="AP1068" s="9"/>
      <c r="AQ1068" s="15" t="s">
        <v>125</v>
      </c>
      <c r="AR1068" t="s">
        <v>4898</v>
      </c>
      <c r="AS1068" s="16" t="s">
        <v>4899</v>
      </c>
    </row>
    <row r="1069" spans="1:45" ht="14.5">
      <c r="A1069" s="9" t="s">
        <v>4900</v>
      </c>
      <c r="B1069" s="9" t="s">
        <v>4901</v>
      </c>
      <c r="C1069" s="9" t="s">
        <v>4902</v>
      </c>
      <c r="D1069" s="9" t="s">
        <v>4371</v>
      </c>
      <c r="E1069" s="9" t="s">
        <v>125</v>
      </c>
      <c r="F1069" s="9"/>
      <c r="G1069" s="9" t="s">
        <v>51</v>
      </c>
      <c r="H1069" s="9"/>
      <c r="J1069" s="10"/>
      <c r="K1069" s="10"/>
      <c r="L1069" s="10"/>
      <c r="N1069" s="9">
        <v>2021</v>
      </c>
      <c r="O1069" s="9" t="s">
        <v>4878</v>
      </c>
      <c r="P1069" s="9" t="s">
        <v>53</v>
      </c>
      <c r="Q1069" s="9" t="s">
        <v>53</v>
      </c>
      <c r="T1069" s="9" t="s">
        <v>279</v>
      </c>
      <c r="V1069" s="9"/>
      <c r="W1069" s="11">
        <f>IFERROR(VLOOKUP(B1069, PlumX_snapshot!$A:$B, 2, FALSE), " ")</f>
        <v>11</v>
      </c>
      <c r="X1069" s="11">
        <f>IFERROR(VLOOKUP(B1069, PlumX_snapshot!$A:$C, 3, FALSE), " ")</f>
        <v>0</v>
      </c>
      <c r="Y1069" s="12">
        <f>IFERROR(VLOOKUP(B1069, PlumX_snapshot!$A:$D, 4, FALSE), " ")</f>
        <v>48</v>
      </c>
      <c r="Z1069" s="12">
        <f>IFERROR(VLOOKUP(B1069, PlumX_snapshot!$A:$E, 5, FALSE), " ")</f>
        <v>0</v>
      </c>
      <c r="AA1069" s="12">
        <f>IFERROR(VLOOKUP(B1069, PlumX_snapshot!$A:$F, 6, FALSE), " ")</f>
        <v>0</v>
      </c>
      <c r="AB1069" s="13">
        <v>44978</v>
      </c>
      <c r="AC1069" s="9"/>
      <c r="AD1069" s="9"/>
      <c r="AE1069" s="9"/>
      <c r="AI1069" s="9"/>
      <c r="AJ1069" s="9"/>
      <c r="AK1069" s="11" t="str">
        <f t="shared" si="8"/>
        <v>2021</v>
      </c>
      <c r="AL1069" s="11" t="e">
        <f>VLOOKUP(AK1069, Exchange_rates!$C:$D, 2, FALSE)</f>
        <v>#N/A</v>
      </c>
      <c r="AM1069" s="14" t="str">
        <f t="shared" si="9"/>
        <v/>
      </c>
      <c r="AN1069" s="9"/>
      <c r="AO1069" s="9"/>
      <c r="AP1069" s="9"/>
      <c r="AQ1069" s="15" t="s">
        <v>125</v>
      </c>
      <c r="AR1069" t="s">
        <v>4903</v>
      </c>
      <c r="AS1069" s="16"/>
    </row>
    <row r="1070" spans="1:45" ht="14.5">
      <c r="A1070" s="9" t="s">
        <v>4904</v>
      </c>
      <c r="B1070" s="9" t="s">
        <v>4905</v>
      </c>
      <c r="C1070" s="9" t="s">
        <v>4906</v>
      </c>
      <c r="D1070" s="9" t="s">
        <v>4371</v>
      </c>
      <c r="E1070" s="9" t="s">
        <v>49</v>
      </c>
      <c r="F1070" s="9"/>
      <c r="G1070" s="9" t="s">
        <v>51</v>
      </c>
      <c r="H1070" s="9"/>
      <c r="J1070" s="10"/>
      <c r="K1070" s="10"/>
      <c r="L1070" s="10"/>
      <c r="N1070" s="9">
        <v>2021</v>
      </c>
      <c r="O1070" s="9" t="s">
        <v>4878</v>
      </c>
      <c r="P1070" s="9" t="s">
        <v>53</v>
      </c>
      <c r="Q1070" s="9" t="s">
        <v>53</v>
      </c>
      <c r="T1070" s="9" t="s">
        <v>55</v>
      </c>
      <c r="U1070" s="9" t="s">
        <v>4907</v>
      </c>
      <c r="V1070" s="9"/>
      <c r="W1070" s="11">
        <f>IFERROR(VLOOKUP(B1070, PlumX_snapshot!$A:$B, 2, FALSE), " ")</f>
        <v>19</v>
      </c>
      <c r="X1070" s="11">
        <f>IFERROR(VLOOKUP(B1070, PlumX_snapshot!$A:$C, 3, FALSE), " ")</f>
        <v>2</v>
      </c>
      <c r="Y1070" s="12">
        <f>IFERROR(VLOOKUP(B1070, PlumX_snapshot!$A:$D, 4, FALSE), " ")</f>
        <v>11</v>
      </c>
      <c r="Z1070" s="12">
        <f>IFERROR(VLOOKUP(B1070, PlumX_snapshot!$A:$E, 5, FALSE), " ")</f>
        <v>0</v>
      </c>
      <c r="AA1070" s="12">
        <f>IFERROR(VLOOKUP(B1070, PlumX_snapshot!$A:$F, 6, FALSE), " ")</f>
        <v>0</v>
      </c>
      <c r="AB1070" s="13">
        <v>44978</v>
      </c>
      <c r="AC1070" s="9"/>
      <c r="AD1070" s="9"/>
      <c r="AE1070" s="9"/>
      <c r="AI1070" s="9"/>
      <c r="AJ1070" s="9"/>
      <c r="AK1070" s="11" t="str">
        <f t="shared" si="8"/>
        <v>2021</v>
      </c>
      <c r="AL1070" s="11" t="e">
        <f>VLOOKUP(AK1070, Exchange_rates!$C:$D, 2, FALSE)</f>
        <v>#N/A</v>
      </c>
      <c r="AM1070" s="14" t="str">
        <f t="shared" si="9"/>
        <v/>
      </c>
      <c r="AN1070" s="9"/>
      <c r="AO1070" s="9"/>
      <c r="AP1070" s="9"/>
      <c r="AQ1070" s="15" t="s">
        <v>49</v>
      </c>
      <c r="AR1070" t="s">
        <v>4908</v>
      </c>
      <c r="AS1070" s="16" t="s">
        <v>4909</v>
      </c>
    </row>
    <row r="1071" spans="1:45" ht="14.5">
      <c r="A1071" s="9" t="s">
        <v>4910</v>
      </c>
      <c r="B1071" s="9" t="s">
        <v>4911</v>
      </c>
      <c r="C1071" s="9" t="s">
        <v>4912</v>
      </c>
      <c r="D1071" s="9" t="s">
        <v>4371</v>
      </c>
      <c r="E1071" s="9" t="s">
        <v>49</v>
      </c>
      <c r="F1071" s="9"/>
      <c r="G1071" s="9" t="s">
        <v>51</v>
      </c>
      <c r="H1071" s="9"/>
      <c r="J1071" s="10"/>
      <c r="K1071" s="10"/>
      <c r="L1071" s="10"/>
      <c r="N1071" s="9">
        <v>2021</v>
      </c>
      <c r="O1071" s="9" t="s">
        <v>4878</v>
      </c>
      <c r="P1071" s="9" t="s">
        <v>53</v>
      </c>
      <c r="Q1071" s="9" t="s">
        <v>53</v>
      </c>
      <c r="T1071" s="9" t="s">
        <v>55</v>
      </c>
      <c r="U1071" s="9" t="s">
        <v>4913</v>
      </c>
      <c r="V1071" s="9"/>
      <c r="W1071" s="11">
        <f>IFERROR(VLOOKUP(B1071, PlumX_snapshot!$A:$B, 2, FALSE), " ")</f>
        <v>3</v>
      </c>
      <c r="X1071" s="11">
        <f>IFERROR(VLOOKUP(B1071, PlumX_snapshot!$A:$C, 3, FALSE), " ")</f>
        <v>1</v>
      </c>
      <c r="Y1071" s="12">
        <f>IFERROR(VLOOKUP(B1071, PlumX_snapshot!$A:$D, 4, FALSE), " ")</f>
        <v>225</v>
      </c>
      <c r="Z1071" s="12">
        <f>IFERROR(VLOOKUP(B1071, PlumX_snapshot!$A:$E, 5, FALSE), " ")</f>
        <v>0</v>
      </c>
      <c r="AA1071" s="12">
        <f>IFERROR(VLOOKUP(B1071, PlumX_snapshot!$A:$F, 6, FALSE), " ")</f>
        <v>0</v>
      </c>
      <c r="AB1071" s="13">
        <v>44978</v>
      </c>
      <c r="AC1071" s="9"/>
      <c r="AD1071" s="9"/>
      <c r="AE1071" s="9"/>
      <c r="AI1071" s="9"/>
      <c r="AJ1071" s="9"/>
      <c r="AK1071" s="11" t="str">
        <f t="shared" si="8"/>
        <v>2021</v>
      </c>
      <c r="AL1071" s="11" t="e">
        <f>VLOOKUP(AK1071, Exchange_rates!$C:$D, 2, FALSE)</f>
        <v>#N/A</v>
      </c>
      <c r="AM1071" s="14" t="str">
        <f t="shared" si="9"/>
        <v/>
      </c>
      <c r="AN1071" s="9"/>
      <c r="AO1071" s="9"/>
      <c r="AP1071" s="9"/>
      <c r="AQ1071" s="15" t="s">
        <v>49</v>
      </c>
      <c r="AR1071" t="s">
        <v>4914</v>
      </c>
      <c r="AS1071" s="16" t="s">
        <v>4915</v>
      </c>
    </row>
    <row r="1072" spans="1:45" ht="14.5">
      <c r="A1072" s="9" t="s">
        <v>4916</v>
      </c>
      <c r="B1072" s="9" t="s">
        <v>4917</v>
      </c>
      <c r="C1072" s="9" t="s">
        <v>4918</v>
      </c>
      <c r="D1072" s="9" t="s">
        <v>4371</v>
      </c>
      <c r="E1072" s="9" t="s">
        <v>125</v>
      </c>
      <c r="F1072" s="9"/>
      <c r="G1072" s="9" t="s">
        <v>51</v>
      </c>
      <c r="H1072" s="9"/>
      <c r="J1072" s="10"/>
      <c r="K1072" s="10"/>
      <c r="L1072" s="10"/>
      <c r="N1072" s="9">
        <v>2021</v>
      </c>
      <c r="O1072" s="9" t="s">
        <v>4878</v>
      </c>
      <c r="P1072" s="9" t="s">
        <v>53</v>
      </c>
      <c r="Q1072" s="9" t="s">
        <v>53</v>
      </c>
      <c r="T1072" s="9" t="s">
        <v>279</v>
      </c>
      <c r="V1072" s="9"/>
      <c r="W1072" s="11">
        <f>IFERROR(VLOOKUP(B1072, PlumX_snapshot!$A:$B, 2, FALSE), " ")</f>
        <v>8</v>
      </c>
      <c r="X1072" s="11">
        <f>IFERROR(VLOOKUP(B1072, PlumX_snapshot!$A:$C, 3, FALSE), " ")</f>
        <v>0</v>
      </c>
      <c r="Y1072" s="12">
        <f>IFERROR(VLOOKUP(B1072, PlumX_snapshot!$A:$D, 4, FALSE), " ")</f>
        <v>15</v>
      </c>
      <c r="Z1072" s="12">
        <f>IFERROR(VLOOKUP(B1072, PlumX_snapshot!$A:$E, 5, FALSE), " ")</f>
        <v>0</v>
      </c>
      <c r="AA1072" s="12">
        <f>IFERROR(VLOOKUP(B1072, PlumX_snapshot!$A:$F, 6, FALSE), " ")</f>
        <v>0</v>
      </c>
      <c r="AB1072" s="13">
        <v>44978</v>
      </c>
      <c r="AC1072" s="9"/>
      <c r="AD1072" s="9"/>
      <c r="AE1072" s="9"/>
      <c r="AI1072" s="9"/>
      <c r="AJ1072" s="9"/>
      <c r="AK1072" s="11" t="str">
        <f t="shared" si="8"/>
        <v>2021</v>
      </c>
      <c r="AL1072" s="11" t="e">
        <f>VLOOKUP(AK1072, Exchange_rates!$C:$D, 2, FALSE)</f>
        <v>#N/A</v>
      </c>
      <c r="AM1072" s="14" t="str">
        <f t="shared" si="9"/>
        <v/>
      </c>
      <c r="AN1072" s="9"/>
      <c r="AO1072" s="9"/>
      <c r="AP1072" s="9"/>
      <c r="AQ1072" s="15" t="s">
        <v>125</v>
      </c>
      <c r="AR1072" t="s">
        <v>4919</v>
      </c>
      <c r="AS1072" s="16"/>
    </row>
    <row r="1073" spans="1:45" ht="14.5">
      <c r="A1073" s="9" t="s">
        <v>4920</v>
      </c>
      <c r="B1073" s="9" t="s">
        <v>4921</v>
      </c>
      <c r="C1073" s="9" t="s">
        <v>4922</v>
      </c>
      <c r="D1073" s="9" t="s">
        <v>4371</v>
      </c>
      <c r="E1073" s="9" t="s">
        <v>49</v>
      </c>
      <c r="F1073" s="9"/>
      <c r="G1073" s="9" t="s">
        <v>51</v>
      </c>
      <c r="H1073" s="9"/>
      <c r="J1073" s="10"/>
      <c r="K1073" s="10"/>
      <c r="L1073" s="10"/>
      <c r="N1073" s="9">
        <v>2021</v>
      </c>
      <c r="O1073" s="9" t="s">
        <v>4878</v>
      </c>
      <c r="P1073" s="9" t="s">
        <v>53</v>
      </c>
      <c r="Q1073" s="9" t="s">
        <v>53</v>
      </c>
      <c r="T1073" s="9" t="s">
        <v>55</v>
      </c>
      <c r="U1073" s="9" t="s">
        <v>4923</v>
      </c>
      <c r="V1073" s="9"/>
      <c r="W1073" s="11">
        <f>IFERROR(VLOOKUP(B1073, PlumX_snapshot!$A:$B, 2, FALSE), " ")</f>
        <v>4</v>
      </c>
      <c r="X1073" s="11">
        <f>IFERROR(VLOOKUP(B1073, PlumX_snapshot!$A:$C, 3, FALSE), " ")</f>
        <v>0</v>
      </c>
      <c r="Y1073" s="12">
        <f>IFERROR(VLOOKUP(B1073, PlumX_snapshot!$A:$D, 4, FALSE), " ")</f>
        <v>4</v>
      </c>
      <c r="Z1073" s="12">
        <f>IFERROR(VLOOKUP(B1073, PlumX_snapshot!$A:$E, 5, FALSE), " ")</f>
        <v>0</v>
      </c>
      <c r="AA1073" s="12">
        <f>IFERROR(VLOOKUP(B1073, PlumX_snapshot!$A:$F, 6, FALSE), " ")</f>
        <v>0</v>
      </c>
      <c r="AB1073" s="13">
        <v>44978</v>
      </c>
      <c r="AC1073" s="9"/>
      <c r="AD1073" s="9"/>
      <c r="AE1073" s="9"/>
      <c r="AI1073" s="9"/>
      <c r="AJ1073" s="9"/>
      <c r="AK1073" s="11" t="str">
        <f t="shared" si="8"/>
        <v>2021</v>
      </c>
      <c r="AL1073" s="11" t="e">
        <f>VLOOKUP(AK1073, Exchange_rates!$C:$D, 2, FALSE)</f>
        <v>#N/A</v>
      </c>
      <c r="AM1073" s="14" t="str">
        <f t="shared" si="9"/>
        <v/>
      </c>
      <c r="AN1073" s="9"/>
      <c r="AO1073" s="9"/>
      <c r="AP1073" s="9"/>
      <c r="AQ1073" s="15" t="s">
        <v>49</v>
      </c>
      <c r="AR1073" t="s">
        <v>4924</v>
      </c>
      <c r="AS1073" s="16" t="s">
        <v>4925</v>
      </c>
    </row>
    <row r="1074" spans="1:45" ht="14.5">
      <c r="A1074" s="9" t="s">
        <v>4926</v>
      </c>
      <c r="B1074" s="9" t="s">
        <v>4927</v>
      </c>
      <c r="C1074" s="9" t="s">
        <v>4928</v>
      </c>
      <c r="D1074" s="9" t="s">
        <v>4371</v>
      </c>
      <c r="E1074" s="9" t="s">
        <v>125</v>
      </c>
      <c r="F1074" s="9"/>
      <c r="G1074" s="9" t="s">
        <v>51</v>
      </c>
      <c r="H1074" s="9"/>
      <c r="J1074" s="10"/>
      <c r="K1074" s="10"/>
      <c r="L1074" s="10"/>
      <c r="N1074" s="9">
        <v>2021</v>
      </c>
      <c r="O1074" s="9" t="s">
        <v>4878</v>
      </c>
      <c r="P1074" s="9" t="s">
        <v>53</v>
      </c>
      <c r="Q1074" s="9" t="s">
        <v>53</v>
      </c>
      <c r="T1074" s="9" t="s">
        <v>279</v>
      </c>
      <c r="V1074" s="9"/>
      <c r="W1074" s="11">
        <f>IFERROR(VLOOKUP(B1074, PlumX_snapshot!$A:$B, 2, FALSE), " ")</f>
        <v>26</v>
      </c>
      <c r="X1074" s="11">
        <f>IFERROR(VLOOKUP(B1074, PlumX_snapshot!$A:$C, 3, FALSE), " ")</f>
        <v>0</v>
      </c>
      <c r="Y1074" s="12">
        <f>IFERROR(VLOOKUP(B1074, PlumX_snapshot!$A:$D, 4, FALSE), " ")</f>
        <v>64</v>
      </c>
      <c r="Z1074" s="12">
        <f>IFERROR(VLOOKUP(B1074, PlumX_snapshot!$A:$E, 5, FALSE), " ")</f>
        <v>0</v>
      </c>
      <c r="AA1074" s="12">
        <f>IFERROR(VLOOKUP(B1074, PlumX_snapshot!$A:$F, 6, FALSE), " ")</f>
        <v>0</v>
      </c>
      <c r="AB1074" s="13">
        <v>44978</v>
      </c>
      <c r="AC1074" s="9"/>
      <c r="AD1074" s="9"/>
      <c r="AE1074" s="9"/>
      <c r="AI1074" s="9"/>
      <c r="AJ1074" s="9"/>
      <c r="AK1074" s="11" t="str">
        <f t="shared" si="8"/>
        <v>2021</v>
      </c>
      <c r="AL1074" s="11" t="e">
        <f>VLOOKUP(AK1074, Exchange_rates!$C:$D, 2, FALSE)</f>
        <v>#N/A</v>
      </c>
      <c r="AM1074" s="14" t="str">
        <f t="shared" si="9"/>
        <v/>
      </c>
      <c r="AN1074" s="9"/>
      <c r="AO1074" s="9"/>
      <c r="AP1074" s="9"/>
      <c r="AQ1074" s="15" t="s">
        <v>125</v>
      </c>
      <c r="AR1074" t="s">
        <v>4929</v>
      </c>
      <c r="AS1074" s="16"/>
    </row>
    <row r="1075" spans="1:45" ht="14.5">
      <c r="A1075" s="9" t="s">
        <v>4930</v>
      </c>
      <c r="B1075" s="9" t="s">
        <v>4931</v>
      </c>
      <c r="C1075" s="9" t="s">
        <v>4932</v>
      </c>
      <c r="D1075" s="9" t="s">
        <v>4371</v>
      </c>
      <c r="E1075" s="9" t="s">
        <v>49</v>
      </c>
      <c r="F1075" s="9"/>
      <c r="G1075" s="9" t="s">
        <v>51</v>
      </c>
      <c r="H1075" s="9"/>
      <c r="J1075" s="10"/>
      <c r="K1075" s="10"/>
      <c r="L1075" s="10"/>
      <c r="N1075" s="9">
        <v>2021</v>
      </c>
      <c r="O1075" s="9" t="s">
        <v>4878</v>
      </c>
      <c r="P1075" s="9" t="s">
        <v>53</v>
      </c>
      <c r="Q1075" s="9" t="s">
        <v>53</v>
      </c>
      <c r="T1075" s="9" t="s">
        <v>55</v>
      </c>
      <c r="U1075" s="9" t="s">
        <v>4933</v>
      </c>
      <c r="V1075" s="9"/>
      <c r="W1075" s="11">
        <f>IFERROR(VLOOKUP(B1075, PlumX_snapshot!$A:$B, 2, FALSE), " ")</f>
        <v>0</v>
      </c>
      <c r="X1075" s="11">
        <f>IFERROR(VLOOKUP(B1075, PlumX_snapshot!$A:$C, 3, FALSE), " ")</f>
        <v>0</v>
      </c>
      <c r="Y1075" s="12">
        <f>IFERROR(VLOOKUP(B1075, PlumX_snapshot!$A:$D, 4, FALSE), " ")</f>
        <v>0</v>
      </c>
      <c r="Z1075" s="12">
        <f>IFERROR(VLOOKUP(B1075, PlumX_snapshot!$A:$E, 5, FALSE), " ")</f>
        <v>0</v>
      </c>
      <c r="AA1075" s="12">
        <f>IFERROR(VLOOKUP(B1075, PlumX_snapshot!$A:$F, 6, FALSE), " ")</f>
        <v>0</v>
      </c>
      <c r="AB1075" s="13">
        <v>44978</v>
      </c>
      <c r="AC1075" s="9"/>
      <c r="AD1075" s="9"/>
      <c r="AE1075" s="9"/>
      <c r="AI1075" s="9"/>
      <c r="AJ1075" s="9"/>
      <c r="AK1075" s="11" t="str">
        <f t="shared" si="8"/>
        <v>2021</v>
      </c>
      <c r="AL1075" s="11" t="e">
        <f>VLOOKUP(AK1075, Exchange_rates!$C:$D, 2, FALSE)</f>
        <v>#N/A</v>
      </c>
      <c r="AM1075" s="14" t="str">
        <f t="shared" si="9"/>
        <v/>
      </c>
      <c r="AN1075" s="9"/>
      <c r="AO1075" s="9"/>
      <c r="AP1075" s="9"/>
      <c r="AQ1075" s="15" t="s">
        <v>49</v>
      </c>
      <c r="AR1075" t="s">
        <v>4934</v>
      </c>
      <c r="AS1075" s="16" t="s">
        <v>4935</v>
      </c>
    </row>
    <row r="1076" spans="1:45" ht="14.5">
      <c r="A1076" s="9" t="s">
        <v>4936</v>
      </c>
      <c r="B1076" s="9" t="s">
        <v>4937</v>
      </c>
      <c r="C1076" s="9" t="s">
        <v>4938</v>
      </c>
      <c r="D1076" s="9" t="s">
        <v>4371</v>
      </c>
      <c r="E1076" s="9" t="s">
        <v>49</v>
      </c>
      <c r="F1076" s="9"/>
      <c r="G1076" s="9" t="s">
        <v>51</v>
      </c>
      <c r="H1076" s="9"/>
      <c r="J1076" s="10"/>
      <c r="K1076" s="10"/>
      <c r="L1076" s="10"/>
      <c r="N1076" s="9">
        <v>2021</v>
      </c>
      <c r="O1076" s="9" t="s">
        <v>4878</v>
      </c>
      <c r="P1076" s="9" t="s">
        <v>53</v>
      </c>
      <c r="Q1076" s="9" t="s">
        <v>53</v>
      </c>
      <c r="T1076" s="9" t="s">
        <v>1912</v>
      </c>
      <c r="U1076" s="9" t="s">
        <v>4939</v>
      </c>
      <c r="V1076" s="9"/>
      <c r="W1076" s="11">
        <f>IFERROR(VLOOKUP(B1076, PlumX_snapshot!$A:$B, 2, FALSE), " ")</f>
        <v>1</v>
      </c>
      <c r="X1076" s="11">
        <f>IFERROR(VLOOKUP(B1076, PlumX_snapshot!$A:$C, 3, FALSE), " ")</f>
        <v>0</v>
      </c>
      <c r="Y1076" s="12">
        <f>IFERROR(VLOOKUP(B1076, PlumX_snapshot!$A:$D, 4, FALSE), " ")</f>
        <v>7</v>
      </c>
      <c r="Z1076" s="12">
        <f>IFERROR(VLOOKUP(B1076, PlumX_snapshot!$A:$E, 5, FALSE), " ")</f>
        <v>0</v>
      </c>
      <c r="AA1076" s="12">
        <f>IFERROR(VLOOKUP(B1076, PlumX_snapshot!$A:$F, 6, FALSE), " ")</f>
        <v>0</v>
      </c>
      <c r="AB1076" s="13">
        <v>44978</v>
      </c>
      <c r="AC1076" s="9"/>
      <c r="AD1076" s="9"/>
      <c r="AE1076" s="9"/>
      <c r="AI1076" s="9"/>
      <c r="AJ1076" s="9"/>
      <c r="AK1076" s="11" t="str">
        <f t="shared" si="8"/>
        <v>2021</v>
      </c>
      <c r="AL1076" s="11" t="e">
        <f>VLOOKUP(AK1076, Exchange_rates!$C:$D, 2, FALSE)</f>
        <v>#N/A</v>
      </c>
      <c r="AM1076" s="14" t="str">
        <f t="shared" si="9"/>
        <v/>
      </c>
      <c r="AN1076" s="9"/>
      <c r="AO1076" s="9"/>
      <c r="AP1076" s="9"/>
      <c r="AQ1076" s="15" t="s">
        <v>49</v>
      </c>
      <c r="AR1076" t="s">
        <v>4940</v>
      </c>
      <c r="AS1076" s="16" t="s">
        <v>4941</v>
      </c>
    </row>
    <row r="1077" spans="1:45" ht="14.5">
      <c r="A1077" s="9" t="s">
        <v>4942</v>
      </c>
      <c r="B1077" s="9" t="s">
        <v>4943</v>
      </c>
      <c r="C1077" s="9" t="s">
        <v>4944</v>
      </c>
      <c r="D1077" s="9" t="s">
        <v>4371</v>
      </c>
      <c r="E1077" s="9" t="s">
        <v>49</v>
      </c>
      <c r="F1077" s="9"/>
      <c r="G1077" s="9" t="s">
        <v>51</v>
      </c>
      <c r="H1077" s="9"/>
      <c r="J1077" s="10"/>
      <c r="K1077" s="10"/>
      <c r="L1077" s="10"/>
      <c r="N1077" s="9">
        <v>2021</v>
      </c>
      <c r="O1077" s="9" t="s">
        <v>4878</v>
      </c>
      <c r="P1077" s="9" t="s">
        <v>53</v>
      </c>
      <c r="Q1077" s="9" t="s">
        <v>53</v>
      </c>
      <c r="T1077" s="9" t="s">
        <v>55</v>
      </c>
      <c r="U1077" s="9" t="s">
        <v>4879</v>
      </c>
      <c r="V1077" s="9"/>
      <c r="W1077" s="11">
        <f>IFERROR(VLOOKUP(B1077, PlumX_snapshot!$A:$B, 2, FALSE), " ")</f>
        <v>0</v>
      </c>
      <c r="X1077" s="11">
        <f>IFERROR(VLOOKUP(B1077, PlumX_snapshot!$A:$C, 3, FALSE), " ")</f>
        <v>0</v>
      </c>
      <c r="Y1077" s="12">
        <f>IFERROR(VLOOKUP(B1077, PlumX_snapshot!$A:$D, 4, FALSE), " ")</f>
        <v>0</v>
      </c>
      <c r="Z1077" s="12">
        <f>IFERROR(VLOOKUP(B1077, PlumX_snapshot!$A:$E, 5, FALSE), " ")</f>
        <v>0</v>
      </c>
      <c r="AA1077" s="12">
        <f>IFERROR(VLOOKUP(B1077, PlumX_snapshot!$A:$F, 6, FALSE), " ")</f>
        <v>1</v>
      </c>
      <c r="AB1077" s="13">
        <v>44978</v>
      </c>
      <c r="AC1077" s="9"/>
      <c r="AD1077" s="9"/>
      <c r="AE1077" s="9"/>
      <c r="AI1077" s="9"/>
      <c r="AJ1077" s="9"/>
      <c r="AK1077" s="11" t="str">
        <f t="shared" si="8"/>
        <v>2021</v>
      </c>
      <c r="AL1077" s="11" t="e">
        <f>VLOOKUP(AK1077, Exchange_rates!$C:$D, 2, FALSE)</f>
        <v>#N/A</v>
      </c>
      <c r="AM1077" s="14" t="str">
        <f t="shared" si="9"/>
        <v/>
      </c>
      <c r="AN1077" s="9"/>
      <c r="AO1077" s="9"/>
      <c r="AP1077" s="9"/>
      <c r="AQ1077" s="15" t="s">
        <v>49</v>
      </c>
      <c r="AR1077" t="s">
        <v>4945</v>
      </c>
      <c r="AS1077" s="16" t="s">
        <v>4946</v>
      </c>
    </row>
    <row r="1078" spans="1:45" ht="14.5">
      <c r="A1078" s="9" t="s">
        <v>4947</v>
      </c>
      <c r="B1078" s="9" t="s">
        <v>4948</v>
      </c>
      <c r="C1078" s="9" t="s">
        <v>4869</v>
      </c>
      <c r="D1078" s="9" t="s">
        <v>4371</v>
      </c>
      <c r="E1078" s="17" t="s">
        <v>49</v>
      </c>
      <c r="F1078" s="9" t="s">
        <v>69</v>
      </c>
      <c r="G1078" s="9" t="s">
        <v>70</v>
      </c>
      <c r="H1078" s="9" t="s">
        <v>4949</v>
      </c>
      <c r="I1078" s="9" t="s">
        <v>291</v>
      </c>
      <c r="J1078" s="10"/>
      <c r="K1078" s="10"/>
      <c r="L1078" s="10"/>
      <c r="M1078" s="10">
        <v>44614</v>
      </c>
      <c r="N1078" s="9">
        <v>2022</v>
      </c>
      <c r="O1078" s="9" t="s">
        <v>4950</v>
      </c>
      <c r="P1078" s="9" t="s">
        <v>53</v>
      </c>
      <c r="Q1078" s="9" t="s">
        <v>53</v>
      </c>
      <c r="R1078" s="9" t="s">
        <v>4823</v>
      </c>
      <c r="T1078" s="9"/>
      <c r="V1078" s="9" t="s">
        <v>4806</v>
      </c>
      <c r="W1078" s="11">
        <f>IFERROR(VLOOKUP(B1078, PlumX_snapshot!$A:$B, 2, FALSE), " ")</f>
        <v>12</v>
      </c>
      <c r="X1078" s="11">
        <f>IFERROR(VLOOKUP(B1078, PlumX_snapshot!$A:$C, 3, FALSE), " ")</f>
        <v>0</v>
      </c>
      <c r="Y1078" s="12">
        <f>IFERROR(VLOOKUP(B1078, PlumX_snapshot!$A:$D, 4, FALSE), " ")</f>
        <v>32</v>
      </c>
      <c r="Z1078" s="12">
        <f>IFERROR(VLOOKUP(B1078, PlumX_snapshot!$A:$E, 5, FALSE), " ")</f>
        <v>0</v>
      </c>
      <c r="AA1078" s="12">
        <f>IFERROR(VLOOKUP(B1078, PlumX_snapshot!$A:$F, 6, FALSE), " ")</f>
        <v>0</v>
      </c>
      <c r="AB1078" s="13">
        <v>44978</v>
      </c>
      <c r="AC1078" s="9" t="s">
        <v>4951</v>
      </c>
      <c r="AD1078" s="9" t="s">
        <v>4952</v>
      </c>
      <c r="AE1078" s="9" t="s">
        <v>4953</v>
      </c>
      <c r="AH1078" s="9">
        <v>2375</v>
      </c>
      <c r="AI1078" s="9" t="s">
        <v>77</v>
      </c>
      <c r="AJ1078" s="9" t="s">
        <v>301</v>
      </c>
      <c r="AK1078" s="11" t="str">
        <f t="shared" si="8"/>
        <v>2022GBP</v>
      </c>
      <c r="AL1078" s="11">
        <f>VLOOKUP(AK1078, Exchange_rates!$C:$D, 2, FALSE)</f>
        <v>1</v>
      </c>
      <c r="AM1078" s="14">
        <f t="shared" si="9"/>
        <v>2850</v>
      </c>
      <c r="AN1078" s="9"/>
      <c r="AO1078" s="9"/>
      <c r="AP1078" s="17"/>
      <c r="AQ1078" s="15" t="s">
        <v>49</v>
      </c>
      <c r="AR1078" t="s">
        <v>4873</v>
      </c>
      <c r="AS1078" s="16" t="s">
        <v>4874</v>
      </c>
    </row>
    <row r="1079" spans="1:45" ht="14.5">
      <c r="A1079" s="9" t="s">
        <v>4954</v>
      </c>
      <c r="B1079" s="9" t="s">
        <v>4955</v>
      </c>
      <c r="C1079" s="9" t="s">
        <v>4956</v>
      </c>
      <c r="D1079" s="9" t="s">
        <v>4371</v>
      </c>
      <c r="E1079" s="17" t="s">
        <v>49</v>
      </c>
      <c r="F1079" s="9" t="s">
        <v>69</v>
      </c>
      <c r="G1079" s="9" t="s">
        <v>70</v>
      </c>
      <c r="H1079" s="9" t="s">
        <v>4949</v>
      </c>
      <c r="I1079" s="9" t="s">
        <v>291</v>
      </c>
      <c r="J1079" s="10"/>
      <c r="K1079" s="10"/>
      <c r="L1079" s="10"/>
      <c r="M1079" s="10">
        <v>44658</v>
      </c>
      <c r="N1079" s="9">
        <v>2022</v>
      </c>
      <c r="O1079" s="9" t="s">
        <v>4950</v>
      </c>
      <c r="P1079" s="9" t="s">
        <v>53</v>
      </c>
      <c r="Q1079" s="9" t="s">
        <v>53</v>
      </c>
      <c r="R1079" s="9" t="s">
        <v>4957</v>
      </c>
      <c r="T1079" s="9"/>
      <c r="V1079" s="9" t="s">
        <v>4806</v>
      </c>
      <c r="W1079" s="11">
        <f>IFERROR(VLOOKUP(B1079, PlumX_snapshot!$A:$B, 2, FALSE), " ")</f>
        <v>15</v>
      </c>
      <c r="X1079" s="11">
        <f>IFERROR(VLOOKUP(B1079, PlumX_snapshot!$A:$C, 3, FALSE), " ")</f>
        <v>1</v>
      </c>
      <c r="Y1079" s="12">
        <f>IFERROR(VLOOKUP(B1079, PlumX_snapshot!$A:$D, 4, FALSE), " ")</f>
        <v>89</v>
      </c>
      <c r="Z1079" s="12">
        <f>IFERROR(VLOOKUP(B1079, PlumX_snapshot!$A:$E, 5, FALSE), " ")</f>
        <v>0</v>
      </c>
      <c r="AA1079" s="12">
        <f>IFERROR(VLOOKUP(B1079, PlumX_snapshot!$A:$F, 6, FALSE), " ")</f>
        <v>0</v>
      </c>
      <c r="AB1079" s="13">
        <v>44978</v>
      </c>
      <c r="AC1079" s="9" t="s">
        <v>4958</v>
      </c>
      <c r="AD1079" s="9" t="s">
        <v>4959</v>
      </c>
      <c r="AE1079" s="9"/>
      <c r="AH1079" s="9">
        <v>2615</v>
      </c>
      <c r="AI1079" s="9" t="s">
        <v>77</v>
      </c>
      <c r="AJ1079" s="9" t="s">
        <v>301</v>
      </c>
      <c r="AK1079" s="11" t="str">
        <f t="shared" si="8"/>
        <v>2022GBP</v>
      </c>
      <c r="AL1079" s="11">
        <f>VLOOKUP(AK1079, Exchange_rates!$C:$D, 2, FALSE)</f>
        <v>1</v>
      </c>
      <c r="AM1079" s="14">
        <f t="shared" si="9"/>
        <v>3138</v>
      </c>
      <c r="AN1079" s="9"/>
      <c r="AO1079" s="9"/>
      <c r="AP1079" s="17"/>
      <c r="AQ1079" s="15" t="s">
        <v>49</v>
      </c>
      <c r="AR1079" t="s">
        <v>4960</v>
      </c>
      <c r="AS1079" s="16" t="s">
        <v>4961</v>
      </c>
    </row>
    <row r="1080" spans="1:45" ht="14.5">
      <c r="A1080" s="9" t="s">
        <v>4962</v>
      </c>
      <c r="B1080" s="9" t="s">
        <v>4963</v>
      </c>
      <c r="C1080" s="9" t="s">
        <v>4964</v>
      </c>
      <c r="D1080" s="9" t="s">
        <v>4371</v>
      </c>
      <c r="E1080" s="17" t="s">
        <v>49</v>
      </c>
      <c r="F1080" s="9" t="s">
        <v>69</v>
      </c>
      <c r="G1080" s="9" t="s">
        <v>70</v>
      </c>
      <c r="H1080" s="9" t="s">
        <v>4949</v>
      </c>
      <c r="I1080" s="9" t="s">
        <v>291</v>
      </c>
      <c r="J1080" s="10"/>
      <c r="K1080" s="10"/>
      <c r="L1080" s="10"/>
      <c r="M1080" s="10">
        <v>44609</v>
      </c>
      <c r="N1080" s="9">
        <v>2022</v>
      </c>
      <c r="O1080" s="9" t="s">
        <v>4950</v>
      </c>
      <c r="P1080" s="9" t="s">
        <v>53</v>
      </c>
      <c r="Q1080" s="9" t="s">
        <v>53</v>
      </c>
      <c r="R1080" s="9" t="s">
        <v>4823</v>
      </c>
      <c r="T1080" s="9"/>
      <c r="V1080" s="9" t="s">
        <v>4806</v>
      </c>
      <c r="W1080" s="11">
        <f>IFERROR(VLOOKUP(B1080, PlumX_snapshot!$A:$B, 2, FALSE), " ")</f>
        <v>19</v>
      </c>
      <c r="X1080" s="11">
        <f>IFERROR(VLOOKUP(B1080, PlumX_snapshot!$A:$C, 3, FALSE), " ")</f>
        <v>3</v>
      </c>
      <c r="Y1080" s="12">
        <f>IFERROR(VLOOKUP(B1080, PlumX_snapshot!$A:$D, 4, FALSE), " ")</f>
        <v>7</v>
      </c>
      <c r="Z1080" s="12">
        <f>IFERROR(VLOOKUP(B1080, PlumX_snapshot!$A:$E, 5, FALSE), " ")</f>
        <v>0</v>
      </c>
      <c r="AA1080" s="12">
        <f>IFERROR(VLOOKUP(B1080, PlumX_snapshot!$A:$F, 6, FALSE), " ")</f>
        <v>0</v>
      </c>
      <c r="AB1080" s="13">
        <v>44978</v>
      </c>
      <c r="AC1080" s="9" t="s">
        <v>4965</v>
      </c>
      <c r="AD1080" s="9" t="s">
        <v>4966</v>
      </c>
      <c r="AE1080" s="9"/>
      <c r="AH1080" s="9">
        <v>2375</v>
      </c>
      <c r="AI1080" s="9" t="s">
        <v>77</v>
      </c>
      <c r="AJ1080" s="9" t="s">
        <v>301</v>
      </c>
      <c r="AK1080" s="11" t="str">
        <f t="shared" si="8"/>
        <v>2022GBP</v>
      </c>
      <c r="AL1080" s="11">
        <f>VLOOKUP(AK1080, Exchange_rates!$C:$D, 2, FALSE)</f>
        <v>1</v>
      </c>
      <c r="AM1080" s="14">
        <f t="shared" si="9"/>
        <v>2850</v>
      </c>
      <c r="AN1080" s="9"/>
      <c r="AO1080" s="9"/>
      <c r="AP1080" s="17"/>
      <c r="AQ1080" s="15" t="s">
        <v>49</v>
      </c>
      <c r="AR1080" t="s">
        <v>4967</v>
      </c>
      <c r="AS1080" s="16" t="s">
        <v>4968</v>
      </c>
    </row>
    <row r="1081" spans="1:45" ht="14.5">
      <c r="A1081" s="9" t="s">
        <v>4969</v>
      </c>
      <c r="B1081" s="9" t="s">
        <v>4970</v>
      </c>
      <c r="C1081" s="9" t="s">
        <v>4971</v>
      </c>
      <c r="D1081" s="9" t="s">
        <v>4371</v>
      </c>
      <c r="E1081" s="17" t="s">
        <v>49</v>
      </c>
      <c r="F1081" s="9" t="s">
        <v>69</v>
      </c>
      <c r="G1081" s="9" t="s">
        <v>70</v>
      </c>
      <c r="H1081" s="9" t="s">
        <v>4949</v>
      </c>
      <c r="I1081" s="9" t="s">
        <v>291</v>
      </c>
      <c r="J1081" s="10"/>
      <c r="K1081" s="10"/>
      <c r="L1081" s="10"/>
      <c r="M1081" s="10">
        <v>44637</v>
      </c>
      <c r="N1081" s="9">
        <v>2022</v>
      </c>
      <c r="O1081" s="9" t="s">
        <v>4950</v>
      </c>
      <c r="P1081" s="9" t="s">
        <v>53</v>
      </c>
      <c r="Q1081" s="9" t="s">
        <v>53</v>
      </c>
      <c r="R1081" s="9" t="s">
        <v>4823</v>
      </c>
      <c r="T1081" s="9"/>
      <c r="V1081" s="9" t="s">
        <v>4806</v>
      </c>
      <c r="W1081" s="11">
        <f>IFERROR(VLOOKUP(B1081, PlumX_snapshot!$A:$B, 2, FALSE), " ")</f>
        <v>13</v>
      </c>
      <c r="X1081" s="11">
        <f>IFERROR(VLOOKUP(B1081, PlumX_snapshot!$A:$C, 3, FALSE), " ")</f>
        <v>0</v>
      </c>
      <c r="Y1081" s="12">
        <f>IFERROR(VLOOKUP(B1081, PlumX_snapshot!$A:$D, 4, FALSE), " ")</f>
        <v>23</v>
      </c>
      <c r="Z1081" s="12">
        <f>IFERROR(VLOOKUP(B1081, PlumX_snapshot!$A:$E, 5, FALSE), " ")</f>
        <v>0</v>
      </c>
      <c r="AA1081" s="12">
        <f>IFERROR(VLOOKUP(B1081, PlumX_snapshot!$A:$F, 6, FALSE), " ")</f>
        <v>0</v>
      </c>
      <c r="AB1081" s="13">
        <v>44978</v>
      </c>
      <c r="AC1081" s="9" t="s">
        <v>4972</v>
      </c>
      <c r="AD1081" s="9" t="s">
        <v>4973</v>
      </c>
      <c r="AE1081" s="9"/>
      <c r="AH1081" s="9">
        <v>2434</v>
      </c>
      <c r="AI1081" s="9" t="s">
        <v>1999</v>
      </c>
      <c r="AJ1081" s="9" t="s">
        <v>301</v>
      </c>
      <c r="AK1081" s="11" t="str">
        <f t="shared" si="8"/>
        <v>2022GBP</v>
      </c>
      <c r="AL1081" s="11">
        <f>VLOOKUP(AK1081, Exchange_rates!$C:$D, 2, FALSE)</f>
        <v>1</v>
      </c>
      <c r="AM1081" s="14">
        <f t="shared" si="9"/>
        <v>2920.7999999999997</v>
      </c>
      <c r="AN1081" s="9"/>
      <c r="AO1081" s="9"/>
      <c r="AP1081" s="17"/>
      <c r="AQ1081" s="15" t="s">
        <v>49</v>
      </c>
      <c r="AR1081" t="s">
        <v>4974</v>
      </c>
      <c r="AS1081" s="16" t="s">
        <v>4975</v>
      </c>
    </row>
    <row r="1082" spans="1:45" ht="14.5">
      <c r="A1082" s="9" t="s">
        <v>4976</v>
      </c>
      <c r="B1082" s="9" t="s">
        <v>4977</v>
      </c>
      <c r="C1082" s="9" t="s">
        <v>4978</v>
      </c>
      <c r="D1082" s="9" t="s">
        <v>4371</v>
      </c>
      <c r="E1082" s="17" t="s">
        <v>49</v>
      </c>
      <c r="F1082" s="9" t="s">
        <v>69</v>
      </c>
      <c r="G1082" s="9" t="s">
        <v>70</v>
      </c>
      <c r="H1082" s="9" t="s">
        <v>4949</v>
      </c>
      <c r="I1082" s="9" t="s">
        <v>72</v>
      </c>
      <c r="J1082" s="10"/>
      <c r="K1082" s="10"/>
      <c r="L1082" s="10"/>
      <c r="M1082" s="10">
        <v>44617</v>
      </c>
      <c r="N1082" s="9">
        <v>2022</v>
      </c>
      <c r="O1082" s="9" t="s">
        <v>4950</v>
      </c>
      <c r="P1082" s="9" t="s">
        <v>53</v>
      </c>
      <c r="Q1082" s="9" t="s">
        <v>53</v>
      </c>
      <c r="R1082" s="9" t="s">
        <v>4823</v>
      </c>
      <c r="T1082" s="9"/>
      <c r="V1082" s="9" t="s">
        <v>4806</v>
      </c>
      <c r="W1082" s="11">
        <f>IFERROR(VLOOKUP(B1082, PlumX_snapshot!$A:$B, 2, FALSE), " ")</f>
        <v>4</v>
      </c>
      <c r="X1082" s="11">
        <f>IFERROR(VLOOKUP(B1082, PlumX_snapshot!$A:$C, 3, FALSE), " ")</f>
        <v>0</v>
      </c>
      <c r="Y1082" s="12">
        <f>IFERROR(VLOOKUP(B1082, PlumX_snapshot!$A:$D, 4, FALSE), " ")</f>
        <v>0</v>
      </c>
      <c r="Z1082" s="12">
        <f>IFERROR(VLOOKUP(B1082, PlumX_snapshot!$A:$E, 5, FALSE), " ")</f>
        <v>0</v>
      </c>
      <c r="AA1082" s="12">
        <f>IFERROR(VLOOKUP(B1082, PlumX_snapshot!$A:$F, 6, FALSE), " ")</f>
        <v>0</v>
      </c>
      <c r="AB1082" s="13">
        <v>44978</v>
      </c>
      <c r="AC1082" s="9" t="s">
        <v>4759</v>
      </c>
      <c r="AD1082" s="9" t="s">
        <v>4760</v>
      </c>
      <c r="AE1082" s="9"/>
      <c r="AH1082" s="9">
        <v>2375</v>
      </c>
      <c r="AI1082" s="9" t="s">
        <v>77</v>
      </c>
      <c r="AJ1082" s="9" t="s">
        <v>301</v>
      </c>
      <c r="AK1082" s="11" t="str">
        <f t="shared" si="8"/>
        <v>2022GBP</v>
      </c>
      <c r="AL1082" s="11">
        <f>VLOOKUP(AK1082, Exchange_rates!$C:$D, 2, FALSE)</f>
        <v>1</v>
      </c>
      <c r="AM1082" s="14">
        <f t="shared" si="9"/>
        <v>2850</v>
      </c>
      <c r="AN1082" s="9"/>
      <c r="AO1082" s="9"/>
      <c r="AP1082" s="17"/>
      <c r="AQ1082" s="15" t="s">
        <v>49</v>
      </c>
      <c r="AR1082" t="s">
        <v>4979</v>
      </c>
      <c r="AS1082" s="16" t="s">
        <v>4980</v>
      </c>
    </row>
    <row r="1083" spans="1:45" ht="14.5">
      <c r="A1083" s="9" t="s">
        <v>4981</v>
      </c>
      <c r="B1083" s="9" t="s">
        <v>4982</v>
      </c>
      <c r="C1083" s="9" t="s">
        <v>4983</v>
      </c>
      <c r="D1083" s="9" t="s">
        <v>4371</v>
      </c>
      <c r="E1083" s="17" t="s">
        <v>49</v>
      </c>
      <c r="F1083" s="9" t="s">
        <v>69</v>
      </c>
      <c r="G1083" s="9" t="s">
        <v>70</v>
      </c>
      <c r="H1083" s="9" t="s">
        <v>4949</v>
      </c>
      <c r="I1083" s="9" t="s">
        <v>291</v>
      </c>
      <c r="J1083" s="10"/>
      <c r="K1083" s="10"/>
      <c r="L1083" s="10"/>
      <c r="M1083" s="10">
        <v>44620</v>
      </c>
      <c r="N1083" s="9">
        <v>2022</v>
      </c>
      <c r="O1083" s="9" t="s">
        <v>4950</v>
      </c>
      <c r="P1083" s="9" t="s">
        <v>53</v>
      </c>
      <c r="Q1083" s="9" t="s">
        <v>53</v>
      </c>
      <c r="R1083" s="9" t="s">
        <v>4823</v>
      </c>
      <c r="T1083" s="9"/>
      <c r="V1083" s="9" t="s">
        <v>4806</v>
      </c>
      <c r="W1083" s="11">
        <f>IFERROR(VLOOKUP(B1083, PlumX_snapshot!$A:$B, 2, FALSE), " ")</f>
        <v>0</v>
      </c>
      <c r="X1083" s="11">
        <f>IFERROR(VLOOKUP(B1083, PlumX_snapshot!$A:$C, 3, FALSE), " ")</f>
        <v>0</v>
      </c>
      <c r="Y1083" s="12">
        <f>IFERROR(VLOOKUP(B1083, PlumX_snapshot!$A:$D, 4, FALSE), " ")</f>
        <v>21</v>
      </c>
      <c r="Z1083" s="12">
        <f>IFERROR(VLOOKUP(B1083, PlumX_snapshot!$A:$E, 5, FALSE), " ")</f>
        <v>0</v>
      </c>
      <c r="AA1083" s="12">
        <f>IFERROR(VLOOKUP(B1083, PlumX_snapshot!$A:$F, 6, FALSE), " ")</f>
        <v>1</v>
      </c>
      <c r="AB1083" s="13">
        <v>44978</v>
      </c>
      <c r="AC1083" s="9" t="s">
        <v>469</v>
      </c>
      <c r="AD1083" s="9" t="s">
        <v>470</v>
      </c>
      <c r="AE1083" s="9"/>
      <c r="AH1083" s="9">
        <v>2375</v>
      </c>
      <c r="AI1083" s="9" t="s">
        <v>77</v>
      </c>
      <c r="AJ1083" s="9" t="s">
        <v>301</v>
      </c>
      <c r="AK1083" s="11" t="str">
        <f t="shared" si="8"/>
        <v>2022GBP</v>
      </c>
      <c r="AL1083" s="11">
        <f>VLOOKUP(AK1083, Exchange_rates!$C:$D, 2, FALSE)</f>
        <v>1</v>
      </c>
      <c r="AM1083" s="14">
        <f t="shared" si="9"/>
        <v>2850</v>
      </c>
      <c r="AN1083" s="9"/>
      <c r="AO1083" s="9"/>
      <c r="AP1083" s="17"/>
      <c r="AQ1083" s="15" t="s">
        <v>49</v>
      </c>
      <c r="AR1083" t="s">
        <v>4984</v>
      </c>
      <c r="AS1083" s="16" t="s">
        <v>4985</v>
      </c>
    </row>
    <row r="1084" spans="1:45" ht="14.5">
      <c r="A1084" s="9" t="s">
        <v>4986</v>
      </c>
      <c r="B1084" s="9" t="s">
        <v>4987</v>
      </c>
      <c r="C1084" s="9" t="s">
        <v>4988</v>
      </c>
      <c r="D1084" s="9" t="s">
        <v>4371</v>
      </c>
      <c r="E1084" s="17" t="s">
        <v>49</v>
      </c>
      <c r="F1084" s="9" t="s">
        <v>69</v>
      </c>
      <c r="G1084" s="9" t="s">
        <v>70</v>
      </c>
      <c r="H1084" s="9" t="s">
        <v>4949</v>
      </c>
      <c r="I1084" s="9" t="s">
        <v>291</v>
      </c>
      <c r="J1084" s="10"/>
      <c r="K1084" s="10"/>
      <c r="L1084" s="10"/>
      <c r="M1084" s="10">
        <v>44604</v>
      </c>
      <c r="N1084" s="9">
        <v>2022</v>
      </c>
      <c r="O1084" s="9" t="s">
        <v>4950</v>
      </c>
      <c r="P1084" s="9" t="s">
        <v>53</v>
      </c>
      <c r="Q1084" s="9" t="s">
        <v>53</v>
      </c>
      <c r="R1084" s="9" t="s">
        <v>4823</v>
      </c>
      <c r="T1084" s="9"/>
      <c r="V1084" s="9" t="s">
        <v>4806</v>
      </c>
      <c r="W1084" s="11">
        <f>IFERROR(VLOOKUP(B1084, PlumX_snapshot!$A:$B, 2, FALSE), " ")</f>
        <v>4</v>
      </c>
      <c r="X1084" s="11">
        <f>IFERROR(VLOOKUP(B1084, PlumX_snapshot!$A:$C, 3, FALSE), " ")</f>
        <v>0</v>
      </c>
      <c r="Y1084" s="12">
        <f>IFERROR(VLOOKUP(B1084, PlumX_snapshot!$A:$D, 4, FALSE), " ")</f>
        <v>1</v>
      </c>
      <c r="Z1084" s="12">
        <f>IFERROR(VLOOKUP(B1084, PlumX_snapshot!$A:$E, 5, FALSE), " ")</f>
        <v>0</v>
      </c>
      <c r="AA1084" s="12">
        <f>IFERROR(VLOOKUP(B1084, PlumX_snapshot!$A:$F, 6, FALSE), " ")</f>
        <v>0</v>
      </c>
      <c r="AB1084" s="13">
        <v>44978</v>
      </c>
      <c r="AC1084" s="9" t="s">
        <v>4989</v>
      </c>
      <c r="AD1084" s="9" t="s">
        <v>4990</v>
      </c>
      <c r="AE1084" s="9"/>
      <c r="AH1084" s="9">
        <v>2434</v>
      </c>
      <c r="AI1084" s="9" t="s">
        <v>1999</v>
      </c>
      <c r="AJ1084" s="9" t="s">
        <v>301</v>
      </c>
      <c r="AK1084" s="11" t="str">
        <f t="shared" si="8"/>
        <v>2022GBP</v>
      </c>
      <c r="AL1084" s="11">
        <f>VLOOKUP(AK1084, Exchange_rates!$C:$D, 2, FALSE)</f>
        <v>1</v>
      </c>
      <c r="AM1084" s="14">
        <f t="shared" si="9"/>
        <v>2920.7999999999997</v>
      </c>
      <c r="AN1084" s="9"/>
      <c r="AO1084" s="9"/>
      <c r="AP1084" s="17"/>
      <c r="AQ1084" s="15" t="s">
        <v>49</v>
      </c>
      <c r="AR1084" t="s">
        <v>4991</v>
      </c>
      <c r="AS1084" s="16" t="s">
        <v>4992</v>
      </c>
    </row>
    <row r="1085" spans="1:45" ht="14.5">
      <c r="A1085" s="9" t="s">
        <v>4993</v>
      </c>
      <c r="B1085" s="9" t="s">
        <v>4994</v>
      </c>
      <c r="C1085" s="9" t="s">
        <v>4995</v>
      </c>
      <c r="D1085" s="9" t="s">
        <v>4371</v>
      </c>
      <c r="E1085" s="17" t="s">
        <v>49</v>
      </c>
      <c r="F1085" s="9" t="s">
        <v>69</v>
      </c>
      <c r="G1085" s="9" t="s">
        <v>70</v>
      </c>
      <c r="H1085" s="9" t="s">
        <v>4949</v>
      </c>
      <c r="I1085" s="9" t="s">
        <v>291</v>
      </c>
      <c r="J1085" s="10"/>
      <c r="K1085" s="10"/>
      <c r="L1085" s="10"/>
      <c r="M1085" s="10">
        <v>44570</v>
      </c>
      <c r="N1085" s="9">
        <v>2022</v>
      </c>
      <c r="O1085" s="9" t="s">
        <v>4950</v>
      </c>
      <c r="P1085" s="9" t="s">
        <v>53</v>
      </c>
      <c r="Q1085" s="9" t="s">
        <v>53</v>
      </c>
      <c r="R1085" s="9" t="s">
        <v>4823</v>
      </c>
      <c r="T1085" s="9"/>
      <c r="V1085" s="9" t="s">
        <v>4806</v>
      </c>
      <c r="W1085" s="11">
        <f>IFERROR(VLOOKUP(B1085, PlumX_snapshot!$A:$B, 2, FALSE), " ")</f>
        <v>18</v>
      </c>
      <c r="X1085" s="11">
        <f>IFERROR(VLOOKUP(B1085, PlumX_snapshot!$A:$C, 3, FALSE), " ")</f>
        <v>3</v>
      </c>
      <c r="Y1085" s="12">
        <f>IFERROR(VLOOKUP(B1085, PlumX_snapshot!$A:$D, 4, FALSE), " ")</f>
        <v>2</v>
      </c>
      <c r="Z1085" s="12">
        <f>IFERROR(VLOOKUP(B1085, PlumX_snapshot!$A:$E, 5, FALSE), " ")</f>
        <v>0</v>
      </c>
      <c r="AA1085" s="12">
        <f>IFERROR(VLOOKUP(B1085, PlumX_snapshot!$A:$F, 6, FALSE), " ")</f>
        <v>0</v>
      </c>
      <c r="AB1085" s="13">
        <v>44978</v>
      </c>
      <c r="AC1085" s="9" t="s">
        <v>4996</v>
      </c>
      <c r="AD1085" s="9" t="s">
        <v>4997</v>
      </c>
      <c r="AE1085" s="9" t="s">
        <v>4998</v>
      </c>
      <c r="AH1085" s="9">
        <v>2155</v>
      </c>
      <c r="AI1085" s="9" t="s">
        <v>77</v>
      </c>
      <c r="AJ1085" s="9" t="s">
        <v>301</v>
      </c>
      <c r="AK1085" s="11" t="str">
        <f t="shared" si="8"/>
        <v>2022GBP</v>
      </c>
      <c r="AL1085" s="11">
        <f>VLOOKUP(AK1085, Exchange_rates!$C:$D, 2, FALSE)</f>
        <v>1</v>
      </c>
      <c r="AM1085" s="14">
        <f t="shared" si="9"/>
        <v>2586</v>
      </c>
      <c r="AN1085" s="9"/>
      <c r="AO1085" s="9"/>
      <c r="AP1085" s="17"/>
      <c r="AQ1085" s="15" t="s">
        <v>49</v>
      </c>
      <c r="AR1085" t="s">
        <v>4999</v>
      </c>
      <c r="AS1085" s="16" t="s">
        <v>5000</v>
      </c>
    </row>
    <row r="1086" spans="1:45" ht="14.5">
      <c r="A1086" s="9" t="s">
        <v>5001</v>
      </c>
      <c r="B1086" s="9" t="s">
        <v>5002</v>
      </c>
      <c r="C1086" s="9" t="s">
        <v>4702</v>
      </c>
      <c r="D1086" s="9" t="s">
        <v>4371</v>
      </c>
      <c r="E1086" s="17" t="s">
        <v>49</v>
      </c>
      <c r="F1086" s="9" t="s">
        <v>69</v>
      </c>
      <c r="G1086" s="9" t="s">
        <v>70</v>
      </c>
      <c r="H1086" s="9" t="s">
        <v>4949</v>
      </c>
      <c r="I1086" s="9" t="s">
        <v>291</v>
      </c>
      <c r="J1086" s="10"/>
      <c r="K1086" s="10"/>
      <c r="L1086" s="10">
        <v>44592.496145833335</v>
      </c>
      <c r="M1086" s="10">
        <v>44607</v>
      </c>
      <c r="N1086" s="9">
        <v>2022</v>
      </c>
      <c r="O1086" s="9" t="s">
        <v>4950</v>
      </c>
      <c r="P1086" s="9" t="s">
        <v>83</v>
      </c>
      <c r="Q1086" s="9" t="s">
        <v>53</v>
      </c>
      <c r="R1086" s="9" t="s">
        <v>5003</v>
      </c>
      <c r="T1086" s="9"/>
      <c r="V1086" s="9" t="s">
        <v>4806</v>
      </c>
      <c r="W1086" s="11">
        <f>IFERROR(VLOOKUP(B1086, PlumX_snapshot!$A:$B, 2, FALSE), " ")</f>
        <v>3</v>
      </c>
      <c r="X1086" s="11">
        <f>IFERROR(VLOOKUP(B1086, PlumX_snapshot!$A:$C, 3, FALSE), " ")</f>
        <v>1</v>
      </c>
      <c r="Y1086" s="12">
        <f>IFERROR(VLOOKUP(B1086, PlumX_snapshot!$A:$D, 4, FALSE), " ")</f>
        <v>198</v>
      </c>
      <c r="Z1086" s="12">
        <f>IFERROR(VLOOKUP(B1086, PlumX_snapshot!$A:$E, 5, FALSE), " ")</f>
        <v>0</v>
      </c>
      <c r="AA1086" s="12">
        <f>IFERROR(VLOOKUP(B1086, PlumX_snapshot!$A:$F, 6, FALSE), " ")</f>
        <v>3</v>
      </c>
      <c r="AB1086" s="13">
        <v>44978</v>
      </c>
      <c r="AC1086" s="9" t="s">
        <v>532</v>
      </c>
      <c r="AD1086" s="9" t="s">
        <v>4703</v>
      </c>
      <c r="AE1086" s="9"/>
      <c r="AH1086" s="9">
        <v>2220</v>
      </c>
      <c r="AI1086" s="9" t="s">
        <v>77</v>
      </c>
      <c r="AJ1086" s="9" t="s">
        <v>301</v>
      </c>
      <c r="AK1086" s="11" t="str">
        <f t="shared" si="8"/>
        <v>2022GBP</v>
      </c>
      <c r="AL1086" s="11">
        <f>VLOOKUP(AK1086, Exchange_rates!$C:$D, 2, FALSE)</f>
        <v>1</v>
      </c>
      <c r="AM1086" s="14">
        <f t="shared" si="9"/>
        <v>2664</v>
      </c>
      <c r="AN1086" s="9"/>
      <c r="AO1086" s="9"/>
      <c r="AP1086" s="17"/>
      <c r="AQ1086" s="15" t="s">
        <v>49</v>
      </c>
      <c r="AR1086" t="s">
        <v>4704</v>
      </c>
      <c r="AS1086" s="16" t="s">
        <v>4705</v>
      </c>
    </row>
    <row r="1087" spans="1:45" ht="14.5">
      <c r="A1087" s="9" t="s">
        <v>5004</v>
      </c>
      <c r="B1087" s="9" t="s">
        <v>5005</v>
      </c>
      <c r="C1087" s="9" t="s">
        <v>5006</v>
      </c>
      <c r="D1087" s="9" t="s">
        <v>4371</v>
      </c>
      <c r="E1087" s="17" t="s">
        <v>49</v>
      </c>
      <c r="F1087" s="9" t="s">
        <v>69</v>
      </c>
      <c r="G1087" s="9" t="s">
        <v>70</v>
      </c>
      <c r="H1087" s="9" t="s">
        <v>4949</v>
      </c>
      <c r="I1087" s="9" t="s">
        <v>291</v>
      </c>
      <c r="J1087" s="10"/>
      <c r="K1087" s="10"/>
      <c r="L1087" s="10"/>
      <c r="M1087" s="10">
        <v>44620</v>
      </c>
      <c r="N1087" s="9">
        <v>2022</v>
      </c>
      <c r="O1087" s="9" t="s">
        <v>4950</v>
      </c>
      <c r="P1087" s="9" t="s">
        <v>53</v>
      </c>
      <c r="Q1087" s="9" t="s">
        <v>53</v>
      </c>
      <c r="R1087" s="9" t="s">
        <v>4823</v>
      </c>
      <c r="T1087" s="9"/>
      <c r="U1087" s="9" t="s">
        <v>474</v>
      </c>
      <c r="V1087" s="9" t="s">
        <v>4806</v>
      </c>
      <c r="W1087" s="11">
        <f>IFERROR(VLOOKUP(B1087, PlumX_snapshot!$A:$B, 2, FALSE), " ")</f>
        <v>0</v>
      </c>
      <c r="X1087" s="11">
        <f>IFERROR(VLOOKUP(B1087, PlumX_snapshot!$A:$C, 3, FALSE), " ")</f>
        <v>0</v>
      </c>
      <c r="Y1087" s="12">
        <f>IFERROR(VLOOKUP(B1087, PlumX_snapshot!$A:$D, 4, FALSE), " ")</f>
        <v>0</v>
      </c>
      <c r="Z1087" s="12">
        <f>IFERROR(VLOOKUP(B1087, PlumX_snapshot!$A:$E, 5, FALSE), " ")</f>
        <v>0</v>
      </c>
      <c r="AA1087" s="12">
        <f>IFERROR(VLOOKUP(B1087, PlumX_snapshot!$A:$F, 6, FALSE), " ")</f>
        <v>1</v>
      </c>
      <c r="AB1087" s="13">
        <v>44978</v>
      </c>
      <c r="AC1087" s="9" t="s">
        <v>5007</v>
      </c>
      <c r="AD1087" s="9" t="s">
        <v>5008</v>
      </c>
      <c r="AE1087" s="9" t="s">
        <v>5009</v>
      </c>
      <c r="AH1087" s="9">
        <v>2375</v>
      </c>
      <c r="AI1087" s="9" t="s">
        <v>77</v>
      </c>
      <c r="AJ1087" s="9" t="s">
        <v>301</v>
      </c>
      <c r="AK1087" s="11" t="str">
        <f t="shared" si="8"/>
        <v>2022GBP</v>
      </c>
      <c r="AL1087" s="11">
        <f>VLOOKUP(AK1087, Exchange_rates!$C:$D, 2, FALSE)</f>
        <v>1</v>
      </c>
      <c r="AM1087" s="14">
        <f t="shared" si="9"/>
        <v>2850</v>
      </c>
      <c r="AN1087" s="9"/>
      <c r="AO1087" s="9"/>
      <c r="AP1087" s="17"/>
      <c r="AQ1087" s="15" t="s">
        <v>49</v>
      </c>
      <c r="AR1087" t="s">
        <v>5010</v>
      </c>
      <c r="AS1087" s="16" t="s">
        <v>5011</v>
      </c>
    </row>
    <row r="1088" spans="1:45" ht="14.5">
      <c r="A1088" s="9" t="s">
        <v>5012</v>
      </c>
      <c r="B1088" s="9" t="s">
        <v>5013</v>
      </c>
      <c r="C1088" s="9" t="s">
        <v>5014</v>
      </c>
      <c r="D1088" s="9" t="s">
        <v>4371</v>
      </c>
      <c r="E1088" s="17" t="s">
        <v>49</v>
      </c>
      <c r="F1088" s="9" t="s">
        <v>69</v>
      </c>
      <c r="G1088" s="9" t="s">
        <v>70</v>
      </c>
      <c r="H1088" s="9" t="s">
        <v>4949</v>
      </c>
      <c r="I1088" s="9" t="s">
        <v>291</v>
      </c>
      <c r="J1088" s="10"/>
      <c r="K1088" s="10"/>
      <c r="L1088" s="10"/>
      <c r="M1088" s="10">
        <v>44613</v>
      </c>
      <c r="N1088" s="9">
        <v>2022</v>
      </c>
      <c r="O1088" s="9" t="s">
        <v>4950</v>
      </c>
      <c r="P1088" s="9" t="s">
        <v>53</v>
      </c>
      <c r="Q1088" s="9" t="s">
        <v>53</v>
      </c>
      <c r="R1088" s="9" t="s">
        <v>5015</v>
      </c>
      <c r="T1088" s="9"/>
      <c r="V1088" s="9" t="s">
        <v>4806</v>
      </c>
      <c r="W1088" s="11">
        <f>IFERROR(VLOOKUP(B1088, PlumX_snapshot!$A:$B, 2, FALSE), " ")</f>
        <v>6</v>
      </c>
      <c r="X1088" s="11">
        <f>IFERROR(VLOOKUP(B1088, PlumX_snapshot!$A:$C, 3, FALSE), " ")</f>
        <v>0</v>
      </c>
      <c r="Y1088" s="12">
        <f>IFERROR(VLOOKUP(B1088, PlumX_snapshot!$A:$D, 4, FALSE), " ")</f>
        <v>0</v>
      </c>
      <c r="Z1088" s="12">
        <f>IFERROR(VLOOKUP(B1088, PlumX_snapshot!$A:$E, 5, FALSE), " ")</f>
        <v>0</v>
      </c>
      <c r="AA1088" s="12">
        <f>IFERROR(VLOOKUP(B1088, PlumX_snapshot!$A:$F, 6, FALSE), " ")</f>
        <v>0</v>
      </c>
      <c r="AB1088" s="13">
        <v>44978</v>
      </c>
      <c r="AC1088" s="9" t="s">
        <v>482</v>
      </c>
      <c r="AD1088" s="9" t="s">
        <v>483</v>
      </c>
      <c r="AE1088" s="9"/>
      <c r="AH1088" s="9">
        <v>2375</v>
      </c>
      <c r="AI1088" s="9" t="s">
        <v>77</v>
      </c>
      <c r="AJ1088" s="9" t="s">
        <v>301</v>
      </c>
      <c r="AK1088" s="11" t="str">
        <f t="shared" si="8"/>
        <v>2022GBP</v>
      </c>
      <c r="AL1088" s="11">
        <f>VLOOKUP(AK1088, Exchange_rates!$C:$D, 2, FALSE)</f>
        <v>1</v>
      </c>
      <c r="AM1088" s="14">
        <f t="shared" si="9"/>
        <v>2850</v>
      </c>
      <c r="AN1088" s="9"/>
      <c r="AO1088" s="9"/>
      <c r="AP1088" s="17"/>
      <c r="AQ1088" s="15" t="s">
        <v>49</v>
      </c>
      <c r="AR1088" t="s">
        <v>5016</v>
      </c>
      <c r="AS1088" s="16" t="s">
        <v>5017</v>
      </c>
    </row>
    <row r="1089" spans="1:45" ht="14.5">
      <c r="A1089" s="9" t="s">
        <v>5018</v>
      </c>
      <c r="B1089" s="9" t="s">
        <v>5019</v>
      </c>
      <c r="C1089" s="9" t="s">
        <v>4574</v>
      </c>
      <c r="D1089" s="9" t="s">
        <v>4371</v>
      </c>
      <c r="E1089" s="17" t="s">
        <v>49</v>
      </c>
      <c r="F1089" s="9" t="s">
        <v>69</v>
      </c>
      <c r="G1089" s="9" t="s">
        <v>70</v>
      </c>
      <c r="H1089" s="9" t="s">
        <v>4949</v>
      </c>
      <c r="I1089" s="9" t="s">
        <v>291</v>
      </c>
      <c r="J1089" s="10"/>
      <c r="K1089" s="10"/>
      <c r="L1089" s="10"/>
      <c r="M1089" s="10">
        <v>44621</v>
      </c>
      <c r="N1089" s="9">
        <v>2022</v>
      </c>
      <c r="O1089" s="9" t="s">
        <v>4950</v>
      </c>
      <c r="P1089" s="9" t="s">
        <v>53</v>
      </c>
      <c r="Q1089" s="9" t="s">
        <v>53</v>
      </c>
      <c r="R1089" s="9" t="s">
        <v>5020</v>
      </c>
      <c r="T1089" s="9"/>
      <c r="V1089" s="9" t="s">
        <v>4806</v>
      </c>
      <c r="W1089" s="11">
        <f>IFERROR(VLOOKUP(B1089, PlumX_snapshot!$A:$B, 2, FALSE), " ")</f>
        <v>22</v>
      </c>
      <c r="X1089" s="11">
        <f>IFERROR(VLOOKUP(B1089, PlumX_snapshot!$A:$C, 3, FALSE), " ")</f>
        <v>2</v>
      </c>
      <c r="Y1089" s="12">
        <f>IFERROR(VLOOKUP(B1089, PlumX_snapshot!$A:$D, 4, FALSE), " ")</f>
        <v>12</v>
      </c>
      <c r="Z1089" s="12">
        <f>IFERROR(VLOOKUP(B1089, PlumX_snapshot!$A:$E, 5, FALSE), " ")</f>
        <v>0</v>
      </c>
      <c r="AA1089" s="12">
        <f>IFERROR(VLOOKUP(B1089, PlumX_snapshot!$A:$F, 6, FALSE), " ")</f>
        <v>0</v>
      </c>
      <c r="AB1089" s="13">
        <v>44978</v>
      </c>
      <c r="AC1089" s="9" t="s">
        <v>4665</v>
      </c>
      <c r="AD1089" s="9" t="s">
        <v>4666</v>
      </c>
      <c r="AE1089" s="9"/>
      <c r="AH1089" s="9">
        <v>2434</v>
      </c>
      <c r="AI1089" s="9" t="s">
        <v>1999</v>
      </c>
      <c r="AJ1089" s="9" t="s">
        <v>301</v>
      </c>
      <c r="AK1089" s="11" t="str">
        <f t="shared" si="8"/>
        <v>2022GBP</v>
      </c>
      <c r="AL1089" s="11">
        <f>VLOOKUP(AK1089, Exchange_rates!$C:$D, 2, FALSE)</f>
        <v>1</v>
      </c>
      <c r="AM1089" s="14">
        <f t="shared" si="9"/>
        <v>2920.7999999999997</v>
      </c>
      <c r="AN1089" s="9"/>
      <c r="AO1089" s="9"/>
      <c r="AP1089" s="17"/>
      <c r="AQ1089" s="15" t="s">
        <v>49</v>
      </c>
      <c r="AR1089" t="s">
        <v>4579</v>
      </c>
      <c r="AS1089" s="16" t="s">
        <v>4580</v>
      </c>
    </row>
    <row r="1090" spans="1:45" ht="14.5">
      <c r="A1090" s="9" t="s">
        <v>5021</v>
      </c>
      <c r="B1090" s="9" t="s">
        <v>5022</v>
      </c>
      <c r="C1090" s="9" t="s">
        <v>5023</v>
      </c>
      <c r="D1090" s="9" t="s">
        <v>4371</v>
      </c>
      <c r="E1090" s="17" t="s">
        <v>49</v>
      </c>
      <c r="F1090" s="9" t="s">
        <v>69</v>
      </c>
      <c r="G1090" s="9" t="s">
        <v>70</v>
      </c>
      <c r="H1090" s="9" t="s">
        <v>4949</v>
      </c>
      <c r="I1090" s="9" t="s">
        <v>72</v>
      </c>
      <c r="J1090" s="10"/>
      <c r="K1090" s="10"/>
      <c r="L1090" s="10">
        <v>44608.587442129632</v>
      </c>
      <c r="M1090" s="10">
        <v>44642</v>
      </c>
      <c r="N1090" s="9">
        <v>2022</v>
      </c>
      <c r="O1090" s="9" t="s">
        <v>4950</v>
      </c>
      <c r="P1090" s="9" t="s">
        <v>83</v>
      </c>
      <c r="Q1090" s="9" t="s">
        <v>53</v>
      </c>
      <c r="R1090" s="9" t="s">
        <v>5024</v>
      </c>
      <c r="T1090" s="9"/>
      <c r="V1090" s="9" t="s">
        <v>4806</v>
      </c>
      <c r="W1090" s="11">
        <f>IFERROR(VLOOKUP(B1090, PlumX_snapshot!$A:$B, 2, FALSE), " ")</f>
        <v>25</v>
      </c>
      <c r="X1090" s="11">
        <f>IFERROR(VLOOKUP(B1090, PlumX_snapshot!$A:$C, 3, FALSE), " ")</f>
        <v>2</v>
      </c>
      <c r="Y1090" s="12">
        <f>IFERROR(VLOOKUP(B1090, PlumX_snapshot!$A:$D, 4, FALSE), " ")</f>
        <v>105</v>
      </c>
      <c r="Z1090" s="12">
        <f>IFERROR(VLOOKUP(B1090, PlumX_snapshot!$A:$E, 5, FALSE), " ")</f>
        <v>0</v>
      </c>
      <c r="AA1090" s="12">
        <f>IFERROR(VLOOKUP(B1090, PlumX_snapshot!$A:$F, 6, FALSE), " ")</f>
        <v>0</v>
      </c>
      <c r="AB1090" s="13">
        <v>44978</v>
      </c>
      <c r="AC1090" s="9" t="s">
        <v>5025</v>
      </c>
      <c r="AD1090" s="9" t="s">
        <v>5026</v>
      </c>
      <c r="AE1090" s="9"/>
      <c r="AH1090" s="9">
        <v>2375</v>
      </c>
      <c r="AI1090" s="9" t="s">
        <v>77</v>
      </c>
      <c r="AJ1090" s="9" t="s">
        <v>301</v>
      </c>
      <c r="AK1090" s="11" t="str">
        <f t="shared" si="8"/>
        <v>2022GBP</v>
      </c>
      <c r="AL1090" s="11">
        <f>VLOOKUP(AK1090, Exchange_rates!$C:$D, 2, FALSE)</f>
        <v>1</v>
      </c>
      <c r="AM1090" s="14">
        <f t="shared" si="9"/>
        <v>2850</v>
      </c>
      <c r="AN1090" s="9"/>
      <c r="AO1090" s="9"/>
      <c r="AP1090" s="17"/>
      <c r="AQ1090" s="15" t="s">
        <v>49</v>
      </c>
      <c r="AR1090" t="s">
        <v>5027</v>
      </c>
      <c r="AS1090" s="16" t="s">
        <v>5028</v>
      </c>
    </row>
    <row r="1091" spans="1:45" ht="14.5">
      <c r="A1091" s="9" t="s">
        <v>5029</v>
      </c>
      <c r="B1091" s="9" t="s">
        <v>5030</v>
      </c>
      <c r="C1091" s="9" t="s">
        <v>5031</v>
      </c>
      <c r="D1091" s="9" t="s">
        <v>4371</v>
      </c>
      <c r="E1091" s="17" t="s">
        <v>49</v>
      </c>
      <c r="F1091" s="9" t="s">
        <v>69</v>
      </c>
      <c r="G1091" s="9" t="s">
        <v>70</v>
      </c>
      <c r="H1091" s="9" t="s">
        <v>4949</v>
      </c>
      <c r="I1091" s="9" t="s">
        <v>291</v>
      </c>
      <c r="J1091" s="10"/>
      <c r="K1091" s="10"/>
      <c r="L1091" s="10"/>
      <c r="M1091" s="10">
        <v>44619</v>
      </c>
      <c r="N1091" s="9">
        <v>2022</v>
      </c>
      <c r="O1091" s="9" t="s">
        <v>4950</v>
      </c>
      <c r="P1091" s="9" t="s">
        <v>53</v>
      </c>
      <c r="Q1091" s="9" t="s">
        <v>53</v>
      </c>
      <c r="R1091" s="9" t="s">
        <v>5032</v>
      </c>
      <c r="T1091" s="9"/>
      <c r="V1091" s="9" t="s">
        <v>4806</v>
      </c>
      <c r="W1091" s="11">
        <f>IFERROR(VLOOKUP(B1091, PlumX_snapshot!$A:$B, 2, FALSE), " ")</f>
        <v>6</v>
      </c>
      <c r="X1091" s="11">
        <f>IFERROR(VLOOKUP(B1091, PlumX_snapshot!$A:$C, 3, FALSE), " ")</f>
        <v>0</v>
      </c>
      <c r="Y1091" s="12">
        <f>IFERROR(VLOOKUP(B1091, PlumX_snapshot!$A:$D, 4, FALSE), " ")</f>
        <v>128</v>
      </c>
      <c r="Z1091" s="12">
        <f>IFERROR(VLOOKUP(B1091, PlumX_snapshot!$A:$E, 5, FALSE), " ")</f>
        <v>0</v>
      </c>
      <c r="AA1091" s="12">
        <f>IFERROR(VLOOKUP(B1091, PlumX_snapshot!$A:$F, 6, FALSE), " ")</f>
        <v>0</v>
      </c>
      <c r="AB1091" s="13">
        <v>44978</v>
      </c>
      <c r="AC1091" s="9" t="s">
        <v>5033</v>
      </c>
      <c r="AD1091" s="9" t="s">
        <v>5034</v>
      </c>
      <c r="AE1091" s="9" t="s">
        <v>5035</v>
      </c>
      <c r="AH1091" s="9">
        <v>2434</v>
      </c>
      <c r="AI1091" s="9" t="s">
        <v>1999</v>
      </c>
      <c r="AJ1091" s="9" t="s">
        <v>301</v>
      </c>
      <c r="AK1091" s="11" t="str">
        <f t="shared" si="8"/>
        <v>2022GBP</v>
      </c>
      <c r="AL1091" s="11">
        <f>VLOOKUP(AK1091, Exchange_rates!$C:$D, 2, FALSE)</f>
        <v>1</v>
      </c>
      <c r="AM1091" s="14">
        <f t="shared" si="9"/>
        <v>2920.7999999999997</v>
      </c>
      <c r="AN1091" s="9"/>
      <c r="AO1091" s="9"/>
      <c r="AP1091" s="17"/>
      <c r="AQ1091" s="15" t="s">
        <v>125</v>
      </c>
      <c r="AR1091" t="s">
        <v>5036</v>
      </c>
      <c r="AS1091" s="16" t="s">
        <v>5037</v>
      </c>
    </row>
    <row r="1092" spans="1:45" ht="14.5">
      <c r="A1092" s="9" t="s">
        <v>5038</v>
      </c>
      <c r="B1092" s="9" t="s">
        <v>5039</v>
      </c>
      <c r="C1092" s="9" t="s">
        <v>5040</v>
      </c>
      <c r="D1092" s="9" t="s">
        <v>4371</v>
      </c>
      <c r="E1092" s="17" t="s">
        <v>49</v>
      </c>
      <c r="F1092" s="9" t="s">
        <v>69</v>
      </c>
      <c r="G1092" s="9" t="s">
        <v>70</v>
      </c>
      <c r="H1092" s="9" t="s">
        <v>4949</v>
      </c>
      <c r="I1092" s="9" t="s">
        <v>72</v>
      </c>
      <c r="J1092" s="10"/>
      <c r="K1092" s="10"/>
      <c r="L1092" s="10">
        <v>44620.663587962961</v>
      </c>
      <c r="M1092" s="10">
        <v>44670</v>
      </c>
      <c r="N1092" s="9">
        <v>2022</v>
      </c>
      <c r="O1092" s="9" t="s">
        <v>4950</v>
      </c>
      <c r="P1092" s="9" t="s">
        <v>83</v>
      </c>
      <c r="Q1092" s="9" t="s">
        <v>53</v>
      </c>
      <c r="R1092" s="9" t="s">
        <v>5041</v>
      </c>
      <c r="T1092" s="9"/>
      <c r="V1092" s="9" t="s">
        <v>4806</v>
      </c>
      <c r="W1092" s="11">
        <f>IFERROR(VLOOKUP(B1092, PlumX_snapshot!$A:$B, 2, FALSE), " ")</f>
        <v>19</v>
      </c>
      <c r="X1092" s="11">
        <f>IFERROR(VLOOKUP(B1092, PlumX_snapshot!$A:$C, 3, FALSE), " ")</f>
        <v>0</v>
      </c>
      <c r="Y1092" s="12">
        <f>IFERROR(VLOOKUP(B1092, PlumX_snapshot!$A:$D, 4, FALSE), " ")</f>
        <v>17</v>
      </c>
      <c r="Z1092" s="12">
        <f>IFERROR(VLOOKUP(B1092, PlumX_snapshot!$A:$E, 5, FALSE), " ")</f>
        <v>0</v>
      </c>
      <c r="AA1092" s="12">
        <f>IFERROR(VLOOKUP(B1092, PlumX_snapshot!$A:$F, 6, FALSE), " ")</f>
        <v>0</v>
      </c>
      <c r="AB1092" s="13">
        <v>44978</v>
      </c>
      <c r="AC1092" s="9" t="s">
        <v>5042</v>
      </c>
      <c r="AD1092" s="9" t="s">
        <v>5043</v>
      </c>
      <c r="AE1092" s="9"/>
      <c r="AH1092" s="9">
        <v>2220</v>
      </c>
      <c r="AI1092" s="9" t="s">
        <v>77</v>
      </c>
      <c r="AJ1092" s="9" t="s">
        <v>301</v>
      </c>
      <c r="AK1092" s="11" t="str">
        <f t="shared" si="8"/>
        <v>2022GBP</v>
      </c>
      <c r="AL1092" s="11">
        <f>VLOOKUP(AK1092, Exchange_rates!$C:$D, 2, FALSE)</f>
        <v>1</v>
      </c>
      <c r="AM1092" s="14">
        <f t="shared" si="9"/>
        <v>2664</v>
      </c>
      <c r="AN1092" s="9"/>
      <c r="AO1092" s="9"/>
      <c r="AP1092" s="17"/>
      <c r="AQ1092" s="15" t="s">
        <v>49</v>
      </c>
      <c r="AR1092" t="s">
        <v>5044</v>
      </c>
      <c r="AS1092" s="16" t="s">
        <v>5045</v>
      </c>
    </row>
    <row r="1093" spans="1:45" ht="14.5">
      <c r="A1093" s="9" t="s">
        <v>5046</v>
      </c>
      <c r="B1093" s="9" t="s">
        <v>5047</v>
      </c>
      <c r="C1093" s="9" t="s">
        <v>5048</v>
      </c>
      <c r="D1093" s="9" t="s">
        <v>4371</v>
      </c>
      <c r="E1093" s="17" t="s">
        <v>49</v>
      </c>
      <c r="F1093" s="9" t="s">
        <v>69</v>
      </c>
      <c r="G1093" s="9" t="s">
        <v>70</v>
      </c>
      <c r="H1093" s="9" t="s">
        <v>4949</v>
      </c>
      <c r="I1093" s="9" t="s">
        <v>291</v>
      </c>
      <c r="J1093" s="10"/>
      <c r="K1093" s="10"/>
      <c r="L1093" s="10"/>
      <c r="M1093" s="10">
        <v>44635</v>
      </c>
      <c r="N1093" s="9">
        <v>2022</v>
      </c>
      <c r="O1093" s="9" t="s">
        <v>4950</v>
      </c>
      <c r="P1093" s="9" t="s">
        <v>53</v>
      </c>
      <c r="Q1093" s="9" t="s">
        <v>53</v>
      </c>
      <c r="R1093" s="9" t="s">
        <v>4823</v>
      </c>
      <c r="T1093" s="9"/>
      <c r="V1093" s="9" t="s">
        <v>4806</v>
      </c>
      <c r="W1093" s="11">
        <f>IFERROR(VLOOKUP(B1093, PlumX_snapshot!$A:$B, 2, FALSE), " ")</f>
        <v>11</v>
      </c>
      <c r="X1093" s="11">
        <f>IFERROR(VLOOKUP(B1093, PlumX_snapshot!$A:$C, 3, FALSE), " ")</f>
        <v>0</v>
      </c>
      <c r="Y1093" s="12">
        <f>IFERROR(VLOOKUP(B1093, PlumX_snapshot!$A:$D, 4, FALSE), " ")</f>
        <v>14</v>
      </c>
      <c r="Z1093" s="12">
        <f>IFERROR(VLOOKUP(B1093, PlumX_snapshot!$A:$E, 5, FALSE), " ")</f>
        <v>0</v>
      </c>
      <c r="AA1093" s="12">
        <f>IFERROR(VLOOKUP(B1093, PlumX_snapshot!$A:$F, 6, FALSE), " ")</f>
        <v>0</v>
      </c>
      <c r="AB1093" s="13">
        <v>44978</v>
      </c>
      <c r="AC1093" s="9" t="s">
        <v>5049</v>
      </c>
      <c r="AD1093" s="9" t="s">
        <v>5050</v>
      </c>
      <c r="AE1093" s="9"/>
      <c r="AH1093" s="9">
        <v>2375</v>
      </c>
      <c r="AI1093" s="9" t="s">
        <v>77</v>
      </c>
      <c r="AJ1093" s="9" t="s">
        <v>301</v>
      </c>
      <c r="AK1093" s="11" t="str">
        <f t="shared" si="8"/>
        <v>2022GBP</v>
      </c>
      <c r="AL1093" s="11">
        <f>VLOOKUP(AK1093, Exchange_rates!$C:$D, 2, FALSE)</f>
        <v>1</v>
      </c>
      <c r="AM1093" s="14">
        <f t="shared" si="9"/>
        <v>2850</v>
      </c>
      <c r="AN1093" s="9"/>
      <c r="AO1093" s="9"/>
      <c r="AP1093" s="17"/>
      <c r="AQ1093" s="15" t="s">
        <v>49</v>
      </c>
      <c r="AR1093" t="s">
        <v>5051</v>
      </c>
      <c r="AS1093" s="16" t="s">
        <v>5052</v>
      </c>
    </row>
    <row r="1094" spans="1:45" ht="14.5">
      <c r="A1094" s="9" t="s">
        <v>5053</v>
      </c>
      <c r="B1094" s="9" t="s">
        <v>5054</v>
      </c>
      <c r="C1094" s="9" t="s">
        <v>4956</v>
      </c>
      <c r="D1094" s="9" t="s">
        <v>4371</v>
      </c>
      <c r="E1094" s="17" t="s">
        <v>49</v>
      </c>
      <c r="F1094" s="9" t="s">
        <v>69</v>
      </c>
      <c r="G1094" s="9" t="s">
        <v>70</v>
      </c>
      <c r="H1094" s="9" t="s">
        <v>4949</v>
      </c>
      <c r="I1094" s="9" t="s">
        <v>72</v>
      </c>
      <c r="J1094" s="10"/>
      <c r="K1094" s="10"/>
      <c r="L1094" s="10"/>
      <c r="M1094" s="10">
        <v>44655</v>
      </c>
      <c r="N1094" s="9">
        <v>2022</v>
      </c>
      <c r="O1094" s="9" t="s">
        <v>4950</v>
      </c>
      <c r="P1094" s="9" t="s">
        <v>53</v>
      </c>
      <c r="Q1094" s="9" t="s">
        <v>53</v>
      </c>
      <c r="R1094" s="9" t="s">
        <v>5055</v>
      </c>
      <c r="T1094" s="9"/>
      <c r="V1094" s="9" t="s">
        <v>4806</v>
      </c>
      <c r="W1094" s="11">
        <f>IFERROR(VLOOKUP(B1094, PlumX_snapshot!$A:$B, 2, FALSE), " ")</f>
        <v>11</v>
      </c>
      <c r="X1094" s="11">
        <f>IFERROR(VLOOKUP(B1094, PlumX_snapshot!$A:$C, 3, FALSE), " ")</f>
        <v>0</v>
      </c>
      <c r="Y1094" s="12">
        <f>IFERROR(VLOOKUP(B1094, PlumX_snapshot!$A:$D, 4, FALSE), " ")</f>
        <v>16</v>
      </c>
      <c r="Z1094" s="12">
        <f>IFERROR(VLOOKUP(B1094, PlumX_snapshot!$A:$E, 5, FALSE), " ")</f>
        <v>0</v>
      </c>
      <c r="AA1094" s="12">
        <f>IFERROR(VLOOKUP(B1094, PlumX_snapshot!$A:$F, 6, FALSE), " ")</f>
        <v>0</v>
      </c>
      <c r="AB1094" s="13">
        <v>44978</v>
      </c>
      <c r="AC1094" s="9" t="s">
        <v>5056</v>
      </c>
      <c r="AD1094" s="9" t="s">
        <v>5057</v>
      </c>
      <c r="AE1094" s="9"/>
      <c r="AH1094" s="9">
        <v>2615</v>
      </c>
      <c r="AI1094" s="9" t="s">
        <v>77</v>
      </c>
      <c r="AJ1094" s="9" t="s">
        <v>301</v>
      </c>
      <c r="AK1094" s="11" t="str">
        <f t="shared" si="8"/>
        <v>2022GBP</v>
      </c>
      <c r="AL1094" s="11">
        <f>VLOOKUP(AK1094, Exchange_rates!$C:$D, 2, FALSE)</f>
        <v>1</v>
      </c>
      <c r="AM1094" s="14">
        <f t="shared" si="9"/>
        <v>3138</v>
      </c>
      <c r="AN1094" s="9"/>
      <c r="AO1094" s="9"/>
      <c r="AP1094" s="17"/>
      <c r="AQ1094" s="15" t="s">
        <v>49</v>
      </c>
      <c r="AR1094" t="s">
        <v>4960</v>
      </c>
      <c r="AS1094" s="16" t="s">
        <v>4961</v>
      </c>
    </row>
    <row r="1095" spans="1:45" ht="14.5">
      <c r="A1095" s="9" t="s">
        <v>5058</v>
      </c>
      <c r="B1095" s="9" t="s">
        <v>5059</v>
      </c>
      <c r="C1095" s="9" t="s">
        <v>4956</v>
      </c>
      <c r="D1095" s="9" t="s">
        <v>4371</v>
      </c>
      <c r="E1095" s="17" t="s">
        <v>49</v>
      </c>
      <c r="F1095" s="9" t="s">
        <v>69</v>
      </c>
      <c r="G1095" s="9" t="s">
        <v>70</v>
      </c>
      <c r="H1095" s="9" t="s">
        <v>4949</v>
      </c>
      <c r="I1095" s="9" t="s">
        <v>291</v>
      </c>
      <c r="J1095" s="10"/>
      <c r="K1095" s="10"/>
      <c r="L1095" s="10"/>
      <c r="M1095" s="10">
        <v>44657</v>
      </c>
      <c r="N1095" s="9">
        <v>2022</v>
      </c>
      <c r="O1095" s="9" t="s">
        <v>4950</v>
      </c>
      <c r="P1095" s="9" t="s">
        <v>53</v>
      </c>
      <c r="Q1095" s="9" t="s">
        <v>53</v>
      </c>
      <c r="R1095" s="9" t="s">
        <v>4823</v>
      </c>
      <c r="T1095" s="9"/>
      <c r="V1095" s="9" t="s">
        <v>4806</v>
      </c>
      <c r="W1095" s="11">
        <f>IFERROR(VLOOKUP(B1095, PlumX_snapshot!$A:$B, 2, FALSE), " ")</f>
        <v>9</v>
      </c>
      <c r="X1095" s="11">
        <f>IFERROR(VLOOKUP(B1095, PlumX_snapshot!$A:$C, 3, FALSE), " ")</f>
        <v>3</v>
      </c>
      <c r="Y1095" s="12">
        <f>IFERROR(VLOOKUP(B1095, PlumX_snapshot!$A:$D, 4, FALSE), " ")</f>
        <v>34</v>
      </c>
      <c r="Z1095" s="12">
        <f>IFERROR(VLOOKUP(B1095, PlumX_snapshot!$A:$E, 5, FALSE), " ")</f>
        <v>0</v>
      </c>
      <c r="AA1095" s="12">
        <f>IFERROR(VLOOKUP(B1095, PlumX_snapshot!$A:$F, 6, FALSE), " ")</f>
        <v>0</v>
      </c>
      <c r="AB1095" s="13">
        <v>44978</v>
      </c>
      <c r="AC1095" s="9" t="s">
        <v>5060</v>
      </c>
      <c r="AD1095" s="9" t="s">
        <v>5061</v>
      </c>
      <c r="AE1095" s="9"/>
      <c r="AH1095" s="9">
        <v>2615</v>
      </c>
      <c r="AI1095" s="9" t="s">
        <v>77</v>
      </c>
      <c r="AJ1095" s="9" t="s">
        <v>301</v>
      </c>
      <c r="AK1095" s="11" t="str">
        <f t="shared" si="8"/>
        <v>2022GBP</v>
      </c>
      <c r="AL1095" s="11">
        <f>VLOOKUP(AK1095, Exchange_rates!$C:$D, 2, FALSE)</f>
        <v>1</v>
      </c>
      <c r="AM1095" s="14">
        <f t="shared" si="9"/>
        <v>3138</v>
      </c>
      <c r="AN1095" s="9"/>
      <c r="AO1095" s="9"/>
      <c r="AP1095" s="17"/>
      <c r="AQ1095" s="15" t="s">
        <v>49</v>
      </c>
      <c r="AR1095" t="s">
        <v>4960</v>
      </c>
      <c r="AS1095" s="16" t="s">
        <v>4961</v>
      </c>
    </row>
    <row r="1096" spans="1:45" ht="14.5">
      <c r="A1096" s="9" t="s">
        <v>5062</v>
      </c>
      <c r="B1096" s="9" t="s">
        <v>5063</v>
      </c>
      <c r="C1096" s="9" t="s">
        <v>5064</v>
      </c>
      <c r="D1096" s="9" t="s">
        <v>4371</v>
      </c>
      <c r="E1096" s="17" t="s">
        <v>49</v>
      </c>
      <c r="F1096" s="9" t="s">
        <v>69</v>
      </c>
      <c r="G1096" s="9" t="s">
        <v>70</v>
      </c>
      <c r="H1096" s="9" t="s">
        <v>4949</v>
      </c>
      <c r="I1096" s="9" t="s">
        <v>291</v>
      </c>
      <c r="J1096" s="10"/>
      <c r="K1096" s="10"/>
      <c r="L1096" s="10"/>
      <c r="M1096" s="10">
        <v>44621</v>
      </c>
      <c r="N1096" s="9">
        <v>2022</v>
      </c>
      <c r="O1096" s="9" t="s">
        <v>4950</v>
      </c>
      <c r="P1096" s="9" t="s">
        <v>53</v>
      </c>
      <c r="Q1096" s="9" t="s">
        <v>53</v>
      </c>
      <c r="R1096" s="9" t="s">
        <v>5065</v>
      </c>
      <c r="T1096" s="9"/>
      <c r="V1096" s="9" t="s">
        <v>4806</v>
      </c>
      <c r="W1096" s="11">
        <f>IFERROR(VLOOKUP(B1096, PlumX_snapshot!$A:$B, 2, FALSE), " ")</f>
        <v>6</v>
      </c>
      <c r="X1096" s="11">
        <f>IFERROR(VLOOKUP(B1096, PlumX_snapshot!$A:$C, 3, FALSE), " ")</f>
        <v>1</v>
      </c>
      <c r="Y1096" s="12">
        <f>IFERROR(VLOOKUP(B1096, PlumX_snapshot!$A:$D, 4, FALSE), " ")</f>
        <v>2</v>
      </c>
      <c r="Z1096" s="12">
        <f>IFERROR(VLOOKUP(B1096, PlumX_snapshot!$A:$E, 5, FALSE), " ")</f>
        <v>0</v>
      </c>
      <c r="AA1096" s="12">
        <f>IFERROR(VLOOKUP(B1096, PlumX_snapshot!$A:$F, 6, FALSE), " ")</f>
        <v>0</v>
      </c>
      <c r="AB1096" s="13">
        <v>44978</v>
      </c>
      <c r="AC1096" s="9" t="s">
        <v>4665</v>
      </c>
      <c r="AD1096" s="9" t="s">
        <v>5066</v>
      </c>
      <c r="AE1096" s="9"/>
      <c r="AH1096" s="9">
        <v>3090</v>
      </c>
      <c r="AI1096" s="9" t="s">
        <v>77</v>
      </c>
      <c r="AJ1096" s="9" t="s">
        <v>301</v>
      </c>
      <c r="AK1096" s="11" t="str">
        <f t="shared" si="8"/>
        <v>2022GBP</v>
      </c>
      <c r="AL1096" s="11">
        <f>VLOOKUP(AK1096, Exchange_rates!$C:$D, 2, FALSE)</f>
        <v>1</v>
      </c>
      <c r="AM1096" s="14">
        <f t="shared" si="9"/>
        <v>3708</v>
      </c>
      <c r="AN1096" s="9"/>
      <c r="AO1096" s="9"/>
      <c r="AP1096" s="17"/>
      <c r="AQ1096" s="15" t="s">
        <v>125</v>
      </c>
      <c r="AR1096" t="s">
        <v>5067</v>
      </c>
      <c r="AS1096" s="16" t="s">
        <v>5068</v>
      </c>
    </row>
    <row r="1097" spans="1:45" ht="14.5">
      <c r="A1097" s="9" t="s">
        <v>5069</v>
      </c>
      <c r="B1097" s="9" t="s">
        <v>5070</v>
      </c>
      <c r="C1097" s="9" t="s">
        <v>5071</v>
      </c>
      <c r="D1097" s="9" t="s">
        <v>4371</v>
      </c>
      <c r="E1097" s="17" t="s">
        <v>49</v>
      </c>
      <c r="F1097" s="9" t="s">
        <v>69</v>
      </c>
      <c r="G1097" s="9" t="s">
        <v>70</v>
      </c>
      <c r="H1097" s="9" t="s">
        <v>4949</v>
      </c>
      <c r="I1097" s="9" t="s">
        <v>72</v>
      </c>
      <c r="J1097" s="10"/>
      <c r="K1097" s="10"/>
      <c r="L1097" s="10">
        <v>44567.508773148147</v>
      </c>
      <c r="M1097" s="10">
        <v>44592</v>
      </c>
      <c r="N1097" s="9">
        <v>2022</v>
      </c>
      <c r="O1097" s="9" t="s">
        <v>4950</v>
      </c>
      <c r="P1097" s="9" t="s">
        <v>83</v>
      </c>
      <c r="Q1097" s="9" t="s">
        <v>53</v>
      </c>
      <c r="R1097" s="9" t="s">
        <v>5072</v>
      </c>
      <c r="T1097" s="9"/>
      <c r="V1097" s="9" t="s">
        <v>4806</v>
      </c>
      <c r="W1097" s="11">
        <f>IFERROR(VLOOKUP(B1097, PlumX_snapshot!$A:$B, 2, FALSE), " ")</f>
        <v>13</v>
      </c>
      <c r="X1097" s="11">
        <f>IFERROR(VLOOKUP(B1097, PlumX_snapshot!$A:$C, 3, FALSE), " ")</f>
        <v>3</v>
      </c>
      <c r="Y1097" s="12">
        <f>IFERROR(VLOOKUP(B1097, PlumX_snapshot!$A:$D, 4, FALSE), " ")</f>
        <v>6</v>
      </c>
      <c r="Z1097" s="12">
        <f>IFERROR(VLOOKUP(B1097, PlumX_snapshot!$A:$E, 5, FALSE), " ")</f>
        <v>0</v>
      </c>
      <c r="AA1097" s="12">
        <f>IFERROR(VLOOKUP(B1097, PlumX_snapshot!$A:$F, 6, FALSE), " ")</f>
        <v>0</v>
      </c>
      <c r="AB1097" s="13">
        <v>44978</v>
      </c>
      <c r="AC1097" s="9" t="s">
        <v>5073</v>
      </c>
      <c r="AD1097" s="9" t="s">
        <v>5074</v>
      </c>
      <c r="AE1097" s="9" t="s">
        <v>5075</v>
      </c>
      <c r="AH1097" s="9">
        <v>2295</v>
      </c>
      <c r="AI1097" s="9" t="s">
        <v>77</v>
      </c>
      <c r="AJ1097" s="9" t="s">
        <v>301</v>
      </c>
      <c r="AK1097" s="11" t="str">
        <f t="shared" si="8"/>
        <v>2022GBP</v>
      </c>
      <c r="AL1097" s="11">
        <f>VLOOKUP(AK1097, Exchange_rates!$C:$D, 2, FALSE)</f>
        <v>1</v>
      </c>
      <c r="AM1097" s="14">
        <f t="shared" si="9"/>
        <v>2754</v>
      </c>
      <c r="AN1097" s="9"/>
      <c r="AO1097" s="9"/>
      <c r="AP1097" s="17"/>
      <c r="AQ1097" s="15" t="s">
        <v>49</v>
      </c>
      <c r="AR1097" t="s">
        <v>5076</v>
      </c>
      <c r="AS1097" s="16" t="s">
        <v>5077</v>
      </c>
    </row>
    <row r="1098" spans="1:45" ht="14.5">
      <c r="A1098" s="9" t="s">
        <v>5078</v>
      </c>
      <c r="B1098" s="9" t="s">
        <v>5079</v>
      </c>
      <c r="C1098" s="9" t="s">
        <v>5080</v>
      </c>
      <c r="D1098" s="9" t="s">
        <v>4371</v>
      </c>
      <c r="E1098" s="17" t="s">
        <v>49</v>
      </c>
      <c r="F1098" s="9" t="s">
        <v>69</v>
      </c>
      <c r="G1098" s="9" t="s">
        <v>70</v>
      </c>
      <c r="H1098" s="9" t="s">
        <v>4372</v>
      </c>
      <c r="I1098" s="9" t="s">
        <v>291</v>
      </c>
      <c r="J1098" s="10"/>
      <c r="K1098" s="10"/>
      <c r="L1098" s="10"/>
      <c r="M1098" s="28">
        <v>44558</v>
      </c>
      <c r="N1098" s="9">
        <v>2021</v>
      </c>
      <c r="O1098" s="9" t="s">
        <v>4950</v>
      </c>
      <c r="P1098" s="9" t="s">
        <v>53</v>
      </c>
      <c r="Q1098" s="9" t="s">
        <v>53</v>
      </c>
      <c r="R1098" s="9" t="s">
        <v>5081</v>
      </c>
      <c r="T1098" s="9"/>
      <c r="V1098" s="9" t="s">
        <v>4806</v>
      </c>
      <c r="W1098" s="11">
        <f>IFERROR(VLOOKUP(B1098, PlumX_snapshot!$A:$B, 2, FALSE), " ")</f>
        <v>5</v>
      </c>
      <c r="X1098" s="11">
        <f>IFERROR(VLOOKUP(B1098, PlumX_snapshot!$A:$C, 3, FALSE), " ")</f>
        <v>0</v>
      </c>
      <c r="Y1098" s="12">
        <f>IFERROR(VLOOKUP(B1098, PlumX_snapshot!$A:$D, 4, FALSE), " ")</f>
        <v>36</v>
      </c>
      <c r="Z1098" s="12">
        <f>IFERROR(VLOOKUP(B1098, PlumX_snapshot!$A:$E, 5, FALSE), " ")</f>
        <v>0</v>
      </c>
      <c r="AA1098" s="12">
        <f>IFERROR(VLOOKUP(B1098, PlumX_snapshot!$A:$F, 6, FALSE), " ")</f>
        <v>0</v>
      </c>
      <c r="AB1098" s="13">
        <v>44978</v>
      </c>
      <c r="AC1098" s="9" t="s">
        <v>5082</v>
      </c>
      <c r="AD1098" s="9" t="s">
        <v>5083</v>
      </c>
      <c r="AE1098" s="9"/>
      <c r="AH1098" s="9">
        <v>2533</v>
      </c>
      <c r="AI1098" s="9" t="s">
        <v>1999</v>
      </c>
      <c r="AJ1098" s="9" t="s">
        <v>301</v>
      </c>
      <c r="AK1098" s="11" t="str">
        <f t="shared" si="8"/>
        <v>2021GBP</v>
      </c>
      <c r="AL1098" s="11">
        <f>VLOOKUP(AK1098, Exchange_rates!$C:$D, 2, FALSE)</f>
        <v>1</v>
      </c>
      <c r="AM1098" s="14">
        <f t="shared" si="9"/>
        <v>3039.6</v>
      </c>
      <c r="AN1098" s="9"/>
      <c r="AO1098" s="9"/>
      <c r="AP1098" s="17"/>
      <c r="AQ1098" s="15" t="s">
        <v>49</v>
      </c>
      <c r="AR1098" t="s">
        <v>5084</v>
      </c>
      <c r="AS1098" s="16" t="s">
        <v>5085</v>
      </c>
    </row>
    <row r="1099" spans="1:45" ht="14.5">
      <c r="A1099" s="9" t="s">
        <v>5086</v>
      </c>
      <c r="B1099" s="9" t="s">
        <v>5087</v>
      </c>
      <c r="C1099" s="9" t="s">
        <v>5088</v>
      </c>
      <c r="D1099" s="9" t="s">
        <v>4371</v>
      </c>
      <c r="E1099" s="17" t="s">
        <v>49</v>
      </c>
      <c r="F1099" s="9" t="s">
        <v>69</v>
      </c>
      <c r="G1099" s="9" t="s">
        <v>70</v>
      </c>
      <c r="H1099" s="9" t="s">
        <v>4372</v>
      </c>
      <c r="I1099" s="9" t="s">
        <v>291</v>
      </c>
      <c r="J1099" s="10"/>
      <c r="K1099" s="10"/>
      <c r="L1099" s="10"/>
      <c r="M1099" s="10">
        <v>44379</v>
      </c>
      <c r="N1099" s="9">
        <v>2021</v>
      </c>
      <c r="O1099" s="9" t="s">
        <v>4950</v>
      </c>
      <c r="P1099" s="9" t="s">
        <v>53</v>
      </c>
      <c r="Q1099" s="9" t="s">
        <v>53</v>
      </c>
      <c r="R1099" s="9" t="s">
        <v>5089</v>
      </c>
      <c r="T1099" s="9"/>
      <c r="V1099" s="9" t="s">
        <v>4806</v>
      </c>
      <c r="W1099" s="11">
        <f>IFERROR(VLOOKUP(B1099, PlumX_snapshot!$A:$B, 2, FALSE), " ")</f>
        <v>22</v>
      </c>
      <c r="X1099" s="11">
        <f>IFERROR(VLOOKUP(B1099, PlumX_snapshot!$A:$C, 3, FALSE), " ")</f>
        <v>3</v>
      </c>
      <c r="Y1099" s="12">
        <f>IFERROR(VLOOKUP(B1099, PlumX_snapshot!$A:$D, 4, FALSE), " ")</f>
        <v>5</v>
      </c>
      <c r="Z1099" s="12">
        <f>IFERROR(VLOOKUP(B1099, PlumX_snapshot!$A:$E, 5, FALSE), " ")</f>
        <v>0</v>
      </c>
      <c r="AA1099" s="12">
        <f>IFERROR(VLOOKUP(B1099, PlumX_snapshot!$A:$F, 6, FALSE), " ")</f>
        <v>2</v>
      </c>
      <c r="AB1099" s="13">
        <v>44978</v>
      </c>
      <c r="AC1099" s="9" t="s">
        <v>5090</v>
      </c>
      <c r="AD1099" s="9" t="s">
        <v>5091</v>
      </c>
      <c r="AE1099" s="9" t="s">
        <v>5092</v>
      </c>
      <c r="AH1099" s="9">
        <v>2533</v>
      </c>
      <c r="AI1099" s="9" t="s">
        <v>1999</v>
      </c>
      <c r="AJ1099" s="9" t="s">
        <v>301</v>
      </c>
      <c r="AK1099" s="11" t="str">
        <f t="shared" si="8"/>
        <v>2021GBP</v>
      </c>
      <c r="AL1099" s="11">
        <f>VLOOKUP(AK1099, Exchange_rates!$C:$D, 2, FALSE)</f>
        <v>1</v>
      </c>
      <c r="AM1099" s="14">
        <f t="shared" si="9"/>
        <v>3039.6</v>
      </c>
      <c r="AN1099" s="9"/>
      <c r="AO1099" s="9"/>
      <c r="AP1099" s="17"/>
      <c r="AQ1099" s="15" t="s">
        <v>49</v>
      </c>
      <c r="AR1099" t="s">
        <v>5093</v>
      </c>
      <c r="AS1099" s="16" t="s">
        <v>5094</v>
      </c>
    </row>
    <row r="1100" spans="1:45" ht="14.5">
      <c r="A1100" s="9" t="s">
        <v>5095</v>
      </c>
      <c r="B1100" s="9" t="s">
        <v>5096</v>
      </c>
      <c r="C1100" s="9" t="s">
        <v>5097</v>
      </c>
      <c r="D1100" s="9" t="s">
        <v>4371</v>
      </c>
      <c r="E1100" s="17" t="s">
        <v>49</v>
      </c>
      <c r="F1100" s="9" t="s">
        <v>69</v>
      </c>
      <c r="G1100" s="9" t="s">
        <v>70</v>
      </c>
      <c r="H1100" s="9" t="s">
        <v>4949</v>
      </c>
      <c r="I1100" s="9" t="s">
        <v>291</v>
      </c>
      <c r="J1100" s="10"/>
      <c r="K1100" s="10"/>
      <c r="L1100" s="10"/>
      <c r="M1100" s="10">
        <v>44570</v>
      </c>
      <c r="N1100" s="9">
        <v>2022</v>
      </c>
      <c r="O1100" s="9" t="s">
        <v>4950</v>
      </c>
      <c r="P1100" s="9" t="s">
        <v>53</v>
      </c>
      <c r="Q1100" s="9" t="s">
        <v>53</v>
      </c>
      <c r="R1100" s="9" t="s">
        <v>4823</v>
      </c>
      <c r="T1100" s="9"/>
      <c r="V1100" s="9" t="s">
        <v>4806</v>
      </c>
      <c r="W1100" s="11">
        <f>IFERROR(VLOOKUP(B1100, PlumX_snapshot!$A:$B, 2, FALSE), " ")</f>
        <v>0</v>
      </c>
      <c r="X1100" s="11">
        <f>IFERROR(VLOOKUP(B1100, PlumX_snapshot!$A:$C, 3, FALSE), " ")</f>
        <v>0</v>
      </c>
      <c r="Y1100" s="12">
        <f>IFERROR(VLOOKUP(B1100, PlumX_snapshot!$A:$D, 4, FALSE), " ")</f>
        <v>3</v>
      </c>
      <c r="Z1100" s="12">
        <f>IFERROR(VLOOKUP(B1100, PlumX_snapshot!$A:$E, 5, FALSE), " ")</f>
        <v>0</v>
      </c>
      <c r="AA1100" s="12">
        <f>IFERROR(VLOOKUP(B1100, PlumX_snapshot!$A:$F, 6, FALSE), " ")</f>
        <v>0</v>
      </c>
      <c r="AB1100" s="13">
        <v>44978</v>
      </c>
      <c r="AC1100" s="9" t="s">
        <v>4629</v>
      </c>
      <c r="AD1100" s="9" t="s">
        <v>4630</v>
      </c>
      <c r="AE1100" s="9" t="s">
        <v>4631</v>
      </c>
      <c r="AH1100" s="9">
        <v>2434</v>
      </c>
      <c r="AI1100" s="9" t="s">
        <v>1999</v>
      </c>
      <c r="AJ1100" s="9" t="s">
        <v>301</v>
      </c>
      <c r="AK1100" s="11" t="str">
        <f t="shared" si="8"/>
        <v>2022GBP</v>
      </c>
      <c r="AL1100" s="11">
        <f>VLOOKUP(AK1100, Exchange_rates!$C:$D, 2, FALSE)</f>
        <v>1</v>
      </c>
      <c r="AM1100" s="14">
        <f t="shared" si="9"/>
        <v>2920.7999999999997</v>
      </c>
      <c r="AN1100" s="9"/>
      <c r="AO1100" s="9"/>
      <c r="AP1100" s="17"/>
      <c r="AQ1100" s="15" t="s">
        <v>49</v>
      </c>
      <c r="AR1100" t="s">
        <v>5098</v>
      </c>
      <c r="AS1100" s="16" t="s">
        <v>5099</v>
      </c>
    </row>
    <row r="1101" spans="1:45" ht="14.5">
      <c r="A1101" s="9" t="s">
        <v>5100</v>
      </c>
      <c r="B1101" s="9" t="s">
        <v>5101</v>
      </c>
      <c r="C1101" s="9" t="s">
        <v>5102</v>
      </c>
      <c r="D1101" s="9" t="s">
        <v>4371</v>
      </c>
      <c r="E1101" s="17" t="s">
        <v>49</v>
      </c>
      <c r="F1101" s="9" t="s">
        <v>69</v>
      </c>
      <c r="G1101" s="9" t="s">
        <v>70</v>
      </c>
      <c r="H1101" s="9" t="s">
        <v>4949</v>
      </c>
      <c r="I1101" s="9" t="s">
        <v>291</v>
      </c>
      <c r="J1101" s="10"/>
      <c r="K1101" s="10"/>
      <c r="L1101" s="10"/>
      <c r="M1101" s="10">
        <v>44585</v>
      </c>
      <c r="N1101" s="9">
        <v>2022</v>
      </c>
      <c r="O1101" s="9" t="s">
        <v>4950</v>
      </c>
      <c r="P1101" s="9" t="s">
        <v>53</v>
      </c>
      <c r="Q1101" s="9" t="s">
        <v>53</v>
      </c>
      <c r="R1101" s="9" t="s">
        <v>4823</v>
      </c>
      <c r="T1101" s="9"/>
      <c r="V1101" s="9" t="s">
        <v>4806</v>
      </c>
      <c r="W1101" s="11">
        <f>IFERROR(VLOOKUP(B1101, PlumX_snapshot!$A:$B, 2, FALSE), " ")</f>
        <v>7</v>
      </c>
      <c r="X1101" s="11">
        <f>IFERROR(VLOOKUP(B1101, PlumX_snapshot!$A:$C, 3, FALSE), " ")</f>
        <v>0</v>
      </c>
      <c r="Y1101" s="12">
        <f>IFERROR(VLOOKUP(B1101, PlumX_snapshot!$A:$D, 4, FALSE), " ")</f>
        <v>63</v>
      </c>
      <c r="Z1101" s="12">
        <f>IFERROR(VLOOKUP(B1101, PlumX_snapshot!$A:$E, 5, FALSE), " ")</f>
        <v>0</v>
      </c>
      <c r="AA1101" s="12">
        <f>IFERROR(VLOOKUP(B1101, PlumX_snapshot!$A:$F, 6, FALSE), " ")</f>
        <v>0</v>
      </c>
      <c r="AB1101" s="13">
        <v>44978</v>
      </c>
      <c r="AC1101" s="9" t="s">
        <v>5103</v>
      </c>
      <c r="AD1101" s="9" t="s">
        <v>5104</v>
      </c>
      <c r="AE1101" s="9"/>
      <c r="AH1101" s="9">
        <v>2690</v>
      </c>
      <c r="AI1101" s="9" t="s">
        <v>77</v>
      </c>
      <c r="AJ1101" s="9" t="s">
        <v>301</v>
      </c>
      <c r="AK1101" s="11" t="str">
        <f t="shared" si="8"/>
        <v>2022GBP</v>
      </c>
      <c r="AL1101" s="11">
        <f>VLOOKUP(AK1101, Exchange_rates!$C:$D, 2, FALSE)</f>
        <v>1</v>
      </c>
      <c r="AM1101" s="14">
        <f t="shared" si="9"/>
        <v>3228</v>
      </c>
      <c r="AN1101" s="9"/>
      <c r="AO1101" s="9"/>
      <c r="AP1101" s="17"/>
      <c r="AQ1101" s="15" t="s">
        <v>49</v>
      </c>
      <c r="AR1101" t="s">
        <v>5105</v>
      </c>
      <c r="AS1101" s="16" t="s">
        <v>5106</v>
      </c>
    </row>
    <row r="1102" spans="1:45" ht="14.5">
      <c r="A1102" s="9" t="s">
        <v>5107</v>
      </c>
      <c r="B1102" s="9" t="s">
        <v>5108</v>
      </c>
      <c r="C1102" s="9" t="s">
        <v>5109</v>
      </c>
      <c r="D1102" s="9" t="s">
        <v>4371</v>
      </c>
      <c r="E1102" s="17" t="s">
        <v>49</v>
      </c>
      <c r="F1102" s="9" t="s">
        <v>69</v>
      </c>
      <c r="G1102" s="9" t="s">
        <v>70</v>
      </c>
      <c r="H1102" s="9" t="s">
        <v>4949</v>
      </c>
      <c r="I1102" s="9" t="s">
        <v>291</v>
      </c>
      <c r="J1102" s="10"/>
      <c r="K1102" s="10"/>
      <c r="L1102" s="10"/>
      <c r="M1102" s="10">
        <v>44567</v>
      </c>
      <c r="N1102" s="9">
        <v>2022</v>
      </c>
      <c r="O1102" s="9" t="s">
        <v>4950</v>
      </c>
      <c r="P1102" s="9" t="s">
        <v>53</v>
      </c>
      <c r="Q1102" s="9" t="s">
        <v>53</v>
      </c>
      <c r="R1102" s="9" t="s">
        <v>5110</v>
      </c>
      <c r="T1102" s="9"/>
      <c r="V1102" s="9" t="s">
        <v>4806</v>
      </c>
      <c r="W1102" s="11">
        <f>IFERROR(VLOOKUP(B1102, PlumX_snapshot!$A:$B, 2, FALSE), " ")</f>
        <v>7</v>
      </c>
      <c r="X1102" s="11">
        <f>IFERROR(VLOOKUP(B1102, PlumX_snapshot!$A:$C, 3, FALSE), " ")</f>
        <v>1</v>
      </c>
      <c r="Y1102" s="12">
        <f>IFERROR(VLOOKUP(B1102, PlumX_snapshot!$A:$D, 4, FALSE), " ")</f>
        <v>51</v>
      </c>
      <c r="Z1102" s="12">
        <f>IFERROR(VLOOKUP(B1102, PlumX_snapshot!$A:$E, 5, FALSE), " ")</f>
        <v>0</v>
      </c>
      <c r="AA1102" s="12">
        <f>IFERROR(VLOOKUP(B1102, PlumX_snapshot!$A:$F, 6, FALSE), " ")</f>
        <v>0</v>
      </c>
      <c r="AB1102" s="13">
        <v>44978</v>
      </c>
      <c r="AC1102" s="9" t="s">
        <v>532</v>
      </c>
      <c r="AD1102" s="9" t="s">
        <v>533</v>
      </c>
      <c r="AE1102" s="9" t="s">
        <v>5111</v>
      </c>
      <c r="AH1102" s="9">
        <v>2295</v>
      </c>
      <c r="AI1102" s="9" t="s">
        <v>77</v>
      </c>
      <c r="AJ1102" s="9" t="s">
        <v>301</v>
      </c>
      <c r="AK1102" s="11" t="str">
        <f t="shared" si="8"/>
        <v>2022GBP</v>
      </c>
      <c r="AL1102" s="11">
        <f>VLOOKUP(AK1102, Exchange_rates!$C:$D, 2, FALSE)</f>
        <v>1</v>
      </c>
      <c r="AM1102" s="14">
        <f t="shared" si="9"/>
        <v>2754</v>
      </c>
      <c r="AN1102" s="9"/>
      <c r="AO1102" s="9"/>
      <c r="AP1102" s="17"/>
      <c r="AQ1102" s="15" t="s">
        <v>49</v>
      </c>
      <c r="AR1102" t="s">
        <v>5112</v>
      </c>
      <c r="AS1102" s="16" t="s">
        <v>5113</v>
      </c>
    </row>
    <row r="1103" spans="1:45" ht="14.5">
      <c r="A1103" s="9" t="s">
        <v>5114</v>
      </c>
      <c r="B1103" s="9" t="s">
        <v>5115</v>
      </c>
      <c r="C1103" s="9" t="s">
        <v>5116</v>
      </c>
      <c r="D1103" s="9" t="s">
        <v>4371</v>
      </c>
      <c r="E1103" s="17" t="s">
        <v>49</v>
      </c>
      <c r="F1103" s="9" t="s">
        <v>69</v>
      </c>
      <c r="G1103" s="9" t="s">
        <v>70</v>
      </c>
      <c r="H1103" s="9" t="s">
        <v>4949</v>
      </c>
      <c r="I1103" s="9" t="s">
        <v>291</v>
      </c>
      <c r="J1103" s="10"/>
      <c r="K1103" s="10"/>
      <c r="L1103" s="10"/>
      <c r="M1103" s="10">
        <v>44584</v>
      </c>
      <c r="N1103" s="9">
        <v>2022</v>
      </c>
      <c r="O1103" s="9" t="s">
        <v>4950</v>
      </c>
      <c r="P1103" s="9" t="s">
        <v>53</v>
      </c>
      <c r="Q1103" s="9" t="s">
        <v>53</v>
      </c>
      <c r="R1103" s="9" t="s">
        <v>4823</v>
      </c>
      <c r="T1103" s="9"/>
      <c r="V1103" s="9" t="s">
        <v>4806</v>
      </c>
      <c r="W1103" s="11">
        <f>IFERROR(VLOOKUP(B1103, PlumX_snapshot!$A:$B, 2, FALSE), " ")</f>
        <v>1</v>
      </c>
      <c r="X1103" s="11">
        <f>IFERROR(VLOOKUP(B1103, PlumX_snapshot!$A:$C, 3, FALSE), " ")</f>
        <v>0</v>
      </c>
      <c r="Y1103" s="12">
        <f>IFERROR(VLOOKUP(B1103, PlumX_snapshot!$A:$D, 4, FALSE), " ")</f>
        <v>0</v>
      </c>
      <c r="Z1103" s="12">
        <f>IFERROR(VLOOKUP(B1103, PlumX_snapshot!$A:$E, 5, FALSE), " ")</f>
        <v>0</v>
      </c>
      <c r="AA1103" s="12">
        <f>IFERROR(VLOOKUP(B1103, PlumX_snapshot!$A:$F, 6, FALSE), " ")</f>
        <v>0</v>
      </c>
      <c r="AB1103" s="13">
        <v>44978</v>
      </c>
      <c r="AC1103" s="9" t="s">
        <v>5117</v>
      </c>
      <c r="AD1103" s="9" t="s">
        <v>5118</v>
      </c>
      <c r="AE1103" s="9"/>
      <c r="AH1103" s="9">
        <v>2295</v>
      </c>
      <c r="AI1103" s="9" t="s">
        <v>77</v>
      </c>
      <c r="AJ1103" s="9" t="s">
        <v>301</v>
      </c>
      <c r="AK1103" s="11" t="str">
        <f t="shared" si="8"/>
        <v>2022GBP</v>
      </c>
      <c r="AL1103" s="11">
        <f>VLOOKUP(AK1103, Exchange_rates!$C:$D, 2, FALSE)</f>
        <v>1</v>
      </c>
      <c r="AM1103" s="14">
        <f t="shared" si="9"/>
        <v>2754</v>
      </c>
      <c r="AN1103" s="9"/>
      <c r="AO1103" s="9"/>
      <c r="AP1103" s="17"/>
      <c r="AQ1103" s="15" t="s">
        <v>49</v>
      </c>
      <c r="AR1103" t="s">
        <v>5119</v>
      </c>
      <c r="AS1103" s="16" t="s">
        <v>5120</v>
      </c>
    </row>
    <row r="1104" spans="1:45" ht="14.5">
      <c r="A1104" s="9" t="s">
        <v>5121</v>
      </c>
      <c r="B1104" s="9" t="s">
        <v>5122</v>
      </c>
      <c r="C1104" s="9" t="s">
        <v>5123</v>
      </c>
      <c r="D1104" s="9" t="s">
        <v>4371</v>
      </c>
      <c r="E1104" s="17" t="s">
        <v>49</v>
      </c>
      <c r="F1104" s="9" t="s">
        <v>69</v>
      </c>
      <c r="G1104" s="9" t="s">
        <v>70</v>
      </c>
      <c r="H1104" s="9" t="s">
        <v>4949</v>
      </c>
      <c r="I1104" s="9" t="s">
        <v>291</v>
      </c>
      <c r="J1104" s="10"/>
      <c r="K1104" s="10"/>
      <c r="L1104" s="10"/>
      <c r="M1104" s="10">
        <v>44592</v>
      </c>
      <c r="N1104" s="9">
        <v>2022</v>
      </c>
      <c r="O1104" s="9" t="s">
        <v>4950</v>
      </c>
      <c r="P1104" s="9" t="s">
        <v>53</v>
      </c>
      <c r="Q1104" s="9" t="s">
        <v>53</v>
      </c>
      <c r="R1104" s="9" t="s">
        <v>4823</v>
      </c>
      <c r="T1104" s="9"/>
      <c r="V1104" s="9" t="s">
        <v>4806</v>
      </c>
      <c r="W1104" s="11">
        <f>IFERROR(VLOOKUP(B1104, PlumX_snapshot!$A:$B, 2, FALSE), " ")</f>
        <v>8</v>
      </c>
      <c r="X1104" s="11">
        <f>IFERROR(VLOOKUP(B1104, PlumX_snapshot!$A:$C, 3, FALSE), " ")</f>
        <v>0</v>
      </c>
      <c r="Y1104" s="12">
        <f>IFERROR(VLOOKUP(B1104, PlumX_snapshot!$A:$D, 4, FALSE), " ")</f>
        <v>36</v>
      </c>
      <c r="Z1104" s="12">
        <f>IFERROR(VLOOKUP(B1104, PlumX_snapshot!$A:$E, 5, FALSE), " ")</f>
        <v>0</v>
      </c>
      <c r="AA1104" s="12">
        <f>IFERROR(VLOOKUP(B1104, PlumX_snapshot!$A:$F, 6, FALSE), " ")</f>
        <v>0</v>
      </c>
      <c r="AB1104" s="13">
        <v>44978</v>
      </c>
      <c r="AC1104" s="9" t="s">
        <v>5124</v>
      </c>
      <c r="AD1104" s="9" t="s">
        <v>434</v>
      </c>
      <c r="AE1104" s="9"/>
      <c r="AH1104" s="9">
        <v>2295</v>
      </c>
      <c r="AI1104" s="9" t="s">
        <v>77</v>
      </c>
      <c r="AJ1104" s="9" t="s">
        <v>301</v>
      </c>
      <c r="AK1104" s="11" t="str">
        <f t="shared" si="8"/>
        <v>2022GBP</v>
      </c>
      <c r="AL1104" s="11">
        <f>VLOOKUP(AK1104, Exchange_rates!$C:$D, 2, FALSE)</f>
        <v>1</v>
      </c>
      <c r="AM1104" s="14">
        <f t="shared" si="9"/>
        <v>2754</v>
      </c>
      <c r="AN1104" s="9"/>
      <c r="AO1104" s="9"/>
      <c r="AP1104" s="17"/>
      <c r="AQ1104" s="15" t="s">
        <v>49</v>
      </c>
      <c r="AR1104" t="s">
        <v>5125</v>
      </c>
      <c r="AS1104" s="16" t="s">
        <v>5126</v>
      </c>
    </row>
    <row r="1105" spans="1:45" ht="14.5">
      <c r="A1105" s="9" t="s">
        <v>5127</v>
      </c>
      <c r="B1105" s="9" t="s">
        <v>5128</v>
      </c>
      <c r="C1105" s="9" t="s">
        <v>5123</v>
      </c>
      <c r="D1105" s="9" t="s">
        <v>4371</v>
      </c>
      <c r="E1105" s="17" t="s">
        <v>49</v>
      </c>
      <c r="F1105" s="9" t="s">
        <v>69</v>
      </c>
      <c r="G1105" s="9" t="s">
        <v>70</v>
      </c>
      <c r="H1105" s="9" t="s">
        <v>4949</v>
      </c>
      <c r="I1105" s="9" t="s">
        <v>72</v>
      </c>
      <c r="J1105" s="10"/>
      <c r="K1105" s="10"/>
      <c r="L1105" s="10">
        <v>44575.459328703706</v>
      </c>
      <c r="M1105" s="10">
        <v>44602</v>
      </c>
      <c r="N1105" s="9">
        <v>2022</v>
      </c>
      <c r="O1105" s="9" t="s">
        <v>4950</v>
      </c>
      <c r="P1105" s="9" t="s">
        <v>83</v>
      </c>
      <c r="Q1105" s="9" t="s">
        <v>53</v>
      </c>
      <c r="R1105" s="9" t="s">
        <v>5129</v>
      </c>
      <c r="T1105" s="9"/>
      <c r="V1105" s="9" t="s">
        <v>4806</v>
      </c>
      <c r="W1105" s="11">
        <f>IFERROR(VLOOKUP(B1105, PlumX_snapshot!$A:$B, 2, FALSE), " ")</f>
        <v>4</v>
      </c>
      <c r="X1105" s="11">
        <f>IFERROR(VLOOKUP(B1105, PlumX_snapshot!$A:$C, 3, FALSE), " ")</f>
        <v>0</v>
      </c>
      <c r="Y1105" s="12">
        <f>IFERROR(VLOOKUP(B1105, PlumX_snapshot!$A:$D, 4, FALSE), " ")</f>
        <v>38</v>
      </c>
      <c r="Z1105" s="12">
        <f>IFERROR(VLOOKUP(B1105, PlumX_snapshot!$A:$E, 5, FALSE), " ")</f>
        <v>0</v>
      </c>
      <c r="AA1105" s="12">
        <f>IFERROR(VLOOKUP(B1105, PlumX_snapshot!$A:$F, 6, FALSE), " ")</f>
        <v>0</v>
      </c>
      <c r="AB1105" s="13">
        <v>44978</v>
      </c>
      <c r="AC1105" s="9" t="s">
        <v>5130</v>
      </c>
      <c r="AD1105" s="9" t="s">
        <v>5131</v>
      </c>
      <c r="AE1105" s="9"/>
      <c r="AH1105" s="9">
        <v>2375</v>
      </c>
      <c r="AI1105" s="9" t="s">
        <v>77</v>
      </c>
      <c r="AJ1105" s="9" t="s">
        <v>301</v>
      </c>
      <c r="AK1105" s="11" t="str">
        <f t="shared" si="8"/>
        <v>2022GBP</v>
      </c>
      <c r="AL1105" s="11">
        <f>VLOOKUP(AK1105, Exchange_rates!$C:$D, 2, FALSE)</f>
        <v>1</v>
      </c>
      <c r="AM1105" s="14">
        <f t="shared" si="9"/>
        <v>2850</v>
      </c>
      <c r="AN1105" s="9"/>
      <c r="AO1105" s="9"/>
      <c r="AP1105" s="17"/>
      <c r="AQ1105" s="15" t="s">
        <v>49</v>
      </c>
      <c r="AR1105" t="s">
        <v>5125</v>
      </c>
      <c r="AS1105" s="16" t="s">
        <v>5126</v>
      </c>
    </row>
    <row r="1106" spans="1:45" ht="14.5">
      <c r="A1106" s="9" t="s">
        <v>5132</v>
      </c>
      <c r="B1106" s="9" t="s">
        <v>5133</v>
      </c>
      <c r="C1106" s="9" t="s">
        <v>5134</v>
      </c>
      <c r="D1106" s="9" t="s">
        <v>4371</v>
      </c>
      <c r="E1106" s="17" t="s">
        <v>49</v>
      </c>
      <c r="F1106" s="9" t="s">
        <v>69</v>
      </c>
      <c r="G1106" s="9" t="s">
        <v>70</v>
      </c>
      <c r="H1106" s="9" t="s">
        <v>4949</v>
      </c>
      <c r="I1106" s="9" t="s">
        <v>291</v>
      </c>
      <c r="J1106" s="10"/>
      <c r="K1106" s="10"/>
      <c r="L1106" s="10"/>
      <c r="M1106" s="10">
        <v>44669</v>
      </c>
      <c r="N1106" s="9">
        <v>2022</v>
      </c>
      <c r="O1106" s="9" t="s">
        <v>4950</v>
      </c>
      <c r="P1106" s="9" t="s">
        <v>53</v>
      </c>
      <c r="Q1106" s="9" t="s">
        <v>53</v>
      </c>
      <c r="R1106" s="9" t="s">
        <v>4823</v>
      </c>
      <c r="T1106" s="9"/>
      <c r="V1106" s="9" t="s">
        <v>4806</v>
      </c>
      <c r="W1106" s="11">
        <f>IFERROR(VLOOKUP(B1106, PlumX_snapshot!$A:$B, 2, FALSE), " ")</f>
        <v>13</v>
      </c>
      <c r="X1106" s="11">
        <f>IFERROR(VLOOKUP(B1106, PlumX_snapshot!$A:$C, 3, FALSE), " ")</f>
        <v>1</v>
      </c>
      <c r="Y1106" s="12">
        <f>IFERROR(VLOOKUP(B1106, PlumX_snapshot!$A:$D, 4, FALSE), " ")</f>
        <v>17</v>
      </c>
      <c r="Z1106" s="12">
        <f>IFERROR(VLOOKUP(B1106, PlumX_snapshot!$A:$E, 5, FALSE), " ")</f>
        <v>0</v>
      </c>
      <c r="AA1106" s="12">
        <f>IFERROR(VLOOKUP(B1106, PlumX_snapshot!$A:$F, 6, FALSE), " ")</f>
        <v>0</v>
      </c>
      <c r="AB1106" s="13">
        <v>44978</v>
      </c>
      <c r="AC1106" s="9" t="s">
        <v>5135</v>
      </c>
      <c r="AD1106" s="9" t="s">
        <v>5061</v>
      </c>
      <c r="AE1106" s="9"/>
      <c r="AH1106" s="9">
        <v>2615</v>
      </c>
      <c r="AI1106" s="9" t="s">
        <v>77</v>
      </c>
      <c r="AJ1106" s="9" t="s">
        <v>301</v>
      </c>
      <c r="AK1106" s="11" t="str">
        <f t="shared" si="8"/>
        <v>2022GBP</v>
      </c>
      <c r="AL1106" s="11">
        <f>VLOOKUP(AK1106, Exchange_rates!$C:$D, 2, FALSE)</f>
        <v>1</v>
      </c>
      <c r="AM1106" s="14">
        <f t="shared" si="9"/>
        <v>3138</v>
      </c>
      <c r="AN1106" s="9"/>
      <c r="AO1106" s="9"/>
      <c r="AP1106" s="17"/>
      <c r="AQ1106" s="15" t="s">
        <v>49</v>
      </c>
      <c r="AR1106" t="s">
        <v>5136</v>
      </c>
      <c r="AS1106" s="16" t="s">
        <v>5137</v>
      </c>
    </row>
    <row r="1107" spans="1:45" ht="14.5">
      <c r="A1107" s="9" t="s">
        <v>5138</v>
      </c>
      <c r="B1107" s="9" t="s">
        <v>5139</v>
      </c>
      <c r="C1107" s="9" t="s">
        <v>5140</v>
      </c>
      <c r="D1107" s="9" t="s">
        <v>4371</v>
      </c>
      <c r="E1107" s="17" t="s">
        <v>49</v>
      </c>
      <c r="F1107" s="9" t="s">
        <v>69</v>
      </c>
      <c r="G1107" s="9" t="s">
        <v>70</v>
      </c>
      <c r="H1107" s="9" t="s">
        <v>4949</v>
      </c>
      <c r="I1107" s="9" t="s">
        <v>291</v>
      </c>
      <c r="J1107" s="10"/>
      <c r="K1107" s="10"/>
      <c r="L1107" s="10"/>
      <c r="M1107" s="10">
        <v>44617</v>
      </c>
      <c r="N1107" s="9">
        <v>2022</v>
      </c>
      <c r="O1107" s="9" t="s">
        <v>4950</v>
      </c>
      <c r="P1107" s="9" t="s">
        <v>53</v>
      </c>
      <c r="Q1107" s="9" t="s">
        <v>53</v>
      </c>
      <c r="R1107" s="9" t="s">
        <v>4823</v>
      </c>
      <c r="T1107" s="9"/>
      <c r="V1107" s="9" t="s">
        <v>4806</v>
      </c>
      <c r="W1107" s="11">
        <f>IFERROR(VLOOKUP(B1107, PlumX_snapshot!$A:$B, 2, FALSE), " ")</f>
        <v>2</v>
      </c>
      <c r="X1107" s="11">
        <f>IFERROR(VLOOKUP(B1107, PlumX_snapshot!$A:$C, 3, FALSE), " ")</f>
        <v>1</v>
      </c>
      <c r="Y1107" s="12">
        <f>IFERROR(VLOOKUP(B1107, PlumX_snapshot!$A:$D, 4, FALSE), " ")</f>
        <v>1</v>
      </c>
      <c r="Z1107" s="12">
        <f>IFERROR(VLOOKUP(B1107, PlumX_snapshot!$A:$E, 5, FALSE), " ")</f>
        <v>0</v>
      </c>
      <c r="AA1107" s="12">
        <f>IFERROR(VLOOKUP(B1107, PlumX_snapshot!$A:$F, 6, FALSE), " ")</f>
        <v>0</v>
      </c>
      <c r="AB1107" s="13">
        <v>44978</v>
      </c>
      <c r="AC1107" s="9" t="s">
        <v>5141</v>
      </c>
      <c r="AD1107" s="9" t="s">
        <v>5142</v>
      </c>
      <c r="AE1107" s="9"/>
      <c r="AH1107" s="9">
        <v>2434</v>
      </c>
      <c r="AI1107" s="9" t="s">
        <v>1999</v>
      </c>
      <c r="AJ1107" s="9" t="s">
        <v>301</v>
      </c>
      <c r="AK1107" s="11" t="str">
        <f t="shared" si="8"/>
        <v>2022GBP</v>
      </c>
      <c r="AL1107" s="11">
        <f>VLOOKUP(AK1107, Exchange_rates!$C:$D, 2, FALSE)</f>
        <v>1</v>
      </c>
      <c r="AM1107" s="14">
        <f t="shared" si="9"/>
        <v>2920.7999999999997</v>
      </c>
      <c r="AN1107" s="9"/>
      <c r="AO1107" s="9"/>
      <c r="AP1107" s="17"/>
      <c r="AQ1107" s="15" t="s">
        <v>49</v>
      </c>
      <c r="AR1107" t="s">
        <v>5143</v>
      </c>
      <c r="AS1107" s="16" t="s">
        <v>5144</v>
      </c>
    </row>
    <row r="1108" spans="1:45" ht="14.5">
      <c r="A1108" s="9" t="s">
        <v>5145</v>
      </c>
      <c r="B1108" s="9" t="s">
        <v>5146</v>
      </c>
      <c r="C1108" s="9" t="s">
        <v>5147</v>
      </c>
      <c r="D1108" s="9" t="s">
        <v>4371</v>
      </c>
      <c r="E1108" s="17" t="s">
        <v>49</v>
      </c>
      <c r="F1108" s="9" t="s">
        <v>69</v>
      </c>
      <c r="G1108" s="9" t="s">
        <v>70</v>
      </c>
      <c r="H1108" s="9" t="s">
        <v>4949</v>
      </c>
      <c r="I1108" s="9" t="s">
        <v>291</v>
      </c>
      <c r="J1108" s="10"/>
      <c r="K1108" s="10"/>
      <c r="L1108" s="10"/>
      <c r="M1108" s="10">
        <v>44594</v>
      </c>
      <c r="N1108" s="9">
        <v>2022</v>
      </c>
      <c r="O1108" s="9" t="s">
        <v>4950</v>
      </c>
      <c r="P1108" s="9" t="s">
        <v>53</v>
      </c>
      <c r="Q1108" s="9" t="s">
        <v>53</v>
      </c>
      <c r="R1108" s="9" t="s">
        <v>4823</v>
      </c>
      <c r="T1108" s="9"/>
      <c r="V1108" s="9" t="s">
        <v>4806</v>
      </c>
      <c r="W1108" s="11">
        <f>IFERROR(VLOOKUP(B1108, PlumX_snapshot!$A:$B, 2, FALSE), " ")</f>
        <v>9</v>
      </c>
      <c r="X1108" s="11">
        <f>IFERROR(VLOOKUP(B1108, PlumX_snapshot!$A:$C, 3, FALSE), " ")</f>
        <v>1</v>
      </c>
      <c r="Y1108" s="12">
        <f>IFERROR(VLOOKUP(B1108, PlumX_snapshot!$A:$D, 4, FALSE), " ")</f>
        <v>65</v>
      </c>
      <c r="Z1108" s="12">
        <f>IFERROR(VLOOKUP(B1108, PlumX_snapshot!$A:$E, 5, FALSE), " ")</f>
        <v>0</v>
      </c>
      <c r="AA1108" s="12">
        <f>IFERROR(VLOOKUP(B1108, PlumX_snapshot!$A:$F, 6, FALSE), " ")</f>
        <v>0</v>
      </c>
      <c r="AB1108" s="13">
        <v>44978</v>
      </c>
      <c r="AC1108" s="9" t="s">
        <v>5148</v>
      </c>
      <c r="AD1108" s="9" t="s">
        <v>5057</v>
      </c>
      <c r="AE1108" s="9" t="s">
        <v>5149</v>
      </c>
      <c r="AH1108" s="9">
        <v>2375</v>
      </c>
      <c r="AI1108" s="9" t="s">
        <v>77</v>
      </c>
      <c r="AJ1108" s="9" t="s">
        <v>301</v>
      </c>
      <c r="AK1108" s="11" t="str">
        <f t="shared" si="8"/>
        <v>2022GBP</v>
      </c>
      <c r="AL1108" s="11">
        <f>VLOOKUP(AK1108, Exchange_rates!$C:$D, 2, FALSE)</f>
        <v>1</v>
      </c>
      <c r="AM1108" s="14">
        <f t="shared" si="9"/>
        <v>2850</v>
      </c>
      <c r="AN1108" s="9"/>
      <c r="AO1108" s="9"/>
      <c r="AP1108" s="17"/>
      <c r="AQ1108" s="15" t="s">
        <v>49</v>
      </c>
      <c r="AR1108" t="s">
        <v>5150</v>
      </c>
      <c r="AS1108" s="16" t="s">
        <v>5151</v>
      </c>
    </row>
    <row r="1109" spans="1:45" ht="14.5">
      <c r="A1109" s="9" t="s">
        <v>5152</v>
      </c>
      <c r="B1109" s="9" t="s">
        <v>5153</v>
      </c>
      <c r="C1109" s="9" t="s">
        <v>4922</v>
      </c>
      <c r="D1109" s="9" t="s">
        <v>4371</v>
      </c>
      <c r="E1109" s="17" t="s">
        <v>49</v>
      </c>
      <c r="F1109" s="9" t="s">
        <v>69</v>
      </c>
      <c r="G1109" s="9" t="s">
        <v>70</v>
      </c>
      <c r="H1109" s="9" t="s">
        <v>4949</v>
      </c>
      <c r="I1109" s="9" t="s">
        <v>291</v>
      </c>
      <c r="J1109" s="10"/>
      <c r="K1109" s="10"/>
      <c r="L1109" s="10"/>
      <c r="M1109" s="10">
        <v>44655</v>
      </c>
      <c r="N1109" s="9">
        <v>2022</v>
      </c>
      <c r="O1109" s="9" t="s">
        <v>4950</v>
      </c>
      <c r="P1109" s="9" t="s">
        <v>53</v>
      </c>
      <c r="Q1109" s="9" t="s">
        <v>53</v>
      </c>
      <c r="R1109" s="9" t="s">
        <v>4823</v>
      </c>
      <c r="T1109" s="9"/>
      <c r="V1109" s="9" t="s">
        <v>4806</v>
      </c>
      <c r="W1109" s="11">
        <f>IFERROR(VLOOKUP(B1109, PlumX_snapshot!$A:$B, 2, FALSE), " ")</f>
        <v>4</v>
      </c>
      <c r="X1109" s="11">
        <f>IFERROR(VLOOKUP(B1109, PlumX_snapshot!$A:$C, 3, FALSE), " ")</f>
        <v>0</v>
      </c>
      <c r="Y1109" s="12">
        <f>IFERROR(VLOOKUP(B1109, PlumX_snapshot!$A:$D, 4, FALSE), " ")</f>
        <v>10</v>
      </c>
      <c r="Z1109" s="12">
        <f>IFERROR(VLOOKUP(B1109, PlumX_snapshot!$A:$E, 5, FALSE), " ")</f>
        <v>0</v>
      </c>
      <c r="AA1109" s="12">
        <f>IFERROR(VLOOKUP(B1109, PlumX_snapshot!$A:$F, 6, FALSE), " ")</f>
        <v>0</v>
      </c>
      <c r="AB1109" s="13">
        <v>44978</v>
      </c>
      <c r="AC1109" s="9" t="s">
        <v>5154</v>
      </c>
      <c r="AD1109" s="9" t="s">
        <v>5155</v>
      </c>
      <c r="AE1109" s="9"/>
      <c r="AH1109" s="9">
        <v>2375</v>
      </c>
      <c r="AI1109" s="9" t="s">
        <v>77</v>
      </c>
      <c r="AJ1109" s="9" t="s">
        <v>301</v>
      </c>
      <c r="AK1109" s="11" t="str">
        <f t="shared" si="8"/>
        <v>2022GBP</v>
      </c>
      <c r="AL1109" s="11">
        <f>VLOOKUP(AK1109, Exchange_rates!$C:$D, 2, FALSE)</f>
        <v>1</v>
      </c>
      <c r="AM1109" s="14">
        <f t="shared" si="9"/>
        <v>2850</v>
      </c>
      <c r="AN1109" s="9"/>
      <c r="AO1109" s="9"/>
      <c r="AP1109" s="17"/>
      <c r="AQ1109" s="15" t="s">
        <v>49</v>
      </c>
      <c r="AR1109" t="s">
        <v>4924</v>
      </c>
      <c r="AS1109" s="16" t="s">
        <v>4925</v>
      </c>
    </row>
    <row r="1110" spans="1:45" ht="14.5">
      <c r="A1110" s="9" t="s">
        <v>5156</v>
      </c>
      <c r="B1110" s="9" t="s">
        <v>5157</v>
      </c>
      <c r="C1110" s="9" t="s">
        <v>5158</v>
      </c>
      <c r="D1110" s="9" t="s">
        <v>4371</v>
      </c>
      <c r="E1110" s="17" t="s">
        <v>49</v>
      </c>
      <c r="F1110" s="9" t="s">
        <v>69</v>
      </c>
      <c r="G1110" s="9" t="s">
        <v>70</v>
      </c>
      <c r="H1110" s="9" t="s">
        <v>4372</v>
      </c>
      <c r="I1110" s="9" t="s">
        <v>291</v>
      </c>
      <c r="J1110" s="10"/>
      <c r="K1110" s="10"/>
      <c r="L1110" s="10"/>
      <c r="M1110" s="10">
        <v>44417</v>
      </c>
      <c r="N1110" s="9">
        <v>2021</v>
      </c>
      <c r="O1110" s="9" t="s">
        <v>4950</v>
      </c>
      <c r="P1110" s="9" t="s">
        <v>53</v>
      </c>
      <c r="Q1110" s="9" t="s">
        <v>53</v>
      </c>
      <c r="R1110" s="9" t="s">
        <v>5159</v>
      </c>
      <c r="T1110" s="9"/>
      <c r="V1110" s="9" t="s">
        <v>4806</v>
      </c>
      <c r="W1110" s="11">
        <f>IFERROR(VLOOKUP(B1110, PlumX_snapshot!$A:$B, 2, FALSE), " ")</f>
        <v>4</v>
      </c>
      <c r="X1110" s="11">
        <f>IFERROR(VLOOKUP(B1110, PlumX_snapshot!$A:$C, 3, FALSE), " ")</f>
        <v>0</v>
      </c>
      <c r="Y1110" s="12">
        <f>IFERROR(VLOOKUP(B1110, PlumX_snapshot!$A:$D, 4, FALSE), " ")</f>
        <v>248</v>
      </c>
      <c r="Z1110" s="12">
        <f>IFERROR(VLOOKUP(B1110, PlumX_snapshot!$A:$E, 5, FALSE), " ")</f>
        <v>0</v>
      </c>
      <c r="AA1110" s="12">
        <f>IFERROR(VLOOKUP(B1110, PlumX_snapshot!$A:$F, 6, FALSE), " ")</f>
        <v>0</v>
      </c>
      <c r="AB1110" s="13">
        <v>44978</v>
      </c>
      <c r="AC1110" s="9" t="s">
        <v>5160</v>
      </c>
      <c r="AD1110" s="9" t="s">
        <v>5161</v>
      </c>
      <c r="AE1110" s="9"/>
      <c r="AH1110" s="9">
        <v>2155</v>
      </c>
      <c r="AI1110" s="9" t="s">
        <v>77</v>
      </c>
      <c r="AJ1110" s="9" t="s">
        <v>301</v>
      </c>
      <c r="AK1110" s="11" t="str">
        <f t="shared" si="8"/>
        <v>2021GBP</v>
      </c>
      <c r="AL1110" s="11">
        <f>VLOOKUP(AK1110, Exchange_rates!$C:$D, 2, FALSE)</f>
        <v>1</v>
      </c>
      <c r="AM1110" s="14">
        <f t="shared" si="9"/>
        <v>2586</v>
      </c>
      <c r="AN1110" s="9"/>
      <c r="AO1110" s="9"/>
      <c r="AP1110" s="17"/>
      <c r="AQ1110" s="15" t="s">
        <v>49</v>
      </c>
      <c r="AR1110" t="s">
        <v>5162</v>
      </c>
      <c r="AS1110" s="16" t="s">
        <v>5163</v>
      </c>
    </row>
    <row r="1111" spans="1:45" ht="14.5">
      <c r="A1111" s="9" t="s">
        <v>5164</v>
      </c>
      <c r="B1111" s="9" t="s">
        <v>5165</v>
      </c>
      <c r="C1111" s="9" t="s">
        <v>4497</v>
      </c>
      <c r="D1111" s="9" t="s">
        <v>4371</v>
      </c>
      <c r="E1111" s="17" t="s">
        <v>49</v>
      </c>
      <c r="F1111" s="9" t="s">
        <v>69</v>
      </c>
      <c r="G1111" s="9" t="s">
        <v>70</v>
      </c>
      <c r="H1111" s="9" t="s">
        <v>4949</v>
      </c>
      <c r="I1111" s="9" t="s">
        <v>72</v>
      </c>
      <c r="J1111" s="10"/>
      <c r="K1111" s="10"/>
      <c r="L1111" s="10">
        <v>44697.354062500002</v>
      </c>
      <c r="M1111" s="10">
        <v>44721</v>
      </c>
      <c r="N1111" s="9">
        <v>2022</v>
      </c>
      <c r="O1111" s="9" t="s">
        <v>5166</v>
      </c>
      <c r="P1111" s="9" t="s">
        <v>83</v>
      </c>
      <c r="Q1111" s="9" t="s">
        <v>53</v>
      </c>
      <c r="R1111" s="9" t="s">
        <v>5167</v>
      </c>
      <c r="T1111" s="9"/>
      <c r="V1111" s="9" t="s">
        <v>5168</v>
      </c>
      <c r="W1111" s="11">
        <f>IFERROR(VLOOKUP(B1111, PlumX_snapshot!$A:$B, 2, FALSE), " ")</f>
        <v>8</v>
      </c>
      <c r="X1111" s="11">
        <f>IFERROR(VLOOKUP(B1111, PlumX_snapshot!$A:$C, 3, FALSE), " ")</f>
        <v>0</v>
      </c>
      <c r="Y1111" s="12">
        <f>IFERROR(VLOOKUP(B1111, PlumX_snapshot!$A:$D, 4, FALSE), " ")</f>
        <v>1</v>
      </c>
      <c r="Z1111" s="12">
        <f>IFERROR(VLOOKUP(B1111, PlumX_snapshot!$A:$E, 5, FALSE), " ")</f>
        <v>0</v>
      </c>
      <c r="AA1111" s="12">
        <f>IFERROR(VLOOKUP(B1111, PlumX_snapshot!$A:$F, 6, FALSE), " ")</f>
        <v>0</v>
      </c>
      <c r="AB1111" s="13">
        <v>44978</v>
      </c>
      <c r="AC1111" s="9" t="s">
        <v>4560</v>
      </c>
      <c r="AD1111" s="9" t="s">
        <v>4561</v>
      </c>
      <c r="AE1111" s="9"/>
      <c r="AH1111" s="9">
        <v>2775</v>
      </c>
      <c r="AI1111" s="9" t="s">
        <v>77</v>
      </c>
      <c r="AJ1111" s="9" t="s">
        <v>301</v>
      </c>
      <c r="AK1111" s="11" t="str">
        <f t="shared" si="8"/>
        <v>2022GBP</v>
      </c>
      <c r="AL1111" s="11">
        <f>VLOOKUP(AK1111, Exchange_rates!$C:$D, 2, FALSE)</f>
        <v>1</v>
      </c>
      <c r="AM1111" s="14">
        <f t="shared" si="9"/>
        <v>3330</v>
      </c>
      <c r="AN1111" s="9"/>
      <c r="AO1111" s="9"/>
      <c r="AP1111" s="17"/>
      <c r="AQ1111" s="15" t="s">
        <v>49</v>
      </c>
      <c r="AR1111" t="s">
        <v>4502</v>
      </c>
      <c r="AS1111" s="16" t="s">
        <v>4503</v>
      </c>
    </row>
    <row r="1112" spans="1:45" ht="14.5">
      <c r="A1112" s="9" t="s">
        <v>5169</v>
      </c>
      <c r="B1112" s="9" t="s">
        <v>5170</v>
      </c>
      <c r="C1112" s="9" t="s">
        <v>4497</v>
      </c>
      <c r="D1112" s="9" t="s">
        <v>4371</v>
      </c>
      <c r="E1112" s="17" t="s">
        <v>49</v>
      </c>
      <c r="F1112" s="9" t="s">
        <v>69</v>
      </c>
      <c r="G1112" s="9" t="s">
        <v>70</v>
      </c>
      <c r="H1112" s="9" t="s">
        <v>4949</v>
      </c>
      <c r="I1112" s="9" t="s">
        <v>291</v>
      </c>
      <c r="J1112" s="10"/>
      <c r="K1112" s="10"/>
      <c r="L1112" s="10">
        <v>44697.344490740739</v>
      </c>
      <c r="M1112" s="10">
        <v>44694</v>
      </c>
      <c r="N1112" s="9">
        <v>2022</v>
      </c>
      <c r="O1112" s="9" t="s">
        <v>5166</v>
      </c>
      <c r="P1112" s="9" t="s">
        <v>53</v>
      </c>
      <c r="Q1112" s="9" t="s">
        <v>53</v>
      </c>
      <c r="R1112" s="9" t="s">
        <v>5171</v>
      </c>
      <c r="T1112" s="9"/>
      <c r="U1112" s="9" t="s">
        <v>5172</v>
      </c>
      <c r="V1112" s="9" t="s">
        <v>5168</v>
      </c>
      <c r="W1112" s="11">
        <f>IFERROR(VLOOKUP(B1112, PlumX_snapshot!$A:$B, 2, FALSE), " ")</f>
        <v>5</v>
      </c>
      <c r="X1112" s="11">
        <f>IFERROR(VLOOKUP(B1112, PlumX_snapshot!$A:$C, 3, FALSE), " ")</f>
        <v>0</v>
      </c>
      <c r="Y1112" s="12">
        <f>IFERROR(VLOOKUP(B1112, PlumX_snapshot!$A:$D, 4, FALSE), " ")</f>
        <v>1</v>
      </c>
      <c r="Z1112" s="12">
        <f>IFERROR(VLOOKUP(B1112, PlumX_snapshot!$A:$E, 5, FALSE), " ")</f>
        <v>0</v>
      </c>
      <c r="AA1112" s="12">
        <f>IFERROR(VLOOKUP(B1112, PlumX_snapshot!$A:$F, 6, FALSE), " ")</f>
        <v>0</v>
      </c>
      <c r="AB1112" s="13">
        <v>44978</v>
      </c>
      <c r="AC1112" s="9" t="s">
        <v>5173</v>
      </c>
      <c r="AD1112" s="9" t="s">
        <v>5174</v>
      </c>
      <c r="AE1112" s="9"/>
      <c r="AH1112" s="9">
        <v>2775</v>
      </c>
      <c r="AI1112" s="9" t="s">
        <v>77</v>
      </c>
      <c r="AJ1112" s="9" t="s">
        <v>301</v>
      </c>
      <c r="AK1112" s="11" t="str">
        <f t="shared" si="8"/>
        <v>2022GBP</v>
      </c>
      <c r="AL1112" s="11">
        <f>VLOOKUP(AK1112, Exchange_rates!$C:$D, 2, FALSE)</f>
        <v>1</v>
      </c>
      <c r="AM1112" s="14">
        <f t="shared" si="9"/>
        <v>3330</v>
      </c>
      <c r="AN1112" s="9"/>
      <c r="AO1112" s="9"/>
      <c r="AP1112" s="17"/>
      <c r="AQ1112" s="15" t="s">
        <v>49</v>
      </c>
      <c r="AR1112" t="s">
        <v>4502</v>
      </c>
      <c r="AS1112" s="16" t="s">
        <v>4503</v>
      </c>
    </row>
    <row r="1113" spans="1:45" ht="14.5">
      <c r="A1113" s="9" t="s">
        <v>5175</v>
      </c>
      <c r="B1113" s="9" t="s">
        <v>5176</v>
      </c>
      <c r="C1113" s="9" t="s">
        <v>5177</v>
      </c>
      <c r="D1113" s="9" t="s">
        <v>4371</v>
      </c>
      <c r="E1113" s="17" t="s">
        <v>49</v>
      </c>
      <c r="F1113" s="9" t="s">
        <v>69</v>
      </c>
      <c r="G1113" s="9" t="s">
        <v>70</v>
      </c>
      <c r="H1113" s="9" t="s">
        <v>4949</v>
      </c>
      <c r="I1113" s="9" t="s">
        <v>72</v>
      </c>
      <c r="J1113" s="10"/>
      <c r="K1113" s="10"/>
      <c r="L1113" s="10">
        <v>44694.45548611111</v>
      </c>
      <c r="M1113" s="10">
        <v>44692</v>
      </c>
      <c r="N1113" s="9">
        <v>2022</v>
      </c>
      <c r="O1113" s="9" t="s">
        <v>5166</v>
      </c>
      <c r="P1113" s="9" t="s">
        <v>53</v>
      </c>
      <c r="Q1113" s="9" t="s">
        <v>53</v>
      </c>
      <c r="R1113" s="9" t="s">
        <v>4823</v>
      </c>
      <c r="T1113" s="9"/>
      <c r="V1113" s="9" t="s">
        <v>5168</v>
      </c>
      <c r="W1113" s="11">
        <f>IFERROR(VLOOKUP(B1113, PlumX_snapshot!$A:$B, 2, FALSE), " ")</f>
        <v>2</v>
      </c>
      <c r="X1113" s="11">
        <f>IFERROR(VLOOKUP(B1113, PlumX_snapshot!$A:$C, 3, FALSE), " ")</f>
        <v>2</v>
      </c>
      <c r="Y1113" s="12">
        <f>IFERROR(VLOOKUP(B1113, PlumX_snapshot!$A:$D, 4, FALSE), " ")</f>
        <v>92</v>
      </c>
      <c r="Z1113" s="12">
        <f>IFERROR(VLOOKUP(B1113, PlumX_snapshot!$A:$E, 5, FALSE), " ")</f>
        <v>0</v>
      </c>
      <c r="AA1113" s="12">
        <f>IFERROR(VLOOKUP(B1113, PlumX_snapshot!$A:$F, 6, FALSE), " ")</f>
        <v>0</v>
      </c>
      <c r="AB1113" s="13">
        <v>44978</v>
      </c>
      <c r="AC1113" s="9" t="s">
        <v>5178</v>
      </c>
      <c r="AD1113" s="9" t="s">
        <v>5179</v>
      </c>
      <c r="AE1113" s="9"/>
      <c r="AH1113" s="9">
        <v>2775</v>
      </c>
      <c r="AI1113" s="9" t="s">
        <v>77</v>
      </c>
      <c r="AJ1113" s="9" t="s">
        <v>301</v>
      </c>
      <c r="AK1113" s="11" t="str">
        <f t="shared" si="8"/>
        <v>2022GBP</v>
      </c>
      <c r="AL1113" s="11">
        <f>VLOOKUP(AK1113, Exchange_rates!$C:$D, 2, FALSE)</f>
        <v>1</v>
      </c>
      <c r="AM1113" s="14">
        <f t="shared" si="9"/>
        <v>3330</v>
      </c>
      <c r="AN1113" s="9"/>
      <c r="AO1113" s="9"/>
      <c r="AP1113" s="17"/>
      <c r="AQ1113" s="15" t="s">
        <v>49</v>
      </c>
      <c r="AR1113" t="s">
        <v>5180</v>
      </c>
      <c r="AS1113" s="16" t="s">
        <v>5181</v>
      </c>
    </row>
    <row r="1114" spans="1:45" ht="14.5">
      <c r="A1114" s="9" t="s">
        <v>5182</v>
      </c>
      <c r="B1114" s="9" t="s">
        <v>5183</v>
      </c>
      <c r="C1114" s="9" t="s">
        <v>5184</v>
      </c>
      <c r="D1114" s="9" t="s">
        <v>4371</v>
      </c>
      <c r="E1114" s="17" t="s">
        <v>49</v>
      </c>
      <c r="F1114" s="9" t="s">
        <v>69</v>
      </c>
      <c r="G1114" s="9" t="s">
        <v>70</v>
      </c>
      <c r="H1114" s="9" t="s">
        <v>4949</v>
      </c>
      <c r="I1114" s="9" t="s">
        <v>291</v>
      </c>
      <c r="J1114" s="10"/>
      <c r="K1114" s="10"/>
      <c r="L1114" s="10">
        <v>44676.594826388886</v>
      </c>
      <c r="M1114" s="10">
        <v>44683</v>
      </c>
      <c r="N1114" s="9">
        <v>2022</v>
      </c>
      <c r="O1114" s="9" t="s">
        <v>5166</v>
      </c>
      <c r="P1114" s="9" t="s">
        <v>53</v>
      </c>
      <c r="Q1114" s="9" t="s">
        <v>53</v>
      </c>
      <c r="R1114" s="9" t="s">
        <v>5185</v>
      </c>
      <c r="T1114" s="9"/>
      <c r="V1114" s="9" t="s">
        <v>5168</v>
      </c>
      <c r="W1114" s="11">
        <f>IFERROR(VLOOKUP(B1114, PlumX_snapshot!$A:$B, 2, FALSE), " ")</f>
        <v>7</v>
      </c>
      <c r="X1114" s="11">
        <f>IFERROR(VLOOKUP(B1114, PlumX_snapshot!$A:$C, 3, FALSE), " ")</f>
        <v>0</v>
      </c>
      <c r="Y1114" s="12">
        <f>IFERROR(VLOOKUP(B1114, PlumX_snapshot!$A:$D, 4, FALSE), " ")</f>
        <v>12</v>
      </c>
      <c r="Z1114" s="12">
        <f>IFERROR(VLOOKUP(B1114, PlumX_snapshot!$A:$E, 5, FALSE), " ")</f>
        <v>0</v>
      </c>
      <c r="AA1114" s="12">
        <f>IFERROR(VLOOKUP(B1114, PlumX_snapshot!$A:$F, 6, FALSE), " ")</f>
        <v>0</v>
      </c>
      <c r="AB1114" s="13">
        <v>44978</v>
      </c>
      <c r="AC1114" s="9" t="s">
        <v>4490</v>
      </c>
      <c r="AD1114" s="9" t="s">
        <v>4491</v>
      </c>
      <c r="AE1114" s="9" t="s">
        <v>4492</v>
      </c>
      <c r="AH1114" s="9">
        <v>2434</v>
      </c>
      <c r="AI1114" s="9" t="s">
        <v>1999</v>
      </c>
      <c r="AJ1114" s="9" t="s">
        <v>301</v>
      </c>
      <c r="AK1114" s="11" t="str">
        <f t="shared" si="8"/>
        <v>2022GBP</v>
      </c>
      <c r="AL1114" s="11">
        <f>VLOOKUP(AK1114, Exchange_rates!$C:$D, 2, FALSE)</f>
        <v>1</v>
      </c>
      <c r="AM1114" s="14">
        <f t="shared" si="9"/>
        <v>2920.7999999999997</v>
      </c>
      <c r="AN1114" s="9"/>
      <c r="AO1114" s="9"/>
      <c r="AP1114" s="17"/>
      <c r="AQ1114" s="15" t="s">
        <v>49</v>
      </c>
      <c r="AR1114" t="s">
        <v>5186</v>
      </c>
      <c r="AS1114" s="16" t="s">
        <v>5187</v>
      </c>
    </row>
    <row r="1115" spans="1:45" ht="14.5">
      <c r="A1115" s="9" t="s">
        <v>5188</v>
      </c>
      <c r="B1115" s="9" t="s">
        <v>5189</v>
      </c>
      <c r="C1115" s="9" t="s">
        <v>5190</v>
      </c>
      <c r="D1115" s="9" t="s">
        <v>4371</v>
      </c>
      <c r="E1115" s="17" t="s">
        <v>49</v>
      </c>
      <c r="F1115" s="9" t="s">
        <v>69</v>
      </c>
      <c r="G1115" s="9" t="s">
        <v>70</v>
      </c>
      <c r="H1115" s="9" t="s">
        <v>4949</v>
      </c>
      <c r="I1115" s="9" t="s">
        <v>72</v>
      </c>
      <c r="J1115" s="10"/>
      <c r="K1115" s="10">
        <v>44658</v>
      </c>
      <c r="L1115" s="10">
        <v>44673.470127314817</v>
      </c>
      <c r="M1115" s="10">
        <v>44692</v>
      </c>
      <c r="N1115" s="9">
        <v>2022</v>
      </c>
      <c r="O1115" s="9" t="s">
        <v>5166</v>
      </c>
      <c r="P1115" s="9" t="s">
        <v>83</v>
      </c>
      <c r="Q1115" s="9" t="s">
        <v>53</v>
      </c>
      <c r="R1115" s="9" t="s">
        <v>5191</v>
      </c>
      <c r="T1115" s="9"/>
      <c r="V1115" s="9" t="s">
        <v>5168</v>
      </c>
      <c r="W1115" s="11">
        <f>IFERROR(VLOOKUP(B1115, PlumX_snapshot!$A:$B, 2, FALSE), " ")</f>
        <v>8</v>
      </c>
      <c r="X1115" s="11">
        <f>IFERROR(VLOOKUP(B1115, PlumX_snapshot!$A:$C, 3, FALSE), " ")</f>
        <v>6</v>
      </c>
      <c r="Y1115" s="12">
        <f>IFERROR(VLOOKUP(B1115, PlumX_snapshot!$A:$D, 4, FALSE), " ")</f>
        <v>33</v>
      </c>
      <c r="Z1115" s="12">
        <f>IFERROR(VLOOKUP(B1115, PlumX_snapshot!$A:$E, 5, FALSE), " ")</f>
        <v>0</v>
      </c>
      <c r="AA1115" s="12">
        <f>IFERROR(VLOOKUP(B1115, PlumX_snapshot!$A:$F, 6, FALSE), " ")</f>
        <v>0</v>
      </c>
      <c r="AB1115" s="13">
        <v>44978</v>
      </c>
      <c r="AC1115" s="9" t="s">
        <v>5192</v>
      </c>
      <c r="AD1115" s="9" t="s">
        <v>591</v>
      </c>
      <c r="AE1115" s="9"/>
      <c r="AH1115" s="9">
        <v>2220</v>
      </c>
      <c r="AI1115" s="9" t="s">
        <v>77</v>
      </c>
      <c r="AJ1115" s="9" t="s">
        <v>301</v>
      </c>
      <c r="AK1115" s="11" t="str">
        <f t="shared" si="8"/>
        <v>2022GBP</v>
      </c>
      <c r="AL1115" s="11">
        <f>VLOOKUP(AK1115, Exchange_rates!$C:$D, 2, FALSE)</f>
        <v>1</v>
      </c>
      <c r="AM1115" s="14">
        <f t="shared" si="9"/>
        <v>2664</v>
      </c>
      <c r="AN1115" s="9"/>
      <c r="AO1115" s="9"/>
      <c r="AP1115" s="17"/>
      <c r="AQ1115" s="15" t="s">
        <v>49</v>
      </c>
      <c r="AR1115" t="s">
        <v>5193</v>
      </c>
      <c r="AS1115" s="16" t="s">
        <v>5194</v>
      </c>
    </row>
    <row r="1116" spans="1:45" ht="14.5">
      <c r="A1116" s="9" t="s">
        <v>5195</v>
      </c>
      <c r="B1116" s="9" t="s">
        <v>5196</v>
      </c>
      <c r="C1116" s="9" t="s">
        <v>4708</v>
      </c>
      <c r="D1116" s="9" t="s">
        <v>4371</v>
      </c>
      <c r="E1116" s="17" t="s">
        <v>49</v>
      </c>
      <c r="F1116" s="9" t="s">
        <v>69</v>
      </c>
      <c r="G1116" s="9" t="s">
        <v>70</v>
      </c>
      <c r="H1116" s="9" t="s">
        <v>4949</v>
      </c>
      <c r="I1116" s="9" t="s">
        <v>291</v>
      </c>
      <c r="J1116" s="10"/>
      <c r="K1116" s="10">
        <v>44615</v>
      </c>
      <c r="L1116" s="10">
        <v>44672.530925925923</v>
      </c>
      <c r="M1116" s="10">
        <v>44690</v>
      </c>
      <c r="N1116" s="9">
        <v>2022</v>
      </c>
      <c r="O1116" s="9" t="s">
        <v>5166</v>
      </c>
      <c r="P1116" s="9" t="s">
        <v>53</v>
      </c>
      <c r="Q1116" s="9" t="s">
        <v>53</v>
      </c>
      <c r="R1116" s="9" t="s">
        <v>5197</v>
      </c>
      <c r="T1116" s="9"/>
      <c r="V1116" s="9" t="s">
        <v>5168</v>
      </c>
      <c r="W1116" s="11">
        <f>IFERROR(VLOOKUP(B1116, PlumX_snapshot!$A:$B, 2, FALSE), " ")</f>
        <v>5</v>
      </c>
      <c r="X1116" s="11">
        <f>IFERROR(VLOOKUP(B1116, PlumX_snapshot!$A:$C, 3, FALSE), " ")</f>
        <v>0</v>
      </c>
      <c r="Y1116" s="12">
        <f>IFERROR(VLOOKUP(B1116, PlumX_snapshot!$A:$D, 4, FALSE), " ")</f>
        <v>22</v>
      </c>
      <c r="Z1116" s="12">
        <f>IFERROR(VLOOKUP(B1116, PlumX_snapshot!$A:$E, 5, FALSE), " ")</f>
        <v>0</v>
      </c>
      <c r="AA1116" s="12">
        <f>IFERROR(VLOOKUP(B1116, PlumX_snapshot!$A:$F, 6, FALSE), " ")</f>
        <v>0</v>
      </c>
      <c r="AB1116" s="13">
        <v>44978</v>
      </c>
      <c r="AC1116" s="9" t="s">
        <v>5198</v>
      </c>
      <c r="AD1116" s="9" t="s">
        <v>5199</v>
      </c>
      <c r="AE1116" s="9"/>
      <c r="AH1116" s="9">
        <v>2775</v>
      </c>
      <c r="AI1116" s="9" t="s">
        <v>77</v>
      </c>
      <c r="AJ1116" s="9" t="s">
        <v>301</v>
      </c>
      <c r="AK1116" s="11" t="str">
        <f t="shared" si="8"/>
        <v>2022GBP</v>
      </c>
      <c r="AL1116" s="11">
        <f>VLOOKUP(AK1116, Exchange_rates!$C:$D, 2, FALSE)</f>
        <v>1</v>
      </c>
      <c r="AM1116" s="14">
        <f t="shared" si="9"/>
        <v>3330</v>
      </c>
      <c r="AN1116" s="9"/>
      <c r="AO1116" s="9"/>
      <c r="AP1116" s="17"/>
      <c r="AQ1116" s="15" t="s">
        <v>49</v>
      </c>
      <c r="AR1116" t="s">
        <v>4713</v>
      </c>
      <c r="AS1116" s="16" t="s">
        <v>4714</v>
      </c>
    </row>
    <row r="1117" spans="1:45" ht="14.5">
      <c r="A1117" s="9" t="s">
        <v>5200</v>
      </c>
      <c r="B1117" s="9" t="s">
        <v>5201</v>
      </c>
      <c r="C1117" s="9" t="s">
        <v>4708</v>
      </c>
      <c r="D1117" s="9" t="s">
        <v>4371</v>
      </c>
      <c r="E1117" s="17" t="s">
        <v>49</v>
      </c>
      <c r="F1117" s="9" t="s">
        <v>69</v>
      </c>
      <c r="G1117" s="9" t="s">
        <v>70</v>
      </c>
      <c r="H1117" s="9" t="s">
        <v>4949</v>
      </c>
      <c r="I1117" s="9" t="s">
        <v>291</v>
      </c>
      <c r="J1117" s="10"/>
      <c r="K1117" s="10"/>
      <c r="L1117" s="10">
        <v>44672.530092592591</v>
      </c>
      <c r="M1117" s="10">
        <v>44718</v>
      </c>
      <c r="N1117" s="9">
        <v>2022</v>
      </c>
      <c r="O1117" s="9" t="s">
        <v>5166</v>
      </c>
      <c r="P1117" s="9" t="s">
        <v>53</v>
      </c>
      <c r="Q1117" s="9" t="s">
        <v>53</v>
      </c>
      <c r="R1117" s="9" t="s">
        <v>5202</v>
      </c>
      <c r="T1117" s="9"/>
      <c r="V1117" s="9" t="s">
        <v>5168</v>
      </c>
      <c r="W1117" s="11">
        <f>IFERROR(VLOOKUP(B1117, PlumX_snapshot!$A:$B, 2, FALSE), " ")</f>
        <v>12</v>
      </c>
      <c r="X1117" s="11">
        <f>IFERROR(VLOOKUP(B1117, PlumX_snapshot!$A:$C, 3, FALSE), " ")</f>
        <v>0</v>
      </c>
      <c r="Y1117" s="12">
        <f>IFERROR(VLOOKUP(B1117, PlumX_snapshot!$A:$D, 4, FALSE), " ")</f>
        <v>5</v>
      </c>
      <c r="Z1117" s="12">
        <f>IFERROR(VLOOKUP(B1117, PlumX_snapshot!$A:$E, 5, FALSE), " ")</f>
        <v>0</v>
      </c>
      <c r="AA1117" s="12">
        <f>IFERROR(VLOOKUP(B1117, PlumX_snapshot!$A:$F, 6, FALSE), " ")</f>
        <v>0</v>
      </c>
      <c r="AB1117" s="13">
        <v>44978</v>
      </c>
      <c r="AC1117" s="9" t="s">
        <v>5203</v>
      </c>
      <c r="AD1117" s="9" t="s">
        <v>5204</v>
      </c>
      <c r="AE1117" s="9"/>
      <c r="AH1117" s="9">
        <v>2775</v>
      </c>
      <c r="AI1117" s="9" t="s">
        <v>77</v>
      </c>
      <c r="AJ1117" s="9" t="s">
        <v>301</v>
      </c>
      <c r="AK1117" s="11" t="str">
        <f t="shared" si="8"/>
        <v>2022GBP</v>
      </c>
      <c r="AL1117" s="11">
        <f>VLOOKUP(AK1117, Exchange_rates!$C:$D, 2, FALSE)</f>
        <v>1</v>
      </c>
      <c r="AM1117" s="14">
        <f t="shared" si="9"/>
        <v>3330</v>
      </c>
      <c r="AN1117" s="9"/>
      <c r="AO1117" s="9"/>
      <c r="AP1117" s="17"/>
      <c r="AQ1117" s="15" t="s">
        <v>49</v>
      </c>
      <c r="AR1117" t="s">
        <v>4713</v>
      </c>
      <c r="AS1117" s="16" t="s">
        <v>4714</v>
      </c>
    </row>
    <row r="1118" spans="1:45" ht="14.5">
      <c r="A1118" s="9" t="s">
        <v>5205</v>
      </c>
      <c r="B1118" s="9" t="s">
        <v>5206</v>
      </c>
      <c r="C1118" s="9" t="s">
        <v>5123</v>
      </c>
      <c r="D1118" s="9" t="s">
        <v>4371</v>
      </c>
      <c r="E1118" s="17" t="s">
        <v>49</v>
      </c>
      <c r="F1118" s="9" t="s">
        <v>69</v>
      </c>
      <c r="G1118" s="9" t="s">
        <v>70</v>
      </c>
      <c r="H1118" s="9" t="s">
        <v>4949</v>
      </c>
      <c r="I1118" s="9" t="s">
        <v>291</v>
      </c>
      <c r="J1118" s="10"/>
      <c r="K1118" s="10"/>
      <c r="L1118" s="10">
        <v>44670.45144675926</v>
      </c>
      <c r="M1118" s="10">
        <v>44692</v>
      </c>
      <c r="N1118" s="9">
        <v>2022</v>
      </c>
      <c r="O1118" s="9" t="s">
        <v>5166</v>
      </c>
      <c r="P1118" s="9" t="s">
        <v>53</v>
      </c>
      <c r="Q1118" s="9" t="s">
        <v>53</v>
      </c>
      <c r="R1118" s="9" t="s">
        <v>5207</v>
      </c>
      <c r="T1118" s="9"/>
      <c r="V1118" s="9" t="s">
        <v>5168</v>
      </c>
      <c r="W1118" s="11">
        <f>IFERROR(VLOOKUP(B1118, PlumX_snapshot!$A:$B, 2, FALSE), " ")</f>
        <v>6</v>
      </c>
      <c r="X1118" s="11">
        <f>IFERROR(VLOOKUP(B1118, PlumX_snapshot!$A:$C, 3, FALSE), " ")</f>
        <v>3</v>
      </c>
      <c r="Y1118" s="12">
        <f>IFERROR(VLOOKUP(B1118, PlumX_snapshot!$A:$D, 4, FALSE), " ")</f>
        <v>2</v>
      </c>
      <c r="Z1118" s="12">
        <f>IFERROR(VLOOKUP(B1118, PlumX_snapshot!$A:$E, 5, FALSE), " ")</f>
        <v>0</v>
      </c>
      <c r="AA1118" s="12">
        <f>IFERROR(VLOOKUP(B1118, PlumX_snapshot!$A:$F, 6, FALSE), " ")</f>
        <v>0</v>
      </c>
      <c r="AB1118" s="13">
        <v>44978</v>
      </c>
      <c r="AC1118" s="9" t="s">
        <v>4490</v>
      </c>
      <c r="AD1118" s="9" t="s">
        <v>4491</v>
      </c>
      <c r="AE1118" s="9" t="s">
        <v>4492</v>
      </c>
      <c r="AH1118" s="9">
        <v>2434</v>
      </c>
      <c r="AI1118" s="9" t="s">
        <v>1999</v>
      </c>
      <c r="AJ1118" s="9" t="s">
        <v>301</v>
      </c>
      <c r="AK1118" s="11" t="str">
        <f t="shared" si="8"/>
        <v>2022GBP</v>
      </c>
      <c r="AL1118" s="11">
        <f>VLOOKUP(AK1118, Exchange_rates!$C:$D, 2, FALSE)</f>
        <v>1</v>
      </c>
      <c r="AM1118" s="14">
        <f t="shared" si="9"/>
        <v>2920.7999999999997</v>
      </c>
      <c r="AN1118" s="9"/>
      <c r="AO1118" s="9"/>
      <c r="AP1118" s="17"/>
      <c r="AQ1118" s="15" t="s">
        <v>49</v>
      </c>
      <c r="AR1118" t="s">
        <v>5125</v>
      </c>
      <c r="AS1118" s="16" t="s">
        <v>5126</v>
      </c>
    </row>
    <row r="1119" spans="1:45" ht="14.5">
      <c r="A1119" s="9" t="s">
        <v>5208</v>
      </c>
      <c r="B1119" s="9" t="s">
        <v>5209</v>
      </c>
      <c r="C1119" s="9" t="s">
        <v>5123</v>
      </c>
      <c r="D1119" s="9" t="s">
        <v>4371</v>
      </c>
      <c r="E1119" s="17" t="s">
        <v>49</v>
      </c>
      <c r="F1119" s="9" t="s">
        <v>69</v>
      </c>
      <c r="G1119" s="9" t="s">
        <v>70</v>
      </c>
      <c r="H1119" s="9" t="s">
        <v>4949</v>
      </c>
      <c r="I1119" s="9" t="s">
        <v>291</v>
      </c>
      <c r="J1119" s="10"/>
      <c r="K1119" s="10"/>
      <c r="L1119" s="10">
        <v>44670.332615740743</v>
      </c>
      <c r="M1119" s="10">
        <v>44678</v>
      </c>
      <c r="N1119" s="9">
        <v>2022</v>
      </c>
      <c r="O1119" s="9" t="s">
        <v>5166</v>
      </c>
      <c r="P1119" s="9" t="s">
        <v>53</v>
      </c>
      <c r="Q1119" s="9" t="s">
        <v>53</v>
      </c>
      <c r="R1119" s="9" t="s">
        <v>4823</v>
      </c>
      <c r="T1119" s="9"/>
      <c r="V1119" s="9" t="s">
        <v>5168</v>
      </c>
      <c r="W1119" s="11">
        <f>IFERROR(VLOOKUP(B1119, PlumX_snapshot!$A:$B, 2, FALSE), " ")</f>
        <v>3</v>
      </c>
      <c r="X1119" s="11">
        <f>IFERROR(VLOOKUP(B1119, PlumX_snapshot!$A:$C, 3, FALSE), " ")</f>
        <v>0</v>
      </c>
      <c r="Y1119" s="12">
        <f>IFERROR(VLOOKUP(B1119, PlumX_snapshot!$A:$D, 4, FALSE), " ")</f>
        <v>3</v>
      </c>
      <c r="Z1119" s="12">
        <f>IFERROR(VLOOKUP(B1119, PlumX_snapshot!$A:$E, 5, FALSE), " ")</f>
        <v>0</v>
      </c>
      <c r="AA1119" s="12">
        <f>IFERROR(VLOOKUP(B1119, PlumX_snapshot!$A:$F, 6, FALSE), " ")</f>
        <v>0</v>
      </c>
      <c r="AB1119" s="13">
        <v>44978</v>
      </c>
      <c r="AC1119" s="9" t="s">
        <v>5124</v>
      </c>
      <c r="AD1119" s="9" t="s">
        <v>434</v>
      </c>
      <c r="AE1119" s="9"/>
      <c r="AH1119" s="9">
        <v>2375</v>
      </c>
      <c r="AI1119" s="9" t="s">
        <v>77</v>
      </c>
      <c r="AJ1119" s="9" t="s">
        <v>301</v>
      </c>
      <c r="AK1119" s="11" t="str">
        <f t="shared" si="8"/>
        <v>2022GBP</v>
      </c>
      <c r="AL1119" s="11">
        <f>VLOOKUP(AK1119, Exchange_rates!$C:$D, 2, FALSE)</f>
        <v>1</v>
      </c>
      <c r="AM1119" s="14">
        <f t="shared" si="9"/>
        <v>2850</v>
      </c>
      <c r="AN1119" s="9"/>
      <c r="AO1119" s="9"/>
      <c r="AP1119" s="17"/>
      <c r="AQ1119" s="15" t="s">
        <v>49</v>
      </c>
      <c r="AR1119" t="s">
        <v>5125</v>
      </c>
      <c r="AS1119" s="16" t="s">
        <v>5126</v>
      </c>
    </row>
    <row r="1120" spans="1:45" ht="14.5">
      <c r="A1120" s="9" t="s">
        <v>5210</v>
      </c>
      <c r="B1120" s="9" t="s">
        <v>5211</v>
      </c>
      <c r="C1120" s="9" t="s">
        <v>5212</v>
      </c>
      <c r="D1120" s="9" t="s">
        <v>4371</v>
      </c>
      <c r="E1120" s="17" t="s">
        <v>49</v>
      </c>
      <c r="F1120" s="9" t="s">
        <v>69</v>
      </c>
      <c r="G1120" s="9" t="s">
        <v>70</v>
      </c>
      <c r="H1120" s="9" t="s">
        <v>4949</v>
      </c>
      <c r="I1120" s="9" t="s">
        <v>291</v>
      </c>
      <c r="J1120" s="10"/>
      <c r="K1120" s="10"/>
      <c r="L1120" s="10">
        <v>44665.577986111108</v>
      </c>
      <c r="M1120" s="10">
        <v>44673</v>
      </c>
      <c r="N1120" s="9">
        <v>2022</v>
      </c>
      <c r="O1120" s="9" t="s">
        <v>5166</v>
      </c>
      <c r="P1120" s="9" t="s">
        <v>53</v>
      </c>
      <c r="Q1120" s="9" t="s">
        <v>53</v>
      </c>
      <c r="R1120" s="9" t="s">
        <v>4823</v>
      </c>
      <c r="T1120" s="9"/>
      <c r="V1120" s="9" t="s">
        <v>5168</v>
      </c>
      <c r="W1120" s="11">
        <f>IFERROR(VLOOKUP(B1120, PlumX_snapshot!$A:$B, 2, FALSE), " ")</f>
        <v>7</v>
      </c>
      <c r="X1120" s="11">
        <f>IFERROR(VLOOKUP(B1120, PlumX_snapshot!$A:$C, 3, FALSE), " ")</f>
        <v>1</v>
      </c>
      <c r="Y1120" s="12">
        <f>IFERROR(VLOOKUP(B1120, PlumX_snapshot!$A:$D, 4, FALSE), " ")</f>
        <v>138</v>
      </c>
      <c r="Z1120" s="12">
        <f>IFERROR(VLOOKUP(B1120, PlumX_snapshot!$A:$E, 5, FALSE), " ")</f>
        <v>0</v>
      </c>
      <c r="AA1120" s="12">
        <f>IFERROR(VLOOKUP(B1120, PlumX_snapshot!$A:$F, 6, FALSE), " ")</f>
        <v>0</v>
      </c>
      <c r="AB1120" s="13">
        <v>44978</v>
      </c>
      <c r="AC1120" s="9" t="s">
        <v>5213</v>
      </c>
      <c r="AD1120" s="9" t="s">
        <v>5214</v>
      </c>
      <c r="AE1120" s="9"/>
      <c r="AH1120" s="9">
        <v>2615</v>
      </c>
      <c r="AI1120" s="9" t="s">
        <v>77</v>
      </c>
      <c r="AJ1120" s="9" t="s">
        <v>301</v>
      </c>
      <c r="AK1120" s="11" t="str">
        <f t="shared" si="8"/>
        <v>2022GBP</v>
      </c>
      <c r="AL1120" s="11">
        <f>VLOOKUP(AK1120, Exchange_rates!$C:$D, 2, FALSE)</f>
        <v>1</v>
      </c>
      <c r="AM1120" s="14">
        <f t="shared" si="9"/>
        <v>3138</v>
      </c>
      <c r="AN1120" s="9"/>
      <c r="AO1120" s="9"/>
      <c r="AP1120" s="17"/>
      <c r="AQ1120" s="15" t="s">
        <v>49</v>
      </c>
      <c r="AR1120" t="s">
        <v>5215</v>
      </c>
      <c r="AS1120" s="16" t="s">
        <v>5216</v>
      </c>
    </row>
    <row r="1121" spans="1:60" ht="14.5">
      <c r="A1121" s="9" t="s">
        <v>5217</v>
      </c>
      <c r="B1121" s="9" t="s">
        <v>5218</v>
      </c>
      <c r="C1121" s="9" t="s">
        <v>4473</v>
      </c>
      <c r="D1121" s="9" t="s">
        <v>4371</v>
      </c>
      <c r="E1121" s="17" t="s">
        <v>49</v>
      </c>
      <c r="F1121" s="9" t="s">
        <v>69</v>
      </c>
      <c r="G1121" s="9" t="s">
        <v>70</v>
      </c>
      <c r="H1121" s="9" t="s">
        <v>4949</v>
      </c>
      <c r="I1121" s="9" t="s">
        <v>291</v>
      </c>
      <c r="J1121" s="10"/>
      <c r="K1121" s="10"/>
      <c r="L1121" s="10">
        <v>44664.579293981478</v>
      </c>
      <c r="M1121" s="10">
        <v>44683</v>
      </c>
      <c r="N1121" s="9">
        <v>2022</v>
      </c>
      <c r="O1121" s="9" t="s">
        <v>5166</v>
      </c>
      <c r="P1121" s="9" t="s">
        <v>53</v>
      </c>
      <c r="Q1121" s="9" t="s">
        <v>53</v>
      </c>
      <c r="R1121" s="9" t="s">
        <v>4823</v>
      </c>
      <c r="T1121" s="9"/>
      <c r="V1121" s="9" t="s">
        <v>5168</v>
      </c>
      <c r="W1121" s="11">
        <f>IFERROR(VLOOKUP(B1121, PlumX_snapshot!$A:$B, 2, FALSE), " ")</f>
        <v>0</v>
      </c>
      <c r="X1121" s="11">
        <f>IFERROR(VLOOKUP(B1121, PlumX_snapshot!$A:$C, 3, FALSE), " ")</f>
        <v>0</v>
      </c>
      <c r="Y1121" s="12">
        <f>IFERROR(VLOOKUP(B1121, PlumX_snapshot!$A:$D, 4, FALSE), " ")</f>
        <v>0</v>
      </c>
      <c r="Z1121" s="12">
        <f>IFERROR(VLOOKUP(B1121, PlumX_snapshot!$A:$E, 5, FALSE), " ")</f>
        <v>0</v>
      </c>
      <c r="AA1121" s="12">
        <f>IFERROR(VLOOKUP(B1121, PlumX_snapshot!$A:$F, 6, FALSE), " ")</f>
        <v>0</v>
      </c>
      <c r="AB1121" s="13">
        <v>44978</v>
      </c>
      <c r="AC1121" s="9" t="s">
        <v>5219</v>
      </c>
      <c r="AD1121" s="9" t="s">
        <v>5220</v>
      </c>
      <c r="AE1121" s="9"/>
      <c r="AH1121" s="9">
        <v>2434</v>
      </c>
      <c r="AI1121" s="9" t="s">
        <v>1999</v>
      </c>
      <c r="AJ1121" s="9" t="s">
        <v>301</v>
      </c>
      <c r="AK1121" s="11" t="str">
        <f t="shared" si="8"/>
        <v>2022GBP</v>
      </c>
      <c r="AL1121" s="11">
        <f>VLOOKUP(AK1121, Exchange_rates!$C:$D, 2, FALSE)</f>
        <v>1</v>
      </c>
      <c r="AM1121" s="14">
        <f t="shared" si="9"/>
        <v>2920.7999999999997</v>
      </c>
      <c r="AN1121" s="9"/>
      <c r="AO1121" s="9"/>
      <c r="AP1121" s="17"/>
      <c r="AQ1121" s="15" t="s">
        <v>49</v>
      </c>
      <c r="AR1121" t="s">
        <v>4477</v>
      </c>
      <c r="AS1121" s="16" t="s">
        <v>4478</v>
      </c>
    </row>
    <row r="1122" spans="1:60" ht="14.5">
      <c r="A1122" s="9" t="s">
        <v>5221</v>
      </c>
      <c r="B1122" s="9" t="s">
        <v>5222</v>
      </c>
      <c r="C1122" s="9" t="s">
        <v>5223</v>
      </c>
      <c r="D1122" s="9" t="s">
        <v>4371</v>
      </c>
      <c r="E1122" s="17" t="s">
        <v>49</v>
      </c>
      <c r="F1122" s="9" t="s">
        <v>69</v>
      </c>
      <c r="G1122" s="9" t="s">
        <v>70</v>
      </c>
      <c r="H1122" s="9" t="s">
        <v>4949</v>
      </c>
      <c r="I1122" s="9" t="s">
        <v>291</v>
      </c>
      <c r="J1122" s="10"/>
      <c r="K1122" s="10">
        <v>44636</v>
      </c>
      <c r="L1122" s="10">
        <v>44655.377685185187</v>
      </c>
      <c r="M1122" s="10">
        <v>44684</v>
      </c>
      <c r="N1122" s="9">
        <v>2022</v>
      </c>
      <c r="O1122" s="9" t="s">
        <v>5166</v>
      </c>
      <c r="P1122" s="9" t="s">
        <v>53</v>
      </c>
      <c r="Q1122" s="9" t="s">
        <v>53</v>
      </c>
      <c r="R1122" s="9" t="s">
        <v>4823</v>
      </c>
      <c r="T1122" s="9"/>
      <c r="V1122" s="9" t="s">
        <v>5168</v>
      </c>
      <c r="W1122" s="11">
        <f>IFERROR(VLOOKUP(B1122, PlumX_snapshot!$A:$B, 2, FALSE), " ")</f>
        <v>0</v>
      </c>
      <c r="X1122" s="11">
        <f>IFERROR(VLOOKUP(B1122, PlumX_snapshot!$A:$C, 3, FALSE), " ")</f>
        <v>0</v>
      </c>
      <c r="Y1122" s="12">
        <f>IFERROR(VLOOKUP(B1122, PlumX_snapshot!$A:$D, 4, FALSE), " ")</f>
        <v>10</v>
      </c>
      <c r="Z1122" s="12">
        <f>IFERROR(VLOOKUP(B1122, PlumX_snapshot!$A:$E, 5, FALSE), " ")</f>
        <v>0</v>
      </c>
      <c r="AA1122" s="12">
        <f>IFERROR(VLOOKUP(B1122, PlumX_snapshot!$A:$F, 6, FALSE), " ")</f>
        <v>0</v>
      </c>
      <c r="AB1122" s="13">
        <v>44978</v>
      </c>
      <c r="AC1122" s="9" t="s">
        <v>5224</v>
      </c>
      <c r="AD1122" s="9" t="s">
        <v>5225</v>
      </c>
      <c r="AE1122" s="9"/>
      <c r="AH1122" s="9">
        <v>2220</v>
      </c>
      <c r="AI1122" s="9" t="s">
        <v>77</v>
      </c>
      <c r="AJ1122" s="9" t="s">
        <v>301</v>
      </c>
      <c r="AK1122" s="11" t="str">
        <f t="shared" si="8"/>
        <v>2022GBP</v>
      </c>
      <c r="AL1122" s="11">
        <f>VLOOKUP(AK1122, Exchange_rates!$C:$D, 2, FALSE)</f>
        <v>1</v>
      </c>
      <c r="AM1122" s="14">
        <f t="shared" si="9"/>
        <v>2664</v>
      </c>
      <c r="AN1122" s="9"/>
      <c r="AO1122" s="9"/>
      <c r="AP1122" s="17"/>
      <c r="AQ1122" s="15" t="s">
        <v>49</v>
      </c>
      <c r="AR1122" t="s">
        <v>5226</v>
      </c>
      <c r="AS1122" s="16" t="s">
        <v>5227</v>
      </c>
    </row>
    <row r="1123" spans="1:60" ht="14.5">
      <c r="A1123" s="9" t="s">
        <v>5228</v>
      </c>
      <c r="B1123" s="9" t="s">
        <v>5229</v>
      </c>
      <c r="C1123" s="9" t="s">
        <v>5230</v>
      </c>
      <c r="D1123" s="9" t="s">
        <v>4371</v>
      </c>
      <c r="E1123" s="17" t="s">
        <v>49</v>
      </c>
      <c r="F1123" s="9" t="s">
        <v>50</v>
      </c>
      <c r="G1123" s="9" t="s">
        <v>51</v>
      </c>
      <c r="H1123" s="9"/>
      <c r="J1123" s="10">
        <v>44568</v>
      </c>
      <c r="K1123" s="10">
        <v>44690</v>
      </c>
      <c r="L1123" s="10"/>
      <c r="N1123" s="9">
        <v>2022</v>
      </c>
      <c r="O1123" s="9" t="s">
        <v>5231</v>
      </c>
      <c r="P1123" s="9" t="s">
        <v>53</v>
      </c>
      <c r="Q1123" s="9" t="s">
        <v>53</v>
      </c>
      <c r="T1123" s="9" t="s">
        <v>55</v>
      </c>
      <c r="U1123" s="9" t="s">
        <v>5232</v>
      </c>
      <c r="V1123" s="9"/>
      <c r="W1123" s="11">
        <f>IFERROR(VLOOKUP(B1123, PlumX_snapshot!$A:$B, 2, FALSE), " ")</f>
        <v>1</v>
      </c>
      <c r="X1123" s="11">
        <f>IFERROR(VLOOKUP(B1123, PlumX_snapshot!$A:$C, 3, FALSE), " ")</f>
        <v>0</v>
      </c>
      <c r="Y1123" s="12">
        <f>IFERROR(VLOOKUP(B1123, PlumX_snapshot!$A:$D, 4, FALSE), " ")</f>
        <v>0</v>
      </c>
      <c r="Z1123" s="12">
        <f>IFERROR(VLOOKUP(B1123, PlumX_snapshot!$A:$E, 5, FALSE), " ")</f>
        <v>0</v>
      </c>
      <c r="AA1123" s="12">
        <f>IFERROR(VLOOKUP(B1123, PlumX_snapshot!$A:$F, 6, FALSE), " ")</f>
        <v>0</v>
      </c>
      <c r="AB1123" s="13">
        <v>44978</v>
      </c>
      <c r="AC1123" s="9"/>
      <c r="AD1123" s="9"/>
      <c r="AE1123" s="9"/>
      <c r="AG1123" s="9" t="s">
        <v>70</v>
      </c>
      <c r="AI1123" s="9"/>
      <c r="AJ1123" s="9"/>
      <c r="AK1123" s="11" t="str">
        <f t="shared" si="8"/>
        <v>2022</v>
      </c>
      <c r="AL1123" s="11" t="e">
        <f>VLOOKUP(AK1123, Exchange_rates!$C:$D, 2, FALSE)</f>
        <v>#N/A</v>
      </c>
      <c r="AM1123" s="14" t="str">
        <f t="shared" si="9"/>
        <v/>
      </c>
      <c r="AN1123" s="9"/>
      <c r="AO1123" s="9"/>
      <c r="AP1123" s="17"/>
      <c r="AQ1123" s="15" t="s">
        <v>49</v>
      </c>
      <c r="AR1123" t="s">
        <v>5233</v>
      </c>
      <c r="AS1123" s="16" t="s">
        <v>5234</v>
      </c>
    </row>
    <row r="1124" spans="1:60" ht="14.5">
      <c r="A1124" s="9" t="s">
        <v>5235</v>
      </c>
      <c r="B1124" s="9" t="s">
        <v>5236</v>
      </c>
      <c r="C1124" s="9" t="s">
        <v>5237</v>
      </c>
      <c r="D1124" s="9" t="s">
        <v>4371</v>
      </c>
      <c r="E1124" s="17" t="s">
        <v>49</v>
      </c>
      <c r="F1124" s="9" t="s">
        <v>50</v>
      </c>
      <c r="G1124" s="9" t="s">
        <v>51</v>
      </c>
      <c r="H1124" s="9"/>
      <c r="J1124" s="10"/>
      <c r="K1124" s="10"/>
      <c r="L1124" s="10"/>
      <c r="N1124" s="9"/>
      <c r="O1124" s="9" t="s">
        <v>5231</v>
      </c>
      <c r="P1124" s="9" t="s">
        <v>53</v>
      </c>
      <c r="Q1124" s="9" t="s">
        <v>53</v>
      </c>
      <c r="T1124" s="9" t="s">
        <v>55</v>
      </c>
      <c r="U1124" s="9" t="s">
        <v>5238</v>
      </c>
      <c r="V1124" s="9"/>
      <c r="W1124" s="11">
        <f>IFERROR(VLOOKUP(B1124, PlumX_snapshot!$A:$B, 2, FALSE), " ")</f>
        <v>3</v>
      </c>
      <c r="X1124" s="11">
        <f>IFERROR(VLOOKUP(B1124, PlumX_snapshot!$A:$C, 3, FALSE), " ")</f>
        <v>0</v>
      </c>
      <c r="Y1124" s="12">
        <f>IFERROR(VLOOKUP(B1124, PlumX_snapshot!$A:$D, 4, FALSE), " ")</f>
        <v>0</v>
      </c>
      <c r="Z1124" s="12">
        <f>IFERROR(VLOOKUP(B1124, PlumX_snapshot!$A:$E, 5, FALSE), " ")</f>
        <v>0</v>
      </c>
      <c r="AA1124" s="12">
        <f>IFERROR(VLOOKUP(B1124, PlumX_snapshot!$A:$F, 6, FALSE), " ")</f>
        <v>0</v>
      </c>
      <c r="AB1124" s="13">
        <v>44978</v>
      </c>
      <c r="AC1124" s="9"/>
      <c r="AD1124" s="9"/>
      <c r="AE1124" s="9"/>
      <c r="AI1124" s="9"/>
      <c r="AJ1124" s="9"/>
      <c r="AK1124" s="11" t="str">
        <f t="shared" si="8"/>
        <v/>
      </c>
      <c r="AL1124" s="11" t="e">
        <f>VLOOKUP(AK1124, Exchange_rates!$C:$D, 2, FALSE)</f>
        <v>#N/A</v>
      </c>
      <c r="AM1124" s="14" t="str">
        <f t="shared" si="9"/>
        <v/>
      </c>
      <c r="AN1124" s="9"/>
      <c r="AO1124" s="9"/>
      <c r="AP1124" s="17"/>
      <c r="AQ1124" s="15" t="s">
        <v>49</v>
      </c>
      <c r="AR1124" t="s">
        <v>5239</v>
      </c>
      <c r="AS1124" s="16" t="s">
        <v>5240</v>
      </c>
    </row>
    <row r="1125" spans="1:60" ht="14.5">
      <c r="A1125" s="9" t="s">
        <v>5241</v>
      </c>
      <c r="B1125" s="9" t="s">
        <v>5242</v>
      </c>
      <c r="C1125" s="9" t="s">
        <v>5243</v>
      </c>
      <c r="D1125" s="9" t="s">
        <v>4371</v>
      </c>
      <c r="E1125" s="17" t="s">
        <v>49</v>
      </c>
      <c r="F1125" s="9" t="s">
        <v>50</v>
      </c>
      <c r="G1125" s="9" t="s">
        <v>51</v>
      </c>
      <c r="H1125" s="9"/>
      <c r="J1125" s="10"/>
      <c r="K1125" s="10"/>
      <c r="L1125" s="10"/>
      <c r="N1125" s="9"/>
      <c r="O1125" s="9" t="s">
        <v>5231</v>
      </c>
      <c r="P1125" s="9" t="s">
        <v>53</v>
      </c>
      <c r="Q1125" s="9" t="s">
        <v>53</v>
      </c>
      <c r="T1125" s="9" t="s">
        <v>55</v>
      </c>
      <c r="U1125" s="9" t="s">
        <v>5244</v>
      </c>
      <c r="V1125" s="9"/>
      <c r="W1125" s="11">
        <f>IFERROR(VLOOKUP(B1125, PlumX_snapshot!$A:$B, 2, FALSE), " ")</f>
        <v>0</v>
      </c>
      <c r="X1125" s="11">
        <f>IFERROR(VLOOKUP(B1125, PlumX_snapshot!$A:$C, 3, FALSE), " ")</f>
        <v>0</v>
      </c>
      <c r="Y1125" s="12">
        <f>IFERROR(VLOOKUP(B1125, PlumX_snapshot!$A:$D, 4, FALSE), " ")</f>
        <v>10</v>
      </c>
      <c r="Z1125" s="12">
        <f>IFERROR(VLOOKUP(B1125, PlumX_snapshot!$A:$E, 5, FALSE), " ")</f>
        <v>0</v>
      </c>
      <c r="AA1125" s="12">
        <f>IFERROR(VLOOKUP(B1125, PlumX_snapshot!$A:$F, 6, FALSE), " ")</f>
        <v>0</v>
      </c>
      <c r="AB1125" s="13">
        <v>44978</v>
      </c>
      <c r="AC1125" s="9"/>
      <c r="AD1125" s="9"/>
      <c r="AE1125" s="9"/>
      <c r="AG1125" s="9" t="s">
        <v>70</v>
      </c>
      <c r="AI1125" s="9"/>
      <c r="AJ1125" s="9"/>
      <c r="AK1125" s="11" t="str">
        <f t="shared" si="8"/>
        <v/>
      </c>
      <c r="AL1125" s="11" t="e">
        <f>VLOOKUP(AK1125, Exchange_rates!$C:$D, 2, FALSE)</f>
        <v>#N/A</v>
      </c>
      <c r="AM1125" s="14" t="str">
        <f t="shared" si="9"/>
        <v/>
      </c>
      <c r="AN1125" s="9"/>
      <c r="AO1125" s="9"/>
      <c r="AP1125" s="17"/>
      <c r="AQ1125" s="15" t="s">
        <v>49</v>
      </c>
      <c r="AR1125" t="s">
        <v>5245</v>
      </c>
      <c r="AS1125" s="16" t="s">
        <v>5246</v>
      </c>
    </row>
    <row r="1126" spans="1:60" ht="14.5">
      <c r="A1126" s="9" t="s">
        <v>5247</v>
      </c>
      <c r="B1126" s="9" t="s">
        <v>5248</v>
      </c>
      <c r="C1126" s="9" t="s">
        <v>5249</v>
      </c>
      <c r="D1126" s="9" t="s">
        <v>4371</v>
      </c>
      <c r="E1126" s="17" t="s">
        <v>49</v>
      </c>
      <c r="F1126" s="9" t="s">
        <v>50</v>
      </c>
      <c r="G1126" s="9" t="s">
        <v>51</v>
      </c>
      <c r="H1126" s="9"/>
      <c r="J1126" s="10">
        <v>44331</v>
      </c>
      <c r="K1126" s="10">
        <v>44666</v>
      </c>
      <c r="L1126" s="10"/>
      <c r="N1126" s="9">
        <v>2022</v>
      </c>
      <c r="O1126" s="9" t="s">
        <v>5231</v>
      </c>
      <c r="P1126" s="9" t="s">
        <v>53</v>
      </c>
      <c r="Q1126" s="9" t="s">
        <v>53</v>
      </c>
      <c r="T1126" s="9" t="s">
        <v>55</v>
      </c>
      <c r="U1126" s="9" t="s">
        <v>5250</v>
      </c>
      <c r="V1126" s="9"/>
      <c r="W1126" s="11">
        <f>IFERROR(VLOOKUP(B1126, PlumX_snapshot!$A:$B, 2, FALSE), " ")</f>
        <v>7</v>
      </c>
      <c r="X1126" s="11">
        <f>IFERROR(VLOOKUP(B1126, PlumX_snapshot!$A:$C, 3, FALSE), " ")</f>
        <v>1</v>
      </c>
      <c r="Y1126" s="12">
        <f>IFERROR(VLOOKUP(B1126, PlumX_snapshot!$A:$D, 4, FALSE), " ")</f>
        <v>0</v>
      </c>
      <c r="Z1126" s="12">
        <f>IFERROR(VLOOKUP(B1126, PlumX_snapshot!$A:$E, 5, FALSE), " ")</f>
        <v>0</v>
      </c>
      <c r="AA1126" s="12">
        <f>IFERROR(VLOOKUP(B1126, PlumX_snapshot!$A:$F, 6, FALSE), " ")</f>
        <v>0</v>
      </c>
      <c r="AB1126" s="13">
        <v>44978</v>
      </c>
      <c r="AC1126" s="9"/>
      <c r="AD1126" s="9"/>
      <c r="AE1126" s="9"/>
      <c r="AI1126" s="9"/>
      <c r="AJ1126" s="9"/>
      <c r="AK1126" s="11" t="str">
        <f t="shared" si="8"/>
        <v>2022</v>
      </c>
      <c r="AL1126" s="11" t="e">
        <f>VLOOKUP(AK1126, Exchange_rates!$C:$D, 2, FALSE)</f>
        <v>#N/A</v>
      </c>
      <c r="AM1126" s="14" t="str">
        <f t="shared" si="9"/>
        <v/>
      </c>
      <c r="AN1126" s="9"/>
      <c r="AO1126" s="9"/>
      <c r="AP1126" s="17"/>
      <c r="AQ1126" s="15" t="s">
        <v>49</v>
      </c>
      <c r="AR1126" t="s">
        <v>5251</v>
      </c>
      <c r="AS1126" s="16" t="s">
        <v>5252</v>
      </c>
    </row>
    <row r="1127" spans="1:60" ht="14.5">
      <c r="A1127" s="9" t="s">
        <v>5253</v>
      </c>
      <c r="B1127" s="9" t="s">
        <v>5254</v>
      </c>
      <c r="C1127" s="9" t="s">
        <v>5255</v>
      </c>
      <c r="D1127" s="9" t="s">
        <v>4371</v>
      </c>
      <c r="E1127" s="17" t="s">
        <v>49</v>
      </c>
      <c r="F1127" s="9" t="s">
        <v>50</v>
      </c>
      <c r="G1127" s="9" t="s">
        <v>51</v>
      </c>
      <c r="H1127" s="9"/>
      <c r="J1127" s="10">
        <v>44516</v>
      </c>
      <c r="K1127" s="10">
        <v>44657</v>
      </c>
      <c r="L1127" s="10"/>
      <c r="N1127" s="9">
        <v>2022</v>
      </c>
      <c r="O1127" s="9" t="s">
        <v>5231</v>
      </c>
      <c r="P1127" s="9" t="s">
        <v>53</v>
      </c>
      <c r="Q1127" s="9" t="s">
        <v>53</v>
      </c>
      <c r="T1127" s="9" t="s">
        <v>55</v>
      </c>
      <c r="U1127" s="9" t="s">
        <v>5256</v>
      </c>
      <c r="V1127" s="9"/>
      <c r="W1127" s="11">
        <f>IFERROR(VLOOKUP(B1127, PlumX_snapshot!$A:$B, 2, FALSE), " ")</f>
        <v>10</v>
      </c>
      <c r="X1127" s="11">
        <f>IFERROR(VLOOKUP(B1127, PlumX_snapshot!$A:$C, 3, FALSE), " ")</f>
        <v>0</v>
      </c>
      <c r="Y1127" s="12">
        <f>IFERROR(VLOOKUP(B1127, PlumX_snapshot!$A:$D, 4, FALSE), " ")</f>
        <v>1</v>
      </c>
      <c r="Z1127" s="12">
        <f>IFERROR(VLOOKUP(B1127, PlumX_snapshot!$A:$E, 5, FALSE), " ")</f>
        <v>0</v>
      </c>
      <c r="AA1127" s="12">
        <f>IFERROR(VLOOKUP(B1127, PlumX_snapshot!$A:$F, 6, FALSE), " ")</f>
        <v>0</v>
      </c>
      <c r="AB1127" s="13">
        <v>44978</v>
      </c>
      <c r="AC1127" s="9"/>
      <c r="AD1127" s="9"/>
      <c r="AE1127" s="9"/>
      <c r="AI1127" s="9"/>
      <c r="AJ1127" s="9"/>
      <c r="AK1127" s="11" t="str">
        <f t="shared" si="8"/>
        <v>2022</v>
      </c>
      <c r="AL1127" s="11" t="e">
        <f>VLOOKUP(AK1127, Exchange_rates!$C:$D, 2, FALSE)</f>
        <v>#N/A</v>
      </c>
      <c r="AM1127" s="14" t="str">
        <f t="shared" si="9"/>
        <v/>
      </c>
      <c r="AN1127" s="9"/>
      <c r="AO1127" s="9"/>
      <c r="AP1127" s="17"/>
      <c r="AQ1127" s="15" t="s">
        <v>49</v>
      </c>
      <c r="AR1127" t="s">
        <v>5257</v>
      </c>
      <c r="AS1127" s="16" t="s">
        <v>5258</v>
      </c>
    </row>
    <row r="1128" spans="1:60" ht="14.5">
      <c r="A1128" s="9" t="s">
        <v>5259</v>
      </c>
      <c r="B1128" s="9" t="s">
        <v>5260</v>
      </c>
      <c r="C1128" s="9" t="s">
        <v>5261</v>
      </c>
      <c r="D1128" s="9" t="s">
        <v>4371</v>
      </c>
      <c r="E1128" s="17" t="s">
        <v>49</v>
      </c>
      <c r="F1128" s="9" t="s">
        <v>50</v>
      </c>
      <c r="G1128" s="9" t="s">
        <v>51</v>
      </c>
      <c r="H1128" s="9"/>
      <c r="J1128" s="10">
        <v>44119</v>
      </c>
      <c r="K1128" s="10">
        <v>44630</v>
      </c>
      <c r="L1128" s="10"/>
      <c r="N1128" s="9">
        <v>2022</v>
      </c>
      <c r="O1128" s="9" t="s">
        <v>5231</v>
      </c>
      <c r="P1128" s="9" t="s">
        <v>53</v>
      </c>
      <c r="Q1128" s="9" t="s">
        <v>53</v>
      </c>
      <c r="R1128" s="9" t="s">
        <v>5262</v>
      </c>
      <c r="T1128" s="9" t="s">
        <v>55</v>
      </c>
      <c r="U1128" s="9" t="s">
        <v>5263</v>
      </c>
      <c r="V1128" s="9"/>
      <c r="W1128" s="11">
        <f>IFERROR(VLOOKUP(B1128, PlumX_snapshot!$A:$B, 2, FALSE), " ")</f>
        <v>0</v>
      </c>
      <c r="X1128" s="11">
        <f>IFERROR(VLOOKUP(B1128, PlumX_snapshot!$A:$C, 3, FALSE), " ")</f>
        <v>0</v>
      </c>
      <c r="Y1128" s="12">
        <f>IFERROR(VLOOKUP(B1128, PlumX_snapshot!$A:$D, 4, FALSE), " ")</f>
        <v>0</v>
      </c>
      <c r="Z1128" s="12">
        <f>IFERROR(VLOOKUP(B1128, PlumX_snapshot!$A:$E, 5, FALSE), " ")</f>
        <v>0</v>
      </c>
      <c r="AA1128" s="12">
        <f>IFERROR(VLOOKUP(B1128, PlumX_snapshot!$A:$F, 6, FALSE), " ")</f>
        <v>0</v>
      </c>
      <c r="AB1128" s="13">
        <v>44978</v>
      </c>
      <c r="AC1128" s="9"/>
      <c r="AD1128" s="9"/>
      <c r="AE1128" s="9"/>
      <c r="AI1128" s="9"/>
      <c r="AJ1128" s="9"/>
      <c r="AK1128" s="11" t="str">
        <f t="shared" si="8"/>
        <v>2022</v>
      </c>
      <c r="AL1128" s="11" t="e">
        <f>VLOOKUP(AK1128, Exchange_rates!$C:$D, 2, FALSE)</f>
        <v>#N/A</v>
      </c>
      <c r="AM1128" s="14" t="str">
        <f t="shared" si="9"/>
        <v/>
      </c>
      <c r="AN1128" s="9"/>
      <c r="AO1128" s="9"/>
      <c r="AP1128" s="17"/>
      <c r="AQ1128" s="15" t="s">
        <v>49</v>
      </c>
      <c r="AR1128" t="s">
        <v>5264</v>
      </c>
      <c r="AS1128" s="16" t="s">
        <v>5265</v>
      </c>
    </row>
    <row r="1129" spans="1:60" ht="14.5">
      <c r="A1129" s="9" t="s">
        <v>5266</v>
      </c>
      <c r="B1129" s="9" t="s">
        <v>5267</v>
      </c>
      <c r="C1129" s="9" t="s">
        <v>5268</v>
      </c>
      <c r="D1129" s="9" t="s">
        <v>4371</v>
      </c>
      <c r="E1129" s="17" t="s">
        <v>49</v>
      </c>
      <c r="F1129" s="9" t="s">
        <v>50</v>
      </c>
      <c r="G1129" s="9" t="s">
        <v>51</v>
      </c>
      <c r="H1129" s="9"/>
      <c r="J1129" s="10">
        <v>43670</v>
      </c>
      <c r="K1129" s="10">
        <v>44641</v>
      </c>
      <c r="L1129" s="10"/>
      <c r="N1129" s="9">
        <v>2022</v>
      </c>
      <c r="O1129" s="9" t="s">
        <v>5231</v>
      </c>
      <c r="P1129" s="9" t="s">
        <v>53</v>
      </c>
      <c r="Q1129" s="9" t="s">
        <v>53</v>
      </c>
      <c r="T1129" s="9" t="s">
        <v>55</v>
      </c>
      <c r="U1129" s="9" t="s">
        <v>5269</v>
      </c>
      <c r="V1129" s="9"/>
      <c r="W1129" s="11">
        <f>IFERROR(VLOOKUP(B1129, PlumX_snapshot!$A:$B, 2, FALSE), " ")</f>
        <v>0</v>
      </c>
      <c r="X1129" s="11">
        <f>IFERROR(VLOOKUP(B1129, PlumX_snapshot!$A:$C, 3, FALSE), " ")</f>
        <v>0</v>
      </c>
      <c r="Y1129" s="12">
        <f>IFERROR(VLOOKUP(B1129, PlumX_snapshot!$A:$D, 4, FALSE), " ")</f>
        <v>0</v>
      </c>
      <c r="Z1129" s="12">
        <f>IFERROR(VLOOKUP(B1129, PlumX_snapshot!$A:$E, 5, FALSE), " ")</f>
        <v>0</v>
      </c>
      <c r="AA1129" s="12">
        <f>IFERROR(VLOOKUP(B1129, PlumX_snapshot!$A:$F, 6, FALSE), " ")</f>
        <v>0</v>
      </c>
      <c r="AB1129" s="13">
        <v>44978</v>
      </c>
      <c r="AC1129" s="9" t="s">
        <v>5270</v>
      </c>
      <c r="AD1129" s="9"/>
      <c r="AE1129" s="9"/>
      <c r="AG1129" s="9" t="s">
        <v>70</v>
      </c>
      <c r="AI1129" s="9"/>
      <c r="AJ1129" s="9"/>
      <c r="AK1129" s="11" t="str">
        <f t="shared" si="8"/>
        <v>2022</v>
      </c>
      <c r="AL1129" s="11" t="e">
        <f>VLOOKUP(AK1129, Exchange_rates!$C:$D, 2, FALSE)</f>
        <v>#N/A</v>
      </c>
      <c r="AM1129" s="14" t="str">
        <f t="shared" si="9"/>
        <v/>
      </c>
      <c r="AN1129" s="9"/>
      <c r="AO1129" s="9"/>
      <c r="AP1129" s="17"/>
      <c r="AQ1129" s="15" t="s">
        <v>49</v>
      </c>
      <c r="AR1129" t="s">
        <v>5271</v>
      </c>
      <c r="AS1129" s="16" t="s">
        <v>5272</v>
      </c>
    </row>
    <row r="1130" spans="1:60" ht="14.5">
      <c r="A1130" s="9" t="s">
        <v>5273</v>
      </c>
      <c r="B1130" s="9" t="s">
        <v>5274</v>
      </c>
      <c r="C1130" s="9" t="s">
        <v>5140</v>
      </c>
      <c r="D1130" s="9" t="s">
        <v>4371</v>
      </c>
      <c r="E1130" s="17" t="s">
        <v>49</v>
      </c>
      <c r="F1130" s="9" t="s">
        <v>50</v>
      </c>
      <c r="G1130" s="9" t="s">
        <v>51</v>
      </c>
      <c r="H1130" s="9"/>
      <c r="J1130" s="10">
        <v>44403</v>
      </c>
      <c r="K1130" s="10">
        <v>44627</v>
      </c>
      <c r="L1130" s="10"/>
      <c r="N1130" s="9">
        <v>2022</v>
      </c>
      <c r="O1130" s="9" t="s">
        <v>5231</v>
      </c>
      <c r="P1130" s="9" t="s">
        <v>53</v>
      </c>
      <c r="Q1130" s="9" t="s">
        <v>53</v>
      </c>
      <c r="T1130" s="9" t="s">
        <v>55</v>
      </c>
      <c r="U1130" s="9" t="s">
        <v>5275</v>
      </c>
      <c r="V1130" s="9"/>
      <c r="W1130" s="11">
        <f>IFERROR(VLOOKUP(B1130, PlumX_snapshot!$A:$B, 2, FALSE), " ")</f>
        <v>1</v>
      </c>
      <c r="X1130" s="11">
        <f>IFERROR(VLOOKUP(B1130, PlumX_snapshot!$A:$C, 3, FALSE), " ")</f>
        <v>1</v>
      </c>
      <c r="Y1130" s="12">
        <f>IFERROR(VLOOKUP(B1130, PlumX_snapshot!$A:$D, 4, FALSE), " ")</f>
        <v>0</v>
      </c>
      <c r="Z1130" s="12">
        <f>IFERROR(VLOOKUP(B1130, PlumX_snapshot!$A:$E, 5, FALSE), " ")</f>
        <v>0</v>
      </c>
      <c r="AA1130" s="12">
        <f>IFERROR(VLOOKUP(B1130, PlumX_snapshot!$A:$F, 6, FALSE), " ")</f>
        <v>0</v>
      </c>
      <c r="AB1130" s="13">
        <v>44978</v>
      </c>
      <c r="AC1130" s="9" t="s">
        <v>5141</v>
      </c>
      <c r="AD1130" s="9"/>
      <c r="AE1130" s="9"/>
      <c r="AG1130" s="9" t="s">
        <v>70</v>
      </c>
      <c r="AI1130" s="9"/>
      <c r="AJ1130" s="9"/>
      <c r="AK1130" s="11" t="str">
        <f t="shared" si="8"/>
        <v>2022</v>
      </c>
      <c r="AL1130" s="11" t="e">
        <f>VLOOKUP(AK1130, Exchange_rates!$C:$D, 2, FALSE)</f>
        <v>#N/A</v>
      </c>
      <c r="AM1130" s="14" t="str">
        <f t="shared" si="9"/>
        <v/>
      </c>
      <c r="AN1130" s="9"/>
      <c r="AO1130" s="9"/>
      <c r="AP1130" s="17"/>
      <c r="AQ1130" s="15" t="s">
        <v>49</v>
      </c>
      <c r="AR1130" t="s">
        <v>5143</v>
      </c>
      <c r="AS1130" s="16" t="s">
        <v>5144</v>
      </c>
    </row>
    <row r="1131" spans="1:60" ht="14.5">
      <c r="A1131" s="20" t="s">
        <v>5276</v>
      </c>
      <c r="B1131" s="9" t="s">
        <v>5277</v>
      </c>
      <c r="C1131" s="9" t="s">
        <v>5116</v>
      </c>
      <c r="D1131" s="9" t="s">
        <v>4371</v>
      </c>
      <c r="E1131" s="17" t="s">
        <v>49</v>
      </c>
      <c r="F1131" s="9" t="s">
        <v>50</v>
      </c>
      <c r="G1131" s="9" t="s">
        <v>51</v>
      </c>
      <c r="H1131" s="9"/>
      <c r="J1131" s="10">
        <v>44467</v>
      </c>
      <c r="K1131" s="10">
        <v>44551</v>
      </c>
      <c r="L1131" s="10"/>
      <c r="N1131" s="9">
        <v>2021</v>
      </c>
      <c r="O1131" s="9" t="s">
        <v>5231</v>
      </c>
      <c r="P1131" s="9" t="s">
        <v>53</v>
      </c>
      <c r="Q1131" s="9" t="s">
        <v>53</v>
      </c>
      <c r="T1131" s="9" t="s">
        <v>55</v>
      </c>
      <c r="U1131" s="9" t="s">
        <v>5278</v>
      </c>
      <c r="V1131" s="9"/>
      <c r="W1131" s="11" t="str">
        <f>IFERROR(VLOOKUP(B1131, PlumX_snapshot!$A:$B, 2, FALSE), " ")</f>
        <v xml:space="preserve"> </v>
      </c>
      <c r="X1131" s="11" t="str">
        <f>IFERROR(VLOOKUP(B1131, PlumX_snapshot!$A:$C, 3, FALSE), " ")</f>
        <v xml:space="preserve"> </v>
      </c>
      <c r="Y1131" s="12" t="str">
        <f>IFERROR(VLOOKUP(B1131, PlumX_snapshot!$A:$D, 4, FALSE), " ")</f>
        <v xml:space="preserve"> </v>
      </c>
      <c r="Z1131" s="12" t="str">
        <f>IFERROR(VLOOKUP(B1131, PlumX_snapshot!$A:$E, 5, FALSE), " ")</f>
        <v xml:space="preserve"> </v>
      </c>
      <c r="AA1131" s="12" t="str">
        <f>IFERROR(VLOOKUP(B1131, PlumX_snapshot!$A:$F, 6, FALSE), " ")</f>
        <v xml:space="preserve"> </v>
      </c>
      <c r="AB1131" s="13"/>
      <c r="AC1131" s="9"/>
      <c r="AD1131" s="9"/>
      <c r="AE1131" s="9"/>
      <c r="AI1131" s="9"/>
      <c r="AJ1131" s="9"/>
      <c r="AK1131" s="11" t="str">
        <f t="shared" si="8"/>
        <v>2021</v>
      </c>
      <c r="AL1131" s="11" t="e">
        <f>VLOOKUP(AK1131, Exchange_rates!$C:$D, 2, FALSE)</f>
        <v>#N/A</v>
      </c>
      <c r="AM1131" s="14" t="str">
        <f t="shared" si="9"/>
        <v/>
      </c>
      <c r="AN1131" s="9"/>
      <c r="AO1131" s="9"/>
      <c r="AP1131" s="17"/>
      <c r="AQ1131" s="15" t="s">
        <v>49</v>
      </c>
      <c r="AR1131" t="s">
        <v>5119</v>
      </c>
      <c r="AS1131" s="16" t="s">
        <v>5120</v>
      </c>
    </row>
    <row r="1132" spans="1:60" ht="14.5">
      <c r="A1132" s="20" t="s">
        <v>5279</v>
      </c>
      <c r="B1132" s="20" t="s">
        <v>5280</v>
      </c>
      <c r="C1132" s="20" t="s">
        <v>5281</v>
      </c>
      <c r="D1132" s="20" t="s">
        <v>4371</v>
      </c>
      <c r="E1132" s="21" t="s">
        <v>49</v>
      </c>
      <c r="F1132" s="20" t="s">
        <v>50</v>
      </c>
      <c r="G1132" s="20" t="s">
        <v>51</v>
      </c>
      <c r="H1132" s="20"/>
      <c r="I1132" s="20"/>
      <c r="J1132" s="22">
        <v>44559</v>
      </c>
      <c r="K1132" s="22">
        <v>44563</v>
      </c>
      <c r="L1132" s="22"/>
      <c r="M1132" s="20"/>
      <c r="N1132" s="20">
        <v>2022</v>
      </c>
      <c r="O1132" s="20" t="s">
        <v>5231</v>
      </c>
      <c r="P1132" s="20" t="s">
        <v>53</v>
      </c>
      <c r="Q1132" s="20" t="s">
        <v>53</v>
      </c>
      <c r="R1132" s="20"/>
      <c r="S1132" s="20"/>
      <c r="T1132" s="20" t="s">
        <v>55</v>
      </c>
      <c r="U1132" s="20" t="s">
        <v>5282</v>
      </c>
      <c r="V1132" s="20"/>
      <c r="W1132" s="23">
        <f>IFERROR(VLOOKUP(B1132, PlumX_snapshot!$A:$B, 2, FALSE), " ")</f>
        <v>0</v>
      </c>
      <c r="X1132" s="23">
        <f>IFERROR(VLOOKUP(B1132, PlumX_snapshot!$A:$C, 3, FALSE), " ")</f>
        <v>0</v>
      </c>
      <c r="Y1132" s="24">
        <f>IFERROR(VLOOKUP(B1132, PlumX_snapshot!$A:$D, 4, FALSE), " ")</f>
        <v>0</v>
      </c>
      <c r="Z1132" s="24">
        <f>IFERROR(VLOOKUP(B1132, PlumX_snapshot!$A:$E, 5, FALSE), " ")</f>
        <v>0</v>
      </c>
      <c r="AA1132" s="24">
        <f>IFERROR(VLOOKUP(B1132, PlumX_snapshot!$A:$F, 6, FALSE), " ")</f>
        <v>0</v>
      </c>
      <c r="AB1132" s="25">
        <v>44978</v>
      </c>
      <c r="AC1132" s="20" t="s">
        <v>5283</v>
      </c>
      <c r="AD1132" s="20"/>
      <c r="AE1132" s="20"/>
      <c r="AF1132" s="20"/>
      <c r="AG1132" s="20" t="s">
        <v>70</v>
      </c>
      <c r="AH1132" s="20"/>
      <c r="AI1132" s="20"/>
      <c r="AJ1132" s="20"/>
      <c r="AK1132" s="23" t="str">
        <f t="shared" si="8"/>
        <v>2022</v>
      </c>
      <c r="AL1132" s="23" t="e">
        <f>VLOOKUP(AK1132, Exchange_rates!$C:$D, 2, FALSE)</f>
        <v>#N/A</v>
      </c>
      <c r="AM1132" s="14" t="str">
        <f t="shared" si="9"/>
        <v/>
      </c>
      <c r="AN1132" s="20"/>
      <c r="AO1132" s="20"/>
      <c r="AP1132" s="21"/>
      <c r="AQ1132" s="27" t="s">
        <v>49</v>
      </c>
      <c r="AR1132" t="s">
        <v>5284</v>
      </c>
      <c r="AS1132" s="16" t="s">
        <v>5285</v>
      </c>
      <c r="AT1132" s="20"/>
      <c r="AU1132" s="20"/>
      <c r="AV1132" s="20"/>
      <c r="AW1132" s="20"/>
      <c r="AX1132" s="20"/>
      <c r="AY1132" s="20"/>
      <c r="AZ1132" s="20"/>
      <c r="BA1132" s="20"/>
      <c r="BB1132" s="20"/>
      <c r="BC1132" s="20"/>
      <c r="BD1132" s="20"/>
      <c r="BE1132" s="20"/>
      <c r="BF1132" s="20"/>
      <c r="BG1132" s="20"/>
      <c r="BH1132" s="20"/>
    </row>
    <row r="1133" spans="1:60" ht="14.5">
      <c r="A1133" s="9" t="s">
        <v>5286</v>
      </c>
      <c r="B1133" s="9" t="s">
        <v>5287</v>
      </c>
      <c r="C1133" s="9" t="s">
        <v>5288</v>
      </c>
      <c r="D1133" s="9" t="s">
        <v>4371</v>
      </c>
      <c r="E1133" s="17" t="s">
        <v>49</v>
      </c>
      <c r="F1133" s="9" t="s">
        <v>69</v>
      </c>
      <c r="G1133" s="9" t="s">
        <v>70</v>
      </c>
      <c r="H1133" s="9" t="s">
        <v>4949</v>
      </c>
      <c r="I1133" s="9" t="s">
        <v>291</v>
      </c>
      <c r="J1133" s="10"/>
      <c r="K1133" s="10"/>
      <c r="L1133" s="10">
        <v>44866.408854166664</v>
      </c>
      <c r="N1133" s="9">
        <v>2022</v>
      </c>
      <c r="O1133" s="9" t="s">
        <v>5289</v>
      </c>
      <c r="P1133" s="9" t="s">
        <v>53</v>
      </c>
      <c r="Q1133" s="9" t="s">
        <v>53</v>
      </c>
      <c r="T1133" s="9"/>
      <c r="U1133" s="9" t="s">
        <v>5290</v>
      </c>
      <c r="V1133" s="9" t="s">
        <v>5291</v>
      </c>
      <c r="W1133" s="11">
        <f>IFERROR(VLOOKUP(B1133, PlumX_snapshot!$A:$B, 2, FALSE), " ")</f>
        <v>9</v>
      </c>
      <c r="X1133" s="11">
        <f>IFERROR(VLOOKUP(B1133, PlumX_snapshot!$A:$C, 3, FALSE), " ")</f>
        <v>0</v>
      </c>
      <c r="Y1133" s="12">
        <f>IFERROR(VLOOKUP(B1133, PlumX_snapshot!$A:$D, 4, FALSE), " ")</f>
        <v>10</v>
      </c>
      <c r="Z1133" s="12">
        <f>IFERROR(VLOOKUP(B1133, PlumX_snapshot!$A:$E, 5, FALSE), " ")</f>
        <v>0</v>
      </c>
      <c r="AA1133" s="12">
        <f>IFERROR(VLOOKUP(B1133, PlumX_snapshot!$A:$F, 6, FALSE), " ")</f>
        <v>0</v>
      </c>
      <c r="AB1133" s="13">
        <v>44978</v>
      </c>
      <c r="AC1133" s="9" t="s">
        <v>5292</v>
      </c>
      <c r="AD1133" s="9" t="s">
        <v>5293</v>
      </c>
      <c r="AE1133" s="9" t="s">
        <v>5294</v>
      </c>
      <c r="AH1133" s="9">
        <v>2375</v>
      </c>
      <c r="AI1133" s="9" t="s">
        <v>77</v>
      </c>
      <c r="AJ1133" s="9" t="s">
        <v>301</v>
      </c>
      <c r="AK1133" s="11" t="str">
        <f t="shared" si="8"/>
        <v>2022GBP</v>
      </c>
      <c r="AL1133" s="11">
        <f>VLOOKUP(AK1133, Exchange_rates!$C:$D, 2, FALSE)</f>
        <v>1</v>
      </c>
      <c r="AM1133" s="14">
        <f t="shared" si="9"/>
        <v>2850</v>
      </c>
      <c r="AN1133" s="9"/>
      <c r="AO1133" s="9"/>
      <c r="AP1133" s="17"/>
      <c r="AQ1133" s="15" t="s">
        <v>49</v>
      </c>
      <c r="AR1133" t="s">
        <v>5295</v>
      </c>
      <c r="AS1133" s="16" t="s">
        <v>5296</v>
      </c>
    </row>
    <row r="1134" spans="1:60" ht="14.5">
      <c r="A1134" s="9" t="s">
        <v>5297</v>
      </c>
      <c r="B1134" s="9" t="s">
        <v>5298</v>
      </c>
      <c r="C1134" s="9" t="s">
        <v>5299</v>
      </c>
      <c r="D1134" s="9" t="s">
        <v>4371</v>
      </c>
      <c r="E1134" s="17" t="s">
        <v>49</v>
      </c>
      <c r="F1134" s="9" t="s">
        <v>69</v>
      </c>
      <c r="G1134" s="9" t="s">
        <v>70</v>
      </c>
      <c r="H1134" s="9" t="s">
        <v>4949</v>
      </c>
      <c r="I1134" s="9" t="s">
        <v>72</v>
      </c>
      <c r="J1134" s="10"/>
      <c r="K1134" s="10"/>
      <c r="L1134" s="10">
        <v>44861.405856481484</v>
      </c>
      <c r="N1134" s="9">
        <v>2022</v>
      </c>
      <c r="O1134" s="9" t="s">
        <v>5289</v>
      </c>
      <c r="P1134" s="9" t="s">
        <v>83</v>
      </c>
      <c r="Q1134" s="9" t="s">
        <v>53</v>
      </c>
      <c r="T1134" s="9"/>
      <c r="U1134" s="9" t="s">
        <v>5300</v>
      </c>
      <c r="V1134" s="9" t="s">
        <v>5291</v>
      </c>
      <c r="W1134" s="11">
        <f>IFERROR(VLOOKUP(B1134, PlumX_snapshot!$A:$B, 2, FALSE), " ")</f>
        <v>2</v>
      </c>
      <c r="X1134" s="11">
        <f>IFERROR(VLOOKUP(B1134, PlumX_snapshot!$A:$C, 3, FALSE), " ")</f>
        <v>0</v>
      </c>
      <c r="Y1134" s="12">
        <f>IFERROR(VLOOKUP(B1134, PlumX_snapshot!$A:$D, 4, FALSE), " ")</f>
        <v>18</v>
      </c>
      <c r="Z1134" s="12">
        <f>IFERROR(VLOOKUP(B1134, PlumX_snapshot!$A:$E, 5, FALSE), " ")</f>
        <v>0</v>
      </c>
      <c r="AA1134" s="12">
        <f>IFERROR(VLOOKUP(B1134, PlumX_snapshot!$A:$F, 6, FALSE), " ")</f>
        <v>2</v>
      </c>
      <c r="AB1134" s="13">
        <v>44978</v>
      </c>
      <c r="AC1134" s="9" t="s">
        <v>5301</v>
      </c>
      <c r="AD1134" s="9" t="s">
        <v>5302</v>
      </c>
      <c r="AE1134" s="9"/>
      <c r="AH1134" s="9">
        <v>2434</v>
      </c>
      <c r="AI1134" s="9" t="s">
        <v>1999</v>
      </c>
      <c r="AJ1134" s="9" t="s">
        <v>301</v>
      </c>
      <c r="AK1134" s="11" t="str">
        <f t="shared" si="8"/>
        <v>2022GBP</v>
      </c>
      <c r="AL1134" s="11">
        <f>VLOOKUP(AK1134, Exchange_rates!$C:$D, 2, FALSE)</f>
        <v>1</v>
      </c>
      <c r="AM1134" s="14">
        <f t="shared" si="9"/>
        <v>2920.7999999999997</v>
      </c>
      <c r="AN1134" s="9"/>
      <c r="AO1134" s="9"/>
      <c r="AP1134" s="17"/>
      <c r="AQ1134" s="15" t="s">
        <v>49</v>
      </c>
      <c r="AR1134" t="s">
        <v>5303</v>
      </c>
      <c r="AS1134" s="16" t="s">
        <v>5304</v>
      </c>
    </row>
    <row r="1135" spans="1:60" ht="14.5">
      <c r="A1135" s="9" t="s">
        <v>5305</v>
      </c>
      <c r="B1135" s="9" t="s">
        <v>5306</v>
      </c>
      <c r="C1135" s="9" t="s">
        <v>5307</v>
      </c>
      <c r="D1135" s="9" t="s">
        <v>4371</v>
      </c>
      <c r="E1135" s="17" t="s">
        <v>49</v>
      </c>
      <c r="F1135" s="9" t="s">
        <v>69</v>
      </c>
      <c r="G1135" s="9" t="s">
        <v>70</v>
      </c>
      <c r="H1135" s="9" t="s">
        <v>4949</v>
      </c>
      <c r="I1135" s="9" t="s">
        <v>72</v>
      </c>
      <c r="J1135" s="10"/>
      <c r="K1135" s="10"/>
      <c r="L1135" s="10">
        <v>44859.566238425927</v>
      </c>
      <c r="M1135" s="28">
        <v>44878</v>
      </c>
      <c r="N1135" s="9">
        <v>2022</v>
      </c>
      <c r="O1135" s="9" t="s">
        <v>5289</v>
      </c>
      <c r="P1135" s="9" t="s">
        <v>83</v>
      </c>
      <c r="Q1135" s="9" t="s">
        <v>53</v>
      </c>
      <c r="R1135" s="9" t="s">
        <v>5308</v>
      </c>
      <c r="T1135" s="9"/>
      <c r="V1135" s="9" t="s">
        <v>5291</v>
      </c>
      <c r="W1135" s="11">
        <f>IFERROR(VLOOKUP(B1135, PlumX_snapshot!$A:$B, 2, FALSE), " ")</f>
        <v>0</v>
      </c>
      <c r="X1135" s="11">
        <f>IFERROR(VLOOKUP(B1135, PlumX_snapshot!$A:$C, 3, FALSE), " ")</f>
        <v>0</v>
      </c>
      <c r="Y1135" s="12">
        <f>IFERROR(VLOOKUP(B1135, PlumX_snapshot!$A:$D, 4, FALSE), " ")</f>
        <v>0</v>
      </c>
      <c r="Z1135" s="12">
        <f>IFERROR(VLOOKUP(B1135, PlumX_snapshot!$A:$E, 5, FALSE), " ")</f>
        <v>0</v>
      </c>
      <c r="AA1135" s="12">
        <f>IFERROR(VLOOKUP(B1135, PlumX_snapshot!$A:$F, 6, FALSE), " ")</f>
        <v>0</v>
      </c>
      <c r="AB1135" s="13">
        <v>44978</v>
      </c>
      <c r="AC1135" s="9" t="s">
        <v>5309</v>
      </c>
      <c r="AD1135" s="9" t="s">
        <v>5310</v>
      </c>
      <c r="AE1135" s="9" t="s">
        <v>5311</v>
      </c>
      <c r="AH1135" s="9">
        <v>1980</v>
      </c>
      <c r="AI1135" s="9" t="s">
        <v>77</v>
      </c>
      <c r="AJ1135" s="9" t="s">
        <v>301</v>
      </c>
      <c r="AK1135" s="11" t="str">
        <f t="shared" si="8"/>
        <v>2022GBP</v>
      </c>
      <c r="AL1135" s="11">
        <f>VLOOKUP(AK1135, Exchange_rates!$C:$D, 2, FALSE)</f>
        <v>1</v>
      </c>
      <c r="AM1135" s="14">
        <f t="shared" si="9"/>
        <v>2376</v>
      </c>
      <c r="AN1135" s="9"/>
      <c r="AO1135" s="9"/>
      <c r="AP1135" s="17"/>
      <c r="AQ1135" s="15" t="s">
        <v>49</v>
      </c>
      <c r="AR1135" t="s">
        <v>5312</v>
      </c>
      <c r="AS1135" s="16" t="s">
        <v>5313</v>
      </c>
    </row>
    <row r="1136" spans="1:60" ht="14.5">
      <c r="A1136" s="9" t="s">
        <v>5314</v>
      </c>
      <c r="B1136" s="9" t="s">
        <v>5315</v>
      </c>
      <c r="C1136" s="9" t="s">
        <v>5316</v>
      </c>
      <c r="D1136" s="9" t="s">
        <v>4371</v>
      </c>
      <c r="E1136" s="17" t="s">
        <v>49</v>
      </c>
      <c r="F1136" s="9" t="s">
        <v>69</v>
      </c>
      <c r="G1136" s="9" t="s">
        <v>70</v>
      </c>
      <c r="H1136" s="9" t="s">
        <v>4949</v>
      </c>
      <c r="I1136" s="9" t="s">
        <v>291</v>
      </c>
      <c r="J1136" s="10"/>
      <c r="K1136" s="10"/>
      <c r="L1136" s="10">
        <v>44859.350277777776</v>
      </c>
      <c r="N1136" s="9">
        <v>2022</v>
      </c>
      <c r="O1136" s="9" t="s">
        <v>5289</v>
      </c>
      <c r="P1136" s="9" t="s">
        <v>53</v>
      </c>
      <c r="Q1136" s="9" t="s">
        <v>53</v>
      </c>
      <c r="T1136" s="9"/>
      <c r="V1136" s="9" t="s">
        <v>5291</v>
      </c>
      <c r="W1136" s="11">
        <f>IFERROR(VLOOKUP(B1136, PlumX_snapshot!$A:$B, 2, FALSE), " ")</f>
        <v>1</v>
      </c>
      <c r="X1136" s="11">
        <f>IFERROR(VLOOKUP(B1136, PlumX_snapshot!$A:$C, 3, FALSE), " ")</f>
        <v>0</v>
      </c>
      <c r="Y1136" s="12">
        <f>IFERROR(VLOOKUP(B1136, PlumX_snapshot!$A:$D, 4, FALSE), " ")</f>
        <v>10</v>
      </c>
      <c r="Z1136" s="12">
        <f>IFERROR(VLOOKUP(B1136, PlumX_snapshot!$A:$E, 5, FALSE), " ")</f>
        <v>0</v>
      </c>
      <c r="AA1136" s="12">
        <f>IFERROR(VLOOKUP(B1136, PlumX_snapshot!$A:$F, 6, FALSE), " ")</f>
        <v>0</v>
      </c>
      <c r="AB1136" s="13">
        <v>44978</v>
      </c>
      <c r="AC1136" s="9" t="s">
        <v>5317</v>
      </c>
      <c r="AD1136" s="9" t="s">
        <v>5318</v>
      </c>
      <c r="AE1136" s="9"/>
      <c r="AH1136" s="9">
        <v>2434</v>
      </c>
      <c r="AI1136" s="9" t="s">
        <v>1999</v>
      </c>
      <c r="AJ1136" s="9" t="s">
        <v>301</v>
      </c>
      <c r="AK1136" s="11" t="str">
        <f t="shared" si="8"/>
        <v>2022GBP</v>
      </c>
      <c r="AL1136" s="11">
        <f>VLOOKUP(AK1136, Exchange_rates!$C:$D, 2, FALSE)</f>
        <v>1</v>
      </c>
      <c r="AM1136" s="14">
        <f t="shared" si="9"/>
        <v>2920.7999999999997</v>
      </c>
      <c r="AN1136" s="9"/>
      <c r="AO1136" s="9"/>
      <c r="AP1136" s="17"/>
      <c r="AQ1136" s="15" t="s">
        <v>49</v>
      </c>
      <c r="AR1136" t="s">
        <v>5319</v>
      </c>
      <c r="AS1136" s="16" t="s">
        <v>5320</v>
      </c>
    </row>
    <row r="1137" spans="1:45" ht="14.5">
      <c r="A1137" s="9" t="s">
        <v>5321</v>
      </c>
      <c r="B1137" s="9" t="s">
        <v>5322</v>
      </c>
      <c r="C1137" s="9" t="s">
        <v>5323</v>
      </c>
      <c r="D1137" s="9" t="s">
        <v>4371</v>
      </c>
      <c r="E1137" s="17" t="s">
        <v>49</v>
      </c>
      <c r="F1137" s="9" t="s">
        <v>69</v>
      </c>
      <c r="G1137" s="9" t="s">
        <v>70</v>
      </c>
      <c r="H1137" s="9" t="s">
        <v>4949</v>
      </c>
      <c r="I1137" s="9" t="s">
        <v>291</v>
      </c>
      <c r="J1137" s="10"/>
      <c r="K1137" s="10"/>
      <c r="L1137" s="10">
        <v>44844.424710648149</v>
      </c>
      <c r="M1137" s="28">
        <v>44848</v>
      </c>
      <c r="N1137" s="9">
        <v>2022</v>
      </c>
      <c r="O1137" s="9" t="s">
        <v>5289</v>
      </c>
      <c r="P1137" s="9" t="s">
        <v>53</v>
      </c>
      <c r="Q1137" s="9" t="s">
        <v>53</v>
      </c>
      <c r="R1137" s="9" t="s">
        <v>5324</v>
      </c>
      <c r="T1137" s="9"/>
      <c r="V1137" s="9" t="s">
        <v>5291</v>
      </c>
      <c r="W1137" s="11">
        <f>IFERROR(VLOOKUP(B1137, PlumX_snapshot!$A:$B, 2, FALSE), " ")</f>
        <v>0</v>
      </c>
      <c r="X1137" s="11">
        <f>IFERROR(VLOOKUP(B1137, PlumX_snapshot!$A:$C, 3, FALSE), " ")</f>
        <v>0</v>
      </c>
      <c r="Y1137" s="12">
        <f>IFERROR(VLOOKUP(B1137, PlumX_snapshot!$A:$D, 4, FALSE), " ")</f>
        <v>2</v>
      </c>
      <c r="Z1137" s="12">
        <f>IFERROR(VLOOKUP(B1137, PlumX_snapshot!$A:$E, 5, FALSE), " ")</f>
        <v>0</v>
      </c>
      <c r="AA1137" s="12">
        <f>IFERROR(VLOOKUP(B1137, PlumX_snapshot!$A:$F, 6, FALSE), " ")</f>
        <v>0</v>
      </c>
      <c r="AB1137" s="13">
        <v>44978</v>
      </c>
      <c r="AC1137" s="9" t="s">
        <v>5325</v>
      </c>
      <c r="AD1137" s="9" t="s">
        <v>5326</v>
      </c>
      <c r="AE1137" s="9" t="s">
        <v>5327</v>
      </c>
      <c r="AH1137" s="9">
        <v>2375</v>
      </c>
      <c r="AI1137" s="9" t="s">
        <v>77</v>
      </c>
      <c r="AJ1137" s="9" t="s">
        <v>301</v>
      </c>
      <c r="AK1137" s="11" t="str">
        <f t="shared" si="8"/>
        <v>2022GBP</v>
      </c>
      <c r="AL1137" s="11">
        <f>VLOOKUP(AK1137, Exchange_rates!$C:$D, 2, FALSE)</f>
        <v>1</v>
      </c>
      <c r="AM1137" s="14">
        <f t="shared" si="9"/>
        <v>2850</v>
      </c>
      <c r="AN1137" s="9"/>
      <c r="AO1137" s="9"/>
      <c r="AP1137" s="17"/>
      <c r="AQ1137" s="15" t="s">
        <v>49</v>
      </c>
      <c r="AR1137" t="s">
        <v>5328</v>
      </c>
      <c r="AS1137" s="16" t="s">
        <v>5329</v>
      </c>
    </row>
    <row r="1138" spans="1:45" ht="14.5">
      <c r="A1138" s="9" t="s">
        <v>5330</v>
      </c>
      <c r="B1138" s="9" t="s">
        <v>5331</v>
      </c>
      <c r="C1138" s="9" t="s">
        <v>5332</v>
      </c>
      <c r="D1138" s="9" t="s">
        <v>4371</v>
      </c>
      <c r="E1138" s="17" t="s">
        <v>49</v>
      </c>
      <c r="F1138" s="9" t="s">
        <v>69</v>
      </c>
      <c r="G1138" s="9" t="s">
        <v>70</v>
      </c>
      <c r="H1138" s="9" t="s">
        <v>4949</v>
      </c>
      <c r="I1138" s="9" t="s">
        <v>291</v>
      </c>
      <c r="J1138" s="10"/>
      <c r="K1138" s="10"/>
      <c r="L1138" s="10">
        <v>44840.436990740738</v>
      </c>
      <c r="M1138" s="28">
        <v>44852</v>
      </c>
      <c r="N1138" s="9">
        <v>2022</v>
      </c>
      <c r="O1138" s="9" t="s">
        <v>5289</v>
      </c>
      <c r="P1138" s="9" t="s">
        <v>53</v>
      </c>
      <c r="Q1138" s="9" t="s">
        <v>53</v>
      </c>
      <c r="R1138" s="9" t="s">
        <v>92</v>
      </c>
      <c r="T1138" s="9"/>
      <c r="V1138" s="9" t="s">
        <v>5291</v>
      </c>
      <c r="W1138" s="11">
        <f>IFERROR(VLOOKUP(B1138, PlumX_snapshot!$A:$B, 2, FALSE), " ")</f>
        <v>3</v>
      </c>
      <c r="X1138" s="11">
        <f>IFERROR(VLOOKUP(B1138, PlumX_snapshot!$A:$C, 3, FALSE), " ")</f>
        <v>1</v>
      </c>
      <c r="Y1138" s="12">
        <f>IFERROR(VLOOKUP(B1138, PlumX_snapshot!$A:$D, 4, FALSE), " ")</f>
        <v>0</v>
      </c>
      <c r="Z1138" s="12">
        <f>IFERROR(VLOOKUP(B1138, PlumX_snapshot!$A:$E, 5, FALSE), " ")</f>
        <v>0</v>
      </c>
      <c r="AA1138" s="12">
        <f>IFERROR(VLOOKUP(B1138, PlumX_snapshot!$A:$F, 6, FALSE), " ")</f>
        <v>1</v>
      </c>
      <c r="AB1138" s="13">
        <v>44978</v>
      </c>
      <c r="AC1138" s="9" t="s">
        <v>5333</v>
      </c>
      <c r="AD1138" s="9" t="s">
        <v>5334</v>
      </c>
      <c r="AE1138" s="9" t="s">
        <v>5335</v>
      </c>
      <c r="AH1138" s="9">
        <v>2375</v>
      </c>
      <c r="AI1138" s="9" t="s">
        <v>77</v>
      </c>
      <c r="AJ1138" s="9" t="s">
        <v>301</v>
      </c>
      <c r="AK1138" s="11" t="str">
        <f t="shared" si="8"/>
        <v>2022GBP</v>
      </c>
      <c r="AL1138" s="11">
        <f>VLOOKUP(AK1138, Exchange_rates!$C:$D, 2, FALSE)</f>
        <v>1</v>
      </c>
      <c r="AM1138" s="14">
        <f t="shared" si="9"/>
        <v>2850</v>
      </c>
      <c r="AN1138" s="9"/>
      <c r="AO1138" s="9"/>
      <c r="AP1138" s="17"/>
      <c r="AQ1138" s="15" t="s">
        <v>49</v>
      </c>
      <c r="AR1138" t="s">
        <v>5336</v>
      </c>
      <c r="AS1138" s="16" t="s">
        <v>5337</v>
      </c>
    </row>
    <row r="1139" spans="1:45" ht="14.5">
      <c r="A1139" s="9" t="s">
        <v>5338</v>
      </c>
      <c r="B1139" s="9" t="s">
        <v>5339</v>
      </c>
      <c r="C1139" s="9" t="s">
        <v>4856</v>
      </c>
      <c r="D1139" s="9" t="s">
        <v>4371</v>
      </c>
      <c r="E1139" s="17" t="s">
        <v>49</v>
      </c>
      <c r="F1139" s="9" t="s">
        <v>69</v>
      </c>
      <c r="G1139" s="9" t="s">
        <v>70</v>
      </c>
      <c r="H1139" s="9" t="s">
        <v>4949</v>
      </c>
      <c r="I1139" s="9" t="s">
        <v>291</v>
      </c>
      <c r="J1139" s="10"/>
      <c r="K1139" s="10"/>
      <c r="L1139" s="10">
        <v>44837.525219907409</v>
      </c>
      <c r="M1139" s="28">
        <v>44845</v>
      </c>
      <c r="N1139" s="9">
        <v>2022</v>
      </c>
      <c r="O1139" s="9" t="s">
        <v>5289</v>
      </c>
      <c r="P1139" s="9" t="s">
        <v>53</v>
      </c>
      <c r="Q1139" s="9" t="s">
        <v>53</v>
      </c>
      <c r="T1139" s="9"/>
      <c r="V1139" s="9" t="s">
        <v>5291</v>
      </c>
      <c r="W1139" s="11">
        <f>IFERROR(VLOOKUP(B1139, PlumX_snapshot!$A:$B, 2, FALSE), " ")</f>
        <v>2</v>
      </c>
      <c r="X1139" s="11">
        <f>IFERROR(VLOOKUP(B1139, PlumX_snapshot!$A:$C, 3, FALSE), " ")</f>
        <v>0</v>
      </c>
      <c r="Y1139" s="12">
        <f>IFERROR(VLOOKUP(B1139, PlumX_snapshot!$A:$D, 4, FALSE), " ")</f>
        <v>16</v>
      </c>
      <c r="Z1139" s="12">
        <f>IFERROR(VLOOKUP(B1139, PlumX_snapshot!$A:$E, 5, FALSE), " ")</f>
        <v>0</v>
      </c>
      <c r="AA1139" s="12">
        <f>IFERROR(VLOOKUP(B1139, PlumX_snapshot!$A:$F, 6, FALSE), " ")</f>
        <v>0</v>
      </c>
      <c r="AB1139" s="13">
        <v>44978</v>
      </c>
      <c r="AC1139" s="9" t="s">
        <v>5340</v>
      </c>
      <c r="AD1139" s="9" t="s">
        <v>5341</v>
      </c>
      <c r="AE1139" s="9" t="s">
        <v>5342</v>
      </c>
      <c r="AH1139" s="9">
        <v>2775</v>
      </c>
      <c r="AI1139" s="9" t="s">
        <v>77</v>
      </c>
      <c r="AJ1139" s="9" t="s">
        <v>301</v>
      </c>
      <c r="AK1139" s="11" t="str">
        <f t="shared" si="8"/>
        <v>2022GBP</v>
      </c>
      <c r="AL1139" s="11">
        <f>VLOOKUP(AK1139, Exchange_rates!$C:$D, 2, FALSE)</f>
        <v>1</v>
      </c>
      <c r="AM1139" s="14">
        <f t="shared" si="9"/>
        <v>3330</v>
      </c>
      <c r="AN1139" s="9"/>
      <c r="AO1139" s="9"/>
      <c r="AP1139" s="17"/>
      <c r="AQ1139" s="15" t="s">
        <v>49</v>
      </c>
      <c r="AR1139" t="s">
        <v>4859</v>
      </c>
      <c r="AS1139" s="16" t="s">
        <v>4860</v>
      </c>
    </row>
    <row r="1140" spans="1:45" ht="14.5">
      <c r="A1140" s="9" t="s">
        <v>5343</v>
      </c>
      <c r="B1140" s="9" t="s">
        <v>5344</v>
      </c>
      <c r="C1140" s="9" t="s">
        <v>5345</v>
      </c>
      <c r="D1140" s="9" t="s">
        <v>4371</v>
      </c>
      <c r="E1140" s="17" t="s">
        <v>49</v>
      </c>
      <c r="F1140" s="9" t="s">
        <v>69</v>
      </c>
      <c r="G1140" s="9" t="s">
        <v>70</v>
      </c>
      <c r="H1140" s="9" t="s">
        <v>4949</v>
      </c>
      <c r="I1140" s="9" t="s">
        <v>72</v>
      </c>
      <c r="J1140" s="10"/>
      <c r="K1140" s="10"/>
      <c r="L1140" s="10">
        <v>44837.524363425924</v>
      </c>
      <c r="M1140" s="10">
        <v>44840</v>
      </c>
      <c r="N1140" s="9">
        <v>2022</v>
      </c>
      <c r="O1140" s="9" t="s">
        <v>5289</v>
      </c>
      <c r="P1140" s="9" t="s">
        <v>83</v>
      </c>
      <c r="Q1140" s="9" t="s">
        <v>53</v>
      </c>
      <c r="R1140" s="9" t="s">
        <v>5346</v>
      </c>
      <c r="T1140" s="9"/>
      <c r="V1140" s="9" t="s">
        <v>5291</v>
      </c>
      <c r="W1140" s="11">
        <f>IFERROR(VLOOKUP(B1140, PlumX_snapshot!$A:$B, 2, FALSE), " ")</f>
        <v>10</v>
      </c>
      <c r="X1140" s="11">
        <f>IFERROR(VLOOKUP(B1140, PlumX_snapshot!$A:$C, 3, FALSE), " ")</f>
        <v>0</v>
      </c>
      <c r="Y1140" s="12">
        <f>IFERROR(VLOOKUP(B1140, PlumX_snapshot!$A:$D, 4, FALSE), " ")</f>
        <v>0</v>
      </c>
      <c r="Z1140" s="12">
        <f>IFERROR(VLOOKUP(B1140, PlumX_snapshot!$A:$E, 5, FALSE), " ")</f>
        <v>0</v>
      </c>
      <c r="AA1140" s="12">
        <f>IFERROR(VLOOKUP(B1140, PlumX_snapshot!$A:$F, 6, FALSE), " ")</f>
        <v>0</v>
      </c>
      <c r="AB1140" s="13">
        <v>44978</v>
      </c>
      <c r="AC1140" s="9" t="s">
        <v>5347</v>
      </c>
      <c r="AD1140" s="9" t="s">
        <v>5348</v>
      </c>
      <c r="AE1140" s="9" t="s">
        <v>5349</v>
      </c>
      <c r="AH1140" s="9">
        <v>3090</v>
      </c>
      <c r="AI1140" s="9" t="s">
        <v>77</v>
      </c>
      <c r="AJ1140" s="9" t="s">
        <v>301</v>
      </c>
      <c r="AK1140" s="11" t="str">
        <f t="shared" si="8"/>
        <v>2022GBP</v>
      </c>
      <c r="AL1140" s="11">
        <f>VLOOKUP(AK1140, Exchange_rates!$C:$D, 2, FALSE)</f>
        <v>1</v>
      </c>
      <c r="AM1140" s="14">
        <f t="shared" si="9"/>
        <v>3708</v>
      </c>
      <c r="AN1140" s="9"/>
      <c r="AO1140" s="9"/>
      <c r="AP1140" s="17"/>
      <c r="AQ1140" s="15" t="s">
        <v>49</v>
      </c>
      <c r="AR1140" t="s">
        <v>5350</v>
      </c>
      <c r="AS1140" s="16" t="s">
        <v>5351</v>
      </c>
    </row>
    <row r="1141" spans="1:45" ht="14.5">
      <c r="A1141" s="9" t="s">
        <v>5352</v>
      </c>
      <c r="B1141" s="9" t="s">
        <v>5353</v>
      </c>
      <c r="C1141" s="9" t="s">
        <v>5354</v>
      </c>
      <c r="D1141" s="9" t="s">
        <v>4371</v>
      </c>
      <c r="E1141" s="17" t="s">
        <v>49</v>
      </c>
      <c r="F1141" s="9" t="s">
        <v>69</v>
      </c>
      <c r="G1141" s="9" t="s">
        <v>70</v>
      </c>
      <c r="H1141" s="9" t="s">
        <v>4949</v>
      </c>
      <c r="I1141" s="9" t="s">
        <v>72</v>
      </c>
      <c r="J1141" s="10"/>
      <c r="K1141" s="10"/>
      <c r="L1141" s="10">
        <v>44834.38554398148</v>
      </c>
      <c r="M1141" s="10">
        <v>44841</v>
      </c>
      <c r="N1141" s="9">
        <v>2022</v>
      </c>
      <c r="O1141" s="9" t="s">
        <v>5289</v>
      </c>
      <c r="P1141" s="9" t="s">
        <v>53</v>
      </c>
      <c r="Q1141" s="9" t="s">
        <v>53</v>
      </c>
      <c r="R1141" s="9" t="s">
        <v>92</v>
      </c>
      <c r="T1141" s="9"/>
      <c r="V1141" s="9" t="s">
        <v>5291</v>
      </c>
      <c r="W1141" s="11">
        <f>IFERROR(VLOOKUP(B1141, PlumX_snapshot!$A:$B, 2, FALSE), " ")</f>
        <v>1</v>
      </c>
      <c r="X1141" s="11">
        <f>IFERROR(VLOOKUP(B1141, PlumX_snapshot!$A:$C, 3, FALSE), " ")</f>
        <v>0</v>
      </c>
      <c r="Y1141" s="12">
        <f>IFERROR(VLOOKUP(B1141, PlumX_snapshot!$A:$D, 4, FALSE), " ")</f>
        <v>15</v>
      </c>
      <c r="Z1141" s="12">
        <f>IFERROR(VLOOKUP(B1141, PlumX_snapshot!$A:$E, 5, FALSE), " ")</f>
        <v>0</v>
      </c>
      <c r="AA1141" s="12">
        <f>IFERROR(VLOOKUP(B1141, PlumX_snapshot!$A:$F, 6, FALSE), " ")</f>
        <v>0</v>
      </c>
      <c r="AB1141" s="13">
        <v>44978</v>
      </c>
      <c r="AC1141" s="9" t="s">
        <v>5355</v>
      </c>
      <c r="AD1141" s="9" t="s">
        <v>5356</v>
      </c>
      <c r="AE1141" s="9"/>
      <c r="AH1141" s="9">
        <v>2375</v>
      </c>
      <c r="AI1141" s="9" t="s">
        <v>77</v>
      </c>
      <c r="AJ1141" s="9" t="s">
        <v>301</v>
      </c>
      <c r="AK1141" s="11" t="str">
        <f t="shared" si="8"/>
        <v>2022GBP</v>
      </c>
      <c r="AL1141" s="11">
        <f>VLOOKUP(AK1141, Exchange_rates!$C:$D, 2, FALSE)</f>
        <v>1</v>
      </c>
      <c r="AM1141" s="14">
        <f t="shared" si="9"/>
        <v>2850</v>
      </c>
      <c r="AN1141" s="9"/>
      <c r="AO1141" s="9"/>
      <c r="AP1141" s="17"/>
      <c r="AQ1141" s="15" t="s">
        <v>49</v>
      </c>
      <c r="AR1141" t="s">
        <v>5357</v>
      </c>
      <c r="AS1141" s="16" t="s">
        <v>5358</v>
      </c>
    </row>
    <row r="1142" spans="1:45" ht="14.5">
      <c r="A1142" s="9" t="s">
        <v>5359</v>
      </c>
      <c r="B1142" s="9" t="s">
        <v>5360</v>
      </c>
      <c r="C1142" s="9" t="s">
        <v>5361</v>
      </c>
      <c r="D1142" s="9" t="s">
        <v>4371</v>
      </c>
      <c r="E1142" s="17" t="s">
        <v>49</v>
      </c>
      <c r="F1142" s="9" t="s">
        <v>69</v>
      </c>
      <c r="G1142" s="9" t="s">
        <v>70</v>
      </c>
      <c r="H1142" s="9" t="s">
        <v>4949</v>
      </c>
      <c r="I1142" s="9" t="s">
        <v>72</v>
      </c>
      <c r="J1142" s="10"/>
      <c r="K1142" s="10"/>
      <c r="L1142" s="10">
        <v>44834.379560185182</v>
      </c>
      <c r="M1142" s="10">
        <v>44842</v>
      </c>
      <c r="N1142" s="9">
        <v>2022</v>
      </c>
      <c r="O1142" s="9" t="s">
        <v>5289</v>
      </c>
      <c r="P1142" s="9" t="s">
        <v>83</v>
      </c>
      <c r="Q1142" s="9" t="s">
        <v>53</v>
      </c>
      <c r="R1142" s="9" t="s">
        <v>5362</v>
      </c>
      <c r="T1142" s="9"/>
      <c r="V1142" s="9" t="s">
        <v>5291</v>
      </c>
      <c r="W1142" s="11">
        <f>IFERROR(VLOOKUP(B1142, PlumX_snapshot!$A:$B, 2, FALSE), " ")</f>
        <v>1</v>
      </c>
      <c r="X1142" s="11">
        <f>IFERROR(VLOOKUP(B1142, PlumX_snapshot!$A:$C, 3, FALSE), " ")</f>
        <v>0</v>
      </c>
      <c r="Y1142" s="12">
        <f>IFERROR(VLOOKUP(B1142, PlumX_snapshot!$A:$D, 4, FALSE), " ")</f>
        <v>24</v>
      </c>
      <c r="Z1142" s="12">
        <f>IFERROR(VLOOKUP(B1142, PlumX_snapshot!$A:$E, 5, FALSE), " ")</f>
        <v>0</v>
      </c>
      <c r="AA1142" s="12">
        <f>IFERROR(VLOOKUP(B1142, PlumX_snapshot!$A:$F, 6, FALSE), " ")</f>
        <v>0</v>
      </c>
      <c r="AB1142" s="13">
        <v>44978</v>
      </c>
      <c r="AC1142" s="9" t="s">
        <v>590</v>
      </c>
      <c r="AD1142" s="9" t="s">
        <v>591</v>
      </c>
      <c r="AE1142" s="9" t="s">
        <v>5363</v>
      </c>
      <c r="AH1142" s="9">
        <v>2375</v>
      </c>
      <c r="AI1142" s="9" t="s">
        <v>77</v>
      </c>
      <c r="AJ1142" s="9" t="s">
        <v>301</v>
      </c>
      <c r="AK1142" s="11" t="str">
        <f t="shared" si="8"/>
        <v>2022GBP</v>
      </c>
      <c r="AL1142" s="11">
        <f>VLOOKUP(AK1142, Exchange_rates!$C:$D, 2, FALSE)</f>
        <v>1</v>
      </c>
      <c r="AM1142" s="14">
        <f t="shared" si="9"/>
        <v>2850</v>
      </c>
      <c r="AN1142" s="9"/>
      <c r="AO1142" s="9"/>
      <c r="AP1142" s="17"/>
      <c r="AQ1142" s="15" t="s">
        <v>49</v>
      </c>
      <c r="AR1142" t="s">
        <v>5364</v>
      </c>
      <c r="AS1142" s="16" t="s">
        <v>5365</v>
      </c>
    </row>
    <row r="1143" spans="1:45" ht="14.5">
      <c r="A1143" s="9" t="s">
        <v>5366</v>
      </c>
      <c r="B1143" s="9" t="s">
        <v>5367</v>
      </c>
      <c r="C1143" s="9" t="s">
        <v>4574</v>
      </c>
      <c r="D1143" s="9" t="s">
        <v>4371</v>
      </c>
      <c r="E1143" s="17" t="s">
        <v>49</v>
      </c>
      <c r="F1143" s="9" t="s">
        <v>69</v>
      </c>
      <c r="G1143" s="9" t="s">
        <v>70</v>
      </c>
      <c r="H1143" s="9" t="s">
        <v>4949</v>
      </c>
      <c r="I1143" s="9" t="s">
        <v>291</v>
      </c>
      <c r="J1143" s="10"/>
      <c r="K1143" s="10"/>
      <c r="L1143" s="10">
        <v>44831.624965277777</v>
      </c>
      <c r="M1143" s="10">
        <v>44841</v>
      </c>
      <c r="N1143" s="9">
        <v>2022</v>
      </c>
      <c r="O1143" s="9" t="s">
        <v>5289</v>
      </c>
      <c r="P1143" s="9" t="s">
        <v>53</v>
      </c>
      <c r="Q1143" s="9" t="s">
        <v>53</v>
      </c>
      <c r="R1143" s="9" t="s">
        <v>5368</v>
      </c>
      <c r="T1143" s="9"/>
      <c r="V1143" s="9" t="s">
        <v>5291</v>
      </c>
      <c r="W1143" s="11">
        <f>IFERROR(VLOOKUP(B1143, PlumX_snapshot!$A:$B, 2, FALSE), " ")</f>
        <v>4</v>
      </c>
      <c r="X1143" s="11">
        <f>IFERROR(VLOOKUP(B1143, PlumX_snapshot!$A:$C, 3, FALSE), " ")</f>
        <v>1</v>
      </c>
      <c r="Y1143" s="12">
        <f>IFERROR(VLOOKUP(B1143, PlumX_snapshot!$A:$D, 4, FALSE), " ")</f>
        <v>1</v>
      </c>
      <c r="Z1143" s="12">
        <f>IFERROR(VLOOKUP(B1143, PlumX_snapshot!$A:$E, 5, FALSE), " ")</f>
        <v>0</v>
      </c>
      <c r="AA1143" s="12">
        <f>IFERROR(VLOOKUP(B1143, PlumX_snapshot!$A:$F, 6, FALSE), " ")</f>
        <v>0</v>
      </c>
      <c r="AB1143" s="13">
        <v>44978</v>
      </c>
      <c r="AC1143" s="9" t="s">
        <v>4665</v>
      </c>
      <c r="AD1143" s="9" t="s">
        <v>4666</v>
      </c>
      <c r="AE1143" s="9"/>
      <c r="AH1143" s="9">
        <v>2375</v>
      </c>
      <c r="AI1143" s="9" t="s">
        <v>77</v>
      </c>
      <c r="AJ1143" s="9" t="s">
        <v>301</v>
      </c>
      <c r="AK1143" s="11" t="str">
        <f t="shared" si="8"/>
        <v>2022GBP</v>
      </c>
      <c r="AL1143" s="11">
        <f>VLOOKUP(AK1143, Exchange_rates!$C:$D, 2, FALSE)</f>
        <v>1</v>
      </c>
      <c r="AM1143" s="14">
        <f t="shared" si="9"/>
        <v>2850</v>
      </c>
      <c r="AN1143" s="9"/>
      <c r="AO1143" s="9"/>
      <c r="AP1143" s="17"/>
      <c r="AQ1143" s="15" t="s">
        <v>49</v>
      </c>
      <c r="AR1143" t="s">
        <v>4579</v>
      </c>
      <c r="AS1143" s="16" t="s">
        <v>4580</v>
      </c>
    </row>
    <row r="1144" spans="1:45" ht="14.5">
      <c r="A1144" s="9" t="s">
        <v>5369</v>
      </c>
      <c r="B1144" s="9" t="s">
        <v>5370</v>
      </c>
      <c r="C1144" s="9" t="s">
        <v>4694</v>
      </c>
      <c r="D1144" s="9" t="s">
        <v>4371</v>
      </c>
      <c r="E1144" s="17" t="s">
        <v>49</v>
      </c>
      <c r="F1144" s="9" t="s">
        <v>69</v>
      </c>
      <c r="G1144" s="9" t="s">
        <v>70</v>
      </c>
      <c r="H1144" s="9" t="s">
        <v>4949</v>
      </c>
      <c r="I1144" s="9" t="s">
        <v>72</v>
      </c>
      <c r="J1144" s="10"/>
      <c r="K1144" s="10"/>
      <c r="L1144" s="10">
        <v>44825.368831018517</v>
      </c>
      <c r="M1144" s="10">
        <v>44816</v>
      </c>
      <c r="N1144" s="9">
        <v>2022</v>
      </c>
      <c r="O1144" s="9" t="s">
        <v>5289</v>
      </c>
      <c r="P1144" s="9" t="s">
        <v>53</v>
      </c>
      <c r="Q1144" s="9" t="s">
        <v>53</v>
      </c>
      <c r="R1144" s="9" t="s">
        <v>92</v>
      </c>
      <c r="T1144" s="9"/>
      <c r="V1144" s="9" t="s">
        <v>5291</v>
      </c>
      <c r="W1144" s="11">
        <f>IFERROR(VLOOKUP(B1144, PlumX_snapshot!$A:$B, 2, FALSE), " ")</f>
        <v>1</v>
      </c>
      <c r="X1144" s="11">
        <f>IFERROR(VLOOKUP(B1144, PlumX_snapshot!$A:$C, 3, FALSE), " ")</f>
        <v>0</v>
      </c>
      <c r="Y1144" s="12">
        <f>IFERROR(VLOOKUP(B1144, PlumX_snapshot!$A:$D, 4, FALSE), " ")</f>
        <v>20</v>
      </c>
      <c r="Z1144" s="12">
        <f>IFERROR(VLOOKUP(B1144, PlumX_snapshot!$A:$E, 5, FALSE), " ")</f>
        <v>0</v>
      </c>
      <c r="AA1144" s="12">
        <f>IFERROR(VLOOKUP(B1144, PlumX_snapshot!$A:$F, 6, FALSE), " ")</f>
        <v>0</v>
      </c>
      <c r="AB1144" s="13">
        <v>44978</v>
      </c>
      <c r="AC1144" s="9" t="s">
        <v>5371</v>
      </c>
      <c r="AD1144" s="9" t="s">
        <v>5372</v>
      </c>
      <c r="AE1144" s="9" t="s">
        <v>4689</v>
      </c>
      <c r="AH1144" s="9">
        <v>2375</v>
      </c>
      <c r="AI1144" s="9" t="s">
        <v>77</v>
      </c>
      <c r="AJ1144" s="9" t="s">
        <v>301</v>
      </c>
      <c r="AK1144" s="11" t="str">
        <f t="shared" si="8"/>
        <v>2022GBP</v>
      </c>
      <c r="AL1144" s="11">
        <f>VLOOKUP(AK1144, Exchange_rates!$C:$D, 2, FALSE)</f>
        <v>1</v>
      </c>
      <c r="AM1144" s="14">
        <f t="shared" si="9"/>
        <v>2850</v>
      </c>
      <c r="AN1144" s="9"/>
      <c r="AO1144" s="9"/>
      <c r="AP1144" s="17"/>
      <c r="AQ1144" s="15" t="s">
        <v>49</v>
      </c>
      <c r="AR1144" t="s">
        <v>4698</v>
      </c>
      <c r="AS1144" s="16" t="s">
        <v>4699</v>
      </c>
    </row>
    <row r="1145" spans="1:45" ht="14.5">
      <c r="A1145" s="9" t="s">
        <v>5373</v>
      </c>
      <c r="B1145" s="9" t="s">
        <v>5374</v>
      </c>
      <c r="C1145" s="9" t="s">
        <v>5375</v>
      </c>
      <c r="D1145" s="9" t="s">
        <v>4371</v>
      </c>
      <c r="E1145" s="17" t="s">
        <v>49</v>
      </c>
      <c r="F1145" s="9" t="s">
        <v>69</v>
      </c>
      <c r="G1145" s="9" t="s">
        <v>70</v>
      </c>
      <c r="H1145" s="9" t="s">
        <v>4949</v>
      </c>
      <c r="I1145" s="9" t="s">
        <v>291</v>
      </c>
      <c r="J1145" s="10"/>
      <c r="K1145" s="10"/>
      <c r="L1145" s="10">
        <v>44824.361539351848</v>
      </c>
      <c r="M1145" s="10">
        <v>44832</v>
      </c>
      <c r="N1145" s="9">
        <v>2022</v>
      </c>
      <c r="O1145" s="9" t="s">
        <v>5289</v>
      </c>
      <c r="P1145" s="9" t="s">
        <v>53</v>
      </c>
      <c r="Q1145" s="9" t="s">
        <v>53</v>
      </c>
      <c r="R1145" s="9" t="s">
        <v>5376</v>
      </c>
      <c r="T1145" s="9"/>
      <c r="V1145" s="9" t="s">
        <v>5291</v>
      </c>
      <c r="W1145" s="11">
        <f>IFERROR(VLOOKUP(B1145, PlumX_snapshot!$A:$B, 2, FALSE), " ")</f>
        <v>7</v>
      </c>
      <c r="X1145" s="11">
        <f>IFERROR(VLOOKUP(B1145, PlumX_snapshot!$A:$C, 3, FALSE), " ")</f>
        <v>0</v>
      </c>
      <c r="Y1145" s="12">
        <f>IFERROR(VLOOKUP(B1145, PlumX_snapshot!$A:$D, 4, FALSE), " ")</f>
        <v>1</v>
      </c>
      <c r="Z1145" s="12">
        <f>IFERROR(VLOOKUP(B1145, PlumX_snapshot!$A:$E, 5, FALSE), " ")</f>
        <v>0</v>
      </c>
      <c r="AA1145" s="12">
        <f>IFERROR(VLOOKUP(B1145, PlumX_snapshot!$A:$F, 6, FALSE), " ")</f>
        <v>2</v>
      </c>
      <c r="AB1145" s="13">
        <v>44978</v>
      </c>
      <c r="AC1145" s="9" t="s">
        <v>5377</v>
      </c>
      <c r="AD1145" s="9" t="s">
        <v>5378</v>
      </c>
      <c r="AE1145" s="9" t="s">
        <v>5379</v>
      </c>
      <c r="AH1145" s="9">
        <v>2775</v>
      </c>
      <c r="AI1145" s="9" t="s">
        <v>77</v>
      </c>
      <c r="AJ1145" s="9" t="s">
        <v>301</v>
      </c>
      <c r="AK1145" s="11" t="str">
        <f t="shared" si="8"/>
        <v>2022GBP</v>
      </c>
      <c r="AL1145" s="11">
        <f>VLOOKUP(AK1145, Exchange_rates!$C:$D, 2, FALSE)</f>
        <v>1</v>
      </c>
      <c r="AM1145" s="14">
        <f t="shared" si="9"/>
        <v>3330</v>
      </c>
      <c r="AN1145" s="9"/>
      <c r="AO1145" s="9"/>
      <c r="AP1145" s="17"/>
      <c r="AQ1145" s="15" t="s">
        <v>49</v>
      </c>
      <c r="AR1145" t="s">
        <v>5380</v>
      </c>
      <c r="AS1145" s="16" t="s">
        <v>5381</v>
      </c>
    </row>
    <row r="1146" spans="1:45" ht="14.5">
      <c r="A1146" s="9" t="s">
        <v>5382</v>
      </c>
      <c r="B1146" s="9" t="s">
        <v>5383</v>
      </c>
      <c r="C1146" s="9" t="s">
        <v>5384</v>
      </c>
      <c r="D1146" s="9" t="s">
        <v>4371</v>
      </c>
      <c r="E1146" s="17" t="s">
        <v>49</v>
      </c>
      <c r="F1146" s="9" t="s">
        <v>69</v>
      </c>
      <c r="G1146" s="9" t="s">
        <v>70</v>
      </c>
      <c r="H1146" s="9" t="s">
        <v>4949</v>
      </c>
      <c r="I1146" s="9" t="s">
        <v>72</v>
      </c>
      <c r="J1146" s="10"/>
      <c r="K1146" s="10"/>
      <c r="L1146" s="10">
        <v>44824.360856481479</v>
      </c>
      <c r="M1146" s="28">
        <v>44858</v>
      </c>
      <c r="N1146" s="9">
        <v>2022</v>
      </c>
      <c r="O1146" s="9" t="s">
        <v>5289</v>
      </c>
      <c r="P1146" s="9" t="s">
        <v>83</v>
      </c>
      <c r="Q1146" s="9" t="s">
        <v>53</v>
      </c>
      <c r="R1146" s="9" t="s">
        <v>5385</v>
      </c>
      <c r="T1146" s="9"/>
      <c r="V1146" s="9" t="s">
        <v>5291</v>
      </c>
      <c r="W1146" s="11">
        <f>IFERROR(VLOOKUP(B1146, PlumX_snapshot!$A:$B, 2, FALSE), " ")</f>
        <v>5</v>
      </c>
      <c r="X1146" s="11">
        <f>IFERROR(VLOOKUP(B1146, PlumX_snapshot!$A:$C, 3, FALSE), " ")</f>
        <v>0</v>
      </c>
      <c r="Y1146" s="12">
        <f>IFERROR(VLOOKUP(B1146, PlumX_snapshot!$A:$D, 4, FALSE), " ")</f>
        <v>3</v>
      </c>
      <c r="Z1146" s="12">
        <f>IFERROR(VLOOKUP(B1146, PlumX_snapshot!$A:$E, 5, FALSE), " ")</f>
        <v>0</v>
      </c>
      <c r="AA1146" s="12">
        <f>IFERROR(VLOOKUP(B1146, PlumX_snapshot!$A:$F, 6, FALSE), " ")</f>
        <v>0</v>
      </c>
      <c r="AB1146" s="13">
        <v>44978</v>
      </c>
      <c r="AC1146" s="9" t="s">
        <v>5386</v>
      </c>
      <c r="AD1146" s="9" t="s">
        <v>5387</v>
      </c>
      <c r="AE1146" s="9"/>
      <c r="AH1146" s="9">
        <v>2615</v>
      </c>
      <c r="AI1146" s="9" t="s">
        <v>77</v>
      </c>
      <c r="AJ1146" s="9" t="s">
        <v>301</v>
      </c>
      <c r="AK1146" s="11" t="str">
        <f t="shared" si="8"/>
        <v>2022GBP</v>
      </c>
      <c r="AL1146" s="11">
        <f>VLOOKUP(AK1146, Exchange_rates!$C:$D, 2, FALSE)</f>
        <v>1</v>
      </c>
      <c r="AM1146" s="14">
        <f t="shared" si="9"/>
        <v>3138</v>
      </c>
      <c r="AN1146" s="9"/>
      <c r="AO1146" s="9"/>
      <c r="AP1146" s="17"/>
      <c r="AQ1146" s="15" t="s">
        <v>49</v>
      </c>
      <c r="AR1146" t="s">
        <v>5388</v>
      </c>
      <c r="AS1146" s="16" t="s">
        <v>5389</v>
      </c>
    </row>
    <row r="1147" spans="1:45" ht="14.5">
      <c r="A1147" s="9" t="s">
        <v>5390</v>
      </c>
      <c r="B1147" s="9" t="s">
        <v>5391</v>
      </c>
      <c r="C1147" s="9" t="s">
        <v>5392</v>
      </c>
      <c r="D1147" s="9" t="s">
        <v>4371</v>
      </c>
      <c r="E1147" s="17" t="s">
        <v>49</v>
      </c>
      <c r="F1147" s="9" t="s">
        <v>69</v>
      </c>
      <c r="G1147" s="9" t="s">
        <v>70</v>
      </c>
      <c r="H1147" s="9" t="s">
        <v>4949</v>
      </c>
      <c r="I1147" s="9" t="s">
        <v>291</v>
      </c>
      <c r="J1147" s="10"/>
      <c r="K1147" s="10"/>
      <c r="L1147" s="10">
        <v>44820.438171296293</v>
      </c>
      <c r="M1147" s="10">
        <v>44810</v>
      </c>
      <c r="N1147" s="9">
        <v>2022</v>
      </c>
      <c r="O1147" s="9" t="s">
        <v>5289</v>
      </c>
      <c r="P1147" s="9" t="s">
        <v>53</v>
      </c>
      <c r="Q1147" s="9" t="s">
        <v>53</v>
      </c>
      <c r="R1147" s="9" t="s">
        <v>5393</v>
      </c>
      <c r="T1147" s="9"/>
      <c r="V1147" s="9" t="s">
        <v>5291</v>
      </c>
      <c r="W1147" s="11">
        <f>IFERROR(VLOOKUP(B1147, PlumX_snapshot!$A:$B, 2, FALSE), " ")</f>
        <v>1</v>
      </c>
      <c r="X1147" s="11">
        <f>IFERROR(VLOOKUP(B1147, PlumX_snapshot!$A:$C, 3, FALSE), " ")</f>
        <v>0</v>
      </c>
      <c r="Y1147" s="12">
        <f>IFERROR(VLOOKUP(B1147, PlumX_snapshot!$A:$D, 4, FALSE), " ")</f>
        <v>0</v>
      </c>
      <c r="Z1147" s="12">
        <f>IFERROR(VLOOKUP(B1147, PlumX_snapshot!$A:$E, 5, FALSE), " ")</f>
        <v>0</v>
      </c>
      <c r="AA1147" s="12">
        <f>IFERROR(VLOOKUP(B1147, PlumX_snapshot!$A:$F, 6, FALSE), " ")</f>
        <v>0</v>
      </c>
      <c r="AB1147" s="13">
        <v>44978</v>
      </c>
      <c r="AC1147" s="9" t="s">
        <v>5394</v>
      </c>
      <c r="AD1147" s="9" t="s">
        <v>5395</v>
      </c>
      <c r="AE1147" s="9"/>
      <c r="AH1147" s="9">
        <v>2434</v>
      </c>
      <c r="AI1147" s="9" t="s">
        <v>1999</v>
      </c>
      <c r="AJ1147" s="9" t="s">
        <v>301</v>
      </c>
      <c r="AK1147" s="11" t="str">
        <f t="shared" si="8"/>
        <v>2022GBP</v>
      </c>
      <c r="AL1147" s="11">
        <f>VLOOKUP(AK1147, Exchange_rates!$C:$D, 2, FALSE)</f>
        <v>1</v>
      </c>
      <c r="AM1147" s="14">
        <f t="shared" si="9"/>
        <v>2920.7999999999997</v>
      </c>
      <c r="AN1147" s="9"/>
      <c r="AO1147" s="9"/>
      <c r="AP1147" s="17"/>
      <c r="AQ1147" s="15" t="s">
        <v>125</v>
      </c>
      <c r="AR1147" t="s">
        <v>5396</v>
      </c>
      <c r="AS1147" s="16" t="s">
        <v>5397</v>
      </c>
    </row>
    <row r="1148" spans="1:45" ht="14.5">
      <c r="A1148" s="9" t="s">
        <v>5398</v>
      </c>
      <c r="B1148" s="9" t="s">
        <v>5399</v>
      </c>
      <c r="C1148" s="9" t="s">
        <v>5400</v>
      </c>
      <c r="D1148" s="9" t="s">
        <v>4371</v>
      </c>
      <c r="E1148" s="17" t="s">
        <v>49</v>
      </c>
      <c r="F1148" s="9" t="s">
        <v>69</v>
      </c>
      <c r="G1148" s="9" t="s">
        <v>70</v>
      </c>
      <c r="H1148" s="9" t="s">
        <v>4949</v>
      </c>
      <c r="I1148" s="9" t="s">
        <v>291</v>
      </c>
      <c r="J1148" s="10"/>
      <c r="K1148" s="10"/>
      <c r="L1148" s="10">
        <v>44811.508460648147</v>
      </c>
      <c r="M1148" s="10">
        <v>44825</v>
      </c>
      <c r="N1148" s="9">
        <v>2022</v>
      </c>
      <c r="O1148" s="9" t="s">
        <v>5289</v>
      </c>
      <c r="P1148" s="9" t="s">
        <v>53</v>
      </c>
      <c r="Q1148" s="9" t="s">
        <v>53</v>
      </c>
      <c r="R1148" s="9" t="s">
        <v>5401</v>
      </c>
      <c r="T1148" s="9"/>
      <c r="V1148" s="9" t="s">
        <v>5402</v>
      </c>
      <c r="W1148" s="11">
        <f>IFERROR(VLOOKUP(B1148, PlumX_snapshot!$A:$B, 2, FALSE), " ")</f>
        <v>1</v>
      </c>
      <c r="X1148" s="11">
        <f>IFERROR(VLOOKUP(B1148, PlumX_snapshot!$A:$C, 3, FALSE), " ")</f>
        <v>0</v>
      </c>
      <c r="Y1148" s="12">
        <f>IFERROR(VLOOKUP(B1148, PlumX_snapshot!$A:$D, 4, FALSE), " ")</f>
        <v>12</v>
      </c>
      <c r="Z1148" s="12">
        <f>IFERROR(VLOOKUP(B1148, PlumX_snapshot!$A:$E, 5, FALSE), " ")</f>
        <v>0</v>
      </c>
      <c r="AA1148" s="12">
        <f>IFERROR(VLOOKUP(B1148, PlumX_snapshot!$A:$F, 6, FALSE), " ")</f>
        <v>0</v>
      </c>
      <c r="AB1148" s="13">
        <v>44978</v>
      </c>
      <c r="AC1148" s="9" t="s">
        <v>5403</v>
      </c>
      <c r="AD1148" s="9" t="s">
        <v>5404</v>
      </c>
      <c r="AE1148" s="9"/>
      <c r="AH1148" s="9">
        <v>2375</v>
      </c>
      <c r="AI1148" s="9" t="s">
        <v>77</v>
      </c>
      <c r="AJ1148" s="9" t="s">
        <v>301</v>
      </c>
      <c r="AK1148" s="11" t="str">
        <f t="shared" si="8"/>
        <v>2022GBP</v>
      </c>
      <c r="AL1148" s="11">
        <f>VLOOKUP(AK1148, Exchange_rates!$C:$D, 2, FALSE)</f>
        <v>1</v>
      </c>
      <c r="AM1148" s="14">
        <f t="shared" si="9"/>
        <v>2850</v>
      </c>
      <c r="AN1148" s="9"/>
      <c r="AO1148" s="9"/>
      <c r="AP1148" s="17"/>
      <c r="AQ1148" s="15" t="s">
        <v>49</v>
      </c>
      <c r="AR1148" t="s">
        <v>5405</v>
      </c>
      <c r="AS1148" s="16" t="s">
        <v>5406</v>
      </c>
    </row>
    <row r="1149" spans="1:45" ht="14.5">
      <c r="A1149" s="9" t="s">
        <v>5407</v>
      </c>
      <c r="B1149" s="9" t="s">
        <v>5408</v>
      </c>
      <c r="C1149" s="9" t="s">
        <v>4574</v>
      </c>
      <c r="D1149" s="9" t="s">
        <v>4371</v>
      </c>
      <c r="E1149" s="17" t="s">
        <v>49</v>
      </c>
      <c r="F1149" s="9" t="s">
        <v>69</v>
      </c>
      <c r="G1149" s="9" t="s">
        <v>70</v>
      </c>
      <c r="H1149" s="9" t="s">
        <v>4949</v>
      </c>
      <c r="I1149" s="9" t="s">
        <v>291</v>
      </c>
      <c r="J1149" s="10"/>
      <c r="K1149" s="10"/>
      <c r="L1149" s="10">
        <v>44811.423148148147</v>
      </c>
      <c r="M1149" s="10">
        <v>44809</v>
      </c>
      <c r="N1149" s="9">
        <v>2022</v>
      </c>
      <c r="O1149" s="9" t="s">
        <v>5289</v>
      </c>
      <c r="P1149" s="9" t="s">
        <v>53</v>
      </c>
      <c r="Q1149" s="9" t="s">
        <v>53</v>
      </c>
      <c r="R1149" s="9" t="s">
        <v>5409</v>
      </c>
      <c r="T1149" s="9"/>
      <c r="V1149" s="9" t="s">
        <v>5402</v>
      </c>
      <c r="W1149" s="11">
        <f>IFERROR(VLOOKUP(B1149, PlumX_snapshot!$A:$B, 2, FALSE), " ")</f>
        <v>19</v>
      </c>
      <c r="X1149" s="11">
        <f>IFERROR(VLOOKUP(B1149, PlumX_snapshot!$A:$C, 3, FALSE), " ")</f>
        <v>0</v>
      </c>
      <c r="Y1149" s="12">
        <f>IFERROR(VLOOKUP(B1149, PlumX_snapshot!$A:$D, 4, FALSE), " ")</f>
        <v>1</v>
      </c>
      <c r="Z1149" s="12">
        <f>IFERROR(VLOOKUP(B1149, PlumX_snapshot!$A:$E, 5, FALSE), " ")</f>
        <v>0</v>
      </c>
      <c r="AA1149" s="12">
        <f>IFERROR(VLOOKUP(B1149, PlumX_snapshot!$A:$F, 6, FALSE), " ")</f>
        <v>0</v>
      </c>
      <c r="AB1149" s="13">
        <v>44978</v>
      </c>
      <c r="AC1149" s="9" t="s">
        <v>5410</v>
      </c>
      <c r="AD1149" s="9" t="s">
        <v>5411</v>
      </c>
      <c r="AE1149" s="9"/>
      <c r="AH1149" s="9">
        <v>2375</v>
      </c>
      <c r="AI1149" s="9" t="s">
        <v>77</v>
      </c>
      <c r="AJ1149" s="9" t="s">
        <v>301</v>
      </c>
      <c r="AK1149" s="11" t="str">
        <f t="shared" si="8"/>
        <v>2022GBP</v>
      </c>
      <c r="AL1149" s="11">
        <f>VLOOKUP(AK1149, Exchange_rates!$C:$D, 2, FALSE)</f>
        <v>1</v>
      </c>
      <c r="AM1149" s="14">
        <f t="shared" si="9"/>
        <v>2850</v>
      </c>
      <c r="AN1149" s="9"/>
      <c r="AO1149" s="9"/>
      <c r="AP1149" s="17"/>
      <c r="AQ1149" s="15" t="s">
        <v>49</v>
      </c>
      <c r="AR1149" t="s">
        <v>4579</v>
      </c>
      <c r="AS1149" s="16" t="s">
        <v>4580</v>
      </c>
    </row>
    <row r="1150" spans="1:45" ht="14.5">
      <c r="A1150" s="9" t="s">
        <v>5412</v>
      </c>
      <c r="B1150" s="9" t="s">
        <v>5413</v>
      </c>
      <c r="C1150" s="9" t="s">
        <v>5414</v>
      </c>
      <c r="D1150" s="9" t="s">
        <v>4371</v>
      </c>
      <c r="E1150" s="17" t="s">
        <v>49</v>
      </c>
      <c r="F1150" s="9" t="s">
        <v>69</v>
      </c>
      <c r="G1150" s="9" t="s">
        <v>70</v>
      </c>
      <c r="H1150" s="9" t="s">
        <v>4949</v>
      </c>
      <c r="I1150" s="9" t="s">
        <v>291</v>
      </c>
      <c r="J1150" s="10"/>
      <c r="K1150" s="10"/>
      <c r="L1150" s="10">
        <v>44795.43304398148</v>
      </c>
      <c r="M1150" s="10">
        <v>44761</v>
      </c>
      <c r="N1150" s="9">
        <v>2022</v>
      </c>
      <c r="O1150" s="9" t="s">
        <v>5289</v>
      </c>
      <c r="P1150" s="9" t="s">
        <v>53</v>
      </c>
      <c r="Q1150" s="9" t="s">
        <v>53</v>
      </c>
      <c r="R1150" s="9" t="s">
        <v>92</v>
      </c>
      <c r="T1150" s="9"/>
      <c r="V1150" s="9" t="s">
        <v>5402</v>
      </c>
      <c r="W1150" s="11">
        <f>IFERROR(VLOOKUP(B1150, PlumX_snapshot!$A:$B, 2, FALSE), " ")</f>
        <v>8</v>
      </c>
      <c r="X1150" s="11">
        <f>IFERROR(VLOOKUP(B1150, PlumX_snapshot!$A:$C, 3, FALSE), " ")</f>
        <v>0</v>
      </c>
      <c r="Y1150" s="12">
        <f>IFERROR(VLOOKUP(B1150, PlumX_snapshot!$A:$D, 4, FALSE), " ")</f>
        <v>1</v>
      </c>
      <c r="Z1150" s="12">
        <f>IFERROR(VLOOKUP(B1150, PlumX_snapshot!$A:$E, 5, FALSE), " ")</f>
        <v>0</v>
      </c>
      <c r="AA1150" s="12">
        <f>IFERROR(VLOOKUP(B1150, PlumX_snapshot!$A:$F, 6, FALSE), " ")</f>
        <v>0</v>
      </c>
      <c r="AB1150" s="13">
        <v>44978</v>
      </c>
      <c r="AC1150" s="9" t="s">
        <v>4665</v>
      </c>
      <c r="AD1150" s="9" t="s">
        <v>4666</v>
      </c>
      <c r="AE1150" s="9"/>
      <c r="AH1150" s="9">
        <v>2220</v>
      </c>
      <c r="AI1150" s="9" t="s">
        <v>77</v>
      </c>
      <c r="AJ1150" s="9" t="s">
        <v>301</v>
      </c>
      <c r="AK1150" s="11" t="str">
        <f t="shared" si="8"/>
        <v>2022GBP</v>
      </c>
      <c r="AL1150" s="11">
        <f>VLOOKUP(AK1150, Exchange_rates!$C:$D, 2, FALSE)</f>
        <v>1</v>
      </c>
      <c r="AM1150" s="14">
        <f t="shared" si="9"/>
        <v>2664</v>
      </c>
      <c r="AN1150" s="9"/>
      <c r="AO1150" s="9"/>
      <c r="AP1150" s="17"/>
      <c r="AQ1150" s="15" t="s">
        <v>49</v>
      </c>
      <c r="AR1150" t="s">
        <v>5415</v>
      </c>
      <c r="AS1150" s="16" t="s">
        <v>5416</v>
      </c>
    </row>
    <row r="1151" spans="1:45" ht="14.5">
      <c r="A1151" s="9" t="s">
        <v>5417</v>
      </c>
      <c r="B1151" s="9" t="s">
        <v>5418</v>
      </c>
      <c r="C1151" s="9" t="s">
        <v>4574</v>
      </c>
      <c r="D1151" s="9" t="s">
        <v>4371</v>
      </c>
      <c r="E1151" s="17" t="s">
        <v>49</v>
      </c>
      <c r="F1151" s="9" t="s">
        <v>69</v>
      </c>
      <c r="G1151" s="9" t="s">
        <v>70</v>
      </c>
      <c r="H1151" s="9" t="s">
        <v>4949</v>
      </c>
      <c r="I1151" s="9" t="s">
        <v>291</v>
      </c>
      <c r="J1151" s="10"/>
      <c r="K1151" s="10"/>
      <c r="L1151" s="10">
        <v>44795.432835648149</v>
      </c>
      <c r="M1151" s="10">
        <v>44768</v>
      </c>
      <c r="N1151" s="9">
        <v>2022</v>
      </c>
      <c r="O1151" s="9" t="s">
        <v>5289</v>
      </c>
      <c r="P1151" s="9" t="s">
        <v>53</v>
      </c>
      <c r="Q1151" s="9" t="s">
        <v>53</v>
      </c>
      <c r="R1151" s="9" t="s">
        <v>5419</v>
      </c>
      <c r="T1151" s="9"/>
      <c r="V1151" s="9" t="s">
        <v>5402</v>
      </c>
      <c r="W1151" s="11">
        <f>IFERROR(VLOOKUP(B1151, PlumX_snapshot!$A:$B, 2, FALSE), " ")</f>
        <v>29</v>
      </c>
      <c r="X1151" s="11">
        <f>IFERROR(VLOOKUP(B1151, PlumX_snapshot!$A:$C, 3, FALSE), " ")</f>
        <v>2</v>
      </c>
      <c r="Y1151" s="12">
        <f>IFERROR(VLOOKUP(B1151, PlumX_snapshot!$A:$D, 4, FALSE), " ")</f>
        <v>1</v>
      </c>
      <c r="Z1151" s="12">
        <f>IFERROR(VLOOKUP(B1151, PlumX_snapshot!$A:$E, 5, FALSE), " ")</f>
        <v>0</v>
      </c>
      <c r="AA1151" s="12">
        <f>IFERROR(VLOOKUP(B1151, PlumX_snapshot!$A:$F, 6, FALSE), " ")</f>
        <v>0</v>
      </c>
      <c r="AB1151" s="13">
        <v>44978</v>
      </c>
      <c r="AC1151" s="9" t="s">
        <v>4665</v>
      </c>
      <c r="AD1151" s="9" t="s">
        <v>4666</v>
      </c>
      <c r="AE1151" s="9"/>
      <c r="AH1151" s="9">
        <v>2434</v>
      </c>
      <c r="AI1151" s="9" t="s">
        <v>1999</v>
      </c>
      <c r="AJ1151" s="9" t="s">
        <v>301</v>
      </c>
      <c r="AK1151" s="11" t="str">
        <f t="shared" si="8"/>
        <v>2022GBP</v>
      </c>
      <c r="AL1151" s="11">
        <f>VLOOKUP(AK1151, Exchange_rates!$C:$D, 2, FALSE)</f>
        <v>1</v>
      </c>
      <c r="AM1151" s="14">
        <f t="shared" si="9"/>
        <v>2920.7999999999997</v>
      </c>
      <c r="AN1151" s="9"/>
      <c r="AO1151" s="9"/>
      <c r="AP1151" s="17"/>
      <c r="AQ1151" s="15" t="s">
        <v>49</v>
      </c>
      <c r="AR1151" t="s">
        <v>4579</v>
      </c>
      <c r="AS1151" s="16" t="s">
        <v>4580</v>
      </c>
    </row>
    <row r="1152" spans="1:45" ht="14.5">
      <c r="A1152" s="9" t="s">
        <v>5420</v>
      </c>
      <c r="B1152" s="9" t="s">
        <v>5421</v>
      </c>
      <c r="C1152" s="9" t="s">
        <v>5422</v>
      </c>
      <c r="D1152" s="9" t="s">
        <v>4371</v>
      </c>
      <c r="E1152" s="17" t="s">
        <v>49</v>
      </c>
      <c r="F1152" s="9" t="s">
        <v>69</v>
      </c>
      <c r="G1152" s="9" t="s">
        <v>70</v>
      </c>
      <c r="H1152" s="9" t="s">
        <v>4949</v>
      </c>
      <c r="I1152" s="9" t="s">
        <v>72</v>
      </c>
      <c r="J1152" s="10"/>
      <c r="K1152" s="10"/>
      <c r="L1152" s="10">
        <v>44795.430451388886</v>
      </c>
      <c r="M1152" s="10">
        <v>44781</v>
      </c>
      <c r="N1152" s="9">
        <v>2022</v>
      </c>
      <c r="O1152" s="9" t="s">
        <v>5289</v>
      </c>
      <c r="P1152" s="9" t="s">
        <v>53</v>
      </c>
      <c r="Q1152" s="9" t="s">
        <v>53</v>
      </c>
      <c r="R1152" s="9" t="s">
        <v>92</v>
      </c>
      <c r="T1152" s="9"/>
      <c r="V1152" s="9" t="s">
        <v>5402</v>
      </c>
      <c r="W1152" s="11">
        <f>IFERROR(VLOOKUP(B1152, PlumX_snapshot!$A:$B, 2, FALSE), " ")</f>
        <v>4</v>
      </c>
      <c r="X1152" s="11">
        <f>IFERROR(VLOOKUP(B1152, PlumX_snapshot!$A:$C, 3, FALSE), " ")</f>
        <v>1</v>
      </c>
      <c r="Y1152" s="12">
        <f>IFERROR(VLOOKUP(B1152, PlumX_snapshot!$A:$D, 4, FALSE), " ")</f>
        <v>231</v>
      </c>
      <c r="Z1152" s="12">
        <f>IFERROR(VLOOKUP(B1152, PlumX_snapshot!$A:$E, 5, FALSE), " ")</f>
        <v>0</v>
      </c>
      <c r="AA1152" s="12">
        <f>IFERROR(VLOOKUP(B1152, PlumX_snapshot!$A:$F, 6, FALSE), " ")</f>
        <v>0</v>
      </c>
      <c r="AB1152" s="13">
        <v>44978</v>
      </c>
      <c r="AC1152" s="9" t="s">
        <v>5371</v>
      </c>
      <c r="AD1152" s="9" t="s">
        <v>5372</v>
      </c>
      <c r="AE1152" s="9" t="s">
        <v>4689</v>
      </c>
      <c r="AH1152" s="9">
        <v>2615</v>
      </c>
      <c r="AI1152" s="9" t="s">
        <v>77</v>
      </c>
      <c r="AJ1152" s="9" t="s">
        <v>301</v>
      </c>
      <c r="AK1152" s="11" t="str">
        <f t="shared" si="8"/>
        <v>2022GBP</v>
      </c>
      <c r="AL1152" s="11">
        <f>VLOOKUP(AK1152, Exchange_rates!$C:$D, 2, FALSE)</f>
        <v>1</v>
      </c>
      <c r="AM1152" s="14">
        <f t="shared" si="9"/>
        <v>3138</v>
      </c>
      <c r="AN1152" s="9"/>
      <c r="AO1152" s="9"/>
      <c r="AP1152" s="17"/>
      <c r="AQ1152" s="15" t="s">
        <v>49</v>
      </c>
      <c r="AR1152" t="s">
        <v>5423</v>
      </c>
      <c r="AS1152" s="16" t="s">
        <v>5424</v>
      </c>
    </row>
    <row r="1153" spans="1:45" ht="14.5">
      <c r="A1153" s="9" t="s">
        <v>5425</v>
      </c>
      <c r="B1153" s="9" t="s">
        <v>5426</v>
      </c>
      <c r="C1153" s="9" t="s">
        <v>5427</v>
      </c>
      <c r="D1153" s="9" t="s">
        <v>4371</v>
      </c>
      <c r="E1153" s="17" t="s">
        <v>49</v>
      </c>
      <c r="F1153" s="9" t="s">
        <v>69</v>
      </c>
      <c r="G1153" s="9" t="s">
        <v>70</v>
      </c>
      <c r="H1153" s="9" t="s">
        <v>4949</v>
      </c>
      <c r="I1153" s="9" t="s">
        <v>291</v>
      </c>
      <c r="J1153" s="10"/>
      <c r="K1153" s="10"/>
      <c r="L1153" s="10">
        <v>44795.428530092591</v>
      </c>
      <c r="M1153" s="10">
        <v>44785</v>
      </c>
      <c r="N1153" s="9">
        <v>2022</v>
      </c>
      <c r="O1153" s="9" t="s">
        <v>5289</v>
      </c>
      <c r="P1153" s="9" t="s">
        <v>53</v>
      </c>
      <c r="Q1153" s="9" t="s">
        <v>53</v>
      </c>
      <c r="R1153" s="9" t="s">
        <v>5428</v>
      </c>
      <c r="T1153" s="9"/>
      <c r="V1153" s="9" t="s">
        <v>5402</v>
      </c>
      <c r="W1153" s="11">
        <f>IFERROR(VLOOKUP(B1153, PlumX_snapshot!$A:$B, 2, FALSE), " ")</f>
        <v>0</v>
      </c>
      <c r="X1153" s="11">
        <f>IFERROR(VLOOKUP(B1153, PlumX_snapshot!$A:$C, 3, FALSE), " ")</f>
        <v>0</v>
      </c>
      <c r="Y1153" s="12">
        <f>IFERROR(VLOOKUP(B1153, PlumX_snapshot!$A:$D, 4, FALSE), " ")</f>
        <v>0</v>
      </c>
      <c r="Z1153" s="12">
        <f>IFERROR(VLOOKUP(B1153, PlumX_snapshot!$A:$E, 5, FALSE), " ")</f>
        <v>0</v>
      </c>
      <c r="AA1153" s="12">
        <f>IFERROR(VLOOKUP(B1153, PlumX_snapshot!$A:$F, 6, FALSE), " ")</f>
        <v>0</v>
      </c>
      <c r="AB1153" s="13">
        <v>44978</v>
      </c>
      <c r="AC1153" s="9" t="s">
        <v>5117</v>
      </c>
      <c r="AD1153" s="9" t="s">
        <v>5118</v>
      </c>
      <c r="AE1153" s="9"/>
      <c r="AH1153" s="9">
        <v>2615</v>
      </c>
      <c r="AI1153" s="9" t="s">
        <v>77</v>
      </c>
      <c r="AJ1153" s="9" t="s">
        <v>301</v>
      </c>
      <c r="AK1153" s="11" t="str">
        <f t="shared" si="8"/>
        <v>2022GBP</v>
      </c>
      <c r="AL1153" s="11">
        <f>VLOOKUP(AK1153, Exchange_rates!$C:$D, 2, FALSE)</f>
        <v>1</v>
      </c>
      <c r="AM1153" s="14">
        <f t="shared" si="9"/>
        <v>3138</v>
      </c>
      <c r="AN1153" s="9"/>
      <c r="AO1153" s="9"/>
      <c r="AP1153" s="17"/>
      <c r="AQ1153" s="15" t="s">
        <v>49</v>
      </c>
      <c r="AR1153" t="s">
        <v>5429</v>
      </c>
      <c r="AS1153" s="16" t="s">
        <v>5430</v>
      </c>
    </row>
    <row r="1154" spans="1:45" ht="14.5">
      <c r="A1154" s="9" t="s">
        <v>5431</v>
      </c>
      <c r="B1154" s="9" t="s">
        <v>5432</v>
      </c>
      <c r="C1154" s="9" t="s">
        <v>4983</v>
      </c>
      <c r="D1154" s="9" t="s">
        <v>4371</v>
      </c>
      <c r="E1154" s="17" t="s">
        <v>49</v>
      </c>
      <c r="F1154" s="9" t="s">
        <v>69</v>
      </c>
      <c r="G1154" s="9" t="s">
        <v>70</v>
      </c>
      <c r="H1154" s="9" t="s">
        <v>4949</v>
      </c>
      <c r="I1154" s="9" t="s">
        <v>72</v>
      </c>
      <c r="J1154" s="10"/>
      <c r="K1154" s="10"/>
      <c r="L1154" s="10">
        <v>44795.426203703704</v>
      </c>
      <c r="M1154" s="10">
        <v>44806</v>
      </c>
      <c r="N1154" s="9">
        <v>2022</v>
      </c>
      <c r="O1154" s="9" t="s">
        <v>5289</v>
      </c>
      <c r="P1154" s="9" t="s">
        <v>83</v>
      </c>
      <c r="Q1154" s="9" t="s">
        <v>53</v>
      </c>
      <c r="R1154" s="9" t="s">
        <v>5433</v>
      </c>
      <c r="T1154" s="9"/>
      <c r="V1154" s="9" t="s">
        <v>5402</v>
      </c>
      <c r="W1154" s="11">
        <f>IFERROR(VLOOKUP(B1154, PlumX_snapshot!$A:$B, 2, FALSE), " ")</f>
        <v>1</v>
      </c>
      <c r="X1154" s="11">
        <f>IFERROR(VLOOKUP(B1154, PlumX_snapshot!$A:$C, 3, FALSE), " ")</f>
        <v>0</v>
      </c>
      <c r="Y1154" s="12">
        <f>IFERROR(VLOOKUP(B1154, PlumX_snapshot!$A:$D, 4, FALSE), " ")</f>
        <v>32</v>
      </c>
      <c r="Z1154" s="12">
        <f>IFERROR(VLOOKUP(B1154, PlumX_snapshot!$A:$E, 5, FALSE), " ")</f>
        <v>0</v>
      </c>
      <c r="AA1154" s="12">
        <f>IFERROR(VLOOKUP(B1154, PlumX_snapshot!$A:$F, 6, FALSE), " ")</f>
        <v>0</v>
      </c>
      <c r="AB1154" s="13">
        <v>44978</v>
      </c>
      <c r="AC1154" s="9" t="s">
        <v>469</v>
      </c>
      <c r="AD1154" s="9" t="s">
        <v>470</v>
      </c>
      <c r="AE1154" s="9"/>
      <c r="AH1154" s="9">
        <v>2375</v>
      </c>
      <c r="AI1154" s="9" t="s">
        <v>77</v>
      </c>
      <c r="AJ1154" s="9" t="s">
        <v>301</v>
      </c>
      <c r="AK1154" s="11" t="str">
        <f t="shared" si="8"/>
        <v>2022GBP</v>
      </c>
      <c r="AL1154" s="11">
        <f>VLOOKUP(AK1154, Exchange_rates!$C:$D, 2, FALSE)</f>
        <v>1</v>
      </c>
      <c r="AM1154" s="14">
        <f t="shared" si="9"/>
        <v>2850</v>
      </c>
      <c r="AN1154" s="9"/>
      <c r="AO1154" s="9"/>
      <c r="AP1154" s="17"/>
      <c r="AQ1154" s="15" t="s">
        <v>49</v>
      </c>
      <c r="AR1154" t="s">
        <v>4984</v>
      </c>
      <c r="AS1154" s="16" t="s">
        <v>4985</v>
      </c>
    </row>
    <row r="1155" spans="1:45" ht="14.5">
      <c r="A1155" s="9" t="s">
        <v>5434</v>
      </c>
      <c r="B1155" s="9" t="s">
        <v>5435</v>
      </c>
      <c r="C1155" s="9" t="s">
        <v>5436</v>
      </c>
      <c r="D1155" s="9" t="s">
        <v>4371</v>
      </c>
      <c r="E1155" s="17" t="s">
        <v>49</v>
      </c>
      <c r="F1155" s="9" t="s">
        <v>69</v>
      </c>
      <c r="G1155" s="9" t="s">
        <v>70</v>
      </c>
      <c r="H1155" s="9" t="s">
        <v>4949</v>
      </c>
      <c r="I1155" s="9" t="s">
        <v>291</v>
      </c>
      <c r="J1155" s="10"/>
      <c r="K1155" s="10"/>
      <c r="L1155" s="10">
        <v>44795.425092592595</v>
      </c>
      <c r="M1155" s="10">
        <v>44802</v>
      </c>
      <c r="N1155" s="9">
        <v>2022</v>
      </c>
      <c r="O1155" s="9" t="s">
        <v>5289</v>
      </c>
      <c r="P1155" s="9" t="s">
        <v>53</v>
      </c>
      <c r="Q1155" s="9" t="s">
        <v>53</v>
      </c>
      <c r="R1155" s="9" t="s">
        <v>5437</v>
      </c>
      <c r="T1155" s="9"/>
      <c r="V1155" s="9" t="s">
        <v>5402</v>
      </c>
      <c r="W1155" s="11">
        <f>IFERROR(VLOOKUP(B1155, PlumX_snapshot!$A:$B, 2, FALSE), " ")</f>
        <v>2</v>
      </c>
      <c r="X1155" s="11">
        <f>IFERROR(VLOOKUP(B1155, PlumX_snapshot!$A:$C, 3, FALSE), " ")</f>
        <v>0</v>
      </c>
      <c r="Y1155" s="12">
        <f>IFERROR(VLOOKUP(B1155, PlumX_snapshot!$A:$D, 4, FALSE), " ")</f>
        <v>10</v>
      </c>
      <c r="Z1155" s="12">
        <f>IFERROR(VLOOKUP(B1155, PlumX_snapshot!$A:$E, 5, FALSE), " ")</f>
        <v>0</v>
      </c>
      <c r="AA1155" s="12">
        <f>IFERROR(VLOOKUP(B1155, PlumX_snapshot!$A:$F, 6, FALSE), " ")</f>
        <v>0</v>
      </c>
      <c r="AB1155" s="13">
        <v>44978</v>
      </c>
      <c r="AC1155" s="9" t="s">
        <v>5438</v>
      </c>
      <c r="AD1155" s="9" t="s">
        <v>5199</v>
      </c>
      <c r="AE1155" s="9"/>
      <c r="AH1155" s="9">
        <v>2375</v>
      </c>
      <c r="AI1155" s="9" t="s">
        <v>77</v>
      </c>
      <c r="AJ1155" s="9" t="s">
        <v>301</v>
      </c>
      <c r="AK1155" s="11" t="str">
        <f t="shared" si="8"/>
        <v>2022GBP</v>
      </c>
      <c r="AL1155" s="11">
        <f>VLOOKUP(AK1155, Exchange_rates!$C:$D, 2, FALSE)</f>
        <v>1</v>
      </c>
      <c r="AM1155" s="14">
        <f t="shared" si="9"/>
        <v>2850</v>
      </c>
      <c r="AN1155" s="9"/>
      <c r="AO1155" s="9"/>
      <c r="AP1155" s="17"/>
      <c r="AQ1155" s="15" t="s">
        <v>49</v>
      </c>
      <c r="AR1155" t="s">
        <v>5439</v>
      </c>
      <c r="AS1155" s="16" t="s">
        <v>5440</v>
      </c>
    </row>
    <row r="1156" spans="1:45" ht="14.5">
      <c r="A1156" s="9" t="s">
        <v>5441</v>
      </c>
      <c r="B1156" s="9" t="s">
        <v>5442</v>
      </c>
      <c r="C1156" s="9" t="s">
        <v>5414</v>
      </c>
      <c r="D1156" s="9" t="s">
        <v>4371</v>
      </c>
      <c r="E1156" s="17" t="s">
        <v>49</v>
      </c>
      <c r="F1156" s="9" t="s">
        <v>69</v>
      </c>
      <c r="G1156" s="9" t="s">
        <v>70</v>
      </c>
      <c r="H1156" s="9" t="s">
        <v>4949</v>
      </c>
      <c r="I1156" s="9" t="s">
        <v>291</v>
      </c>
      <c r="J1156" s="10"/>
      <c r="K1156" s="10"/>
      <c r="L1156" s="10">
        <v>44795.423993055556</v>
      </c>
      <c r="M1156" s="10">
        <v>44806</v>
      </c>
      <c r="N1156" s="9">
        <v>2022</v>
      </c>
      <c r="O1156" s="9" t="s">
        <v>5289</v>
      </c>
      <c r="P1156" s="9" t="s">
        <v>53</v>
      </c>
      <c r="Q1156" s="9" t="s">
        <v>53</v>
      </c>
      <c r="R1156" s="9" t="s">
        <v>92</v>
      </c>
      <c r="T1156" s="9"/>
      <c r="V1156" s="9" t="s">
        <v>5402</v>
      </c>
      <c r="W1156" s="11">
        <f>IFERROR(VLOOKUP(B1156, PlumX_snapshot!$A:$B, 2, FALSE), " ")</f>
        <v>4</v>
      </c>
      <c r="X1156" s="11">
        <f>IFERROR(VLOOKUP(B1156, PlumX_snapshot!$A:$C, 3, FALSE), " ")</f>
        <v>0</v>
      </c>
      <c r="Y1156" s="12">
        <f>IFERROR(VLOOKUP(B1156, PlumX_snapshot!$A:$D, 4, FALSE), " ")</f>
        <v>1</v>
      </c>
      <c r="Z1156" s="12">
        <f>IFERROR(VLOOKUP(B1156, PlumX_snapshot!$A:$E, 5, FALSE), " ")</f>
        <v>0</v>
      </c>
      <c r="AA1156" s="12">
        <f>IFERROR(VLOOKUP(B1156, PlumX_snapshot!$A:$F, 6, FALSE), " ")</f>
        <v>0</v>
      </c>
      <c r="AB1156" s="13">
        <v>44978</v>
      </c>
      <c r="AC1156" s="9" t="s">
        <v>5443</v>
      </c>
      <c r="AD1156" s="9" t="s">
        <v>5444</v>
      </c>
      <c r="AE1156" s="9"/>
      <c r="AH1156" s="9">
        <v>2220</v>
      </c>
      <c r="AI1156" s="9" t="s">
        <v>77</v>
      </c>
      <c r="AJ1156" s="9" t="s">
        <v>301</v>
      </c>
      <c r="AK1156" s="11" t="str">
        <f t="shared" si="8"/>
        <v>2022GBP</v>
      </c>
      <c r="AL1156" s="11">
        <f>VLOOKUP(AK1156, Exchange_rates!$C:$D, 2, FALSE)</f>
        <v>1</v>
      </c>
      <c r="AM1156" s="14">
        <f t="shared" si="9"/>
        <v>2664</v>
      </c>
      <c r="AN1156" s="9"/>
      <c r="AO1156" s="9"/>
      <c r="AP1156" s="17"/>
      <c r="AQ1156" s="15" t="s">
        <v>49</v>
      </c>
      <c r="AR1156" t="s">
        <v>5415</v>
      </c>
      <c r="AS1156" s="16" t="s">
        <v>5416</v>
      </c>
    </row>
    <row r="1157" spans="1:45" ht="14.5">
      <c r="A1157" s="9" t="s">
        <v>5445</v>
      </c>
      <c r="B1157" s="9" t="s">
        <v>5446</v>
      </c>
      <c r="C1157" s="9" t="s">
        <v>4574</v>
      </c>
      <c r="D1157" s="9" t="s">
        <v>4371</v>
      </c>
      <c r="E1157" s="17" t="s">
        <v>49</v>
      </c>
      <c r="F1157" s="9" t="s">
        <v>69</v>
      </c>
      <c r="G1157" s="9" t="s">
        <v>70</v>
      </c>
      <c r="H1157" s="9" t="s">
        <v>4949</v>
      </c>
      <c r="I1157" s="9" t="s">
        <v>291</v>
      </c>
      <c r="J1157" s="10"/>
      <c r="K1157" s="10"/>
      <c r="L1157" s="10">
        <v>44788.607708333337</v>
      </c>
      <c r="M1157" s="10">
        <v>44786</v>
      </c>
      <c r="N1157" s="9">
        <v>2022</v>
      </c>
      <c r="O1157" s="9" t="s">
        <v>5289</v>
      </c>
      <c r="P1157" s="9" t="s">
        <v>53</v>
      </c>
      <c r="Q1157" s="9" t="s">
        <v>53</v>
      </c>
      <c r="R1157" s="9" t="s">
        <v>5447</v>
      </c>
      <c r="T1157" s="9"/>
      <c r="V1157" s="9" t="s">
        <v>5402</v>
      </c>
      <c r="W1157" s="11">
        <f>IFERROR(VLOOKUP(B1157, PlumX_snapshot!$A:$B, 2, FALSE), " ")</f>
        <v>19</v>
      </c>
      <c r="X1157" s="11">
        <f>IFERROR(VLOOKUP(B1157, PlumX_snapshot!$A:$C, 3, FALSE), " ")</f>
        <v>0</v>
      </c>
      <c r="Y1157" s="12">
        <f>IFERROR(VLOOKUP(B1157, PlumX_snapshot!$A:$D, 4, FALSE), " ")</f>
        <v>1</v>
      </c>
      <c r="Z1157" s="12">
        <f>IFERROR(VLOOKUP(B1157, PlumX_snapshot!$A:$E, 5, FALSE), " ")</f>
        <v>0</v>
      </c>
      <c r="AA1157" s="12">
        <f>IFERROR(VLOOKUP(B1157, PlumX_snapshot!$A:$F, 6, FALSE), " ")</f>
        <v>0</v>
      </c>
      <c r="AB1157" s="13">
        <v>44978</v>
      </c>
      <c r="AC1157" s="9" t="s">
        <v>5448</v>
      </c>
      <c r="AD1157" s="9" t="s">
        <v>5449</v>
      </c>
      <c r="AE1157" s="9"/>
      <c r="AH1157" s="9">
        <v>2375</v>
      </c>
      <c r="AI1157" s="9" t="s">
        <v>77</v>
      </c>
      <c r="AJ1157" s="9" t="s">
        <v>301</v>
      </c>
      <c r="AK1157" s="11" t="str">
        <f t="shared" si="8"/>
        <v>2022GBP</v>
      </c>
      <c r="AL1157" s="11">
        <f>VLOOKUP(AK1157, Exchange_rates!$C:$D, 2, FALSE)</f>
        <v>1</v>
      </c>
      <c r="AM1157" s="14">
        <f t="shared" si="9"/>
        <v>2850</v>
      </c>
      <c r="AN1157" s="9"/>
      <c r="AO1157" s="9"/>
      <c r="AP1157" s="17"/>
      <c r="AQ1157" s="15" t="s">
        <v>49</v>
      </c>
      <c r="AR1157" t="s">
        <v>4579</v>
      </c>
      <c r="AS1157" s="16" t="s">
        <v>4580</v>
      </c>
    </row>
    <row r="1158" spans="1:45" ht="14.5">
      <c r="A1158" s="9" t="s">
        <v>5450</v>
      </c>
      <c r="B1158" s="9" t="s">
        <v>5451</v>
      </c>
      <c r="C1158" s="9" t="s">
        <v>5452</v>
      </c>
      <c r="D1158" s="9" t="s">
        <v>4371</v>
      </c>
      <c r="E1158" s="17" t="s">
        <v>49</v>
      </c>
      <c r="F1158" s="9" t="s">
        <v>69</v>
      </c>
      <c r="G1158" s="9" t="s">
        <v>70</v>
      </c>
      <c r="H1158" s="9" t="s">
        <v>4949</v>
      </c>
      <c r="I1158" s="9" t="s">
        <v>72</v>
      </c>
      <c r="J1158" s="10"/>
      <c r="K1158" s="10"/>
      <c r="L1158" s="10">
        <v>44775.434432870374</v>
      </c>
      <c r="M1158" s="10">
        <v>44784</v>
      </c>
      <c r="N1158" s="9">
        <v>2022</v>
      </c>
      <c r="O1158" s="9" t="s">
        <v>5289</v>
      </c>
      <c r="P1158" s="9" t="s">
        <v>83</v>
      </c>
      <c r="Q1158" s="9" t="s">
        <v>53</v>
      </c>
      <c r="R1158" s="9" t="s">
        <v>5453</v>
      </c>
      <c r="T1158" s="9"/>
      <c r="V1158" s="9" t="s">
        <v>5402</v>
      </c>
      <c r="W1158" s="11">
        <f>IFERROR(VLOOKUP(B1158, PlumX_snapshot!$A:$B, 2, FALSE), " ")</f>
        <v>2</v>
      </c>
      <c r="X1158" s="11">
        <f>IFERROR(VLOOKUP(B1158, PlumX_snapshot!$A:$C, 3, FALSE), " ")</f>
        <v>1</v>
      </c>
      <c r="Y1158" s="12">
        <f>IFERROR(VLOOKUP(B1158, PlumX_snapshot!$A:$D, 4, FALSE), " ")</f>
        <v>1</v>
      </c>
      <c r="Z1158" s="12">
        <f>IFERROR(VLOOKUP(B1158, PlumX_snapshot!$A:$E, 5, FALSE), " ")</f>
        <v>0</v>
      </c>
      <c r="AA1158" s="12">
        <f>IFERROR(VLOOKUP(B1158, PlumX_snapshot!$A:$F, 6, FALSE), " ")</f>
        <v>0</v>
      </c>
      <c r="AB1158" s="13">
        <v>44978</v>
      </c>
      <c r="AC1158" s="9" t="s">
        <v>5454</v>
      </c>
      <c r="AD1158" s="9" t="s">
        <v>5455</v>
      </c>
      <c r="AE1158" s="9"/>
      <c r="AH1158" s="9">
        <v>2375</v>
      </c>
      <c r="AI1158" s="9" t="s">
        <v>77</v>
      </c>
      <c r="AJ1158" s="9" t="s">
        <v>301</v>
      </c>
      <c r="AK1158" s="11" t="str">
        <f t="shared" si="8"/>
        <v>2022GBP</v>
      </c>
      <c r="AL1158" s="11">
        <f>VLOOKUP(AK1158, Exchange_rates!$C:$D, 2, FALSE)</f>
        <v>1</v>
      </c>
      <c r="AM1158" s="14">
        <f t="shared" si="9"/>
        <v>2850</v>
      </c>
      <c r="AN1158" s="9"/>
      <c r="AO1158" s="9"/>
      <c r="AP1158" s="17"/>
      <c r="AQ1158" s="15" t="s">
        <v>49</v>
      </c>
      <c r="AR1158" t="s">
        <v>5456</v>
      </c>
      <c r="AS1158" s="16" t="s">
        <v>5457</v>
      </c>
    </row>
    <row r="1159" spans="1:45" ht="14.5">
      <c r="A1159" s="9" t="s">
        <v>5458</v>
      </c>
      <c r="B1159" s="9" t="s">
        <v>5459</v>
      </c>
      <c r="C1159" s="9" t="s">
        <v>4749</v>
      </c>
      <c r="D1159" s="9" t="s">
        <v>4371</v>
      </c>
      <c r="E1159" s="17" t="s">
        <v>49</v>
      </c>
      <c r="F1159" s="9" t="s">
        <v>69</v>
      </c>
      <c r="G1159" s="9" t="s">
        <v>70</v>
      </c>
      <c r="H1159" s="9" t="s">
        <v>4949</v>
      </c>
      <c r="I1159" s="9" t="s">
        <v>291</v>
      </c>
      <c r="J1159" s="10"/>
      <c r="K1159" s="10"/>
      <c r="L1159" s="10">
        <v>44754.346747685187</v>
      </c>
      <c r="M1159" s="10">
        <v>44760</v>
      </c>
      <c r="N1159" s="9">
        <v>2022</v>
      </c>
      <c r="O1159" s="9" t="s">
        <v>5289</v>
      </c>
      <c r="P1159" s="9" t="s">
        <v>53</v>
      </c>
      <c r="Q1159" s="9" t="s">
        <v>53</v>
      </c>
      <c r="R1159" s="9" t="s">
        <v>5460</v>
      </c>
      <c r="T1159" s="9"/>
      <c r="V1159" s="9" t="s">
        <v>5402</v>
      </c>
      <c r="W1159" s="11">
        <f>IFERROR(VLOOKUP(B1159, PlumX_snapshot!$A:$B, 2, FALSE), " ")</f>
        <v>0</v>
      </c>
      <c r="X1159" s="11">
        <f>IFERROR(VLOOKUP(B1159, PlumX_snapshot!$A:$C, 3, FALSE), " ")</f>
        <v>0</v>
      </c>
      <c r="Y1159" s="12">
        <f>IFERROR(VLOOKUP(B1159, PlumX_snapshot!$A:$D, 4, FALSE), " ")</f>
        <v>10</v>
      </c>
      <c r="Z1159" s="12">
        <f>IFERROR(VLOOKUP(B1159, PlumX_snapshot!$A:$E, 5, FALSE), " ")</f>
        <v>0</v>
      </c>
      <c r="AA1159" s="12">
        <f>IFERROR(VLOOKUP(B1159, PlumX_snapshot!$A:$F, 6, FALSE), " ")</f>
        <v>0</v>
      </c>
      <c r="AB1159" s="13">
        <v>44978</v>
      </c>
      <c r="AC1159" s="9" t="s">
        <v>4751</v>
      </c>
      <c r="AD1159" s="9" t="s">
        <v>4752</v>
      </c>
      <c r="AE1159" s="9" t="s">
        <v>4753</v>
      </c>
      <c r="AH1159" s="9">
        <v>2220</v>
      </c>
      <c r="AI1159" s="9" t="s">
        <v>77</v>
      </c>
      <c r="AJ1159" s="9" t="s">
        <v>301</v>
      </c>
      <c r="AK1159" s="11" t="str">
        <f t="shared" si="8"/>
        <v>2022GBP</v>
      </c>
      <c r="AL1159" s="11">
        <f>VLOOKUP(AK1159, Exchange_rates!$C:$D, 2, FALSE)</f>
        <v>1</v>
      </c>
      <c r="AM1159" s="14">
        <f t="shared" si="9"/>
        <v>2664</v>
      </c>
      <c r="AN1159" s="9"/>
      <c r="AO1159" s="9"/>
      <c r="AP1159" s="17"/>
      <c r="AQ1159" s="15" t="s">
        <v>49</v>
      </c>
      <c r="AR1159" t="s">
        <v>4754</v>
      </c>
      <c r="AS1159" s="16" t="s">
        <v>4755</v>
      </c>
    </row>
    <row r="1160" spans="1:45" ht="14.5">
      <c r="A1160" s="9" t="s">
        <v>5461</v>
      </c>
      <c r="B1160" s="9" t="s">
        <v>5462</v>
      </c>
      <c r="C1160" s="9" t="s">
        <v>5463</v>
      </c>
      <c r="D1160" s="9" t="s">
        <v>4371</v>
      </c>
      <c r="E1160" s="17" t="s">
        <v>49</v>
      </c>
      <c r="F1160" s="9" t="s">
        <v>69</v>
      </c>
      <c r="G1160" s="9" t="s">
        <v>70</v>
      </c>
      <c r="H1160" s="9" t="s">
        <v>4949</v>
      </c>
      <c r="I1160" s="9" t="s">
        <v>291</v>
      </c>
      <c r="J1160" s="10"/>
      <c r="K1160" s="10"/>
      <c r="L1160" s="10">
        <v>44746.351053240738</v>
      </c>
      <c r="M1160" s="10">
        <v>44745</v>
      </c>
      <c r="N1160" s="9">
        <v>2022</v>
      </c>
      <c r="O1160" s="9" t="s">
        <v>5289</v>
      </c>
      <c r="P1160" s="9" t="s">
        <v>53</v>
      </c>
      <c r="Q1160" s="9" t="s">
        <v>53</v>
      </c>
      <c r="R1160" s="9" t="s">
        <v>92</v>
      </c>
      <c r="T1160" s="9"/>
      <c r="V1160" s="9" t="s">
        <v>5402</v>
      </c>
      <c r="W1160" s="11">
        <f>IFERROR(VLOOKUP(B1160, PlumX_snapshot!$A:$B, 2, FALSE), " ")</f>
        <v>1</v>
      </c>
      <c r="X1160" s="11">
        <f>IFERROR(VLOOKUP(B1160, PlumX_snapshot!$A:$C, 3, FALSE), " ")</f>
        <v>0</v>
      </c>
      <c r="Y1160" s="12">
        <f>IFERROR(VLOOKUP(B1160, PlumX_snapshot!$A:$D, 4, FALSE), " ")</f>
        <v>11</v>
      </c>
      <c r="Z1160" s="12">
        <f>IFERROR(VLOOKUP(B1160, PlumX_snapshot!$A:$E, 5, FALSE), " ")</f>
        <v>0</v>
      </c>
      <c r="AA1160" s="12">
        <f>IFERROR(VLOOKUP(B1160, PlumX_snapshot!$A:$F, 6, FALSE), " ")</f>
        <v>0</v>
      </c>
      <c r="AB1160" s="13">
        <v>44978</v>
      </c>
      <c r="AC1160" s="9" t="s">
        <v>5464</v>
      </c>
      <c r="AD1160" s="9" t="s">
        <v>5465</v>
      </c>
      <c r="AE1160" s="9"/>
      <c r="AH1160" s="9">
        <v>2375</v>
      </c>
      <c r="AI1160" s="9" t="s">
        <v>77</v>
      </c>
      <c r="AJ1160" s="9" t="s">
        <v>301</v>
      </c>
      <c r="AK1160" s="11" t="str">
        <f t="shared" si="8"/>
        <v>2022GBP</v>
      </c>
      <c r="AL1160" s="11">
        <f>VLOOKUP(AK1160, Exchange_rates!$C:$D, 2, FALSE)</f>
        <v>1</v>
      </c>
      <c r="AM1160" s="14">
        <f t="shared" si="9"/>
        <v>2850</v>
      </c>
      <c r="AN1160" s="9"/>
      <c r="AO1160" s="9"/>
      <c r="AP1160" s="17"/>
      <c r="AQ1160" s="15" t="s">
        <v>49</v>
      </c>
      <c r="AR1160" t="s">
        <v>5466</v>
      </c>
      <c r="AS1160" s="16" t="s">
        <v>5467</v>
      </c>
    </row>
    <row r="1161" spans="1:45" ht="14.5">
      <c r="A1161" s="9" t="s">
        <v>5468</v>
      </c>
      <c r="B1161" s="9" t="s">
        <v>5469</v>
      </c>
      <c r="C1161" s="9" t="s">
        <v>5470</v>
      </c>
      <c r="D1161" s="9" t="s">
        <v>4371</v>
      </c>
      <c r="E1161" s="17" t="s">
        <v>49</v>
      </c>
      <c r="F1161" s="9" t="s">
        <v>69</v>
      </c>
      <c r="G1161" s="9" t="s">
        <v>70</v>
      </c>
      <c r="H1161" s="9" t="s">
        <v>4949</v>
      </c>
      <c r="I1161" s="9" t="s">
        <v>291</v>
      </c>
      <c r="J1161" s="10"/>
      <c r="K1161" s="10"/>
      <c r="L1161" s="10">
        <v>44746.349502314813</v>
      </c>
      <c r="M1161" s="10">
        <v>44709</v>
      </c>
      <c r="N1161" s="9">
        <v>2022</v>
      </c>
      <c r="O1161" s="9" t="s">
        <v>5289</v>
      </c>
      <c r="P1161" s="9" t="s">
        <v>53</v>
      </c>
      <c r="Q1161" s="9" t="s">
        <v>53</v>
      </c>
      <c r="R1161" s="9" t="s">
        <v>92</v>
      </c>
      <c r="T1161" s="9"/>
      <c r="V1161" s="9" t="s">
        <v>5402</v>
      </c>
      <c r="W1161" s="11">
        <f>IFERROR(VLOOKUP(B1161, PlumX_snapshot!$A:$B, 2, FALSE), " ")</f>
        <v>4</v>
      </c>
      <c r="X1161" s="11">
        <f>IFERROR(VLOOKUP(B1161, PlumX_snapshot!$A:$C, 3, FALSE), " ")</f>
        <v>0</v>
      </c>
      <c r="Y1161" s="12">
        <f>IFERROR(VLOOKUP(B1161, PlumX_snapshot!$A:$D, 4, FALSE), " ")</f>
        <v>0</v>
      </c>
      <c r="Z1161" s="12">
        <f>IFERROR(VLOOKUP(B1161, PlumX_snapshot!$A:$E, 5, FALSE), " ")</f>
        <v>0</v>
      </c>
      <c r="AA1161" s="12">
        <f>IFERROR(VLOOKUP(B1161, PlumX_snapshot!$A:$F, 6, FALSE), " ")</f>
        <v>0</v>
      </c>
      <c r="AB1161" s="13">
        <v>44978</v>
      </c>
      <c r="AC1161" s="9" t="s">
        <v>5471</v>
      </c>
      <c r="AD1161" s="9" t="s">
        <v>5472</v>
      </c>
      <c r="AE1161" s="9"/>
      <c r="AH1161" s="9">
        <v>2434</v>
      </c>
      <c r="AI1161" s="9" t="s">
        <v>1999</v>
      </c>
      <c r="AJ1161" s="9" t="s">
        <v>301</v>
      </c>
      <c r="AK1161" s="11" t="str">
        <f t="shared" si="8"/>
        <v>2022GBP</v>
      </c>
      <c r="AL1161" s="11">
        <f>VLOOKUP(AK1161, Exchange_rates!$C:$D, 2, FALSE)</f>
        <v>1</v>
      </c>
      <c r="AM1161" s="14">
        <f t="shared" si="9"/>
        <v>2920.7999999999997</v>
      </c>
      <c r="AN1161" s="9"/>
      <c r="AO1161" s="9"/>
      <c r="AP1161" s="17"/>
      <c r="AQ1161" s="15" t="s">
        <v>49</v>
      </c>
      <c r="AR1161" t="s">
        <v>5473</v>
      </c>
      <c r="AS1161" s="16" t="s">
        <v>5474</v>
      </c>
    </row>
    <row r="1162" spans="1:45" ht="14.5">
      <c r="A1162" s="9" t="s">
        <v>5475</v>
      </c>
      <c r="B1162" s="9" t="s">
        <v>5476</v>
      </c>
      <c r="C1162" s="9" t="s">
        <v>5477</v>
      </c>
      <c r="D1162" s="9" t="s">
        <v>4371</v>
      </c>
      <c r="E1162" s="17" t="s">
        <v>49</v>
      </c>
      <c r="F1162" s="9" t="s">
        <v>69</v>
      </c>
      <c r="G1162" s="9" t="s">
        <v>70</v>
      </c>
      <c r="H1162" s="9" t="s">
        <v>4949</v>
      </c>
      <c r="I1162" s="9" t="s">
        <v>291</v>
      </c>
      <c r="J1162" s="10"/>
      <c r="K1162" s="10"/>
      <c r="L1162" s="10">
        <v>44741.369479166664</v>
      </c>
      <c r="M1162" s="10">
        <v>44744</v>
      </c>
      <c r="N1162" s="9">
        <v>2022</v>
      </c>
      <c r="O1162" s="9" t="s">
        <v>5289</v>
      </c>
      <c r="P1162" s="9" t="s">
        <v>53</v>
      </c>
      <c r="Q1162" s="9" t="s">
        <v>53</v>
      </c>
      <c r="R1162" s="9" t="s">
        <v>92</v>
      </c>
      <c r="T1162" s="9"/>
      <c r="V1162" s="9" t="s">
        <v>5402</v>
      </c>
      <c r="W1162" s="11">
        <f>IFERROR(VLOOKUP(B1162, PlumX_snapshot!$A:$B, 2, FALSE), " ")</f>
        <v>15</v>
      </c>
      <c r="X1162" s="11">
        <f>IFERROR(VLOOKUP(B1162, PlumX_snapshot!$A:$C, 3, FALSE), " ")</f>
        <v>1</v>
      </c>
      <c r="Y1162" s="12">
        <f>IFERROR(VLOOKUP(B1162, PlumX_snapshot!$A:$D, 4, FALSE), " ")</f>
        <v>15</v>
      </c>
      <c r="Z1162" s="12">
        <f>IFERROR(VLOOKUP(B1162, PlumX_snapshot!$A:$E, 5, FALSE), " ")</f>
        <v>0</v>
      </c>
      <c r="AA1162" s="12">
        <f>IFERROR(VLOOKUP(B1162, PlumX_snapshot!$A:$F, 6, FALSE), " ")</f>
        <v>1</v>
      </c>
      <c r="AB1162" s="13">
        <v>44978</v>
      </c>
      <c r="AC1162" s="9" t="s">
        <v>5478</v>
      </c>
      <c r="AD1162" s="9" t="s">
        <v>5479</v>
      </c>
      <c r="AE1162" s="9"/>
      <c r="AH1162" s="9">
        <v>2434</v>
      </c>
      <c r="AI1162" s="9" t="s">
        <v>1999</v>
      </c>
      <c r="AJ1162" s="9" t="s">
        <v>301</v>
      </c>
      <c r="AK1162" s="11" t="str">
        <f t="shared" si="8"/>
        <v>2022GBP</v>
      </c>
      <c r="AL1162" s="11">
        <f>VLOOKUP(AK1162, Exchange_rates!$C:$D, 2, FALSE)</f>
        <v>1</v>
      </c>
      <c r="AM1162" s="14">
        <f t="shared" si="9"/>
        <v>2920.7999999999997</v>
      </c>
      <c r="AN1162" s="9"/>
      <c r="AO1162" s="9"/>
      <c r="AP1162" s="17"/>
      <c r="AQ1162" s="15" t="s">
        <v>49</v>
      </c>
      <c r="AR1162" t="s">
        <v>5480</v>
      </c>
      <c r="AS1162" s="16"/>
    </row>
    <row r="1163" spans="1:45" ht="14.5">
      <c r="A1163" s="9" t="s">
        <v>5481</v>
      </c>
      <c r="B1163" s="9" t="s">
        <v>5482</v>
      </c>
      <c r="C1163" s="9" t="s">
        <v>4664</v>
      </c>
      <c r="D1163" s="9" t="s">
        <v>4371</v>
      </c>
      <c r="E1163" s="17" t="s">
        <v>49</v>
      </c>
      <c r="F1163" s="9" t="s">
        <v>69</v>
      </c>
      <c r="G1163" s="9" t="s">
        <v>70</v>
      </c>
      <c r="H1163" s="9" t="s">
        <v>4949</v>
      </c>
      <c r="I1163" s="9" t="s">
        <v>72</v>
      </c>
      <c r="J1163" s="10"/>
      <c r="K1163" s="10"/>
      <c r="L1163" s="10">
        <v>44739.410752314812</v>
      </c>
      <c r="M1163" s="10">
        <v>44746</v>
      </c>
      <c r="N1163" s="9">
        <v>2022</v>
      </c>
      <c r="O1163" s="9" t="s">
        <v>5289</v>
      </c>
      <c r="P1163" s="9" t="s">
        <v>83</v>
      </c>
      <c r="Q1163" s="9" t="s">
        <v>53</v>
      </c>
      <c r="R1163" s="9" t="s">
        <v>5483</v>
      </c>
      <c r="T1163" s="9"/>
      <c r="V1163" s="9" t="s">
        <v>5402</v>
      </c>
      <c r="W1163" s="11">
        <f>IFERROR(VLOOKUP(B1163, PlumX_snapshot!$A:$B, 2, FALSE), " ")</f>
        <v>48</v>
      </c>
      <c r="X1163" s="11">
        <f>IFERROR(VLOOKUP(B1163, PlumX_snapshot!$A:$C, 3, FALSE), " ")</f>
        <v>6</v>
      </c>
      <c r="Y1163" s="12">
        <f>IFERROR(VLOOKUP(B1163, PlumX_snapshot!$A:$D, 4, FALSE), " ")</f>
        <v>1</v>
      </c>
      <c r="Z1163" s="12">
        <f>IFERROR(VLOOKUP(B1163, PlumX_snapshot!$A:$E, 5, FALSE), " ")</f>
        <v>0</v>
      </c>
      <c r="AA1163" s="12">
        <f>IFERROR(VLOOKUP(B1163, PlumX_snapshot!$A:$F, 6, FALSE), " ")</f>
        <v>0</v>
      </c>
      <c r="AB1163" s="13">
        <v>44978</v>
      </c>
      <c r="AC1163" s="9" t="s">
        <v>5484</v>
      </c>
      <c r="AD1163" s="9" t="s">
        <v>5485</v>
      </c>
      <c r="AE1163" s="9" t="s">
        <v>5486</v>
      </c>
      <c r="AH1163" s="9">
        <v>2220</v>
      </c>
      <c r="AI1163" s="9" t="s">
        <v>77</v>
      </c>
      <c r="AJ1163" s="9" t="s">
        <v>301</v>
      </c>
      <c r="AK1163" s="11" t="str">
        <f t="shared" si="8"/>
        <v>2022GBP</v>
      </c>
      <c r="AL1163" s="11">
        <f>VLOOKUP(AK1163, Exchange_rates!$C:$D, 2, FALSE)</f>
        <v>1</v>
      </c>
      <c r="AM1163" s="14">
        <f t="shared" si="9"/>
        <v>2664</v>
      </c>
      <c r="AN1163" s="9"/>
      <c r="AO1163" s="9"/>
      <c r="AP1163" s="17"/>
      <c r="AQ1163" s="15" t="s">
        <v>49</v>
      </c>
      <c r="AR1163" t="s">
        <v>4668</v>
      </c>
      <c r="AS1163" s="16" t="s">
        <v>4669</v>
      </c>
    </row>
    <row r="1164" spans="1:45" ht="14.5">
      <c r="A1164" s="9" t="s">
        <v>5487</v>
      </c>
      <c r="B1164" s="9" t="s">
        <v>5488</v>
      </c>
      <c r="C1164" s="9" t="s">
        <v>5489</v>
      </c>
      <c r="D1164" s="9" t="s">
        <v>4371</v>
      </c>
      <c r="E1164" s="17" t="s">
        <v>49</v>
      </c>
      <c r="F1164" s="9" t="s">
        <v>69</v>
      </c>
      <c r="G1164" s="9" t="s">
        <v>70</v>
      </c>
      <c r="H1164" s="9" t="s">
        <v>4949</v>
      </c>
      <c r="I1164" s="9" t="s">
        <v>291</v>
      </c>
      <c r="J1164" s="10"/>
      <c r="K1164" s="10"/>
      <c r="L1164" s="10">
        <v>44739.408680555556</v>
      </c>
      <c r="M1164" s="10">
        <v>44746</v>
      </c>
      <c r="N1164" s="9">
        <v>2022</v>
      </c>
      <c r="O1164" s="9" t="s">
        <v>5289</v>
      </c>
      <c r="P1164" s="9" t="s">
        <v>53</v>
      </c>
      <c r="Q1164" s="9" t="s">
        <v>53</v>
      </c>
      <c r="R1164" s="9" t="s">
        <v>92</v>
      </c>
      <c r="T1164" s="9"/>
      <c r="V1164" s="9" t="s">
        <v>5402</v>
      </c>
      <c r="W1164" s="11">
        <f>IFERROR(VLOOKUP(B1164, PlumX_snapshot!$A:$B, 2, FALSE), " ")</f>
        <v>2</v>
      </c>
      <c r="X1164" s="11">
        <f>IFERROR(VLOOKUP(B1164, PlumX_snapshot!$A:$C, 3, FALSE), " ")</f>
        <v>0</v>
      </c>
      <c r="Y1164" s="12">
        <f>IFERROR(VLOOKUP(B1164, PlumX_snapshot!$A:$D, 4, FALSE), " ")</f>
        <v>11</v>
      </c>
      <c r="Z1164" s="12">
        <f>IFERROR(VLOOKUP(B1164, PlumX_snapshot!$A:$E, 5, FALSE), " ")</f>
        <v>0</v>
      </c>
      <c r="AA1164" s="12">
        <f>IFERROR(VLOOKUP(B1164, PlumX_snapshot!$A:$F, 6, FALSE), " ")</f>
        <v>1</v>
      </c>
      <c r="AB1164" s="13">
        <v>44978</v>
      </c>
      <c r="AC1164" s="9" t="s">
        <v>5490</v>
      </c>
      <c r="AD1164" s="9" t="s">
        <v>5491</v>
      </c>
      <c r="AE1164" s="9" t="s">
        <v>5492</v>
      </c>
      <c r="AH1164" s="9">
        <v>2375</v>
      </c>
      <c r="AI1164" s="9" t="s">
        <v>77</v>
      </c>
      <c r="AJ1164" s="9" t="s">
        <v>301</v>
      </c>
      <c r="AK1164" s="11" t="str">
        <f t="shared" si="8"/>
        <v>2022GBP</v>
      </c>
      <c r="AL1164" s="11">
        <f>VLOOKUP(AK1164, Exchange_rates!$C:$D, 2, FALSE)</f>
        <v>1</v>
      </c>
      <c r="AM1164" s="14">
        <f t="shared" si="9"/>
        <v>2850</v>
      </c>
      <c r="AN1164" s="9"/>
      <c r="AO1164" s="9"/>
      <c r="AP1164" s="17"/>
      <c r="AQ1164" s="15" t="s">
        <v>49</v>
      </c>
      <c r="AR1164" t="s">
        <v>5493</v>
      </c>
      <c r="AS1164" s="16" t="s">
        <v>5494</v>
      </c>
    </row>
    <row r="1165" spans="1:45" ht="14.5">
      <c r="A1165" s="9" t="s">
        <v>5495</v>
      </c>
      <c r="B1165" s="9" t="s">
        <v>5496</v>
      </c>
      <c r="C1165" s="9" t="s">
        <v>4416</v>
      </c>
      <c r="D1165" s="9" t="s">
        <v>4371</v>
      </c>
      <c r="E1165" s="17" t="s">
        <v>49</v>
      </c>
      <c r="F1165" s="9" t="s">
        <v>69</v>
      </c>
      <c r="G1165" s="9" t="s">
        <v>70</v>
      </c>
      <c r="H1165" s="9" t="s">
        <v>4949</v>
      </c>
      <c r="I1165" s="9" t="s">
        <v>72</v>
      </c>
      <c r="J1165" s="10"/>
      <c r="K1165" s="10"/>
      <c r="L1165" s="10">
        <v>44739.406793981485</v>
      </c>
      <c r="M1165" s="28">
        <v>44543</v>
      </c>
      <c r="N1165" s="9">
        <v>2022</v>
      </c>
      <c r="O1165" s="9" t="s">
        <v>5289</v>
      </c>
      <c r="P1165" s="9" t="s">
        <v>83</v>
      </c>
      <c r="Q1165" s="9" t="s">
        <v>53</v>
      </c>
      <c r="R1165" s="9" t="s">
        <v>5497</v>
      </c>
      <c r="T1165" s="9"/>
      <c r="V1165" s="9" t="s">
        <v>5402</v>
      </c>
      <c r="W1165" s="11">
        <f>IFERROR(VLOOKUP(B1165, PlumX_snapshot!$A:$B, 2, FALSE), " ")</f>
        <v>0</v>
      </c>
      <c r="X1165" s="11">
        <f>IFERROR(VLOOKUP(B1165, PlumX_snapshot!$A:$C, 3, FALSE), " ")</f>
        <v>0</v>
      </c>
      <c r="Y1165" s="12">
        <f>IFERROR(VLOOKUP(B1165, PlumX_snapshot!$A:$D, 4, FALSE), " ")</f>
        <v>0</v>
      </c>
      <c r="Z1165" s="12">
        <f>IFERROR(VLOOKUP(B1165, PlumX_snapshot!$A:$E, 5, FALSE), " ")</f>
        <v>0</v>
      </c>
      <c r="AA1165" s="12">
        <f>IFERROR(VLOOKUP(B1165, PlumX_snapshot!$A:$F, 6, FALSE), " ")</f>
        <v>0</v>
      </c>
      <c r="AB1165" s="13">
        <v>44978</v>
      </c>
      <c r="AC1165" s="9" t="s">
        <v>5498</v>
      </c>
      <c r="AD1165" s="9" t="s">
        <v>5499</v>
      </c>
      <c r="AE1165" s="9"/>
      <c r="AH1165" s="9">
        <v>2775</v>
      </c>
      <c r="AI1165" s="9" t="s">
        <v>77</v>
      </c>
      <c r="AJ1165" s="9" t="s">
        <v>301</v>
      </c>
      <c r="AK1165" s="11" t="str">
        <f t="shared" si="8"/>
        <v>2022GBP</v>
      </c>
      <c r="AL1165" s="11">
        <f>VLOOKUP(AK1165, Exchange_rates!$C:$D, 2, FALSE)</f>
        <v>1</v>
      </c>
      <c r="AM1165" s="14">
        <f t="shared" si="9"/>
        <v>3330</v>
      </c>
      <c r="AN1165" s="9"/>
      <c r="AO1165" s="9"/>
      <c r="AP1165" s="17"/>
      <c r="AQ1165" s="15" t="s">
        <v>49</v>
      </c>
      <c r="AR1165" t="s">
        <v>4419</v>
      </c>
      <c r="AS1165" s="16" t="s">
        <v>4420</v>
      </c>
    </row>
    <row r="1166" spans="1:45" ht="14.5">
      <c r="A1166" s="9" t="s">
        <v>5500</v>
      </c>
      <c r="B1166" s="9" t="s">
        <v>5501</v>
      </c>
      <c r="C1166" s="9" t="s">
        <v>5243</v>
      </c>
      <c r="D1166" s="9" t="s">
        <v>4371</v>
      </c>
      <c r="E1166" s="17" t="s">
        <v>49</v>
      </c>
      <c r="F1166" s="9" t="s">
        <v>69</v>
      </c>
      <c r="G1166" s="9" t="s">
        <v>70</v>
      </c>
      <c r="H1166" s="9" t="s">
        <v>4949</v>
      </c>
      <c r="I1166" s="9" t="s">
        <v>291</v>
      </c>
      <c r="J1166" s="10"/>
      <c r="K1166" s="10"/>
      <c r="L1166" s="10">
        <v>44727.340555555558</v>
      </c>
      <c r="M1166" s="10">
        <v>44760</v>
      </c>
      <c r="N1166" s="9">
        <v>2022</v>
      </c>
      <c r="O1166" s="9" t="s">
        <v>5289</v>
      </c>
      <c r="P1166" s="9" t="s">
        <v>53</v>
      </c>
      <c r="Q1166" s="9" t="s">
        <v>53</v>
      </c>
      <c r="R1166" s="9" t="s">
        <v>92</v>
      </c>
      <c r="T1166" s="9"/>
      <c r="V1166" s="9" t="s">
        <v>5168</v>
      </c>
      <c r="W1166" s="11">
        <f>IFERROR(VLOOKUP(B1166, PlumX_snapshot!$A:$B, 2, FALSE), " ")</f>
        <v>0</v>
      </c>
      <c r="X1166" s="11">
        <f>IFERROR(VLOOKUP(B1166, PlumX_snapshot!$A:$C, 3, FALSE), " ")</f>
        <v>0</v>
      </c>
      <c r="Y1166" s="12">
        <f>IFERROR(VLOOKUP(B1166, PlumX_snapshot!$A:$D, 4, FALSE), " ")</f>
        <v>6</v>
      </c>
      <c r="Z1166" s="12">
        <f>IFERROR(VLOOKUP(B1166, PlumX_snapshot!$A:$E, 5, FALSE), " ")</f>
        <v>0</v>
      </c>
      <c r="AA1166" s="12">
        <f>IFERROR(VLOOKUP(B1166, PlumX_snapshot!$A:$F, 6, FALSE), " ")</f>
        <v>0</v>
      </c>
      <c r="AB1166" s="13">
        <v>44978</v>
      </c>
      <c r="AC1166" s="9" t="s">
        <v>5502</v>
      </c>
      <c r="AD1166" s="9" t="s">
        <v>5503</v>
      </c>
      <c r="AE1166" s="9"/>
      <c r="AH1166" s="9">
        <v>2220</v>
      </c>
      <c r="AI1166" s="9" t="s">
        <v>77</v>
      </c>
      <c r="AJ1166" s="9" t="s">
        <v>301</v>
      </c>
      <c r="AK1166" s="11" t="str">
        <f t="shared" si="8"/>
        <v>2022GBP</v>
      </c>
      <c r="AL1166" s="11">
        <f>VLOOKUP(AK1166, Exchange_rates!$C:$D, 2, FALSE)</f>
        <v>1</v>
      </c>
      <c r="AM1166" s="14">
        <f t="shared" si="9"/>
        <v>2664</v>
      </c>
      <c r="AN1166" s="9"/>
      <c r="AO1166" s="9"/>
      <c r="AP1166" s="17"/>
      <c r="AQ1166" s="15" t="s">
        <v>49</v>
      </c>
      <c r="AR1166" t="s">
        <v>5245</v>
      </c>
      <c r="AS1166" s="16" t="s">
        <v>5246</v>
      </c>
    </row>
    <row r="1167" spans="1:45" ht="14.5">
      <c r="A1167" s="9" t="s">
        <v>5504</v>
      </c>
      <c r="B1167" s="9" t="s">
        <v>5505</v>
      </c>
      <c r="C1167" s="9" t="s">
        <v>5506</v>
      </c>
      <c r="D1167" s="9" t="s">
        <v>4371</v>
      </c>
      <c r="E1167" s="17" t="s">
        <v>49</v>
      </c>
      <c r="F1167" s="9" t="s">
        <v>69</v>
      </c>
      <c r="G1167" s="9" t="s">
        <v>70</v>
      </c>
      <c r="H1167" s="9" t="s">
        <v>4949</v>
      </c>
      <c r="I1167" s="9" t="s">
        <v>72</v>
      </c>
      <c r="J1167" s="10"/>
      <c r="K1167" s="10"/>
      <c r="L1167" s="10">
        <v>44718.354189814818</v>
      </c>
      <c r="M1167" s="10">
        <v>44563</v>
      </c>
      <c r="N1167" s="9">
        <v>2022</v>
      </c>
      <c r="O1167" s="9" t="s">
        <v>5289</v>
      </c>
      <c r="P1167" s="9" t="s">
        <v>53</v>
      </c>
      <c r="Q1167" s="9" t="s">
        <v>83</v>
      </c>
      <c r="R1167" s="9" t="s">
        <v>5507</v>
      </c>
      <c r="T1167" s="9"/>
      <c r="U1167" s="9" t="s">
        <v>5508</v>
      </c>
      <c r="V1167" s="9" t="s">
        <v>5168</v>
      </c>
      <c r="W1167" s="11">
        <f>IFERROR(VLOOKUP(B1167, PlumX_snapshot!$A:$B, 2, FALSE), " ")</f>
        <v>1</v>
      </c>
      <c r="X1167" s="11">
        <f>IFERROR(VLOOKUP(B1167, PlumX_snapshot!$A:$C, 3, FALSE), " ")</f>
        <v>0</v>
      </c>
      <c r="Y1167" s="12">
        <f>IFERROR(VLOOKUP(B1167, PlumX_snapshot!$A:$D, 4, FALSE), " ")</f>
        <v>115</v>
      </c>
      <c r="Z1167" s="12">
        <f>IFERROR(VLOOKUP(B1167, PlumX_snapshot!$A:$E, 5, FALSE), " ")</f>
        <v>0</v>
      </c>
      <c r="AA1167" s="12">
        <f>IFERROR(VLOOKUP(B1167, PlumX_snapshot!$A:$F, 6, FALSE), " ")</f>
        <v>0</v>
      </c>
      <c r="AB1167" s="13">
        <v>44978</v>
      </c>
      <c r="AC1167" s="9" t="s">
        <v>5509</v>
      </c>
      <c r="AD1167" s="9" t="s">
        <v>5510</v>
      </c>
      <c r="AE1167" s="9" t="s">
        <v>5511</v>
      </c>
      <c r="AH1167" s="9">
        <v>2375</v>
      </c>
      <c r="AI1167" s="9" t="s">
        <v>77</v>
      </c>
      <c r="AJ1167" s="9" t="s">
        <v>301</v>
      </c>
      <c r="AK1167" s="11" t="str">
        <f t="shared" si="8"/>
        <v>2022GBP</v>
      </c>
      <c r="AL1167" s="11">
        <f>VLOOKUP(AK1167, Exchange_rates!$C:$D, 2, FALSE)</f>
        <v>1</v>
      </c>
      <c r="AM1167" s="14">
        <f t="shared" si="9"/>
        <v>2850</v>
      </c>
      <c r="AN1167" s="9"/>
      <c r="AO1167" s="9"/>
      <c r="AP1167" s="17"/>
      <c r="AQ1167" s="15" t="s">
        <v>49</v>
      </c>
      <c r="AR1167" t="s">
        <v>5512</v>
      </c>
      <c r="AS1167" s="16" t="s">
        <v>5513</v>
      </c>
    </row>
    <row r="1168" spans="1:45" ht="14.5">
      <c r="A1168" s="9" t="s">
        <v>5514</v>
      </c>
      <c r="B1168" s="9" t="s">
        <v>5515</v>
      </c>
      <c r="C1168" s="9" t="s">
        <v>5516</v>
      </c>
      <c r="D1168" s="9" t="s">
        <v>4371</v>
      </c>
      <c r="E1168" s="17" t="s">
        <v>49</v>
      </c>
      <c r="F1168" s="9" t="s">
        <v>69</v>
      </c>
      <c r="G1168" s="9" t="s">
        <v>70</v>
      </c>
      <c r="H1168" s="9" t="s">
        <v>4949</v>
      </c>
      <c r="I1168" s="9" t="s">
        <v>72</v>
      </c>
      <c r="J1168" s="10"/>
      <c r="K1168" s="10"/>
      <c r="L1168" s="10">
        <v>44705.31486111111</v>
      </c>
      <c r="M1168" s="10">
        <v>44742</v>
      </c>
      <c r="N1168" s="9">
        <v>2022</v>
      </c>
      <c r="O1168" s="9" t="s">
        <v>5289</v>
      </c>
      <c r="P1168" s="9" t="s">
        <v>53</v>
      </c>
      <c r="Q1168" s="9" t="s">
        <v>53</v>
      </c>
      <c r="R1168" s="9" t="s">
        <v>5517</v>
      </c>
      <c r="T1168" s="9"/>
      <c r="V1168" s="9" t="s">
        <v>5168</v>
      </c>
      <c r="W1168" s="11">
        <f>IFERROR(VLOOKUP(B1168, PlumX_snapshot!$A:$B, 2, FALSE), " ")</f>
        <v>10</v>
      </c>
      <c r="X1168" s="11">
        <f>IFERROR(VLOOKUP(B1168, PlumX_snapshot!$A:$C, 3, FALSE), " ")</f>
        <v>1</v>
      </c>
      <c r="Y1168" s="12">
        <f>IFERROR(VLOOKUP(B1168, PlumX_snapshot!$A:$D, 4, FALSE), " ")</f>
        <v>18</v>
      </c>
      <c r="Z1168" s="12">
        <f>IFERROR(VLOOKUP(B1168, PlumX_snapshot!$A:$E, 5, FALSE), " ")</f>
        <v>0</v>
      </c>
      <c r="AA1168" s="12">
        <f>IFERROR(VLOOKUP(B1168, PlumX_snapshot!$A:$F, 6, FALSE), " ")</f>
        <v>0</v>
      </c>
      <c r="AB1168" s="13">
        <v>44978</v>
      </c>
      <c r="AC1168" s="9" t="s">
        <v>4824</v>
      </c>
      <c r="AD1168" s="9" t="s">
        <v>5518</v>
      </c>
      <c r="AE1168" s="9" t="s">
        <v>4826</v>
      </c>
      <c r="AH1168" s="9">
        <v>2434</v>
      </c>
      <c r="AI1168" s="9" t="s">
        <v>1999</v>
      </c>
      <c r="AJ1168" s="9" t="s">
        <v>301</v>
      </c>
      <c r="AK1168" s="11" t="str">
        <f t="shared" si="8"/>
        <v>2022GBP</v>
      </c>
      <c r="AL1168" s="11">
        <f>VLOOKUP(AK1168, Exchange_rates!$C:$D, 2, FALSE)</f>
        <v>1</v>
      </c>
      <c r="AM1168" s="14">
        <f t="shared" si="9"/>
        <v>2920.7999999999997</v>
      </c>
      <c r="AN1168" s="9"/>
      <c r="AO1168" s="9"/>
      <c r="AP1168" s="17"/>
      <c r="AQ1168" s="15" t="s">
        <v>49</v>
      </c>
      <c r="AR1168" t="s">
        <v>5519</v>
      </c>
      <c r="AS1168" s="16" t="s">
        <v>5520</v>
      </c>
    </row>
    <row r="1169" spans="1:60" ht="14.5">
      <c r="A1169" s="9" t="s">
        <v>5521</v>
      </c>
      <c r="B1169" s="9" t="s">
        <v>5522</v>
      </c>
      <c r="C1169" s="9" t="s">
        <v>5523</v>
      </c>
      <c r="D1169" s="9" t="s">
        <v>4371</v>
      </c>
      <c r="E1169" s="17" t="s">
        <v>49</v>
      </c>
      <c r="F1169" s="9" t="s">
        <v>69</v>
      </c>
      <c r="G1169" s="9" t="s">
        <v>70</v>
      </c>
      <c r="H1169" s="9" t="s">
        <v>4949</v>
      </c>
      <c r="I1169" s="9" t="s">
        <v>72</v>
      </c>
      <c r="J1169" s="10"/>
      <c r="K1169" s="10"/>
      <c r="L1169" s="10">
        <v>44704.38989583333</v>
      </c>
      <c r="M1169" s="10">
        <v>44712</v>
      </c>
      <c r="N1169" s="9">
        <v>2022</v>
      </c>
      <c r="O1169" s="9" t="s">
        <v>5289</v>
      </c>
      <c r="P1169" s="9" t="s">
        <v>83</v>
      </c>
      <c r="Q1169" s="9" t="s">
        <v>53</v>
      </c>
      <c r="R1169" s="9" t="s">
        <v>5524</v>
      </c>
      <c r="T1169" s="9"/>
      <c r="V1169" s="9" t="s">
        <v>5168</v>
      </c>
      <c r="W1169" s="11">
        <f>IFERROR(VLOOKUP(B1169, PlumX_snapshot!$A:$B, 2, FALSE), " ")</f>
        <v>5</v>
      </c>
      <c r="X1169" s="11">
        <f>IFERROR(VLOOKUP(B1169, PlumX_snapshot!$A:$C, 3, FALSE), " ")</f>
        <v>2</v>
      </c>
      <c r="Y1169" s="12">
        <f>IFERROR(VLOOKUP(B1169, PlumX_snapshot!$A:$D, 4, FALSE), " ")</f>
        <v>3</v>
      </c>
      <c r="Z1169" s="12">
        <f>IFERROR(VLOOKUP(B1169, PlumX_snapshot!$A:$E, 5, FALSE), " ")</f>
        <v>0</v>
      </c>
      <c r="AA1169" s="12">
        <f>IFERROR(VLOOKUP(B1169, PlumX_snapshot!$A:$F, 6, FALSE), " ")</f>
        <v>0</v>
      </c>
      <c r="AB1169" s="13">
        <v>44978</v>
      </c>
      <c r="AC1169" s="9" t="s">
        <v>5525</v>
      </c>
      <c r="AD1169" s="9" t="s">
        <v>5526</v>
      </c>
      <c r="AE1169" s="9"/>
      <c r="AH1169" s="9">
        <v>2375</v>
      </c>
      <c r="AI1169" s="9" t="s">
        <v>77</v>
      </c>
      <c r="AJ1169" s="9" t="s">
        <v>301</v>
      </c>
      <c r="AK1169" s="11" t="str">
        <f t="shared" si="8"/>
        <v>2022GBP</v>
      </c>
      <c r="AL1169" s="11">
        <f>VLOOKUP(AK1169, Exchange_rates!$C:$D, 2, FALSE)</f>
        <v>1</v>
      </c>
      <c r="AM1169" s="14">
        <f t="shared" si="9"/>
        <v>2850</v>
      </c>
      <c r="AN1169" s="9"/>
      <c r="AO1169" s="9"/>
      <c r="AP1169" s="17"/>
      <c r="AQ1169" s="15" t="s">
        <v>49</v>
      </c>
      <c r="AR1169" t="s">
        <v>5527</v>
      </c>
      <c r="AS1169" s="16" t="s">
        <v>5528</v>
      </c>
    </row>
    <row r="1170" spans="1:60" ht="14.5">
      <c r="A1170" s="9" t="s">
        <v>5529</v>
      </c>
      <c r="B1170" s="9" t="s">
        <v>5530</v>
      </c>
      <c r="C1170" s="9" t="s">
        <v>5531</v>
      </c>
      <c r="D1170" s="9" t="s">
        <v>4371</v>
      </c>
      <c r="E1170" s="17" t="s">
        <v>49</v>
      </c>
      <c r="F1170" s="9" t="s">
        <v>69</v>
      </c>
      <c r="G1170" s="9" t="s">
        <v>70</v>
      </c>
      <c r="H1170" s="9" t="s">
        <v>4949</v>
      </c>
      <c r="I1170" s="9" t="s">
        <v>291</v>
      </c>
      <c r="J1170" s="10"/>
      <c r="K1170" s="10"/>
      <c r="L1170" s="10">
        <v>44704.38726851852</v>
      </c>
      <c r="M1170" s="10">
        <v>44685</v>
      </c>
      <c r="N1170" s="9">
        <v>2022</v>
      </c>
      <c r="O1170" s="9" t="s">
        <v>5289</v>
      </c>
      <c r="P1170" s="9" t="s">
        <v>53</v>
      </c>
      <c r="Q1170" s="9" t="s">
        <v>53</v>
      </c>
      <c r="R1170" s="9" t="s">
        <v>92</v>
      </c>
      <c r="T1170" s="9"/>
      <c r="V1170" s="9" t="s">
        <v>5168</v>
      </c>
      <c r="W1170" s="11">
        <f>IFERROR(VLOOKUP(B1170, PlumX_snapshot!$A:$B, 2, FALSE), " ")</f>
        <v>0</v>
      </c>
      <c r="X1170" s="11">
        <f>IFERROR(VLOOKUP(B1170, PlumX_snapshot!$A:$C, 3, FALSE), " ")</f>
        <v>0</v>
      </c>
      <c r="Y1170" s="12">
        <f>IFERROR(VLOOKUP(B1170, PlumX_snapshot!$A:$D, 4, FALSE), " ")</f>
        <v>0</v>
      </c>
      <c r="Z1170" s="12">
        <f>IFERROR(VLOOKUP(B1170, PlumX_snapshot!$A:$E, 5, FALSE), " ")</f>
        <v>0</v>
      </c>
      <c r="AA1170" s="12">
        <f>IFERROR(VLOOKUP(B1170, PlumX_snapshot!$A:$F, 6, FALSE), " ")</f>
        <v>0</v>
      </c>
      <c r="AB1170" s="13">
        <v>44978</v>
      </c>
      <c r="AC1170" s="9" t="s">
        <v>5532</v>
      </c>
      <c r="AD1170" s="9" t="s">
        <v>5533</v>
      </c>
      <c r="AE1170" s="9"/>
      <c r="AH1170" s="9">
        <v>2375</v>
      </c>
      <c r="AI1170" s="9" t="s">
        <v>77</v>
      </c>
      <c r="AJ1170" s="9" t="s">
        <v>301</v>
      </c>
      <c r="AK1170" s="11" t="str">
        <f t="shared" si="8"/>
        <v>2022GBP</v>
      </c>
      <c r="AL1170" s="11">
        <f>VLOOKUP(AK1170, Exchange_rates!$C:$D, 2, FALSE)</f>
        <v>1</v>
      </c>
      <c r="AM1170" s="14">
        <f t="shared" si="9"/>
        <v>2850</v>
      </c>
      <c r="AN1170" s="9"/>
      <c r="AO1170" s="9"/>
      <c r="AP1170" s="17"/>
      <c r="AQ1170" s="15" t="s">
        <v>49</v>
      </c>
      <c r="AR1170" t="s">
        <v>5534</v>
      </c>
      <c r="AS1170" s="16" t="s">
        <v>5535</v>
      </c>
    </row>
    <row r="1171" spans="1:60" ht="14.5">
      <c r="A1171" s="9" t="s">
        <v>5536</v>
      </c>
      <c r="B1171" s="9" t="s">
        <v>5537</v>
      </c>
      <c r="C1171" s="9" t="s">
        <v>5538</v>
      </c>
      <c r="D1171" s="9" t="s">
        <v>5539</v>
      </c>
      <c r="E1171" s="9" t="s">
        <v>125</v>
      </c>
      <c r="F1171" s="9" t="s">
        <v>69</v>
      </c>
      <c r="G1171" s="9" t="s">
        <v>51</v>
      </c>
      <c r="H1171" s="9"/>
      <c r="J1171" s="29"/>
      <c r="K1171" s="29"/>
      <c r="L1171" s="10">
        <v>44160</v>
      </c>
      <c r="M1171" s="10">
        <v>44181</v>
      </c>
      <c r="N1171" s="9">
        <v>2020</v>
      </c>
      <c r="O1171" s="9" t="s">
        <v>5540</v>
      </c>
      <c r="P1171" s="9" t="s">
        <v>53</v>
      </c>
      <c r="Q1171" s="9" t="s">
        <v>53</v>
      </c>
      <c r="T1171" s="9" t="s">
        <v>5541</v>
      </c>
      <c r="U1171" s="9" t="s">
        <v>5542</v>
      </c>
      <c r="V1171" s="9"/>
      <c r="W1171" s="11" t="str">
        <f>IFERROR(VLOOKUP(B1171, PlumX_snapshot!$A:$B, 2, FALSE), " ")</f>
        <v xml:space="preserve"> </v>
      </c>
      <c r="X1171" s="11" t="str">
        <f>IFERROR(VLOOKUP(B1171, PlumX_snapshot!$A:$C, 3, FALSE), " ")</f>
        <v xml:space="preserve"> </v>
      </c>
      <c r="Y1171" s="12" t="str">
        <f>IFERROR(VLOOKUP(B1171, PlumX_snapshot!$A:$D, 4, FALSE), " ")</f>
        <v xml:space="preserve"> </v>
      </c>
      <c r="Z1171" s="12" t="str">
        <f>IFERROR(VLOOKUP(B1171, PlumX_snapshot!$A:$E, 5, FALSE), " ")</f>
        <v xml:space="preserve"> </v>
      </c>
      <c r="AA1171" s="12" t="str">
        <f>IFERROR(VLOOKUP(B1171, PlumX_snapshot!$A:$F, 6, FALSE), " ")</f>
        <v xml:space="preserve"> </v>
      </c>
      <c r="AB1171" s="13"/>
      <c r="AC1171" s="9"/>
      <c r="AD1171" s="9"/>
      <c r="AE1171" s="9"/>
      <c r="AF1171" s="9"/>
      <c r="AH1171" s="9"/>
      <c r="AI1171" s="9"/>
      <c r="AJ1171" s="9"/>
      <c r="AK1171" s="11" t="str">
        <f t="shared" si="8"/>
        <v>2020</v>
      </c>
      <c r="AL1171" s="11" t="e">
        <f>VLOOKUP(AK1171, Exchange_rates!$C:$D, 2, FALSE)</f>
        <v>#N/A</v>
      </c>
      <c r="AM1171" s="14" t="str">
        <f t="shared" si="9"/>
        <v/>
      </c>
      <c r="AN1171" s="9"/>
      <c r="AO1171" s="9"/>
      <c r="AP1171" s="9"/>
      <c r="AQ1171" s="15" t="s">
        <v>125</v>
      </c>
      <c r="AR1171" t="s">
        <v>5543</v>
      </c>
      <c r="AS1171" s="16"/>
    </row>
    <row r="1172" spans="1:60" ht="14.5">
      <c r="A1172" s="20" t="s">
        <v>5544</v>
      </c>
      <c r="B1172" s="20" t="s">
        <v>5545</v>
      </c>
      <c r="C1172" s="20" t="s">
        <v>5546</v>
      </c>
      <c r="D1172" s="20" t="s">
        <v>5539</v>
      </c>
      <c r="E1172" s="20" t="s">
        <v>49</v>
      </c>
      <c r="F1172" s="20" t="s">
        <v>69</v>
      </c>
      <c r="G1172" s="20" t="s">
        <v>51</v>
      </c>
      <c r="H1172" s="20"/>
      <c r="I1172" s="20" t="s">
        <v>72</v>
      </c>
      <c r="J1172" s="33"/>
      <c r="K1172" s="33"/>
      <c r="L1172" s="22">
        <v>44148</v>
      </c>
      <c r="M1172" s="22">
        <v>44208</v>
      </c>
      <c r="N1172" s="20">
        <v>2020</v>
      </c>
      <c r="O1172" s="20" t="s">
        <v>5540</v>
      </c>
      <c r="P1172" s="20" t="s">
        <v>53</v>
      </c>
      <c r="Q1172" s="20" t="s">
        <v>53</v>
      </c>
      <c r="R1172" s="20"/>
      <c r="S1172" s="20"/>
      <c r="T1172" s="20" t="s">
        <v>5541</v>
      </c>
      <c r="U1172" s="20" t="s">
        <v>5547</v>
      </c>
      <c r="V1172" s="20"/>
      <c r="W1172" s="23" t="str">
        <f>IFERROR(VLOOKUP(B1172, PlumX_snapshot!$A:$B, 2, FALSE), " ")</f>
        <v xml:space="preserve"> </v>
      </c>
      <c r="X1172" s="23" t="str">
        <f>IFERROR(VLOOKUP(B1172, PlumX_snapshot!$A:$C, 3, FALSE), " ")</f>
        <v xml:space="preserve"> </v>
      </c>
      <c r="Y1172" s="24" t="str">
        <f>IFERROR(VLOOKUP(B1172, PlumX_snapshot!$A:$D, 4, FALSE), " ")</f>
        <v xml:space="preserve"> </v>
      </c>
      <c r="Z1172" s="24" t="str">
        <f>IFERROR(VLOOKUP(B1172, PlumX_snapshot!$A:$E, 5, FALSE), " ")</f>
        <v xml:space="preserve"> </v>
      </c>
      <c r="AA1172" s="24" t="str">
        <f>IFERROR(VLOOKUP(B1172, PlumX_snapshot!$A:$F, 6, FALSE), " ")</f>
        <v xml:space="preserve"> </v>
      </c>
      <c r="AB1172" s="25"/>
      <c r="AC1172" s="20" t="s">
        <v>5548</v>
      </c>
      <c r="AD1172" s="20" t="s">
        <v>174</v>
      </c>
      <c r="AE1172" s="20" t="s">
        <v>5549</v>
      </c>
      <c r="AF1172" s="20" t="s">
        <v>5550</v>
      </c>
      <c r="AG1172" s="20"/>
      <c r="AH1172" s="20">
        <v>2650</v>
      </c>
      <c r="AI1172" s="20" t="s">
        <v>77</v>
      </c>
      <c r="AJ1172" s="20" t="s">
        <v>301</v>
      </c>
      <c r="AK1172" s="23" t="str">
        <f t="shared" si="8"/>
        <v>2020GBP</v>
      </c>
      <c r="AL1172" s="23">
        <f>VLOOKUP(AK1172, Exchange_rates!$C:$D, 2, FALSE)</f>
        <v>1</v>
      </c>
      <c r="AM1172" s="14">
        <f t="shared" si="9"/>
        <v>3180</v>
      </c>
      <c r="AN1172" s="20"/>
      <c r="AO1172" s="20"/>
      <c r="AP1172" s="20"/>
      <c r="AQ1172" s="27" t="s">
        <v>49</v>
      </c>
      <c r="AR1172" t="s">
        <v>5551</v>
      </c>
      <c r="AS1172" s="16"/>
      <c r="AT1172" s="20"/>
      <c r="AU1172" s="20"/>
      <c r="AV1172" s="20"/>
      <c r="AW1172" s="20"/>
      <c r="AX1172" s="20"/>
      <c r="AY1172" s="20"/>
      <c r="AZ1172" s="20"/>
      <c r="BA1172" s="20"/>
      <c r="BB1172" s="20"/>
      <c r="BC1172" s="20"/>
      <c r="BD1172" s="20"/>
      <c r="BE1172" s="20"/>
      <c r="BF1172" s="20"/>
      <c r="BG1172" s="20"/>
      <c r="BH1172" s="20"/>
    </row>
    <row r="1173" spans="1:60" ht="14.5">
      <c r="A1173" s="20" t="s">
        <v>5552</v>
      </c>
      <c r="B1173" s="20" t="s">
        <v>5553</v>
      </c>
      <c r="C1173" s="20" t="s">
        <v>5554</v>
      </c>
      <c r="D1173" s="20" t="s">
        <v>5539</v>
      </c>
      <c r="E1173" s="20" t="s">
        <v>49</v>
      </c>
      <c r="F1173" s="20" t="s">
        <v>69</v>
      </c>
      <c r="G1173" s="20" t="s">
        <v>51</v>
      </c>
      <c r="H1173" s="20"/>
      <c r="I1173" s="20" t="s">
        <v>72</v>
      </c>
      <c r="J1173" s="33"/>
      <c r="K1173" s="33"/>
      <c r="L1173" s="22">
        <v>44148</v>
      </c>
      <c r="M1173" s="22">
        <v>44167</v>
      </c>
      <c r="N1173" s="20">
        <v>2020</v>
      </c>
      <c r="O1173" s="20" t="s">
        <v>5540</v>
      </c>
      <c r="P1173" s="20" t="s">
        <v>53</v>
      </c>
      <c r="Q1173" s="20" t="s">
        <v>53</v>
      </c>
      <c r="R1173" s="20"/>
      <c r="S1173" s="20"/>
      <c r="T1173" s="20" t="s">
        <v>5541</v>
      </c>
      <c r="U1173" s="20" t="s">
        <v>5547</v>
      </c>
      <c r="V1173" s="20"/>
      <c r="W1173" s="23" t="str">
        <f>IFERROR(VLOOKUP(B1173, PlumX_snapshot!$A:$B, 2, FALSE), " ")</f>
        <v xml:space="preserve"> </v>
      </c>
      <c r="X1173" s="23" t="str">
        <f>IFERROR(VLOOKUP(B1173, PlumX_snapshot!$A:$C, 3, FALSE), " ")</f>
        <v xml:space="preserve"> </v>
      </c>
      <c r="Y1173" s="24" t="str">
        <f>IFERROR(VLOOKUP(B1173, PlumX_snapshot!$A:$D, 4, FALSE), " ")</f>
        <v xml:space="preserve"> </v>
      </c>
      <c r="Z1173" s="24" t="str">
        <f>IFERROR(VLOOKUP(B1173, PlumX_snapshot!$A:$E, 5, FALSE), " ")</f>
        <v xml:space="preserve"> </v>
      </c>
      <c r="AA1173" s="24" t="str">
        <f>IFERROR(VLOOKUP(B1173, PlumX_snapshot!$A:$F, 6, FALSE), " ")</f>
        <v xml:space="preserve"> </v>
      </c>
      <c r="AB1173" s="25"/>
      <c r="AC1173" s="20" t="s">
        <v>5555</v>
      </c>
      <c r="AD1173" s="20" t="s">
        <v>5556</v>
      </c>
      <c r="AE1173" s="20" t="s">
        <v>5557</v>
      </c>
      <c r="AF1173" s="20"/>
      <c r="AG1173" s="20"/>
      <c r="AH1173" s="20">
        <v>2793</v>
      </c>
      <c r="AI1173" s="20" t="s">
        <v>77</v>
      </c>
      <c r="AJ1173" s="20" t="s">
        <v>301</v>
      </c>
      <c r="AK1173" s="23" t="str">
        <f t="shared" si="8"/>
        <v>2020GBP</v>
      </c>
      <c r="AL1173" s="23">
        <f>VLOOKUP(AK1173, Exchange_rates!$C:$D, 2, FALSE)</f>
        <v>1</v>
      </c>
      <c r="AM1173" s="14">
        <f t="shared" si="9"/>
        <v>3351.6</v>
      </c>
      <c r="AN1173" s="20"/>
      <c r="AO1173" s="20"/>
      <c r="AP1173" s="20"/>
      <c r="AQ1173" s="27" t="s">
        <v>49</v>
      </c>
      <c r="AR1173" t="s">
        <v>5558</v>
      </c>
      <c r="AS1173" s="16"/>
      <c r="AT1173" s="20"/>
      <c r="AU1173" s="20"/>
      <c r="AV1173" s="20"/>
      <c r="AW1173" s="20"/>
      <c r="AX1173" s="20"/>
      <c r="AY1173" s="20"/>
      <c r="AZ1173" s="20"/>
      <c r="BA1173" s="20"/>
      <c r="BB1173" s="20"/>
      <c r="BC1173" s="20"/>
      <c r="BD1173" s="20"/>
      <c r="BE1173" s="20"/>
      <c r="BF1173" s="20"/>
      <c r="BG1173" s="20"/>
      <c r="BH1173" s="20"/>
    </row>
    <row r="1174" spans="1:60" ht="14.5">
      <c r="A1174" s="20" t="s">
        <v>5559</v>
      </c>
      <c r="B1174" s="20" t="s">
        <v>5560</v>
      </c>
      <c r="C1174" s="20" t="s">
        <v>5561</v>
      </c>
      <c r="D1174" s="20" t="s">
        <v>5539</v>
      </c>
      <c r="E1174" s="20" t="s">
        <v>49</v>
      </c>
      <c r="F1174" s="20" t="s">
        <v>69</v>
      </c>
      <c r="G1174" s="20" t="s">
        <v>51</v>
      </c>
      <c r="H1174" s="20"/>
      <c r="I1174" s="20" t="s">
        <v>72</v>
      </c>
      <c r="J1174" s="33"/>
      <c r="K1174" s="33"/>
      <c r="L1174" s="22">
        <v>44148</v>
      </c>
      <c r="M1174" s="22">
        <v>44126</v>
      </c>
      <c r="N1174" s="20">
        <v>2020</v>
      </c>
      <c r="O1174" s="20" t="s">
        <v>5540</v>
      </c>
      <c r="P1174" s="20" t="s">
        <v>53</v>
      </c>
      <c r="Q1174" s="20" t="s">
        <v>53</v>
      </c>
      <c r="R1174" s="20"/>
      <c r="S1174" s="20"/>
      <c r="T1174" s="20" t="s">
        <v>5541</v>
      </c>
      <c r="U1174" s="20" t="s">
        <v>5547</v>
      </c>
      <c r="V1174" s="20"/>
      <c r="W1174" s="23" t="str">
        <f>IFERROR(VLOOKUP(B1174, PlumX_snapshot!$A:$B, 2, FALSE), " ")</f>
        <v xml:space="preserve"> </v>
      </c>
      <c r="X1174" s="23" t="str">
        <f>IFERROR(VLOOKUP(B1174, PlumX_snapshot!$A:$C, 3, FALSE), " ")</f>
        <v xml:space="preserve"> </v>
      </c>
      <c r="Y1174" s="24" t="str">
        <f>IFERROR(VLOOKUP(B1174, PlumX_snapshot!$A:$D, 4, FALSE), " ")</f>
        <v xml:space="preserve"> </v>
      </c>
      <c r="Z1174" s="24" t="str">
        <f>IFERROR(VLOOKUP(B1174, PlumX_snapshot!$A:$E, 5, FALSE), " ")</f>
        <v xml:space="preserve"> </v>
      </c>
      <c r="AA1174" s="24" t="str">
        <f>IFERROR(VLOOKUP(B1174, PlumX_snapshot!$A:$F, 6, FALSE), " ")</f>
        <v xml:space="preserve"> </v>
      </c>
      <c r="AB1174" s="25"/>
      <c r="AC1174" s="20" t="s">
        <v>5562</v>
      </c>
      <c r="AD1174" s="20" t="s">
        <v>5563</v>
      </c>
      <c r="AE1174" s="20" t="s">
        <v>5564</v>
      </c>
      <c r="AF1174" s="20" t="s">
        <v>5565</v>
      </c>
      <c r="AG1174" s="20"/>
      <c r="AH1174" s="20"/>
      <c r="AI1174" s="20"/>
      <c r="AJ1174" s="20"/>
      <c r="AK1174" s="23" t="str">
        <f t="shared" si="8"/>
        <v>2020</v>
      </c>
      <c r="AL1174" s="23" t="e">
        <f>VLOOKUP(AK1174, Exchange_rates!$C:$D, 2, FALSE)</f>
        <v>#N/A</v>
      </c>
      <c r="AM1174" s="14" t="str">
        <f t="shared" si="9"/>
        <v/>
      </c>
      <c r="AN1174" s="20"/>
      <c r="AO1174" s="20"/>
      <c r="AP1174" s="20"/>
      <c r="AQ1174" s="27" t="s">
        <v>49</v>
      </c>
      <c r="AR1174" t="s">
        <v>5566</v>
      </c>
      <c r="AS1174" s="16"/>
      <c r="AT1174" s="20"/>
      <c r="AU1174" s="20"/>
      <c r="AV1174" s="20"/>
      <c r="AW1174" s="20"/>
      <c r="AX1174" s="20"/>
      <c r="AY1174" s="20"/>
      <c r="AZ1174" s="20"/>
      <c r="BA1174" s="20"/>
      <c r="BB1174" s="20"/>
      <c r="BC1174" s="20"/>
      <c r="BD1174" s="20"/>
      <c r="BE1174" s="20"/>
      <c r="BF1174" s="20"/>
      <c r="BG1174" s="20"/>
      <c r="BH1174" s="20"/>
    </row>
    <row r="1175" spans="1:60" ht="14.5">
      <c r="A1175" s="20" t="s">
        <v>5567</v>
      </c>
      <c r="B1175" s="20" t="s">
        <v>5568</v>
      </c>
      <c r="C1175" s="20" t="s">
        <v>5569</v>
      </c>
      <c r="D1175" s="20" t="s">
        <v>5539</v>
      </c>
      <c r="E1175" s="20" t="s">
        <v>49</v>
      </c>
      <c r="F1175" s="20" t="s">
        <v>69</v>
      </c>
      <c r="G1175" s="20" t="s">
        <v>51</v>
      </c>
      <c r="H1175" s="20"/>
      <c r="I1175" s="20" t="s">
        <v>72</v>
      </c>
      <c r="J1175" s="33"/>
      <c r="K1175" s="33"/>
      <c r="L1175" s="22">
        <v>44148</v>
      </c>
      <c r="M1175" s="22">
        <v>43949</v>
      </c>
      <c r="N1175" s="20">
        <v>2020</v>
      </c>
      <c r="O1175" s="20" t="s">
        <v>5540</v>
      </c>
      <c r="P1175" s="20" t="s">
        <v>53</v>
      </c>
      <c r="Q1175" s="20" t="s">
        <v>53</v>
      </c>
      <c r="R1175" s="20"/>
      <c r="S1175" s="20"/>
      <c r="T1175" s="20" t="s">
        <v>5541</v>
      </c>
      <c r="U1175" s="20" t="s">
        <v>5547</v>
      </c>
      <c r="V1175" s="20"/>
      <c r="W1175" s="23" t="str">
        <f>IFERROR(VLOOKUP(B1175, PlumX_snapshot!$A:$B, 2, FALSE), " ")</f>
        <v xml:space="preserve"> </v>
      </c>
      <c r="X1175" s="23" t="str">
        <f>IFERROR(VLOOKUP(B1175, PlumX_snapshot!$A:$C, 3, FALSE), " ")</f>
        <v xml:space="preserve"> </v>
      </c>
      <c r="Y1175" s="24" t="str">
        <f>IFERROR(VLOOKUP(B1175, PlumX_snapshot!$A:$D, 4, FALSE), " ")</f>
        <v xml:space="preserve"> </v>
      </c>
      <c r="Z1175" s="24" t="str">
        <f>IFERROR(VLOOKUP(B1175, PlumX_snapshot!$A:$E, 5, FALSE), " ")</f>
        <v xml:space="preserve"> </v>
      </c>
      <c r="AA1175" s="24" t="str">
        <f>IFERROR(VLOOKUP(B1175, PlumX_snapshot!$A:$F, 6, FALSE), " ")</f>
        <v xml:space="preserve"> </v>
      </c>
      <c r="AB1175" s="25"/>
      <c r="AC1175" s="20" t="s">
        <v>5570</v>
      </c>
      <c r="AD1175" s="20" t="s">
        <v>5571</v>
      </c>
      <c r="AE1175" s="20"/>
      <c r="AF1175" s="20" t="s">
        <v>5572</v>
      </c>
      <c r="AG1175" s="20"/>
      <c r="AH1175" s="20"/>
      <c r="AI1175" s="20"/>
      <c r="AJ1175" s="20"/>
      <c r="AK1175" s="23" t="str">
        <f t="shared" si="8"/>
        <v>2020</v>
      </c>
      <c r="AL1175" s="23" t="e">
        <f>VLOOKUP(AK1175, Exchange_rates!$C:$D, 2, FALSE)</f>
        <v>#N/A</v>
      </c>
      <c r="AM1175" s="14" t="str">
        <f t="shared" si="9"/>
        <v/>
      </c>
      <c r="AN1175" s="20"/>
      <c r="AO1175" s="20"/>
      <c r="AP1175" s="20"/>
      <c r="AQ1175" s="27" t="s">
        <v>49</v>
      </c>
      <c r="AR1175" t="s">
        <v>5573</v>
      </c>
      <c r="AS1175" s="16"/>
      <c r="AT1175" s="20"/>
      <c r="AU1175" s="20"/>
      <c r="AV1175" s="20"/>
      <c r="AW1175" s="20"/>
      <c r="AX1175" s="20"/>
      <c r="AY1175" s="20"/>
      <c r="AZ1175" s="20"/>
      <c r="BA1175" s="20"/>
      <c r="BB1175" s="20"/>
      <c r="BC1175" s="20"/>
      <c r="BD1175" s="20"/>
      <c r="BE1175" s="20"/>
      <c r="BF1175" s="20"/>
      <c r="BG1175" s="20"/>
      <c r="BH1175" s="20"/>
    </row>
    <row r="1176" spans="1:60" ht="14.5">
      <c r="A1176" s="20" t="s">
        <v>5574</v>
      </c>
      <c r="B1176" s="20" t="s">
        <v>5575</v>
      </c>
      <c r="C1176" s="20" t="s">
        <v>5576</v>
      </c>
      <c r="D1176" s="20" t="s">
        <v>5539</v>
      </c>
      <c r="E1176" s="20" t="s">
        <v>49</v>
      </c>
      <c r="F1176" s="20"/>
      <c r="G1176" s="20" t="s">
        <v>51</v>
      </c>
      <c r="H1176" s="20"/>
      <c r="I1176" s="20"/>
      <c r="J1176" s="33"/>
      <c r="K1176" s="33"/>
      <c r="L1176" s="22">
        <v>44148</v>
      </c>
      <c r="M1176" s="22">
        <v>44169</v>
      </c>
      <c r="N1176" s="20">
        <v>2020</v>
      </c>
      <c r="O1176" s="20" t="s">
        <v>5540</v>
      </c>
      <c r="P1176" s="20" t="s">
        <v>53</v>
      </c>
      <c r="Q1176" s="20" t="s">
        <v>53</v>
      </c>
      <c r="R1176" s="20"/>
      <c r="S1176" s="20"/>
      <c r="T1176" s="20" t="s">
        <v>5541</v>
      </c>
      <c r="U1176" s="20" t="s">
        <v>5547</v>
      </c>
      <c r="V1176" s="20"/>
      <c r="W1176" s="23" t="str">
        <f>IFERROR(VLOOKUP(B1176, PlumX_snapshot!$A:$B, 2, FALSE), " ")</f>
        <v xml:space="preserve"> </v>
      </c>
      <c r="X1176" s="23" t="str">
        <f>IFERROR(VLOOKUP(B1176, PlumX_snapshot!$A:$C, 3, FALSE), " ")</f>
        <v xml:space="preserve"> </v>
      </c>
      <c r="Y1176" s="24" t="str">
        <f>IFERROR(VLOOKUP(B1176, PlumX_snapshot!$A:$D, 4, FALSE), " ")</f>
        <v xml:space="preserve"> </v>
      </c>
      <c r="Z1176" s="24" t="str">
        <f>IFERROR(VLOOKUP(B1176, PlumX_snapshot!$A:$E, 5, FALSE), " ")</f>
        <v xml:space="preserve"> </v>
      </c>
      <c r="AA1176" s="24" t="str">
        <f>IFERROR(VLOOKUP(B1176, PlumX_snapshot!$A:$F, 6, FALSE), " ")</f>
        <v xml:space="preserve"> </v>
      </c>
      <c r="AB1176" s="25"/>
      <c r="AC1176" s="20" t="s">
        <v>5577</v>
      </c>
      <c r="AD1176" s="20" t="s">
        <v>5578</v>
      </c>
      <c r="AE1176" s="20" t="s">
        <v>5579</v>
      </c>
      <c r="AF1176" s="20" t="s">
        <v>5580</v>
      </c>
      <c r="AG1176" s="20"/>
      <c r="AH1176" s="20">
        <v>2000</v>
      </c>
      <c r="AI1176" s="20" t="s">
        <v>77</v>
      </c>
      <c r="AJ1176" s="20" t="s">
        <v>301</v>
      </c>
      <c r="AK1176" s="23" t="str">
        <f t="shared" si="8"/>
        <v>2020GBP</v>
      </c>
      <c r="AL1176" s="23">
        <f>VLOOKUP(AK1176, Exchange_rates!$C:$D, 2, FALSE)</f>
        <v>1</v>
      </c>
      <c r="AM1176" s="14">
        <f t="shared" si="9"/>
        <v>2400</v>
      </c>
      <c r="AN1176" s="20"/>
      <c r="AO1176" s="20"/>
      <c r="AP1176" s="20"/>
      <c r="AQ1176" s="27" t="s">
        <v>49</v>
      </c>
      <c r="AR1176" t="s">
        <v>5581</v>
      </c>
      <c r="AS1176" s="16"/>
      <c r="AT1176" s="20"/>
      <c r="AU1176" s="20"/>
      <c r="AV1176" s="20"/>
      <c r="AW1176" s="20"/>
      <c r="AX1176" s="20"/>
      <c r="AY1176" s="20"/>
      <c r="AZ1176" s="20"/>
      <c r="BA1176" s="20"/>
      <c r="BB1176" s="20"/>
      <c r="BC1176" s="20"/>
      <c r="BD1176" s="20"/>
      <c r="BE1176" s="20"/>
      <c r="BF1176" s="20"/>
      <c r="BG1176" s="20"/>
      <c r="BH1176" s="20"/>
    </row>
    <row r="1177" spans="1:60" ht="14.5">
      <c r="A1177" s="20" t="s">
        <v>5582</v>
      </c>
      <c r="B1177" s="20" t="s">
        <v>5583</v>
      </c>
      <c r="C1177" s="20" t="s">
        <v>5584</v>
      </c>
      <c r="D1177" s="20" t="s">
        <v>5539</v>
      </c>
      <c r="E1177" s="20" t="s">
        <v>49</v>
      </c>
      <c r="F1177" s="20" t="s">
        <v>69</v>
      </c>
      <c r="G1177" s="20" t="s">
        <v>51</v>
      </c>
      <c r="H1177" s="20"/>
      <c r="I1177" s="20" t="s">
        <v>72</v>
      </c>
      <c r="J1177" s="33"/>
      <c r="K1177" s="22">
        <v>44035</v>
      </c>
      <c r="L1177" s="22">
        <v>44110</v>
      </c>
      <c r="M1177" s="22">
        <v>44105</v>
      </c>
      <c r="N1177" s="20">
        <v>2020</v>
      </c>
      <c r="O1177" s="20" t="s">
        <v>5540</v>
      </c>
      <c r="P1177" s="20" t="s">
        <v>53</v>
      </c>
      <c r="Q1177" s="20" t="s">
        <v>53</v>
      </c>
      <c r="R1177" s="20"/>
      <c r="S1177" s="20"/>
      <c r="T1177" s="20" t="s">
        <v>5541</v>
      </c>
      <c r="U1177" s="20" t="s">
        <v>5585</v>
      </c>
      <c r="V1177" s="20"/>
      <c r="W1177" s="23" t="str">
        <f>IFERROR(VLOOKUP(B1177, PlumX_snapshot!$A:$B, 2, FALSE), " ")</f>
        <v xml:space="preserve"> </v>
      </c>
      <c r="X1177" s="23" t="str">
        <f>IFERROR(VLOOKUP(B1177, PlumX_snapshot!$A:$C, 3, FALSE), " ")</f>
        <v xml:space="preserve"> </v>
      </c>
      <c r="Y1177" s="24" t="str">
        <f>IFERROR(VLOOKUP(B1177, PlumX_snapshot!$A:$D, 4, FALSE), " ")</f>
        <v xml:space="preserve"> </v>
      </c>
      <c r="Z1177" s="24" t="str">
        <f>IFERROR(VLOOKUP(B1177, PlumX_snapshot!$A:$E, 5, FALSE), " ")</f>
        <v xml:space="preserve"> </v>
      </c>
      <c r="AA1177" s="24" t="str">
        <f>IFERROR(VLOOKUP(B1177, PlumX_snapshot!$A:$F, 6, FALSE), " ")</f>
        <v xml:space="preserve"> </v>
      </c>
      <c r="AB1177" s="25"/>
      <c r="AC1177" s="20"/>
      <c r="AD1177" s="20"/>
      <c r="AE1177" s="20"/>
      <c r="AF1177" s="20"/>
      <c r="AG1177" s="20"/>
      <c r="AH1177" s="20"/>
      <c r="AI1177" s="20"/>
      <c r="AJ1177" s="20"/>
      <c r="AK1177" s="23" t="str">
        <f t="shared" si="8"/>
        <v>2020</v>
      </c>
      <c r="AL1177" s="23" t="e">
        <f>VLOOKUP(AK1177, Exchange_rates!$C:$D, 2, FALSE)</f>
        <v>#N/A</v>
      </c>
      <c r="AM1177" s="14" t="str">
        <f t="shared" si="9"/>
        <v/>
      </c>
      <c r="AN1177" s="20"/>
      <c r="AO1177" s="20"/>
      <c r="AP1177" s="20"/>
      <c r="AQ1177" s="27" t="s">
        <v>49</v>
      </c>
      <c r="AR1177" t="s">
        <v>5586</v>
      </c>
      <c r="AS1177" s="16"/>
      <c r="AT1177" s="20"/>
      <c r="AU1177" s="20"/>
      <c r="AV1177" s="20"/>
      <c r="AW1177" s="20"/>
      <c r="AX1177" s="20"/>
      <c r="AY1177" s="20"/>
      <c r="AZ1177" s="20"/>
      <c r="BA1177" s="20"/>
      <c r="BB1177" s="20"/>
      <c r="BC1177" s="20"/>
      <c r="BD1177" s="20"/>
      <c r="BE1177" s="20"/>
      <c r="BF1177" s="20"/>
      <c r="BG1177" s="20"/>
      <c r="BH1177" s="20"/>
    </row>
    <row r="1178" spans="1:60" ht="14.5">
      <c r="A1178" s="20" t="s">
        <v>5587</v>
      </c>
      <c r="B1178" s="20" t="s">
        <v>5588</v>
      </c>
      <c r="C1178" s="20" t="s">
        <v>5589</v>
      </c>
      <c r="D1178" s="20" t="s">
        <v>5539</v>
      </c>
      <c r="E1178" s="20" t="s">
        <v>49</v>
      </c>
      <c r="F1178" s="20" t="s">
        <v>69</v>
      </c>
      <c r="G1178" s="20" t="s">
        <v>51</v>
      </c>
      <c r="H1178" s="20"/>
      <c r="I1178" s="20" t="s">
        <v>238</v>
      </c>
      <c r="J1178" s="33"/>
      <c r="K1178" s="33"/>
      <c r="L1178" s="22">
        <v>44555</v>
      </c>
      <c r="M1178" s="22">
        <v>44551</v>
      </c>
      <c r="N1178" s="20">
        <v>2021</v>
      </c>
      <c r="O1178" s="20" t="s">
        <v>5540</v>
      </c>
      <c r="P1178" s="20" t="s">
        <v>53</v>
      </c>
      <c r="Q1178" s="20" t="s">
        <v>53</v>
      </c>
      <c r="R1178" s="20"/>
      <c r="S1178" s="20"/>
      <c r="T1178" s="20" t="s">
        <v>5541</v>
      </c>
      <c r="U1178" s="20" t="s">
        <v>5590</v>
      </c>
      <c r="V1178" s="20"/>
      <c r="W1178" s="23" t="str">
        <f>IFERROR(VLOOKUP(B1178, PlumX_snapshot!$A:$B, 2, FALSE), " ")</f>
        <v xml:space="preserve"> </v>
      </c>
      <c r="X1178" s="23" t="str">
        <f>IFERROR(VLOOKUP(B1178, PlumX_snapshot!$A:$C, 3, FALSE), " ")</f>
        <v xml:space="preserve"> </v>
      </c>
      <c r="Y1178" s="24" t="str">
        <f>IFERROR(VLOOKUP(B1178, PlumX_snapshot!$A:$D, 4, FALSE), " ")</f>
        <v xml:space="preserve"> </v>
      </c>
      <c r="Z1178" s="24" t="str">
        <f>IFERROR(VLOOKUP(B1178, PlumX_snapshot!$A:$E, 5, FALSE), " ")</f>
        <v xml:space="preserve"> </v>
      </c>
      <c r="AA1178" s="24" t="str">
        <f>IFERROR(VLOOKUP(B1178, PlumX_snapshot!$A:$F, 6, FALSE), " ")</f>
        <v xml:space="preserve"> </v>
      </c>
      <c r="AB1178" s="25"/>
      <c r="AC1178" s="20"/>
      <c r="AD1178" s="20"/>
      <c r="AE1178" s="20"/>
      <c r="AF1178" s="20"/>
      <c r="AG1178" s="20"/>
      <c r="AH1178" s="20"/>
      <c r="AI1178" s="20"/>
      <c r="AJ1178" s="20"/>
      <c r="AK1178" s="23" t="str">
        <f t="shared" si="8"/>
        <v>2021</v>
      </c>
      <c r="AL1178" s="23" t="e">
        <f>VLOOKUP(AK1178, Exchange_rates!$C:$D, 2, FALSE)</f>
        <v>#N/A</v>
      </c>
      <c r="AM1178" s="14" t="str">
        <f t="shared" si="9"/>
        <v/>
      </c>
      <c r="AN1178" s="20"/>
      <c r="AO1178" s="20"/>
      <c r="AP1178" s="20"/>
      <c r="AQ1178" s="27" t="s">
        <v>49</v>
      </c>
      <c r="AR1178" t="s">
        <v>5591</v>
      </c>
      <c r="AS1178" s="16"/>
      <c r="AT1178" s="20"/>
      <c r="AU1178" s="20"/>
      <c r="AV1178" s="20"/>
      <c r="AW1178" s="20"/>
      <c r="AX1178" s="20"/>
      <c r="AY1178" s="20"/>
      <c r="AZ1178" s="20"/>
      <c r="BA1178" s="20"/>
      <c r="BB1178" s="20"/>
      <c r="BC1178" s="20"/>
      <c r="BD1178" s="20"/>
      <c r="BE1178" s="20"/>
      <c r="BF1178" s="20"/>
      <c r="BG1178" s="20"/>
      <c r="BH1178" s="20"/>
    </row>
    <row r="1179" spans="1:60" ht="14.5">
      <c r="A1179" s="20" t="s">
        <v>5592</v>
      </c>
      <c r="B1179" s="20" t="s">
        <v>5593</v>
      </c>
      <c r="C1179" s="20" t="s">
        <v>5594</v>
      </c>
      <c r="D1179" s="20" t="s">
        <v>5539</v>
      </c>
      <c r="E1179" s="20" t="s">
        <v>49</v>
      </c>
      <c r="F1179" s="20" t="s">
        <v>69</v>
      </c>
      <c r="G1179" s="20" t="s">
        <v>51</v>
      </c>
      <c r="H1179" s="20"/>
      <c r="I1179" s="20" t="s">
        <v>291</v>
      </c>
      <c r="J1179" s="33"/>
      <c r="K1179" s="33"/>
      <c r="L1179" s="22">
        <v>44544</v>
      </c>
      <c r="M1179" s="22">
        <v>44506</v>
      </c>
      <c r="N1179" s="20">
        <v>2021</v>
      </c>
      <c r="O1179" s="20" t="s">
        <v>5540</v>
      </c>
      <c r="P1179" s="20" t="s">
        <v>53</v>
      </c>
      <c r="Q1179" s="20" t="s">
        <v>53</v>
      </c>
      <c r="R1179" s="20"/>
      <c r="S1179" s="20"/>
      <c r="T1179" s="20" t="s">
        <v>723</v>
      </c>
      <c r="U1179" s="20"/>
      <c r="V1179" s="20"/>
      <c r="W1179" s="23" t="str">
        <f>IFERROR(VLOOKUP(B1179, PlumX_snapshot!$A:$B, 2, FALSE), " ")</f>
        <v xml:space="preserve"> </v>
      </c>
      <c r="X1179" s="23" t="str">
        <f>IFERROR(VLOOKUP(B1179, PlumX_snapshot!$A:$C, 3, FALSE), " ")</f>
        <v xml:space="preserve"> </v>
      </c>
      <c r="Y1179" s="24" t="str">
        <f>IFERROR(VLOOKUP(B1179, PlumX_snapshot!$A:$D, 4, FALSE), " ")</f>
        <v xml:space="preserve"> </v>
      </c>
      <c r="Z1179" s="24" t="str">
        <f>IFERROR(VLOOKUP(B1179, PlumX_snapshot!$A:$E, 5, FALSE), " ")</f>
        <v xml:space="preserve"> </v>
      </c>
      <c r="AA1179" s="24" t="str">
        <f>IFERROR(VLOOKUP(B1179, PlumX_snapshot!$A:$F, 6, FALSE), " ")</f>
        <v xml:space="preserve"> </v>
      </c>
      <c r="AB1179" s="25"/>
      <c r="AC1179" s="20"/>
      <c r="AD1179" s="20"/>
      <c r="AE1179" s="20"/>
      <c r="AF1179" s="20"/>
      <c r="AG1179" s="20"/>
      <c r="AH1179" s="20"/>
      <c r="AI1179" s="20"/>
      <c r="AJ1179" s="20"/>
      <c r="AK1179" s="23" t="str">
        <f t="shared" si="8"/>
        <v>2021</v>
      </c>
      <c r="AL1179" s="23" t="e">
        <f>VLOOKUP(AK1179, Exchange_rates!$C:$D, 2, FALSE)</f>
        <v>#N/A</v>
      </c>
      <c r="AM1179" s="14" t="str">
        <f t="shared" si="9"/>
        <v/>
      </c>
      <c r="AN1179" s="20"/>
      <c r="AO1179" s="20"/>
      <c r="AP1179" s="20"/>
      <c r="AQ1179" s="27" t="s">
        <v>49</v>
      </c>
      <c r="AR1179" t="s">
        <v>5595</v>
      </c>
      <c r="AS1179" s="16"/>
      <c r="AT1179" s="20"/>
      <c r="AU1179" s="20"/>
      <c r="AV1179" s="20"/>
      <c r="AW1179" s="20"/>
      <c r="AX1179" s="20"/>
      <c r="AY1179" s="20"/>
      <c r="AZ1179" s="20"/>
      <c r="BA1179" s="20"/>
      <c r="BB1179" s="20"/>
      <c r="BC1179" s="20"/>
      <c r="BD1179" s="20"/>
      <c r="BE1179" s="20"/>
      <c r="BF1179" s="20"/>
      <c r="BG1179" s="20"/>
      <c r="BH1179" s="20"/>
    </row>
    <row r="1180" spans="1:60" ht="14.5">
      <c r="A1180" s="20" t="s">
        <v>5596</v>
      </c>
      <c r="B1180" s="20" t="s">
        <v>5597</v>
      </c>
      <c r="C1180" s="20" t="s">
        <v>5561</v>
      </c>
      <c r="D1180" s="20" t="s">
        <v>5539</v>
      </c>
      <c r="E1180" s="20" t="s">
        <v>49</v>
      </c>
      <c r="F1180" s="20" t="s">
        <v>69</v>
      </c>
      <c r="G1180" s="20" t="s">
        <v>70</v>
      </c>
      <c r="H1180" s="20" t="s">
        <v>5598</v>
      </c>
      <c r="I1180" s="20" t="s">
        <v>72</v>
      </c>
      <c r="J1180" s="33"/>
      <c r="K1180" s="33"/>
      <c r="L1180" s="22">
        <v>44418</v>
      </c>
      <c r="M1180" s="22">
        <v>44410</v>
      </c>
      <c r="N1180" s="20">
        <v>2021</v>
      </c>
      <c r="O1180" s="20" t="s">
        <v>5540</v>
      </c>
      <c r="P1180" s="20" t="s">
        <v>53</v>
      </c>
      <c r="Q1180" s="20" t="s">
        <v>53</v>
      </c>
      <c r="R1180" s="20"/>
      <c r="S1180" s="34" t="s">
        <v>5599</v>
      </c>
      <c r="T1180" s="20"/>
      <c r="U1180" s="20"/>
      <c r="V1180" s="20"/>
      <c r="W1180" s="23" t="str">
        <f>IFERROR(VLOOKUP(B1180, PlumX_snapshot!$A:$B, 2, FALSE), " ")</f>
        <v xml:space="preserve"> </v>
      </c>
      <c r="X1180" s="23" t="str">
        <f>IFERROR(VLOOKUP(B1180, PlumX_snapshot!$A:$C, 3, FALSE), " ")</f>
        <v xml:space="preserve"> </v>
      </c>
      <c r="Y1180" s="24" t="str">
        <f>IFERROR(VLOOKUP(B1180, PlumX_snapshot!$A:$D, 4, FALSE), " ")</f>
        <v xml:space="preserve"> </v>
      </c>
      <c r="Z1180" s="24" t="str">
        <f>IFERROR(VLOOKUP(B1180, PlumX_snapshot!$A:$E, 5, FALSE), " ")</f>
        <v xml:space="preserve"> </v>
      </c>
      <c r="AA1180" s="24" t="str">
        <f>IFERROR(VLOOKUP(B1180, PlumX_snapshot!$A:$F, 6, FALSE), " ")</f>
        <v xml:space="preserve"> </v>
      </c>
      <c r="AB1180" s="25"/>
      <c r="AC1180" s="20"/>
      <c r="AD1180" s="20"/>
      <c r="AE1180" s="20"/>
      <c r="AF1180" s="20"/>
      <c r="AG1180" s="20"/>
      <c r="AH1180" s="20"/>
      <c r="AI1180" s="20"/>
      <c r="AJ1180" s="20"/>
      <c r="AK1180" s="23" t="str">
        <f t="shared" si="8"/>
        <v>2021</v>
      </c>
      <c r="AL1180" s="23" t="e">
        <f>VLOOKUP(AK1180, Exchange_rates!$C:$D, 2, FALSE)</f>
        <v>#N/A</v>
      </c>
      <c r="AM1180" s="14" t="str">
        <f t="shared" si="9"/>
        <v/>
      </c>
      <c r="AN1180" s="20"/>
      <c r="AO1180" s="20"/>
      <c r="AP1180" s="20"/>
      <c r="AQ1180" s="27" t="s">
        <v>49</v>
      </c>
      <c r="AR1180" t="s">
        <v>5566</v>
      </c>
      <c r="AS1180" s="16"/>
      <c r="AT1180" s="20"/>
      <c r="AU1180" s="20"/>
      <c r="AV1180" s="20"/>
      <c r="AW1180" s="20"/>
      <c r="AX1180" s="20"/>
      <c r="AY1180" s="20"/>
      <c r="AZ1180" s="20"/>
      <c r="BA1180" s="20"/>
      <c r="BB1180" s="20"/>
      <c r="BC1180" s="20"/>
      <c r="BD1180" s="20"/>
      <c r="BE1180" s="20"/>
      <c r="BF1180" s="20"/>
      <c r="BG1180" s="20"/>
      <c r="BH1180" s="20"/>
    </row>
    <row r="1181" spans="1:60" ht="14.5">
      <c r="A1181" s="20" t="s">
        <v>5600</v>
      </c>
      <c r="B1181" s="20" t="s">
        <v>5601</v>
      </c>
      <c r="C1181" s="20" t="s">
        <v>5602</v>
      </c>
      <c r="D1181" s="20" t="s">
        <v>5539</v>
      </c>
      <c r="E1181" s="20" t="s">
        <v>125</v>
      </c>
      <c r="F1181" s="20" t="s">
        <v>69</v>
      </c>
      <c r="G1181" s="20" t="s">
        <v>70</v>
      </c>
      <c r="H1181" s="20" t="s">
        <v>5598</v>
      </c>
      <c r="I1181" s="20" t="s">
        <v>72</v>
      </c>
      <c r="J1181" s="33"/>
      <c r="K1181" s="33"/>
      <c r="L1181" s="22">
        <v>44327</v>
      </c>
      <c r="M1181" s="22">
        <v>44347</v>
      </c>
      <c r="N1181" s="20">
        <v>2021</v>
      </c>
      <c r="O1181" s="20" t="s">
        <v>5540</v>
      </c>
      <c r="P1181" s="20" t="s">
        <v>53</v>
      </c>
      <c r="Q1181" s="20" t="s">
        <v>53</v>
      </c>
      <c r="R1181" s="20"/>
      <c r="S1181" s="20" t="s">
        <v>5603</v>
      </c>
      <c r="T1181" s="20"/>
      <c r="U1181" s="20"/>
      <c r="V1181" s="20"/>
      <c r="W1181" s="23" t="str">
        <f>IFERROR(VLOOKUP(B1181, PlumX_snapshot!$A:$B, 2, FALSE), " ")</f>
        <v xml:space="preserve"> </v>
      </c>
      <c r="X1181" s="23" t="str">
        <f>IFERROR(VLOOKUP(B1181, PlumX_snapshot!$A:$C, 3, FALSE), " ")</f>
        <v xml:space="preserve"> </v>
      </c>
      <c r="Y1181" s="24" t="str">
        <f>IFERROR(VLOOKUP(B1181, PlumX_snapshot!$A:$D, 4, FALSE), " ")</f>
        <v xml:space="preserve"> </v>
      </c>
      <c r="Z1181" s="24" t="str">
        <f>IFERROR(VLOOKUP(B1181, PlumX_snapshot!$A:$E, 5, FALSE), " ")</f>
        <v xml:space="preserve"> </v>
      </c>
      <c r="AA1181" s="24" t="str">
        <f>IFERROR(VLOOKUP(B1181, PlumX_snapshot!$A:$F, 6, FALSE), " ")</f>
        <v xml:space="preserve"> </v>
      </c>
      <c r="AB1181" s="25"/>
      <c r="AC1181" s="20"/>
      <c r="AD1181" s="20"/>
      <c r="AE1181" s="20"/>
      <c r="AF1181" s="20"/>
      <c r="AG1181" s="20"/>
      <c r="AH1181" s="20"/>
      <c r="AI1181" s="20"/>
      <c r="AJ1181" s="20"/>
      <c r="AK1181" s="23" t="str">
        <f t="shared" si="8"/>
        <v>2021</v>
      </c>
      <c r="AL1181" s="23" t="e">
        <f>VLOOKUP(AK1181, Exchange_rates!$C:$D, 2, FALSE)</f>
        <v>#N/A</v>
      </c>
      <c r="AM1181" s="14" t="str">
        <f t="shared" si="9"/>
        <v/>
      </c>
      <c r="AN1181" s="20"/>
      <c r="AO1181" s="20"/>
      <c r="AP1181" s="20"/>
      <c r="AQ1181" s="27" t="s">
        <v>125</v>
      </c>
      <c r="AR1181" t="s">
        <v>5604</v>
      </c>
      <c r="AS1181" s="16"/>
      <c r="AT1181" s="20"/>
      <c r="AU1181" s="20"/>
      <c r="AV1181" s="20"/>
      <c r="AW1181" s="20"/>
      <c r="AX1181" s="20"/>
      <c r="AY1181" s="20"/>
      <c r="AZ1181" s="20"/>
      <c r="BA1181" s="20"/>
      <c r="BB1181" s="20"/>
      <c r="BC1181" s="20"/>
      <c r="BD1181" s="20"/>
      <c r="BE1181" s="20"/>
      <c r="BF1181" s="20"/>
      <c r="BG1181" s="20"/>
      <c r="BH1181" s="20"/>
    </row>
    <row r="1182" spans="1:60" ht="14.5">
      <c r="A1182" s="20" t="s">
        <v>5605</v>
      </c>
      <c r="B1182" s="20" t="s">
        <v>5606</v>
      </c>
      <c r="C1182" s="20" t="s">
        <v>5607</v>
      </c>
      <c r="D1182" s="20" t="s">
        <v>5539</v>
      </c>
      <c r="E1182" s="20" t="s">
        <v>49</v>
      </c>
      <c r="F1182" s="20" t="s">
        <v>69</v>
      </c>
      <c r="G1182" s="20" t="s">
        <v>51</v>
      </c>
      <c r="H1182" s="20"/>
      <c r="I1182" s="20" t="s">
        <v>72</v>
      </c>
      <c r="J1182" s="33"/>
      <c r="K1182" s="33"/>
      <c r="L1182" s="22">
        <v>44295</v>
      </c>
      <c r="M1182" s="22">
        <v>44161</v>
      </c>
      <c r="N1182" s="20">
        <v>2021</v>
      </c>
      <c r="O1182" s="20" t="s">
        <v>5540</v>
      </c>
      <c r="P1182" s="20" t="s">
        <v>53</v>
      </c>
      <c r="Q1182" s="20" t="s">
        <v>53</v>
      </c>
      <c r="R1182" s="20"/>
      <c r="S1182" s="20"/>
      <c r="T1182" s="20" t="s">
        <v>5608</v>
      </c>
      <c r="U1182" s="20" t="s">
        <v>278</v>
      </c>
      <c r="V1182" s="20"/>
      <c r="W1182" s="23" t="str">
        <f>IFERROR(VLOOKUP(B1182, PlumX_snapshot!$A:$B, 2, FALSE), " ")</f>
        <v xml:space="preserve"> </v>
      </c>
      <c r="X1182" s="23" t="str">
        <f>IFERROR(VLOOKUP(B1182, PlumX_snapshot!$A:$C, 3, FALSE), " ")</f>
        <v xml:space="preserve"> </v>
      </c>
      <c r="Y1182" s="24" t="str">
        <f>IFERROR(VLOOKUP(B1182, PlumX_snapshot!$A:$D, 4, FALSE), " ")</f>
        <v xml:space="preserve"> </v>
      </c>
      <c r="Z1182" s="24" t="str">
        <f>IFERROR(VLOOKUP(B1182, PlumX_snapshot!$A:$E, 5, FALSE), " ")</f>
        <v xml:space="preserve"> </v>
      </c>
      <c r="AA1182" s="24" t="str">
        <f>IFERROR(VLOOKUP(B1182, PlumX_snapshot!$A:$F, 6, FALSE), " ")</f>
        <v xml:space="preserve"> </v>
      </c>
      <c r="AB1182" s="25"/>
      <c r="AC1182" s="20"/>
      <c r="AD1182" s="20"/>
      <c r="AE1182" s="20"/>
      <c r="AF1182" s="20"/>
      <c r="AG1182" s="20"/>
      <c r="AH1182" s="20"/>
      <c r="AI1182" s="20"/>
      <c r="AJ1182" s="20"/>
      <c r="AK1182" s="23" t="str">
        <f t="shared" si="8"/>
        <v>2021</v>
      </c>
      <c r="AL1182" s="23" t="e">
        <f>VLOOKUP(AK1182, Exchange_rates!$C:$D, 2, FALSE)</f>
        <v>#N/A</v>
      </c>
      <c r="AM1182" s="14" t="str">
        <f t="shared" si="9"/>
        <v/>
      </c>
      <c r="AN1182" s="20"/>
      <c r="AO1182" s="20"/>
      <c r="AP1182" s="20"/>
      <c r="AQ1182" s="27" t="s">
        <v>49</v>
      </c>
      <c r="AR1182" t="s">
        <v>5609</v>
      </c>
      <c r="AS1182" s="16"/>
      <c r="AT1182" s="20"/>
      <c r="AU1182" s="20"/>
      <c r="AV1182" s="20"/>
      <c r="AW1182" s="20"/>
      <c r="AX1182" s="20"/>
      <c r="AY1182" s="20"/>
      <c r="AZ1182" s="20"/>
      <c r="BA1182" s="20"/>
      <c r="BB1182" s="20"/>
      <c r="BC1182" s="20"/>
      <c r="BD1182" s="20"/>
      <c r="BE1182" s="20"/>
      <c r="BF1182" s="20"/>
      <c r="BG1182" s="20"/>
      <c r="BH1182" s="20"/>
    </row>
    <row r="1183" spans="1:60" ht="14.5">
      <c r="A1183" s="20" t="s">
        <v>5610</v>
      </c>
      <c r="B1183" s="20" t="s">
        <v>5611</v>
      </c>
      <c r="C1183" s="20" t="s">
        <v>5612</v>
      </c>
      <c r="D1183" s="20" t="s">
        <v>5539</v>
      </c>
      <c r="E1183" s="20" t="s">
        <v>49</v>
      </c>
      <c r="F1183" s="20" t="s">
        <v>69</v>
      </c>
      <c r="G1183" s="20" t="s">
        <v>51</v>
      </c>
      <c r="H1183" s="20"/>
      <c r="I1183" s="20" t="s">
        <v>5613</v>
      </c>
      <c r="J1183" s="33"/>
      <c r="K1183" s="33"/>
      <c r="L1183" s="22">
        <v>44257</v>
      </c>
      <c r="M1183" s="22">
        <v>44222</v>
      </c>
      <c r="N1183" s="20">
        <v>2021</v>
      </c>
      <c r="O1183" s="20" t="s">
        <v>5540</v>
      </c>
      <c r="P1183" s="20" t="s">
        <v>53</v>
      </c>
      <c r="Q1183" s="20" t="s">
        <v>53</v>
      </c>
      <c r="R1183" s="20"/>
      <c r="S1183" s="20"/>
      <c r="T1183" s="20" t="s">
        <v>5541</v>
      </c>
      <c r="U1183" s="20" t="s">
        <v>5614</v>
      </c>
      <c r="V1183" s="20"/>
      <c r="W1183" s="23" t="str">
        <f>IFERROR(VLOOKUP(B1183, PlumX_snapshot!$A:$B, 2, FALSE), " ")</f>
        <v xml:space="preserve"> </v>
      </c>
      <c r="X1183" s="23" t="str">
        <f>IFERROR(VLOOKUP(B1183, PlumX_snapshot!$A:$C, 3, FALSE), " ")</f>
        <v xml:space="preserve"> </v>
      </c>
      <c r="Y1183" s="24" t="str">
        <f>IFERROR(VLOOKUP(B1183, PlumX_snapshot!$A:$D, 4, FALSE), " ")</f>
        <v xml:space="preserve"> </v>
      </c>
      <c r="Z1183" s="24" t="str">
        <f>IFERROR(VLOOKUP(B1183, PlumX_snapshot!$A:$E, 5, FALSE), " ")</f>
        <v xml:space="preserve"> </v>
      </c>
      <c r="AA1183" s="24" t="str">
        <f>IFERROR(VLOOKUP(B1183, PlumX_snapshot!$A:$F, 6, FALSE), " ")</f>
        <v xml:space="preserve"> </v>
      </c>
      <c r="AB1183" s="25"/>
      <c r="AC1183" s="20"/>
      <c r="AD1183" s="20"/>
      <c r="AE1183" s="20"/>
      <c r="AF1183" s="20"/>
      <c r="AG1183" s="20"/>
      <c r="AH1183" s="20"/>
      <c r="AI1183" s="20"/>
      <c r="AJ1183" s="20"/>
      <c r="AK1183" s="23" t="str">
        <f t="shared" si="8"/>
        <v>2021</v>
      </c>
      <c r="AL1183" s="23" t="e">
        <f>VLOOKUP(AK1183, Exchange_rates!$C:$D, 2, FALSE)</f>
        <v>#N/A</v>
      </c>
      <c r="AM1183" s="14" t="str">
        <f t="shared" si="9"/>
        <v/>
      </c>
      <c r="AN1183" s="20"/>
      <c r="AO1183" s="20"/>
      <c r="AP1183" s="20"/>
      <c r="AQ1183" s="27" t="s">
        <v>49</v>
      </c>
      <c r="AR1183" t="s">
        <v>5615</v>
      </c>
      <c r="AS1183" s="16"/>
      <c r="AT1183" s="20"/>
      <c r="AU1183" s="20"/>
      <c r="AV1183" s="20"/>
      <c r="AW1183" s="20"/>
      <c r="AX1183" s="20"/>
      <c r="AY1183" s="20"/>
      <c r="AZ1183" s="20"/>
      <c r="BA1183" s="20"/>
      <c r="BB1183" s="20"/>
      <c r="BC1183" s="20"/>
      <c r="BD1183" s="20"/>
      <c r="BE1183" s="20"/>
      <c r="BF1183" s="20"/>
      <c r="BG1183" s="20"/>
      <c r="BH1183" s="20"/>
    </row>
    <row r="1184" spans="1:60" ht="14.5">
      <c r="A1184" s="9" t="s">
        <v>5616</v>
      </c>
      <c r="B1184" s="9" t="s">
        <v>5617</v>
      </c>
      <c r="C1184" s="9" t="s">
        <v>5618</v>
      </c>
      <c r="D1184" s="9" t="s">
        <v>5539</v>
      </c>
      <c r="E1184" s="9" t="s">
        <v>49</v>
      </c>
      <c r="F1184" s="9" t="s">
        <v>69</v>
      </c>
      <c r="G1184" s="9" t="s">
        <v>70</v>
      </c>
      <c r="H1184" s="9" t="s">
        <v>5598</v>
      </c>
      <c r="I1184" s="9" t="s">
        <v>72</v>
      </c>
      <c r="J1184" s="35">
        <v>44494</v>
      </c>
      <c r="K1184" s="35">
        <v>44487</v>
      </c>
      <c r="L1184" s="10">
        <v>44494</v>
      </c>
      <c r="M1184" s="10">
        <v>44494</v>
      </c>
      <c r="N1184" s="9">
        <v>2021</v>
      </c>
      <c r="O1184" s="9" t="s">
        <v>5619</v>
      </c>
      <c r="P1184" s="9" t="s">
        <v>83</v>
      </c>
      <c r="Q1184" s="9" t="s">
        <v>53</v>
      </c>
      <c r="T1184" s="9"/>
      <c r="V1184" s="9"/>
      <c r="W1184" s="11" t="str">
        <f>IFERROR(VLOOKUP(B1184, PlumX_snapshot!$A:$B, 2, FALSE), " ")</f>
        <v xml:space="preserve"> </v>
      </c>
      <c r="X1184" s="11" t="str">
        <f>IFERROR(VLOOKUP(B1184, PlumX_snapshot!$A:$C, 3, FALSE), " ")</f>
        <v xml:space="preserve"> </v>
      </c>
      <c r="Y1184" s="12" t="str">
        <f>IFERROR(VLOOKUP(B1184, PlumX_snapshot!$A:$D, 4, FALSE), " ")</f>
        <v xml:space="preserve"> </v>
      </c>
      <c r="Z1184" s="12" t="str">
        <f>IFERROR(VLOOKUP(B1184, PlumX_snapshot!$A:$E, 5, FALSE), " ")</f>
        <v xml:space="preserve"> </v>
      </c>
      <c r="AA1184" s="12" t="str">
        <f>IFERROR(VLOOKUP(B1184, PlumX_snapshot!$A:$F, 6, FALSE), " ")</f>
        <v xml:space="preserve"> </v>
      </c>
      <c r="AB1184" s="13"/>
      <c r="AC1184" s="9" t="s">
        <v>5620</v>
      </c>
      <c r="AD1184" s="9" t="s">
        <v>5621</v>
      </c>
      <c r="AE1184" s="9" t="s">
        <v>5622</v>
      </c>
      <c r="AF1184" s="9" t="s">
        <v>5623</v>
      </c>
      <c r="AH1184" s="9">
        <v>3350</v>
      </c>
      <c r="AI1184" s="9" t="s">
        <v>77</v>
      </c>
      <c r="AJ1184" s="9" t="s">
        <v>301</v>
      </c>
      <c r="AK1184" s="11" t="str">
        <f t="shared" si="8"/>
        <v>2021GBP</v>
      </c>
      <c r="AL1184" s="11">
        <f>VLOOKUP(AK1184, Exchange_rates!$C:$D, 2, FALSE)</f>
        <v>1</v>
      </c>
      <c r="AM1184" s="14">
        <f t="shared" si="9"/>
        <v>4020</v>
      </c>
      <c r="AN1184" s="9"/>
      <c r="AO1184" s="9"/>
      <c r="AP1184" s="9"/>
      <c r="AQ1184" s="15" t="s">
        <v>49</v>
      </c>
      <c r="AR1184" t="s">
        <v>5624</v>
      </c>
      <c r="AS1184" s="16"/>
    </row>
    <row r="1185" spans="1:45" ht="14.5">
      <c r="A1185" s="9" t="s">
        <v>5625</v>
      </c>
      <c r="B1185" s="9" t="s">
        <v>5626</v>
      </c>
      <c r="C1185" s="9" t="s">
        <v>5627</v>
      </c>
      <c r="D1185" s="9" t="s">
        <v>5539</v>
      </c>
      <c r="E1185" s="9" t="s">
        <v>49</v>
      </c>
      <c r="F1185" s="9" t="s">
        <v>69</v>
      </c>
      <c r="G1185" s="9" t="s">
        <v>70</v>
      </c>
      <c r="H1185" s="9" t="s">
        <v>5598</v>
      </c>
      <c r="I1185" s="9" t="s">
        <v>72</v>
      </c>
      <c r="J1185" s="35">
        <v>44487</v>
      </c>
      <c r="K1185" s="35">
        <v>44482</v>
      </c>
      <c r="L1185" s="10">
        <v>44487</v>
      </c>
      <c r="M1185" s="10">
        <v>44524</v>
      </c>
      <c r="N1185" s="9">
        <v>2021</v>
      </c>
      <c r="O1185" s="9" t="s">
        <v>5619</v>
      </c>
      <c r="P1185" s="9" t="s">
        <v>83</v>
      </c>
      <c r="Q1185" s="9" t="s">
        <v>53</v>
      </c>
      <c r="T1185" s="9"/>
      <c r="V1185" s="9"/>
      <c r="W1185" s="11" t="str">
        <f>IFERROR(VLOOKUP(B1185, PlumX_snapshot!$A:$B, 2, FALSE), " ")</f>
        <v xml:space="preserve"> </v>
      </c>
      <c r="X1185" s="11" t="str">
        <f>IFERROR(VLOOKUP(B1185, PlumX_snapshot!$A:$C, 3, FALSE), " ")</f>
        <v xml:space="preserve"> </v>
      </c>
      <c r="Y1185" s="12" t="str">
        <f>IFERROR(VLOOKUP(B1185, PlumX_snapshot!$A:$D, 4, FALSE), " ")</f>
        <v xml:space="preserve"> </v>
      </c>
      <c r="Z1185" s="12" t="str">
        <f>IFERROR(VLOOKUP(B1185, PlumX_snapshot!$A:$E, 5, FALSE), " ")</f>
        <v xml:space="preserve"> </v>
      </c>
      <c r="AA1185" s="12" t="str">
        <f>IFERROR(VLOOKUP(B1185, PlumX_snapshot!$A:$F, 6, FALSE), " ")</f>
        <v xml:space="preserve"> </v>
      </c>
      <c r="AB1185" s="13"/>
      <c r="AC1185" s="9" t="s">
        <v>5628</v>
      </c>
      <c r="AD1185" s="9" t="s">
        <v>5629</v>
      </c>
      <c r="AF1185" s="9" t="s">
        <v>5630</v>
      </c>
      <c r="AH1185" s="9">
        <v>2867</v>
      </c>
      <c r="AI1185" s="9" t="s">
        <v>77</v>
      </c>
      <c r="AJ1185" s="9" t="s">
        <v>301</v>
      </c>
      <c r="AK1185" s="11" t="str">
        <f t="shared" si="8"/>
        <v>2021GBP</v>
      </c>
      <c r="AL1185" s="11">
        <f>VLOOKUP(AK1185, Exchange_rates!$C:$D, 2, FALSE)</f>
        <v>1</v>
      </c>
      <c r="AM1185" s="14">
        <f t="shared" si="9"/>
        <v>3440.4</v>
      </c>
      <c r="AN1185" s="9"/>
      <c r="AO1185" s="9"/>
      <c r="AP1185" s="9"/>
      <c r="AQ1185" s="15" t="s">
        <v>49</v>
      </c>
      <c r="AR1185" t="s">
        <v>5631</v>
      </c>
      <c r="AS1185" s="16"/>
    </row>
    <row r="1186" spans="1:45" ht="14.5">
      <c r="A1186" s="9" t="s">
        <v>5632</v>
      </c>
      <c r="B1186" s="9" t="s">
        <v>5633</v>
      </c>
      <c r="C1186" s="9" t="s">
        <v>5634</v>
      </c>
      <c r="D1186" s="9" t="s">
        <v>5539</v>
      </c>
      <c r="E1186" s="9" t="s">
        <v>49</v>
      </c>
      <c r="F1186" s="9" t="s">
        <v>69</v>
      </c>
      <c r="G1186" s="9" t="s">
        <v>70</v>
      </c>
      <c r="H1186" s="9" t="s">
        <v>5598</v>
      </c>
      <c r="I1186" s="9" t="s">
        <v>72</v>
      </c>
      <c r="J1186" s="35">
        <v>44468</v>
      </c>
      <c r="K1186" s="35">
        <v>44466</v>
      </c>
      <c r="L1186" s="10">
        <v>44469</v>
      </c>
      <c r="M1186" s="10">
        <v>44466</v>
      </c>
      <c r="N1186" s="9">
        <v>2021</v>
      </c>
      <c r="O1186" s="9" t="s">
        <v>5619</v>
      </c>
      <c r="P1186" s="9" t="s">
        <v>83</v>
      </c>
      <c r="Q1186" s="9" t="s">
        <v>53</v>
      </c>
      <c r="T1186" s="9"/>
      <c r="V1186" s="9"/>
      <c r="W1186" s="11" t="str">
        <f>IFERROR(VLOOKUP(B1186, PlumX_snapshot!$A:$B, 2, FALSE), " ")</f>
        <v xml:space="preserve"> </v>
      </c>
      <c r="X1186" s="11" t="str">
        <f>IFERROR(VLOOKUP(B1186, PlumX_snapshot!$A:$C, 3, FALSE), " ")</f>
        <v xml:space="preserve"> </v>
      </c>
      <c r="Y1186" s="12" t="str">
        <f>IFERROR(VLOOKUP(B1186, PlumX_snapshot!$A:$D, 4, FALSE), " ")</f>
        <v xml:space="preserve"> </v>
      </c>
      <c r="Z1186" s="12" t="str">
        <f>IFERROR(VLOOKUP(B1186, PlumX_snapshot!$A:$E, 5, FALSE), " ")</f>
        <v xml:space="preserve"> </v>
      </c>
      <c r="AA1186" s="12" t="str">
        <f>IFERROR(VLOOKUP(B1186, PlumX_snapshot!$A:$F, 6, FALSE), " ")</f>
        <v xml:space="preserve"> </v>
      </c>
      <c r="AB1186" s="13"/>
      <c r="AC1186" s="9" t="s">
        <v>5635</v>
      </c>
      <c r="AD1186" s="9" t="s">
        <v>5636</v>
      </c>
      <c r="AE1186" s="9" t="s">
        <v>5637</v>
      </c>
      <c r="AF1186" s="9" t="s">
        <v>5638</v>
      </c>
      <c r="AH1186" s="9">
        <v>2900</v>
      </c>
      <c r="AI1186" s="9" t="s">
        <v>77</v>
      </c>
      <c r="AJ1186" s="9" t="s">
        <v>301</v>
      </c>
      <c r="AK1186" s="11" t="str">
        <f t="shared" si="8"/>
        <v>2021GBP</v>
      </c>
      <c r="AL1186" s="11">
        <f>VLOOKUP(AK1186, Exchange_rates!$C:$D, 2, FALSE)</f>
        <v>1</v>
      </c>
      <c r="AM1186" s="14">
        <f t="shared" si="9"/>
        <v>3480</v>
      </c>
      <c r="AN1186" s="9"/>
      <c r="AO1186" s="9"/>
      <c r="AP1186" s="9"/>
      <c r="AQ1186" s="15" t="s">
        <v>49</v>
      </c>
      <c r="AR1186" t="s">
        <v>5551</v>
      </c>
      <c r="AS1186" s="16"/>
    </row>
    <row r="1187" spans="1:45" ht="14.5">
      <c r="A1187" s="9" t="s">
        <v>5639</v>
      </c>
      <c r="B1187" s="9" t="s">
        <v>5640</v>
      </c>
      <c r="C1187" s="9" t="s">
        <v>5641</v>
      </c>
      <c r="D1187" s="9" t="s">
        <v>5539</v>
      </c>
      <c r="E1187" s="9" t="s">
        <v>49</v>
      </c>
      <c r="F1187" s="9" t="s">
        <v>69</v>
      </c>
      <c r="G1187" s="9" t="s">
        <v>70</v>
      </c>
      <c r="H1187" s="9" t="s">
        <v>5598</v>
      </c>
      <c r="I1187" s="9" t="s">
        <v>72</v>
      </c>
      <c r="J1187" s="35">
        <v>44459</v>
      </c>
      <c r="K1187" s="36">
        <v>44445</v>
      </c>
      <c r="L1187" s="10">
        <v>44460</v>
      </c>
      <c r="M1187" s="10">
        <v>44462</v>
      </c>
      <c r="N1187" s="9">
        <v>2021</v>
      </c>
      <c r="O1187" s="9" t="s">
        <v>5619</v>
      </c>
      <c r="P1187" s="9" t="s">
        <v>53</v>
      </c>
      <c r="Q1187" s="9" t="s">
        <v>83</v>
      </c>
      <c r="T1187" s="9"/>
      <c r="V1187" s="9"/>
      <c r="W1187" s="11" t="str">
        <f>IFERROR(VLOOKUP(B1187, PlumX_snapshot!$A:$B, 2, FALSE), " ")</f>
        <v xml:space="preserve"> </v>
      </c>
      <c r="X1187" s="11" t="str">
        <f>IFERROR(VLOOKUP(B1187, PlumX_snapshot!$A:$C, 3, FALSE), " ")</f>
        <v xml:space="preserve"> </v>
      </c>
      <c r="Y1187" s="12" t="str">
        <f>IFERROR(VLOOKUP(B1187, PlumX_snapshot!$A:$D, 4, FALSE), " ")</f>
        <v xml:space="preserve"> </v>
      </c>
      <c r="Z1187" s="12" t="str">
        <f>IFERROR(VLOOKUP(B1187, PlumX_snapshot!$A:$E, 5, FALSE), " ")</f>
        <v xml:space="preserve"> </v>
      </c>
      <c r="AA1187" s="12" t="str">
        <f>IFERROR(VLOOKUP(B1187, PlumX_snapshot!$A:$F, 6, FALSE), " ")</f>
        <v xml:space="preserve"> </v>
      </c>
      <c r="AB1187" s="13"/>
      <c r="AC1187" s="9" t="s">
        <v>5642</v>
      </c>
      <c r="AD1187" s="9" t="s">
        <v>5643</v>
      </c>
      <c r="AE1187" s="9" t="s">
        <v>5644</v>
      </c>
      <c r="AF1187" s="9" t="s">
        <v>5645</v>
      </c>
      <c r="AH1187" s="9">
        <v>2300</v>
      </c>
      <c r="AI1187" s="9" t="s">
        <v>77</v>
      </c>
      <c r="AJ1187" s="9" t="s">
        <v>301</v>
      </c>
      <c r="AK1187" s="11" t="str">
        <f t="shared" si="8"/>
        <v>2021GBP</v>
      </c>
      <c r="AL1187" s="11">
        <f>VLOOKUP(AK1187, Exchange_rates!$C:$D, 2, FALSE)</f>
        <v>1</v>
      </c>
      <c r="AM1187" s="14">
        <f t="shared" si="9"/>
        <v>2760</v>
      </c>
      <c r="AN1187" s="9"/>
      <c r="AO1187" s="9"/>
      <c r="AP1187" s="9"/>
      <c r="AQ1187" s="15" t="s">
        <v>49</v>
      </c>
      <c r="AR1187" t="s">
        <v>5646</v>
      </c>
      <c r="AS1187" s="16"/>
    </row>
    <row r="1188" spans="1:45" ht="14.5">
      <c r="A1188" s="9" t="s">
        <v>5647</v>
      </c>
      <c r="B1188" s="9" t="s">
        <v>5648</v>
      </c>
      <c r="C1188" s="9" t="s">
        <v>5649</v>
      </c>
      <c r="D1188" s="9" t="s">
        <v>5539</v>
      </c>
      <c r="E1188" s="9" t="s">
        <v>49</v>
      </c>
      <c r="F1188" s="9" t="s">
        <v>69</v>
      </c>
      <c r="G1188" s="9" t="s">
        <v>70</v>
      </c>
      <c r="H1188" s="9" t="s">
        <v>5598</v>
      </c>
      <c r="I1188" s="9" t="s">
        <v>72</v>
      </c>
      <c r="J1188" s="35">
        <v>44453</v>
      </c>
      <c r="K1188" s="35">
        <v>44431</v>
      </c>
      <c r="L1188" s="10">
        <v>44454</v>
      </c>
      <c r="M1188" s="10">
        <v>44466</v>
      </c>
      <c r="N1188" s="9">
        <v>2021</v>
      </c>
      <c r="O1188" s="9" t="s">
        <v>5619</v>
      </c>
      <c r="P1188" s="9" t="s">
        <v>83</v>
      </c>
      <c r="Q1188" s="9" t="s">
        <v>83</v>
      </c>
      <c r="T1188" s="9"/>
      <c r="V1188" s="9"/>
      <c r="W1188" s="11" t="str">
        <f>IFERROR(VLOOKUP(B1188, PlumX_snapshot!$A:$B, 2, FALSE), " ")</f>
        <v xml:space="preserve"> </v>
      </c>
      <c r="X1188" s="11" t="str">
        <f>IFERROR(VLOOKUP(B1188, PlumX_snapshot!$A:$C, 3, FALSE), " ")</f>
        <v xml:space="preserve"> </v>
      </c>
      <c r="Y1188" s="12" t="str">
        <f>IFERROR(VLOOKUP(B1188, PlumX_snapshot!$A:$D, 4, FALSE), " ")</f>
        <v xml:space="preserve"> </v>
      </c>
      <c r="Z1188" s="12" t="str">
        <f>IFERROR(VLOOKUP(B1188, PlumX_snapshot!$A:$E, 5, FALSE), " ")</f>
        <v xml:space="preserve"> </v>
      </c>
      <c r="AA1188" s="12" t="str">
        <f>IFERROR(VLOOKUP(B1188, PlumX_snapshot!$A:$F, 6, FALSE), " ")</f>
        <v xml:space="preserve"> </v>
      </c>
      <c r="AB1188" s="13"/>
      <c r="AC1188" s="9" t="s">
        <v>5650</v>
      </c>
      <c r="AD1188" s="9" t="s">
        <v>5651</v>
      </c>
      <c r="AE1188" s="9" t="s">
        <v>5652</v>
      </c>
      <c r="AF1188" s="9" t="s">
        <v>5653</v>
      </c>
      <c r="AH1188" s="9">
        <v>2000</v>
      </c>
      <c r="AI1188" s="9" t="s">
        <v>77</v>
      </c>
      <c r="AJ1188" s="9" t="s">
        <v>301</v>
      </c>
      <c r="AK1188" s="11" t="str">
        <f t="shared" si="8"/>
        <v>2021GBP</v>
      </c>
      <c r="AL1188" s="11">
        <f>VLOOKUP(AK1188, Exchange_rates!$C:$D, 2, FALSE)</f>
        <v>1</v>
      </c>
      <c r="AM1188" s="14">
        <f t="shared" si="9"/>
        <v>2400</v>
      </c>
      <c r="AN1188" s="9"/>
      <c r="AO1188" s="9"/>
      <c r="AP1188" s="9"/>
      <c r="AQ1188" s="15" t="s">
        <v>49</v>
      </c>
      <c r="AR1188" t="s">
        <v>5654</v>
      </c>
      <c r="AS1188" s="16"/>
    </row>
    <row r="1189" spans="1:45" ht="14.5">
      <c r="A1189" s="9" t="s">
        <v>5655</v>
      </c>
      <c r="B1189" s="9" t="s">
        <v>5656</v>
      </c>
      <c r="C1189" s="9" t="s">
        <v>5657</v>
      </c>
      <c r="D1189" s="9" t="s">
        <v>5539</v>
      </c>
      <c r="E1189" s="9" t="s">
        <v>49</v>
      </c>
      <c r="F1189" s="9" t="s">
        <v>69</v>
      </c>
      <c r="G1189" s="9" t="s">
        <v>70</v>
      </c>
      <c r="H1189" s="9" t="s">
        <v>5598</v>
      </c>
      <c r="I1189" s="9" t="s">
        <v>72</v>
      </c>
      <c r="J1189" s="35">
        <v>44439</v>
      </c>
      <c r="K1189" s="35">
        <v>44427</v>
      </c>
      <c r="L1189" s="10">
        <v>44445</v>
      </c>
      <c r="M1189" s="10">
        <v>44453</v>
      </c>
      <c r="N1189" s="9">
        <v>2021</v>
      </c>
      <c r="O1189" s="9" t="s">
        <v>5619</v>
      </c>
      <c r="P1189" s="9" t="s">
        <v>53</v>
      </c>
      <c r="Q1189" s="9" t="s">
        <v>83</v>
      </c>
      <c r="T1189" s="9"/>
      <c r="V1189" s="9"/>
      <c r="W1189" s="11" t="str">
        <f>IFERROR(VLOOKUP(B1189, PlumX_snapshot!$A:$B, 2, FALSE), " ")</f>
        <v xml:space="preserve"> </v>
      </c>
      <c r="X1189" s="11" t="str">
        <f>IFERROR(VLOOKUP(B1189, PlumX_snapshot!$A:$C, 3, FALSE), " ")</f>
        <v xml:space="preserve"> </v>
      </c>
      <c r="Y1189" s="12" t="str">
        <f>IFERROR(VLOOKUP(B1189, PlumX_snapshot!$A:$D, 4, FALSE), " ")</f>
        <v xml:space="preserve"> </v>
      </c>
      <c r="Z1189" s="12" t="str">
        <f>IFERROR(VLOOKUP(B1189, PlumX_snapshot!$A:$E, 5, FALSE), " ")</f>
        <v xml:space="preserve"> </v>
      </c>
      <c r="AA1189" s="12" t="str">
        <f>IFERROR(VLOOKUP(B1189, PlumX_snapshot!$A:$F, 6, FALSE), " ")</f>
        <v xml:space="preserve"> </v>
      </c>
      <c r="AB1189" s="13"/>
      <c r="AC1189" s="9" t="s">
        <v>5658</v>
      </c>
      <c r="AD1189" s="9" t="s">
        <v>5659</v>
      </c>
      <c r="AE1189" s="9" t="s">
        <v>5660</v>
      </c>
      <c r="AF1189" s="9" t="s">
        <v>5661</v>
      </c>
      <c r="AH1189" s="9">
        <v>2400</v>
      </c>
      <c r="AI1189" s="9" t="s">
        <v>77</v>
      </c>
      <c r="AJ1189" s="9" t="s">
        <v>301</v>
      </c>
      <c r="AK1189" s="11" t="str">
        <f t="shared" si="8"/>
        <v>2021GBP</v>
      </c>
      <c r="AL1189" s="11">
        <f>VLOOKUP(AK1189, Exchange_rates!$C:$D, 2, FALSE)</f>
        <v>1</v>
      </c>
      <c r="AM1189" s="14">
        <f t="shared" si="9"/>
        <v>2880</v>
      </c>
      <c r="AN1189" s="9"/>
      <c r="AO1189" s="9"/>
      <c r="AP1189" s="9"/>
      <c r="AQ1189" s="15" t="s">
        <v>49</v>
      </c>
      <c r="AR1189" t="s">
        <v>5662</v>
      </c>
      <c r="AS1189" s="16"/>
    </row>
    <row r="1190" spans="1:45" ht="14.5">
      <c r="A1190" s="9" t="s">
        <v>5663</v>
      </c>
      <c r="B1190" s="9" t="s">
        <v>5664</v>
      </c>
      <c r="C1190" s="9" t="s">
        <v>5665</v>
      </c>
      <c r="D1190" s="9" t="s">
        <v>5539</v>
      </c>
      <c r="E1190" s="9" t="s">
        <v>49</v>
      </c>
      <c r="F1190" s="9" t="s">
        <v>69</v>
      </c>
      <c r="G1190" s="9" t="s">
        <v>70</v>
      </c>
      <c r="H1190" s="9" t="s">
        <v>5598</v>
      </c>
      <c r="I1190" s="9" t="s">
        <v>72</v>
      </c>
      <c r="J1190" s="35">
        <v>44431</v>
      </c>
      <c r="K1190" s="35">
        <v>44418</v>
      </c>
      <c r="L1190" s="10">
        <v>44431</v>
      </c>
      <c r="M1190" s="10">
        <v>44433</v>
      </c>
      <c r="N1190" s="9">
        <v>2021</v>
      </c>
      <c r="O1190" s="9" t="s">
        <v>5619</v>
      </c>
      <c r="P1190" s="9" t="s">
        <v>83</v>
      </c>
      <c r="Q1190" s="9" t="s">
        <v>53</v>
      </c>
      <c r="T1190" s="9"/>
      <c r="V1190" s="9"/>
      <c r="W1190" s="11" t="str">
        <f>IFERROR(VLOOKUP(B1190, PlumX_snapshot!$A:$B, 2, FALSE), " ")</f>
        <v xml:space="preserve"> </v>
      </c>
      <c r="X1190" s="11" t="str">
        <f>IFERROR(VLOOKUP(B1190, PlumX_snapshot!$A:$C, 3, FALSE), " ")</f>
        <v xml:space="preserve"> </v>
      </c>
      <c r="Y1190" s="12" t="str">
        <f>IFERROR(VLOOKUP(B1190, PlumX_snapshot!$A:$D, 4, FALSE), " ")</f>
        <v xml:space="preserve"> </v>
      </c>
      <c r="Z1190" s="12" t="str">
        <f>IFERROR(VLOOKUP(B1190, PlumX_snapshot!$A:$E, 5, FALSE), " ")</f>
        <v xml:space="preserve"> </v>
      </c>
      <c r="AA1190" s="12" t="str">
        <f>IFERROR(VLOOKUP(B1190, PlumX_snapshot!$A:$F, 6, FALSE), " ")</f>
        <v xml:space="preserve"> </v>
      </c>
      <c r="AB1190" s="13"/>
      <c r="AC1190" s="9" t="s">
        <v>5666</v>
      </c>
      <c r="AD1190" s="9" t="s">
        <v>5667</v>
      </c>
      <c r="AE1190" s="9" t="s">
        <v>5668</v>
      </c>
      <c r="AF1190" s="9" t="s">
        <v>5669</v>
      </c>
      <c r="AH1190" s="9">
        <v>3000</v>
      </c>
      <c r="AI1190" s="9" t="s">
        <v>77</v>
      </c>
      <c r="AJ1190" s="9" t="s">
        <v>301</v>
      </c>
      <c r="AK1190" s="11" t="str">
        <f t="shared" si="8"/>
        <v>2021GBP</v>
      </c>
      <c r="AL1190" s="11">
        <f>VLOOKUP(AK1190, Exchange_rates!$C:$D, 2, FALSE)</f>
        <v>1</v>
      </c>
      <c r="AM1190" s="14">
        <f t="shared" si="9"/>
        <v>3600</v>
      </c>
      <c r="AN1190" s="9"/>
      <c r="AO1190" s="9"/>
      <c r="AP1190" s="9"/>
      <c r="AQ1190" s="15" t="s">
        <v>49</v>
      </c>
      <c r="AR1190" t="s">
        <v>5670</v>
      </c>
      <c r="AS1190" s="16"/>
    </row>
    <row r="1191" spans="1:45" ht="14.5">
      <c r="A1191" s="9" t="s">
        <v>5671</v>
      </c>
      <c r="B1191" s="9" t="s">
        <v>5672</v>
      </c>
      <c r="C1191" s="9" t="s">
        <v>5634</v>
      </c>
      <c r="D1191" s="9" t="s">
        <v>5539</v>
      </c>
      <c r="E1191" s="9" t="s">
        <v>49</v>
      </c>
      <c r="F1191" s="9" t="s">
        <v>69</v>
      </c>
      <c r="G1191" s="9" t="s">
        <v>70</v>
      </c>
      <c r="H1191" s="9" t="s">
        <v>5598</v>
      </c>
      <c r="I1191" s="9" t="s">
        <v>72</v>
      </c>
      <c r="J1191" s="36">
        <v>44412</v>
      </c>
      <c r="K1191" s="36">
        <v>44410</v>
      </c>
      <c r="L1191" s="10">
        <v>44413</v>
      </c>
      <c r="M1191" s="10">
        <v>44427</v>
      </c>
      <c r="N1191" s="9">
        <v>2021</v>
      </c>
      <c r="O1191" s="9" t="s">
        <v>5619</v>
      </c>
      <c r="P1191" s="9" t="s">
        <v>83</v>
      </c>
      <c r="Q1191" s="9" t="s">
        <v>53</v>
      </c>
      <c r="T1191" s="9"/>
      <c r="V1191" s="9"/>
      <c r="W1191" s="11" t="str">
        <f>IFERROR(VLOOKUP(B1191, PlumX_snapshot!$A:$B, 2, FALSE), " ")</f>
        <v xml:space="preserve"> </v>
      </c>
      <c r="X1191" s="11" t="str">
        <f>IFERROR(VLOOKUP(B1191, PlumX_snapshot!$A:$C, 3, FALSE), " ")</f>
        <v xml:space="preserve"> </v>
      </c>
      <c r="Y1191" s="12" t="str">
        <f>IFERROR(VLOOKUP(B1191, PlumX_snapshot!$A:$D, 4, FALSE), " ")</f>
        <v xml:space="preserve"> </v>
      </c>
      <c r="Z1191" s="12" t="str">
        <f>IFERROR(VLOOKUP(B1191, PlumX_snapshot!$A:$E, 5, FALSE), " ")</f>
        <v xml:space="preserve"> </v>
      </c>
      <c r="AA1191" s="12" t="str">
        <f>IFERROR(VLOOKUP(B1191, PlumX_snapshot!$A:$F, 6, FALSE), " ")</f>
        <v xml:space="preserve"> </v>
      </c>
      <c r="AB1191" s="13"/>
      <c r="AC1191" s="9" t="s">
        <v>5673</v>
      </c>
      <c r="AD1191" s="9" t="s">
        <v>5674</v>
      </c>
      <c r="AE1191" s="9" t="s">
        <v>5675</v>
      </c>
      <c r="AF1191" s="9" t="s">
        <v>5676</v>
      </c>
      <c r="AH1191" s="9">
        <v>2900</v>
      </c>
      <c r="AI1191" s="9" t="s">
        <v>77</v>
      </c>
      <c r="AJ1191" s="9" t="s">
        <v>301</v>
      </c>
      <c r="AK1191" s="11" t="str">
        <f t="shared" si="8"/>
        <v>2021GBP</v>
      </c>
      <c r="AL1191" s="11">
        <f>VLOOKUP(AK1191, Exchange_rates!$C:$D, 2, FALSE)</f>
        <v>1</v>
      </c>
      <c r="AM1191" s="14">
        <f t="shared" si="9"/>
        <v>3480</v>
      </c>
      <c r="AN1191" s="9"/>
      <c r="AO1191" s="9"/>
      <c r="AP1191" s="9"/>
      <c r="AQ1191" s="15" t="s">
        <v>49</v>
      </c>
      <c r="AR1191" t="s">
        <v>5551</v>
      </c>
      <c r="AS1191" s="16"/>
    </row>
    <row r="1192" spans="1:45" ht="14.5">
      <c r="A1192" s="9" t="s">
        <v>5677</v>
      </c>
      <c r="B1192" s="9" t="s">
        <v>5678</v>
      </c>
      <c r="C1192" s="9" t="s">
        <v>5634</v>
      </c>
      <c r="D1192" s="9" t="s">
        <v>5539</v>
      </c>
      <c r="E1192" s="9" t="s">
        <v>49</v>
      </c>
      <c r="F1192" s="9" t="s">
        <v>69</v>
      </c>
      <c r="G1192" s="9" t="s">
        <v>70</v>
      </c>
      <c r="H1192" s="9" t="s">
        <v>5598</v>
      </c>
      <c r="I1192" s="9" t="s">
        <v>72</v>
      </c>
      <c r="J1192" s="35">
        <v>44405</v>
      </c>
      <c r="K1192" s="35">
        <v>44404</v>
      </c>
      <c r="L1192" s="10">
        <v>44406</v>
      </c>
      <c r="M1192" s="10">
        <v>44448</v>
      </c>
      <c r="N1192" s="9">
        <v>2021</v>
      </c>
      <c r="O1192" s="9" t="s">
        <v>5619</v>
      </c>
      <c r="P1192" s="9" t="s">
        <v>83</v>
      </c>
      <c r="Q1192" s="9" t="s">
        <v>53</v>
      </c>
      <c r="T1192" s="9"/>
      <c r="V1192" s="9"/>
      <c r="W1192" s="11" t="str">
        <f>IFERROR(VLOOKUP(B1192, PlumX_snapshot!$A:$B, 2, FALSE), " ")</f>
        <v xml:space="preserve"> </v>
      </c>
      <c r="X1192" s="11" t="str">
        <f>IFERROR(VLOOKUP(B1192, PlumX_snapshot!$A:$C, 3, FALSE), " ")</f>
        <v xml:space="preserve"> </v>
      </c>
      <c r="Y1192" s="12" t="str">
        <f>IFERROR(VLOOKUP(B1192, PlumX_snapshot!$A:$D, 4, FALSE), " ")</f>
        <v xml:space="preserve"> </v>
      </c>
      <c r="Z1192" s="12" t="str">
        <f>IFERROR(VLOOKUP(B1192, PlumX_snapshot!$A:$E, 5, FALSE), " ")</f>
        <v xml:space="preserve"> </v>
      </c>
      <c r="AA1192" s="12" t="str">
        <f>IFERROR(VLOOKUP(B1192, PlumX_snapshot!$A:$F, 6, FALSE), " ")</f>
        <v xml:space="preserve"> </v>
      </c>
      <c r="AB1192" s="13"/>
      <c r="AC1192" s="9" t="s">
        <v>5673</v>
      </c>
      <c r="AD1192" s="9" t="s">
        <v>5674</v>
      </c>
      <c r="AE1192" s="9" t="s">
        <v>5675</v>
      </c>
      <c r="AF1192" s="9" t="s">
        <v>5679</v>
      </c>
      <c r="AH1192" s="9">
        <v>2900</v>
      </c>
      <c r="AI1192" s="9" t="s">
        <v>77</v>
      </c>
      <c r="AJ1192" s="9" t="s">
        <v>301</v>
      </c>
      <c r="AK1192" s="11" t="str">
        <f t="shared" si="8"/>
        <v>2021GBP</v>
      </c>
      <c r="AL1192" s="11">
        <f>VLOOKUP(AK1192, Exchange_rates!$C:$D, 2, FALSE)</f>
        <v>1</v>
      </c>
      <c r="AM1192" s="14">
        <f t="shared" si="9"/>
        <v>3480</v>
      </c>
      <c r="AN1192" s="9"/>
      <c r="AO1192" s="9"/>
      <c r="AP1192" s="9"/>
      <c r="AQ1192" s="15" t="s">
        <v>49</v>
      </c>
      <c r="AR1192" t="s">
        <v>5551</v>
      </c>
      <c r="AS1192" s="16"/>
    </row>
    <row r="1193" spans="1:45" ht="14.5">
      <c r="A1193" s="9" t="s">
        <v>5680</v>
      </c>
      <c r="B1193" s="9" t="s">
        <v>5681</v>
      </c>
      <c r="C1193" s="9" t="s">
        <v>5682</v>
      </c>
      <c r="D1193" s="9" t="s">
        <v>5539</v>
      </c>
      <c r="E1193" s="9" t="s">
        <v>49</v>
      </c>
      <c r="F1193" s="9" t="s">
        <v>69</v>
      </c>
      <c r="G1193" s="9" t="s">
        <v>70</v>
      </c>
      <c r="H1193" s="9" t="s">
        <v>5598</v>
      </c>
      <c r="I1193" s="9" t="s">
        <v>72</v>
      </c>
      <c r="J1193" s="35">
        <v>44403</v>
      </c>
      <c r="K1193" s="35">
        <v>44397</v>
      </c>
      <c r="L1193" s="10">
        <v>44406</v>
      </c>
      <c r="M1193" s="10">
        <v>44430</v>
      </c>
      <c r="N1193" s="9">
        <v>2021</v>
      </c>
      <c r="O1193" s="9" t="s">
        <v>5619</v>
      </c>
      <c r="P1193" s="9" t="s">
        <v>53</v>
      </c>
      <c r="Q1193" s="9" t="s">
        <v>83</v>
      </c>
      <c r="T1193" s="9"/>
      <c r="V1193" s="9"/>
      <c r="W1193" s="11" t="str">
        <f>IFERROR(VLOOKUP(B1193, PlumX_snapshot!$A:$B, 2, FALSE), " ")</f>
        <v xml:space="preserve"> </v>
      </c>
      <c r="X1193" s="11" t="str">
        <f>IFERROR(VLOOKUP(B1193, PlumX_snapshot!$A:$C, 3, FALSE), " ")</f>
        <v xml:space="preserve"> </v>
      </c>
      <c r="Y1193" s="12" t="str">
        <f>IFERROR(VLOOKUP(B1193, PlumX_snapshot!$A:$D, 4, FALSE), " ")</f>
        <v xml:space="preserve"> </v>
      </c>
      <c r="Z1193" s="12" t="str">
        <f>IFERROR(VLOOKUP(B1193, PlumX_snapshot!$A:$E, 5, FALSE), " ")</f>
        <v xml:space="preserve"> </v>
      </c>
      <c r="AA1193" s="12" t="str">
        <f>IFERROR(VLOOKUP(B1193, PlumX_snapshot!$A:$F, 6, FALSE), " ")</f>
        <v xml:space="preserve"> </v>
      </c>
      <c r="AB1193" s="13"/>
      <c r="AC1193" s="9" t="s">
        <v>787</v>
      </c>
      <c r="AD1193" s="9" t="s">
        <v>788</v>
      </c>
      <c r="AE1193" s="9" t="s">
        <v>5683</v>
      </c>
      <c r="AH1193" s="9">
        <v>2000</v>
      </c>
      <c r="AI1193" s="9" t="s">
        <v>77</v>
      </c>
      <c r="AJ1193" s="9" t="s">
        <v>301</v>
      </c>
      <c r="AK1193" s="11" t="str">
        <f t="shared" si="8"/>
        <v>2021GBP</v>
      </c>
      <c r="AL1193" s="11">
        <f>VLOOKUP(AK1193, Exchange_rates!$C:$D, 2, FALSE)</f>
        <v>1</v>
      </c>
      <c r="AM1193" s="14">
        <f t="shared" si="9"/>
        <v>2400</v>
      </c>
      <c r="AN1193" s="9"/>
      <c r="AO1193" s="9"/>
      <c r="AP1193" s="9"/>
      <c r="AQ1193" s="15" t="s">
        <v>49</v>
      </c>
      <c r="AR1193" t="s">
        <v>5615</v>
      </c>
      <c r="AS1193" s="16"/>
    </row>
    <row r="1194" spans="1:45" ht="14.5">
      <c r="A1194" s="9" t="s">
        <v>5684</v>
      </c>
      <c r="B1194" s="9" t="s">
        <v>5685</v>
      </c>
      <c r="C1194" s="9" t="s">
        <v>5682</v>
      </c>
      <c r="D1194" s="9" t="s">
        <v>5539</v>
      </c>
      <c r="E1194" s="9" t="s">
        <v>49</v>
      </c>
      <c r="F1194" s="9" t="s">
        <v>69</v>
      </c>
      <c r="G1194" s="9" t="s">
        <v>70</v>
      </c>
      <c r="H1194" s="9" t="s">
        <v>5598</v>
      </c>
      <c r="I1194" s="9" t="s">
        <v>72</v>
      </c>
      <c r="J1194" s="35">
        <v>44398</v>
      </c>
      <c r="K1194" s="35">
        <v>44397</v>
      </c>
      <c r="L1194" s="10">
        <v>44399</v>
      </c>
      <c r="M1194" s="10">
        <v>44409</v>
      </c>
      <c r="N1194" s="9">
        <v>2021</v>
      </c>
      <c r="O1194" s="9" t="s">
        <v>5619</v>
      </c>
      <c r="P1194" s="9" t="s">
        <v>83</v>
      </c>
      <c r="Q1194" s="9" t="s">
        <v>53</v>
      </c>
      <c r="T1194" s="9"/>
      <c r="V1194" s="9"/>
      <c r="W1194" s="11" t="str">
        <f>IFERROR(VLOOKUP(B1194, PlumX_snapshot!$A:$B, 2, FALSE), " ")</f>
        <v xml:space="preserve"> </v>
      </c>
      <c r="X1194" s="11" t="str">
        <f>IFERROR(VLOOKUP(B1194, PlumX_snapshot!$A:$C, 3, FALSE), " ")</f>
        <v xml:space="preserve"> </v>
      </c>
      <c r="Y1194" s="12" t="str">
        <f>IFERROR(VLOOKUP(B1194, PlumX_snapshot!$A:$D, 4, FALSE), " ")</f>
        <v xml:space="preserve"> </v>
      </c>
      <c r="Z1194" s="12" t="str">
        <f>IFERROR(VLOOKUP(B1194, PlumX_snapshot!$A:$E, 5, FALSE), " ")</f>
        <v xml:space="preserve"> </v>
      </c>
      <c r="AA1194" s="12" t="str">
        <f>IFERROR(VLOOKUP(B1194, PlumX_snapshot!$A:$F, 6, FALSE), " ")</f>
        <v xml:space="preserve"> </v>
      </c>
      <c r="AB1194" s="13"/>
      <c r="AC1194" s="9" t="s">
        <v>5686</v>
      </c>
      <c r="AD1194" s="9" t="s">
        <v>4440</v>
      </c>
      <c r="AE1194" s="9" t="s">
        <v>5687</v>
      </c>
      <c r="AF1194" s="9" t="s">
        <v>5688</v>
      </c>
      <c r="AH1194" s="9">
        <v>2000</v>
      </c>
      <c r="AI1194" s="9" t="s">
        <v>77</v>
      </c>
      <c r="AJ1194" s="9" t="s">
        <v>301</v>
      </c>
      <c r="AK1194" s="11" t="str">
        <f t="shared" si="8"/>
        <v>2021GBP</v>
      </c>
      <c r="AL1194" s="11">
        <f>VLOOKUP(AK1194, Exchange_rates!$C:$D, 2, FALSE)</f>
        <v>1</v>
      </c>
      <c r="AM1194" s="14">
        <f t="shared" si="9"/>
        <v>2400</v>
      </c>
      <c r="AN1194" s="9"/>
      <c r="AO1194" s="9"/>
      <c r="AP1194" s="9"/>
      <c r="AQ1194" s="15" t="s">
        <v>49</v>
      </c>
      <c r="AR1194" t="s">
        <v>5615</v>
      </c>
      <c r="AS1194" s="16"/>
    </row>
    <row r="1195" spans="1:45" ht="14.5">
      <c r="A1195" s="9" t="s">
        <v>5689</v>
      </c>
      <c r="B1195" s="9" t="s">
        <v>5690</v>
      </c>
      <c r="C1195" s="9" t="s">
        <v>5691</v>
      </c>
      <c r="D1195" s="9" t="s">
        <v>5539</v>
      </c>
      <c r="E1195" s="9" t="s">
        <v>49</v>
      </c>
      <c r="F1195" s="9" t="s">
        <v>69</v>
      </c>
      <c r="G1195" s="9" t="s">
        <v>70</v>
      </c>
      <c r="H1195" s="9" t="s">
        <v>5598</v>
      </c>
      <c r="I1195" s="9" t="s">
        <v>72</v>
      </c>
      <c r="J1195" s="35">
        <v>44377</v>
      </c>
      <c r="K1195" s="35">
        <v>44372</v>
      </c>
      <c r="L1195" s="10">
        <v>44378</v>
      </c>
      <c r="M1195" s="10">
        <v>44399</v>
      </c>
      <c r="N1195" s="9">
        <v>2021</v>
      </c>
      <c r="O1195" s="9" t="s">
        <v>5619</v>
      </c>
      <c r="P1195" s="9" t="s">
        <v>83</v>
      </c>
      <c r="Q1195" s="9" t="s">
        <v>53</v>
      </c>
      <c r="T1195" s="9"/>
      <c r="V1195" s="9"/>
      <c r="W1195" s="11" t="str">
        <f>IFERROR(VLOOKUP(B1195, PlumX_snapshot!$A:$B, 2, FALSE), " ")</f>
        <v xml:space="preserve"> </v>
      </c>
      <c r="X1195" s="11" t="str">
        <f>IFERROR(VLOOKUP(B1195, PlumX_snapshot!$A:$C, 3, FALSE), " ")</f>
        <v xml:space="preserve"> </v>
      </c>
      <c r="Y1195" s="12" t="str">
        <f>IFERROR(VLOOKUP(B1195, PlumX_snapshot!$A:$D, 4, FALSE), " ")</f>
        <v xml:space="preserve"> </v>
      </c>
      <c r="Z1195" s="12" t="str">
        <f>IFERROR(VLOOKUP(B1195, PlumX_snapshot!$A:$E, 5, FALSE), " ")</f>
        <v xml:space="preserve"> </v>
      </c>
      <c r="AA1195" s="12" t="str">
        <f>IFERROR(VLOOKUP(B1195, PlumX_snapshot!$A:$F, 6, FALSE), " ")</f>
        <v xml:space="preserve"> </v>
      </c>
      <c r="AB1195" s="13"/>
      <c r="AC1195" s="9" t="s">
        <v>5692</v>
      </c>
      <c r="AD1195" s="9" t="s">
        <v>5693</v>
      </c>
      <c r="AE1195" s="9" t="s">
        <v>5694</v>
      </c>
      <c r="AH1195" s="9">
        <v>2333</v>
      </c>
      <c r="AI1195" s="9" t="s">
        <v>77</v>
      </c>
      <c r="AJ1195" s="9" t="s">
        <v>301</v>
      </c>
      <c r="AK1195" s="11" t="str">
        <f t="shared" si="8"/>
        <v>2021GBP</v>
      </c>
      <c r="AL1195" s="11">
        <f>VLOOKUP(AK1195, Exchange_rates!$C:$D, 2, FALSE)</f>
        <v>1</v>
      </c>
      <c r="AM1195" s="14">
        <f t="shared" si="9"/>
        <v>2799.6</v>
      </c>
      <c r="AN1195" s="9"/>
      <c r="AO1195" s="9"/>
      <c r="AP1195" s="9"/>
      <c r="AQ1195" s="15" t="s">
        <v>49</v>
      </c>
      <c r="AR1195" t="s">
        <v>5695</v>
      </c>
      <c r="AS1195" s="16"/>
    </row>
    <row r="1196" spans="1:45" ht="14.5">
      <c r="A1196" s="9" t="s">
        <v>5696</v>
      </c>
      <c r="B1196" s="9" t="s">
        <v>5697</v>
      </c>
      <c r="C1196" s="9" t="s">
        <v>5698</v>
      </c>
      <c r="D1196" s="9" t="s">
        <v>5539</v>
      </c>
      <c r="E1196" s="9" t="s">
        <v>49</v>
      </c>
      <c r="F1196" s="9" t="s">
        <v>69</v>
      </c>
      <c r="G1196" s="9" t="s">
        <v>70</v>
      </c>
      <c r="H1196" s="9" t="s">
        <v>5598</v>
      </c>
      <c r="I1196" s="9" t="s">
        <v>72</v>
      </c>
      <c r="J1196" s="35">
        <v>44377</v>
      </c>
      <c r="K1196" s="29">
        <v>44347</v>
      </c>
      <c r="L1196" s="10">
        <v>44378</v>
      </c>
      <c r="M1196" s="10">
        <v>44397</v>
      </c>
      <c r="N1196" s="9">
        <v>2021</v>
      </c>
      <c r="O1196" s="9" t="s">
        <v>5619</v>
      </c>
      <c r="P1196" s="9" t="s">
        <v>53</v>
      </c>
      <c r="Q1196" s="9" t="s">
        <v>83</v>
      </c>
      <c r="T1196" s="9"/>
      <c r="V1196" s="9"/>
      <c r="W1196" s="11" t="str">
        <f>IFERROR(VLOOKUP(B1196, PlumX_snapshot!$A:$B, 2, FALSE), " ")</f>
        <v xml:space="preserve"> </v>
      </c>
      <c r="X1196" s="11" t="str">
        <f>IFERROR(VLOOKUP(B1196, PlumX_snapshot!$A:$C, 3, FALSE), " ")</f>
        <v xml:space="preserve"> </v>
      </c>
      <c r="Y1196" s="12" t="str">
        <f>IFERROR(VLOOKUP(B1196, PlumX_snapshot!$A:$D, 4, FALSE), " ")</f>
        <v xml:space="preserve"> </v>
      </c>
      <c r="Z1196" s="12" t="str">
        <f>IFERROR(VLOOKUP(B1196, PlumX_snapshot!$A:$E, 5, FALSE), " ")</f>
        <v xml:space="preserve"> </v>
      </c>
      <c r="AA1196" s="12" t="str">
        <f>IFERROR(VLOOKUP(B1196, PlumX_snapshot!$A:$F, 6, FALSE), " ")</f>
        <v xml:space="preserve"> </v>
      </c>
      <c r="AB1196" s="13"/>
      <c r="AC1196" s="9" t="s">
        <v>5699</v>
      </c>
      <c r="AD1196" s="9" t="s">
        <v>5700</v>
      </c>
      <c r="AE1196" s="9" t="s">
        <v>5701</v>
      </c>
      <c r="AF1196" s="9" t="s">
        <v>5702</v>
      </c>
      <c r="AH1196" s="9">
        <v>2267</v>
      </c>
      <c r="AI1196" s="9" t="s">
        <v>77</v>
      </c>
      <c r="AJ1196" s="9" t="s">
        <v>301</v>
      </c>
      <c r="AK1196" s="11" t="str">
        <f t="shared" si="8"/>
        <v>2021GBP</v>
      </c>
      <c r="AL1196" s="11">
        <f>VLOOKUP(AK1196, Exchange_rates!$C:$D, 2, FALSE)</f>
        <v>1</v>
      </c>
      <c r="AM1196" s="14">
        <f t="shared" si="9"/>
        <v>2720.4</v>
      </c>
      <c r="AN1196" s="9"/>
      <c r="AO1196" s="9"/>
      <c r="AP1196" s="9"/>
      <c r="AQ1196" s="15" t="s">
        <v>49</v>
      </c>
      <c r="AR1196" t="s">
        <v>5703</v>
      </c>
      <c r="AS1196" s="16"/>
    </row>
    <row r="1197" spans="1:45" ht="14.5">
      <c r="A1197" s="9" t="s">
        <v>5704</v>
      </c>
      <c r="B1197" s="9" t="s">
        <v>5705</v>
      </c>
      <c r="C1197" s="9" t="s">
        <v>5706</v>
      </c>
      <c r="D1197" s="9" t="s">
        <v>5539</v>
      </c>
      <c r="E1197" s="9" t="s">
        <v>49</v>
      </c>
      <c r="F1197" s="9" t="s">
        <v>69</v>
      </c>
      <c r="G1197" s="9" t="s">
        <v>70</v>
      </c>
      <c r="H1197" s="9" t="s">
        <v>5598</v>
      </c>
      <c r="I1197" s="9" t="s">
        <v>72</v>
      </c>
      <c r="J1197" s="35">
        <v>44372</v>
      </c>
      <c r="K1197" s="36">
        <v>44355</v>
      </c>
      <c r="L1197" s="10">
        <v>44372</v>
      </c>
      <c r="M1197" s="10">
        <v>44389</v>
      </c>
      <c r="N1197" s="9">
        <v>2021</v>
      </c>
      <c r="O1197" s="9" t="s">
        <v>5619</v>
      </c>
      <c r="P1197" s="9" t="s">
        <v>53</v>
      </c>
      <c r="Q1197" s="9" t="s">
        <v>53</v>
      </c>
      <c r="T1197" s="9"/>
      <c r="V1197" s="9"/>
      <c r="W1197" s="11" t="str">
        <f>IFERROR(VLOOKUP(B1197, PlumX_snapshot!$A:$B, 2, FALSE), " ")</f>
        <v xml:space="preserve"> </v>
      </c>
      <c r="X1197" s="11" t="str">
        <f>IFERROR(VLOOKUP(B1197, PlumX_snapshot!$A:$C, 3, FALSE), " ")</f>
        <v xml:space="preserve"> </v>
      </c>
      <c r="Y1197" s="12" t="str">
        <f>IFERROR(VLOOKUP(B1197, PlumX_snapshot!$A:$D, 4, FALSE), " ")</f>
        <v xml:space="preserve"> </v>
      </c>
      <c r="Z1197" s="12" t="str">
        <f>IFERROR(VLOOKUP(B1197, PlumX_snapshot!$A:$E, 5, FALSE), " ")</f>
        <v xml:space="preserve"> </v>
      </c>
      <c r="AA1197" s="12" t="str">
        <f>IFERROR(VLOOKUP(B1197, PlumX_snapshot!$A:$F, 6, FALSE), " ")</f>
        <v xml:space="preserve"> </v>
      </c>
      <c r="AB1197" s="13"/>
      <c r="AC1197" s="9" t="s">
        <v>5707</v>
      </c>
      <c r="AD1197" s="9" t="s">
        <v>5708</v>
      </c>
      <c r="AE1197" s="9" t="s">
        <v>5709</v>
      </c>
      <c r="AF1197" s="9" t="s">
        <v>5710</v>
      </c>
      <c r="AH1197" s="9">
        <v>2000</v>
      </c>
      <c r="AI1197" s="9" t="s">
        <v>77</v>
      </c>
      <c r="AJ1197" s="9" t="s">
        <v>301</v>
      </c>
      <c r="AK1197" s="11" t="str">
        <f t="shared" si="8"/>
        <v>2021GBP</v>
      </c>
      <c r="AL1197" s="11">
        <f>VLOOKUP(AK1197, Exchange_rates!$C:$D, 2, FALSE)</f>
        <v>1</v>
      </c>
      <c r="AM1197" s="14">
        <f t="shared" si="9"/>
        <v>2400</v>
      </c>
      <c r="AN1197" s="9"/>
      <c r="AO1197" s="9"/>
      <c r="AP1197" s="9"/>
      <c r="AQ1197" s="15" t="s">
        <v>49</v>
      </c>
      <c r="AR1197" t="s">
        <v>5711</v>
      </c>
      <c r="AS1197" s="16"/>
    </row>
    <row r="1198" spans="1:45" ht="14.5">
      <c r="A1198" s="9" t="s">
        <v>5712</v>
      </c>
      <c r="B1198" s="9" t="s">
        <v>5713</v>
      </c>
      <c r="C1198" s="9" t="s">
        <v>5698</v>
      </c>
      <c r="D1198" s="9" t="s">
        <v>5539</v>
      </c>
      <c r="E1198" s="9" t="s">
        <v>49</v>
      </c>
      <c r="F1198" s="9" t="s">
        <v>69</v>
      </c>
      <c r="G1198" s="9" t="s">
        <v>70</v>
      </c>
      <c r="H1198" s="9" t="s">
        <v>5598</v>
      </c>
      <c r="I1198" s="9" t="s">
        <v>72</v>
      </c>
      <c r="J1198" s="35">
        <v>44365</v>
      </c>
      <c r="K1198" s="29">
        <v>44346</v>
      </c>
      <c r="L1198" s="10">
        <v>44365</v>
      </c>
      <c r="M1198" s="10">
        <v>44372</v>
      </c>
      <c r="N1198" s="9">
        <v>2021</v>
      </c>
      <c r="O1198" s="9" t="s">
        <v>5619</v>
      </c>
      <c r="P1198" s="9" t="s">
        <v>53</v>
      </c>
      <c r="Q1198" s="9" t="s">
        <v>83</v>
      </c>
      <c r="T1198" s="9"/>
      <c r="V1198" s="9"/>
      <c r="W1198" s="11" t="str">
        <f>IFERROR(VLOOKUP(B1198, PlumX_snapshot!$A:$B, 2, FALSE), " ")</f>
        <v xml:space="preserve"> </v>
      </c>
      <c r="X1198" s="11" t="str">
        <f>IFERROR(VLOOKUP(B1198, PlumX_snapshot!$A:$C, 3, FALSE), " ")</f>
        <v xml:space="preserve"> </v>
      </c>
      <c r="Y1198" s="12" t="str">
        <f>IFERROR(VLOOKUP(B1198, PlumX_snapshot!$A:$D, 4, FALSE), " ")</f>
        <v xml:space="preserve"> </v>
      </c>
      <c r="Z1198" s="12" t="str">
        <f>IFERROR(VLOOKUP(B1198, PlumX_snapshot!$A:$E, 5, FALSE), " ")</f>
        <v xml:space="preserve"> </v>
      </c>
      <c r="AA1198" s="12" t="str">
        <f>IFERROR(VLOOKUP(B1198, PlumX_snapshot!$A:$F, 6, FALSE), " ")</f>
        <v xml:space="preserve"> </v>
      </c>
      <c r="AB1198" s="13"/>
      <c r="AC1198" s="9" t="s">
        <v>4547</v>
      </c>
      <c r="AD1198" s="9" t="s">
        <v>4548</v>
      </c>
      <c r="AE1198" s="9" t="s">
        <v>4549</v>
      </c>
      <c r="AF1198" s="9" t="s">
        <v>5702</v>
      </c>
      <c r="AH1198" s="9">
        <v>2267</v>
      </c>
      <c r="AI1198" s="9" t="s">
        <v>77</v>
      </c>
      <c r="AJ1198" s="9" t="s">
        <v>301</v>
      </c>
      <c r="AK1198" s="11" t="str">
        <f t="shared" si="8"/>
        <v>2021GBP</v>
      </c>
      <c r="AL1198" s="11">
        <f>VLOOKUP(AK1198, Exchange_rates!$C:$D, 2, FALSE)</f>
        <v>1</v>
      </c>
      <c r="AM1198" s="14">
        <f t="shared" si="9"/>
        <v>2720.4</v>
      </c>
      <c r="AN1198" s="9"/>
      <c r="AO1198" s="9"/>
      <c r="AP1198" s="9"/>
      <c r="AQ1198" s="15" t="s">
        <v>49</v>
      </c>
      <c r="AR1198" t="s">
        <v>5703</v>
      </c>
      <c r="AS1198" s="16"/>
    </row>
    <row r="1199" spans="1:45" ht="14.5">
      <c r="A1199" s="9" t="s">
        <v>5714</v>
      </c>
      <c r="B1199" s="9" t="s">
        <v>5715</v>
      </c>
      <c r="C1199" s="9" t="s">
        <v>5716</v>
      </c>
      <c r="D1199" s="9" t="s">
        <v>5539</v>
      </c>
      <c r="E1199" s="9" t="s">
        <v>49</v>
      </c>
      <c r="F1199" s="9" t="s">
        <v>69</v>
      </c>
      <c r="G1199" s="9" t="s">
        <v>70</v>
      </c>
      <c r="H1199" s="9" t="s">
        <v>5598</v>
      </c>
      <c r="I1199" s="9" t="s">
        <v>72</v>
      </c>
      <c r="J1199" s="36">
        <v>44356</v>
      </c>
      <c r="K1199" s="29"/>
      <c r="L1199" s="10">
        <v>44357</v>
      </c>
      <c r="M1199" s="10">
        <v>44381</v>
      </c>
      <c r="N1199" s="9">
        <v>2021</v>
      </c>
      <c r="O1199" s="9" t="s">
        <v>5619</v>
      </c>
      <c r="P1199" s="9" t="s">
        <v>53</v>
      </c>
      <c r="Q1199" s="9" t="s">
        <v>53</v>
      </c>
      <c r="T1199" s="9"/>
      <c r="V1199" s="9"/>
      <c r="W1199" s="11" t="str">
        <f>IFERROR(VLOOKUP(B1199, PlumX_snapshot!$A:$B, 2, FALSE), " ")</f>
        <v xml:space="preserve"> </v>
      </c>
      <c r="X1199" s="11" t="str">
        <f>IFERROR(VLOOKUP(B1199, PlumX_snapshot!$A:$C, 3, FALSE), " ")</f>
        <v xml:space="preserve"> </v>
      </c>
      <c r="Y1199" s="12" t="str">
        <f>IFERROR(VLOOKUP(B1199, PlumX_snapshot!$A:$D, 4, FALSE), " ")</f>
        <v xml:space="preserve"> </v>
      </c>
      <c r="Z1199" s="12" t="str">
        <f>IFERROR(VLOOKUP(B1199, PlumX_snapshot!$A:$E, 5, FALSE), " ")</f>
        <v xml:space="preserve"> </v>
      </c>
      <c r="AA1199" s="12" t="str">
        <f>IFERROR(VLOOKUP(B1199, PlumX_snapshot!$A:$F, 6, FALSE), " ")</f>
        <v xml:space="preserve"> </v>
      </c>
      <c r="AB1199" s="13"/>
      <c r="AC1199" s="9" t="s">
        <v>5717</v>
      </c>
      <c r="AD1199" s="9" t="s">
        <v>4752</v>
      </c>
      <c r="AE1199" s="9" t="s">
        <v>4753</v>
      </c>
      <c r="AH1199" s="9">
        <v>1667</v>
      </c>
      <c r="AI1199" s="9" t="s">
        <v>77</v>
      </c>
      <c r="AJ1199" s="9" t="s">
        <v>301</v>
      </c>
      <c r="AK1199" s="11" t="str">
        <f t="shared" si="8"/>
        <v>2021GBP</v>
      </c>
      <c r="AL1199" s="11">
        <f>VLOOKUP(AK1199, Exchange_rates!$C:$D, 2, FALSE)</f>
        <v>1</v>
      </c>
      <c r="AM1199" s="14">
        <f t="shared" si="9"/>
        <v>2000.3999999999999</v>
      </c>
      <c r="AN1199" s="9"/>
      <c r="AO1199" s="9"/>
      <c r="AP1199" s="9"/>
      <c r="AQ1199" s="15" t="s">
        <v>49</v>
      </c>
      <c r="AR1199" t="s">
        <v>5718</v>
      </c>
      <c r="AS1199" s="16"/>
    </row>
    <row r="1200" spans="1:45" ht="14.5">
      <c r="A1200" s="9" t="s">
        <v>5719</v>
      </c>
      <c r="B1200" s="9" t="s">
        <v>5720</v>
      </c>
      <c r="C1200" s="9" t="s">
        <v>5721</v>
      </c>
      <c r="D1200" s="9" t="s">
        <v>5539</v>
      </c>
      <c r="E1200" s="9" t="s">
        <v>49</v>
      </c>
      <c r="F1200" s="9" t="s">
        <v>69</v>
      </c>
      <c r="G1200" s="9" t="s">
        <v>70</v>
      </c>
      <c r="H1200" s="9" t="s">
        <v>5598</v>
      </c>
      <c r="I1200" s="9" t="s">
        <v>72</v>
      </c>
      <c r="J1200" s="36">
        <v>44356</v>
      </c>
      <c r="K1200" s="29">
        <v>44340</v>
      </c>
      <c r="L1200" s="10">
        <v>44357</v>
      </c>
      <c r="M1200" s="10">
        <v>44359</v>
      </c>
      <c r="N1200" s="9">
        <v>2021</v>
      </c>
      <c r="O1200" s="9" t="s">
        <v>5619</v>
      </c>
      <c r="P1200" s="9" t="s">
        <v>53</v>
      </c>
      <c r="Q1200" s="9" t="s">
        <v>53</v>
      </c>
      <c r="T1200" s="9"/>
      <c r="V1200" s="9"/>
      <c r="W1200" s="11" t="str">
        <f>IFERROR(VLOOKUP(B1200, PlumX_snapshot!$A:$B, 2, FALSE), " ")</f>
        <v xml:space="preserve"> </v>
      </c>
      <c r="X1200" s="11" t="str">
        <f>IFERROR(VLOOKUP(B1200, PlumX_snapshot!$A:$C, 3, FALSE), " ")</f>
        <v xml:space="preserve"> </v>
      </c>
      <c r="Y1200" s="12" t="str">
        <f>IFERROR(VLOOKUP(B1200, PlumX_snapshot!$A:$D, 4, FALSE), " ")</f>
        <v xml:space="preserve"> </v>
      </c>
      <c r="Z1200" s="12" t="str">
        <f>IFERROR(VLOOKUP(B1200, PlumX_snapshot!$A:$E, 5, FALSE), " ")</f>
        <v xml:space="preserve"> </v>
      </c>
      <c r="AA1200" s="12" t="str">
        <f>IFERROR(VLOOKUP(B1200, PlumX_snapshot!$A:$F, 6, FALSE), " ")</f>
        <v xml:space="preserve"> </v>
      </c>
      <c r="AB1200" s="13"/>
      <c r="AC1200" s="9" t="s">
        <v>5722</v>
      </c>
      <c r="AD1200" s="9" t="s">
        <v>5723</v>
      </c>
      <c r="AF1200" s="9" t="s">
        <v>5724</v>
      </c>
      <c r="AH1200" s="9">
        <v>2800</v>
      </c>
      <c r="AI1200" s="9" t="s">
        <v>77</v>
      </c>
      <c r="AJ1200" s="9" t="s">
        <v>301</v>
      </c>
      <c r="AK1200" s="11" t="str">
        <f t="shared" si="8"/>
        <v>2021GBP</v>
      </c>
      <c r="AL1200" s="11">
        <f>VLOOKUP(AK1200, Exchange_rates!$C:$D, 2, FALSE)</f>
        <v>1</v>
      </c>
      <c r="AM1200" s="14">
        <f t="shared" si="9"/>
        <v>3360</v>
      </c>
      <c r="AN1200" s="9"/>
      <c r="AO1200" s="9"/>
      <c r="AP1200" s="9"/>
      <c r="AQ1200" s="15" t="s">
        <v>49</v>
      </c>
      <c r="AR1200" t="s">
        <v>5725</v>
      </c>
      <c r="AS1200" s="16"/>
    </row>
    <row r="1201" spans="1:45" ht="14.5">
      <c r="A1201" s="9" t="s">
        <v>5726</v>
      </c>
      <c r="B1201" s="9" t="s">
        <v>5727</v>
      </c>
      <c r="C1201" s="9" t="s">
        <v>5728</v>
      </c>
      <c r="D1201" s="9" t="s">
        <v>5539</v>
      </c>
      <c r="E1201" s="9" t="s">
        <v>49</v>
      </c>
      <c r="F1201" s="9" t="s">
        <v>69</v>
      </c>
      <c r="G1201" s="9" t="s">
        <v>70</v>
      </c>
      <c r="H1201" s="9" t="s">
        <v>5729</v>
      </c>
      <c r="I1201" s="9" t="s">
        <v>72</v>
      </c>
      <c r="J1201" s="36">
        <v>44348</v>
      </c>
      <c r="K1201" s="35">
        <v>44185</v>
      </c>
      <c r="L1201" s="10">
        <v>44349</v>
      </c>
      <c r="M1201" s="10">
        <v>44387</v>
      </c>
      <c r="N1201" s="9">
        <v>2020</v>
      </c>
      <c r="O1201" s="9" t="s">
        <v>5619</v>
      </c>
      <c r="P1201" s="9" t="s">
        <v>83</v>
      </c>
      <c r="Q1201" s="9" t="s">
        <v>53</v>
      </c>
      <c r="T1201" s="9"/>
      <c r="V1201" s="9"/>
      <c r="W1201" s="11" t="str">
        <f>IFERROR(VLOOKUP(B1201, PlumX_snapshot!$A:$B, 2, FALSE), " ")</f>
        <v xml:space="preserve"> </v>
      </c>
      <c r="X1201" s="11" t="str">
        <f>IFERROR(VLOOKUP(B1201, PlumX_snapshot!$A:$C, 3, FALSE), " ")</f>
        <v xml:space="preserve"> </v>
      </c>
      <c r="Y1201" s="12" t="str">
        <f>IFERROR(VLOOKUP(B1201, PlumX_snapshot!$A:$D, 4, FALSE), " ")</f>
        <v xml:space="preserve"> </v>
      </c>
      <c r="Z1201" s="12" t="str">
        <f>IFERROR(VLOOKUP(B1201, PlumX_snapshot!$A:$E, 5, FALSE), " ")</f>
        <v xml:space="preserve"> </v>
      </c>
      <c r="AA1201" s="12" t="str">
        <f>IFERROR(VLOOKUP(B1201, PlumX_snapshot!$A:$F, 6, FALSE), " ")</f>
        <v xml:space="preserve"> </v>
      </c>
      <c r="AB1201" s="13"/>
      <c r="AC1201" s="9" t="s">
        <v>459</v>
      </c>
      <c r="AD1201" s="9" t="s">
        <v>460</v>
      </c>
      <c r="AE1201" s="9" t="s">
        <v>5730</v>
      </c>
      <c r="AF1201" s="9" t="s">
        <v>5731</v>
      </c>
      <c r="AH1201" s="9">
        <v>2200</v>
      </c>
      <c r="AI1201" s="9" t="s">
        <v>77</v>
      </c>
      <c r="AJ1201" s="9" t="s">
        <v>301</v>
      </c>
      <c r="AK1201" s="11" t="str">
        <f t="shared" si="8"/>
        <v>2020GBP</v>
      </c>
      <c r="AL1201" s="11">
        <f>VLOOKUP(AK1201, Exchange_rates!$C:$D, 2, FALSE)</f>
        <v>1</v>
      </c>
      <c r="AM1201" s="14">
        <f t="shared" si="9"/>
        <v>2640</v>
      </c>
      <c r="AN1201" s="9"/>
      <c r="AO1201" s="9"/>
      <c r="AP1201" s="9"/>
      <c r="AQ1201" s="15" t="s">
        <v>49</v>
      </c>
      <c r="AR1201" t="s">
        <v>5732</v>
      </c>
      <c r="AS1201" s="16"/>
    </row>
    <row r="1202" spans="1:45" ht="14.5">
      <c r="A1202" s="9" t="s">
        <v>5733</v>
      </c>
      <c r="B1202" s="9" t="s">
        <v>5734</v>
      </c>
      <c r="C1202" s="9" t="s">
        <v>5721</v>
      </c>
      <c r="D1202" s="9" t="s">
        <v>5539</v>
      </c>
      <c r="E1202" s="9" t="s">
        <v>49</v>
      </c>
      <c r="F1202" s="9" t="s">
        <v>69</v>
      </c>
      <c r="G1202" s="9" t="s">
        <v>70</v>
      </c>
      <c r="H1202" s="9" t="s">
        <v>5598</v>
      </c>
      <c r="I1202" s="9" t="s">
        <v>72</v>
      </c>
      <c r="J1202" s="36">
        <v>44348</v>
      </c>
      <c r="K1202" s="29">
        <v>44340</v>
      </c>
      <c r="L1202" s="10">
        <v>44349</v>
      </c>
      <c r="M1202" s="10">
        <v>44357</v>
      </c>
      <c r="N1202" s="9">
        <v>2021</v>
      </c>
      <c r="O1202" s="9" t="s">
        <v>5619</v>
      </c>
      <c r="P1202" s="9" t="s">
        <v>53</v>
      </c>
      <c r="Q1202" s="9" t="s">
        <v>53</v>
      </c>
      <c r="T1202" s="9"/>
      <c r="V1202" s="9"/>
      <c r="W1202" s="11" t="str">
        <f>IFERROR(VLOOKUP(B1202, PlumX_snapshot!$A:$B, 2, FALSE), " ")</f>
        <v xml:space="preserve"> </v>
      </c>
      <c r="X1202" s="11" t="str">
        <f>IFERROR(VLOOKUP(B1202, PlumX_snapshot!$A:$C, 3, FALSE), " ")</f>
        <v xml:space="preserve"> </v>
      </c>
      <c r="Y1202" s="12" t="str">
        <f>IFERROR(VLOOKUP(B1202, PlumX_snapshot!$A:$D, 4, FALSE), " ")</f>
        <v xml:space="preserve"> </v>
      </c>
      <c r="Z1202" s="12" t="str">
        <f>IFERROR(VLOOKUP(B1202, PlumX_snapshot!$A:$E, 5, FALSE), " ")</f>
        <v xml:space="preserve"> </v>
      </c>
      <c r="AA1202" s="12" t="str">
        <f>IFERROR(VLOOKUP(B1202, PlumX_snapshot!$A:$F, 6, FALSE), " ")</f>
        <v xml:space="preserve"> </v>
      </c>
      <c r="AB1202" s="13"/>
      <c r="AC1202" s="9" t="s">
        <v>5735</v>
      </c>
      <c r="AD1202" s="9" t="s">
        <v>5736</v>
      </c>
      <c r="AE1202" s="9" t="s">
        <v>5737</v>
      </c>
      <c r="AF1202" s="9" t="s">
        <v>5738</v>
      </c>
      <c r="AH1202" s="9">
        <v>2800</v>
      </c>
      <c r="AI1202" s="9" t="s">
        <v>77</v>
      </c>
      <c r="AJ1202" s="9" t="s">
        <v>301</v>
      </c>
      <c r="AK1202" s="11" t="str">
        <f t="shared" si="8"/>
        <v>2021GBP</v>
      </c>
      <c r="AL1202" s="11">
        <f>VLOOKUP(AK1202, Exchange_rates!$C:$D, 2, FALSE)</f>
        <v>1</v>
      </c>
      <c r="AM1202" s="14">
        <f t="shared" si="9"/>
        <v>3360</v>
      </c>
      <c r="AN1202" s="9"/>
      <c r="AO1202" s="9"/>
      <c r="AP1202" s="9"/>
      <c r="AQ1202" s="15" t="s">
        <v>49</v>
      </c>
      <c r="AR1202" t="s">
        <v>5725</v>
      </c>
      <c r="AS1202" s="16"/>
    </row>
    <row r="1203" spans="1:45" ht="14.5">
      <c r="A1203" s="9" t="s">
        <v>5739</v>
      </c>
      <c r="B1203" s="9" t="s">
        <v>5740</v>
      </c>
      <c r="C1203" s="9" t="s">
        <v>5741</v>
      </c>
      <c r="D1203" s="9" t="s">
        <v>5539</v>
      </c>
      <c r="E1203" s="9" t="s">
        <v>49</v>
      </c>
      <c r="F1203" s="9" t="s">
        <v>69</v>
      </c>
      <c r="G1203" s="9" t="s">
        <v>70</v>
      </c>
      <c r="H1203" s="9" t="s">
        <v>5598</v>
      </c>
      <c r="I1203" s="9" t="s">
        <v>72</v>
      </c>
      <c r="J1203" s="29">
        <v>44347</v>
      </c>
      <c r="K1203" s="29">
        <v>44340</v>
      </c>
      <c r="L1203" s="10">
        <v>44348</v>
      </c>
      <c r="M1203" s="10">
        <v>44353</v>
      </c>
      <c r="N1203" s="9">
        <v>2021</v>
      </c>
      <c r="O1203" s="9" t="s">
        <v>5619</v>
      </c>
      <c r="P1203" s="9" t="s">
        <v>53</v>
      </c>
      <c r="Q1203" s="9" t="s">
        <v>53</v>
      </c>
      <c r="T1203" s="9"/>
      <c r="V1203" s="9"/>
      <c r="W1203" s="11" t="str">
        <f>IFERROR(VLOOKUP(B1203, PlumX_snapshot!$A:$B, 2, FALSE), " ")</f>
        <v xml:space="preserve"> </v>
      </c>
      <c r="X1203" s="11" t="str">
        <f>IFERROR(VLOOKUP(B1203, PlumX_snapshot!$A:$C, 3, FALSE), " ")</f>
        <v xml:space="preserve"> </v>
      </c>
      <c r="Y1203" s="12" t="str">
        <f>IFERROR(VLOOKUP(B1203, PlumX_snapshot!$A:$D, 4, FALSE), " ")</f>
        <v xml:space="preserve"> </v>
      </c>
      <c r="Z1203" s="12" t="str">
        <f>IFERROR(VLOOKUP(B1203, PlumX_snapshot!$A:$E, 5, FALSE), " ")</f>
        <v xml:space="preserve"> </v>
      </c>
      <c r="AA1203" s="12" t="str">
        <f>IFERROR(VLOOKUP(B1203, PlumX_snapshot!$A:$F, 6, FALSE), " ")</f>
        <v xml:space="preserve"> </v>
      </c>
      <c r="AB1203" s="13"/>
      <c r="AC1203" s="9" t="s">
        <v>5742</v>
      </c>
      <c r="AD1203" s="9" t="s">
        <v>5743</v>
      </c>
      <c r="AE1203" s="9" t="s">
        <v>5744</v>
      </c>
      <c r="AF1203" s="9" t="s">
        <v>5745</v>
      </c>
      <c r="AH1203" s="9">
        <v>2600</v>
      </c>
      <c r="AI1203" s="9" t="s">
        <v>77</v>
      </c>
      <c r="AJ1203" s="9" t="s">
        <v>301</v>
      </c>
      <c r="AK1203" s="11" t="str">
        <f t="shared" si="8"/>
        <v>2021GBP</v>
      </c>
      <c r="AL1203" s="11">
        <f>VLOOKUP(AK1203, Exchange_rates!$C:$D, 2, FALSE)</f>
        <v>1</v>
      </c>
      <c r="AM1203" s="14">
        <f t="shared" si="9"/>
        <v>3120</v>
      </c>
      <c r="AN1203" s="9"/>
      <c r="AO1203" s="9"/>
      <c r="AP1203" s="9"/>
      <c r="AQ1203" s="15" t="s">
        <v>49</v>
      </c>
      <c r="AR1203" t="s">
        <v>5566</v>
      </c>
      <c r="AS1203" s="16"/>
    </row>
    <row r="1204" spans="1:45" ht="14.5">
      <c r="A1204" s="9" t="s">
        <v>5746</v>
      </c>
      <c r="B1204" s="9" t="s">
        <v>5747</v>
      </c>
      <c r="C1204" s="9" t="s">
        <v>5748</v>
      </c>
      <c r="D1204" s="9" t="s">
        <v>5539</v>
      </c>
      <c r="E1204" s="9" t="s">
        <v>49</v>
      </c>
      <c r="F1204" s="9" t="s">
        <v>69</v>
      </c>
      <c r="G1204" s="9" t="s">
        <v>70</v>
      </c>
      <c r="H1204" s="9" t="s">
        <v>5598</v>
      </c>
      <c r="I1204" s="9" t="s">
        <v>72</v>
      </c>
      <c r="J1204" s="29">
        <v>44344</v>
      </c>
      <c r="K1204" s="29">
        <v>44336</v>
      </c>
      <c r="L1204" s="10">
        <v>44344</v>
      </c>
      <c r="M1204" s="10">
        <v>44353</v>
      </c>
      <c r="N1204" s="9">
        <v>2021</v>
      </c>
      <c r="O1204" s="9" t="s">
        <v>5619</v>
      </c>
      <c r="P1204" s="9" t="s">
        <v>83</v>
      </c>
      <c r="Q1204" s="9" t="s">
        <v>53</v>
      </c>
      <c r="T1204" s="9"/>
      <c r="V1204" s="9"/>
      <c r="W1204" s="11" t="str">
        <f>IFERROR(VLOOKUP(B1204, PlumX_snapshot!$A:$B, 2, FALSE), " ")</f>
        <v xml:space="preserve"> </v>
      </c>
      <c r="X1204" s="11" t="str">
        <f>IFERROR(VLOOKUP(B1204, PlumX_snapshot!$A:$C, 3, FALSE), " ")</f>
        <v xml:space="preserve"> </v>
      </c>
      <c r="Y1204" s="12" t="str">
        <f>IFERROR(VLOOKUP(B1204, PlumX_snapshot!$A:$D, 4, FALSE), " ")</f>
        <v xml:space="preserve"> </v>
      </c>
      <c r="Z1204" s="12" t="str">
        <f>IFERROR(VLOOKUP(B1204, PlumX_snapshot!$A:$E, 5, FALSE), " ")</f>
        <v xml:space="preserve"> </v>
      </c>
      <c r="AA1204" s="12" t="str">
        <f>IFERROR(VLOOKUP(B1204, PlumX_snapshot!$A:$F, 6, FALSE), " ")</f>
        <v xml:space="preserve"> </v>
      </c>
      <c r="AB1204" s="13"/>
      <c r="AC1204" s="9" t="s">
        <v>5749</v>
      </c>
      <c r="AD1204" s="9" t="s">
        <v>5750</v>
      </c>
      <c r="AE1204" s="9" t="s">
        <v>5751</v>
      </c>
      <c r="AF1204" s="9" t="s">
        <v>5752</v>
      </c>
      <c r="AH1204" s="9">
        <v>2450</v>
      </c>
      <c r="AI1204" s="9" t="s">
        <v>77</v>
      </c>
      <c r="AJ1204" s="9" t="s">
        <v>301</v>
      </c>
      <c r="AK1204" s="11" t="str">
        <f t="shared" si="8"/>
        <v>2021GBP</v>
      </c>
      <c r="AL1204" s="11">
        <f>VLOOKUP(AK1204, Exchange_rates!$C:$D, 2, FALSE)</f>
        <v>1</v>
      </c>
      <c r="AM1204" s="14">
        <f t="shared" si="9"/>
        <v>2940</v>
      </c>
      <c r="AN1204" s="9"/>
      <c r="AO1204" s="9"/>
      <c r="AP1204" s="9"/>
      <c r="AQ1204" s="15" t="s">
        <v>49</v>
      </c>
      <c r="AR1204" t="s">
        <v>5753</v>
      </c>
      <c r="AS1204" s="16"/>
    </row>
    <row r="1205" spans="1:45" ht="14.5">
      <c r="A1205" s="9" t="s">
        <v>5754</v>
      </c>
      <c r="B1205" s="9" t="s">
        <v>5755</v>
      </c>
      <c r="C1205" s="9" t="s">
        <v>5756</v>
      </c>
      <c r="D1205" s="9" t="s">
        <v>5539</v>
      </c>
      <c r="E1205" s="9" t="s">
        <v>49</v>
      </c>
      <c r="F1205" s="9" t="s">
        <v>69</v>
      </c>
      <c r="G1205" s="9" t="s">
        <v>70</v>
      </c>
      <c r="H1205" s="9" t="s">
        <v>5598</v>
      </c>
      <c r="I1205" s="9" t="s">
        <v>72</v>
      </c>
      <c r="J1205" s="29">
        <v>44341</v>
      </c>
      <c r="K1205" s="29">
        <v>44341</v>
      </c>
      <c r="L1205" s="10">
        <v>44341</v>
      </c>
      <c r="M1205" s="10">
        <v>44362</v>
      </c>
      <c r="N1205" s="9">
        <v>2021</v>
      </c>
      <c r="O1205" s="9" t="s">
        <v>5619</v>
      </c>
      <c r="P1205" s="9" t="s">
        <v>53</v>
      </c>
      <c r="Q1205" s="9" t="s">
        <v>53</v>
      </c>
      <c r="T1205" s="9"/>
      <c r="V1205" s="9"/>
      <c r="W1205" s="11" t="str">
        <f>IFERROR(VLOOKUP(B1205, PlumX_snapshot!$A:$B, 2, FALSE), " ")</f>
        <v xml:space="preserve"> </v>
      </c>
      <c r="X1205" s="11" t="str">
        <f>IFERROR(VLOOKUP(B1205, PlumX_snapshot!$A:$C, 3, FALSE), " ")</f>
        <v xml:space="preserve"> </v>
      </c>
      <c r="Y1205" s="12" t="str">
        <f>IFERROR(VLOOKUP(B1205, PlumX_snapshot!$A:$D, 4, FALSE), " ")</f>
        <v xml:space="preserve"> </v>
      </c>
      <c r="Z1205" s="12" t="str">
        <f>IFERROR(VLOOKUP(B1205, PlumX_snapshot!$A:$E, 5, FALSE), " ")</f>
        <v xml:space="preserve"> </v>
      </c>
      <c r="AA1205" s="12" t="str">
        <f>IFERROR(VLOOKUP(B1205, PlumX_snapshot!$A:$F, 6, FALSE), " ")</f>
        <v xml:space="preserve"> </v>
      </c>
      <c r="AB1205" s="13"/>
      <c r="AC1205" s="9" t="s">
        <v>5757</v>
      </c>
      <c r="AD1205" s="9" t="s">
        <v>5758</v>
      </c>
      <c r="AE1205" s="9" t="s">
        <v>5759</v>
      </c>
      <c r="AF1205" s="9" t="s">
        <v>5760</v>
      </c>
      <c r="AH1205" s="9">
        <v>2550</v>
      </c>
      <c r="AI1205" s="9" t="s">
        <v>77</v>
      </c>
      <c r="AJ1205" s="9" t="s">
        <v>301</v>
      </c>
      <c r="AK1205" s="11" t="str">
        <f t="shared" si="8"/>
        <v>2021GBP</v>
      </c>
      <c r="AL1205" s="11">
        <f>VLOOKUP(AK1205, Exchange_rates!$C:$D, 2, FALSE)</f>
        <v>1</v>
      </c>
      <c r="AM1205" s="14">
        <f t="shared" si="9"/>
        <v>3060</v>
      </c>
      <c r="AN1205" s="9"/>
      <c r="AO1205" s="9"/>
      <c r="AP1205" s="9"/>
      <c r="AQ1205" s="15" t="s">
        <v>49</v>
      </c>
      <c r="AR1205" t="s">
        <v>5761</v>
      </c>
      <c r="AS1205" s="16"/>
    </row>
    <row r="1206" spans="1:45" ht="14.5">
      <c r="A1206" s="9" t="s">
        <v>5762</v>
      </c>
      <c r="B1206" s="9" t="s">
        <v>5763</v>
      </c>
      <c r="C1206" s="9" t="s">
        <v>5764</v>
      </c>
      <c r="D1206" s="9" t="s">
        <v>5539</v>
      </c>
      <c r="E1206" s="9" t="s">
        <v>49</v>
      </c>
      <c r="F1206" s="9" t="s">
        <v>69</v>
      </c>
      <c r="G1206" s="9" t="s">
        <v>70</v>
      </c>
      <c r="H1206" s="9" t="s">
        <v>5598</v>
      </c>
      <c r="I1206" s="9" t="s">
        <v>72</v>
      </c>
      <c r="J1206" s="29">
        <v>44336</v>
      </c>
      <c r="K1206" s="37">
        <v>44321</v>
      </c>
      <c r="L1206" s="10">
        <v>44337</v>
      </c>
      <c r="M1206" s="10">
        <v>44347</v>
      </c>
      <c r="N1206" s="9">
        <v>2021</v>
      </c>
      <c r="O1206" s="9" t="s">
        <v>5619</v>
      </c>
      <c r="P1206" s="9" t="s">
        <v>53</v>
      </c>
      <c r="Q1206" s="9" t="s">
        <v>83</v>
      </c>
      <c r="T1206" s="9"/>
      <c r="V1206" s="9"/>
      <c r="W1206" s="11" t="str">
        <f>IFERROR(VLOOKUP(B1206, PlumX_snapshot!$A:$B, 2, FALSE), " ")</f>
        <v xml:space="preserve"> </v>
      </c>
      <c r="X1206" s="11" t="str">
        <f>IFERROR(VLOOKUP(B1206, PlumX_snapshot!$A:$C, 3, FALSE), " ")</f>
        <v xml:space="preserve"> </v>
      </c>
      <c r="Y1206" s="12" t="str">
        <f>IFERROR(VLOOKUP(B1206, PlumX_snapshot!$A:$D, 4, FALSE), " ")</f>
        <v xml:space="preserve"> </v>
      </c>
      <c r="Z1206" s="12" t="str">
        <f>IFERROR(VLOOKUP(B1206, PlumX_snapshot!$A:$E, 5, FALSE), " ")</f>
        <v xml:space="preserve"> </v>
      </c>
      <c r="AA1206" s="12" t="str">
        <f>IFERROR(VLOOKUP(B1206, PlumX_snapshot!$A:$F, 6, FALSE), " ")</f>
        <v xml:space="preserve"> </v>
      </c>
      <c r="AB1206" s="13"/>
      <c r="AC1206" s="9" t="s">
        <v>5765</v>
      </c>
      <c r="AD1206" s="9" t="s">
        <v>5766</v>
      </c>
      <c r="AE1206" s="9" t="s">
        <v>5767</v>
      </c>
      <c r="AF1206" s="9" t="s">
        <v>5768</v>
      </c>
      <c r="AH1206" s="9">
        <v>2550</v>
      </c>
      <c r="AI1206" s="9" t="s">
        <v>77</v>
      </c>
      <c r="AJ1206" s="9" t="s">
        <v>301</v>
      </c>
      <c r="AK1206" s="11" t="str">
        <f t="shared" si="8"/>
        <v>2021GBP</v>
      </c>
      <c r="AL1206" s="11">
        <f>VLOOKUP(AK1206, Exchange_rates!$C:$D, 2, FALSE)</f>
        <v>1</v>
      </c>
      <c r="AM1206" s="14">
        <f t="shared" si="9"/>
        <v>3060</v>
      </c>
      <c r="AN1206" s="9"/>
      <c r="AO1206" s="9"/>
      <c r="AP1206" s="9"/>
      <c r="AQ1206" s="15" t="s">
        <v>49</v>
      </c>
      <c r="AR1206" t="s">
        <v>5595</v>
      </c>
      <c r="AS1206" s="16"/>
    </row>
    <row r="1207" spans="1:45" ht="14.5">
      <c r="A1207" s="9" t="s">
        <v>5769</v>
      </c>
      <c r="B1207" s="9" t="s">
        <v>5770</v>
      </c>
      <c r="C1207" s="9" t="s">
        <v>5771</v>
      </c>
      <c r="D1207" s="9" t="s">
        <v>5539</v>
      </c>
      <c r="E1207" s="9" t="s">
        <v>49</v>
      </c>
      <c r="F1207" s="9" t="s">
        <v>69</v>
      </c>
      <c r="G1207" s="9" t="s">
        <v>70</v>
      </c>
      <c r="H1207" s="9" t="s">
        <v>5598</v>
      </c>
      <c r="I1207" s="9" t="s">
        <v>238</v>
      </c>
      <c r="J1207" s="29">
        <v>44335</v>
      </c>
      <c r="K1207" s="35">
        <v>44314</v>
      </c>
      <c r="L1207" s="10">
        <v>44337</v>
      </c>
      <c r="M1207" s="10">
        <v>44354</v>
      </c>
      <c r="N1207" s="9">
        <v>2021</v>
      </c>
      <c r="O1207" s="9" t="s">
        <v>5619</v>
      </c>
      <c r="P1207" s="9" t="s">
        <v>53</v>
      </c>
      <c r="Q1207" s="9" t="s">
        <v>53</v>
      </c>
      <c r="T1207" s="9"/>
      <c r="V1207" s="9"/>
      <c r="W1207" s="11" t="str">
        <f>IFERROR(VLOOKUP(B1207, PlumX_snapshot!$A:$B, 2, FALSE), " ")</f>
        <v xml:space="preserve"> </v>
      </c>
      <c r="X1207" s="11" t="str">
        <f>IFERROR(VLOOKUP(B1207, PlumX_snapshot!$A:$C, 3, FALSE), " ")</f>
        <v xml:space="preserve"> </v>
      </c>
      <c r="Y1207" s="12" t="str">
        <f>IFERROR(VLOOKUP(B1207, PlumX_snapshot!$A:$D, 4, FALSE), " ")</f>
        <v xml:space="preserve"> </v>
      </c>
      <c r="Z1207" s="12" t="str">
        <f>IFERROR(VLOOKUP(B1207, PlumX_snapshot!$A:$E, 5, FALSE), " ")</f>
        <v xml:space="preserve"> </v>
      </c>
      <c r="AA1207" s="12" t="str">
        <f>IFERROR(VLOOKUP(B1207, PlumX_snapshot!$A:$F, 6, FALSE), " ")</f>
        <v xml:space="preserve"> </v>
      </c>
      <c r="AB1207" s="13"/>
      <c r="AC1207" s="9" t="s">
        <v>5772</v>
      </c>
      <c r="AD1207" s="9" t="s">
        <v>5773</v>
      </c>
      <c r="AE1207" s="9" t="s">
        <v>5774</v>
      </c>
      <c r="AH1207" s="9">
        <v>1650</v>
      </c>
      <c r="AI1207" s="9" t="s">
        <v>77</v>
      </c>
      <c r="AJ1207" s="9" t="s">
        <v>301</v>
      </c>
      <c r="AK1207" s="11" t="str">
        <f t="shared" si="8"/>
        <v>2021GBP</v>
      </c>
      <c r="AL1207" s="11">
        <f>VLOOKUP(AK1207, Exchange_rates!$C:$D, 2, FALSE)</f>
        <v>1</v>
      </c>
      <c r="AM1207" s="14">
        <f t="shared" si="9"/>
        <v>1980</v>
      </c>
      <c r="AN1207" s="9"/>
      <c r="AO1207" s="9"/>
      <c r="AP1207" s="9"/>
      <c r="AQ1207" s="15" t="s">
        <v>49</v>
      </c>
      <c r="AR1207" t="s">
        <v>5775</v>
      </c>
      <c r="AS1207" s="16" t="s">
        <v>5776</v>
      </c>
    </row>
    <row r="1208" spans="1:45" ht="14.5">
      <c r="A1208" s="9" t="s">
        <v>5777</v>
      </c>
      <c r="B1208" s="9" t="s">
        <v>5778</v>
      </c>
      <c r="C1208" s="9" t="s">
        <v>5771</v>
      </c>
      <c r="D1208" s="9" t="s">
        <v>5539</v>
      </c>
      <c r="E1208" s="9" t="s">
        <v>49</v>
      </c>
      <c r="F1208" s="9" t="s">
        <v>69</v>
      </c>
      <c r="G1208" s="9" t="s">
        <v>70</v>
      </c>
      <c r="H1208" s="9" t="s">
        <v>5598</v>
      </c>
      <c r="I1208" s="9" t="s">
        <v>238</v>
      </c>
      <c r="J1208" s="29">
        <v>44335</v>
      </c>
      <c r="K1208" s="37">
        <v>44320</v>
      </c>
      <c r="L1208" s="10">
        <v>44337</v>
      </c>
      <c r="M1208" s="10">
        <v>44354</v>
      </c>
      <c r="N1208" s="9">
        <v>2021</v>
      </c>
      <c r="O1208" s="9" t="s">
        <v>5619</v>
      </c>
      <c r="P1208" s="9" t="s">
        <v>53</v>
      </c>
      <c r="Q1208" s="9" t="s">
        <v>53</v>
      </c>
      <c r="T1208" s="9"/>
      <c r="V1208" s="9"/>
      <c r="W1208" s="11" t="str">
        <f>IFERROR(VLOOKUP(B1208, PlumX_snapshot!$A:$B, 2, FALSE), " ")</f>
        <v xml:space="preserve"> </v>
      </c>
      <c r="X1208" s="11" t="str">
        <f>IFERROR(VLOOKUP(B1208, PlumX_snapshot!$A:$C, 3, FALSE), " ")</f>
        <v xml:space="preserve"> </v>
      </c>
      <c r="Y1208" s="12" t="str">
        <f>IFERROR(VLOOKUP(B1208, PlumX_snapshot!$A:$D, 4, FALSE), " ")</f>
        <v xml:space="preserve"> </v>
      </c>
      <c r="Z1208" s="12" t="str">
        <f>IFERROR(VLOOKUP(B1208, PlumX_snapshot!$A:$E, 5, FALSE), " ")</f>
        <v xml:space="preserve"> </v>
      </c>
      <c r="AA1208" s="12" t="str">
        <f>IFERROR(VLOOKUP(B1208, PlumX_snapshot!$A:$F, 6, FALSE), " ")</f>
        <v xml:space="preserve"> </v>
      </c>
      <c r="AB1208" s="13"/>
      <c r="AC1208" s="9" t="s">
        <v>5772</v>
      </c>
      <c r="AD1208" s="9" t="s">
        <v>5773</v>
      </c>
      <c r="AE1208" s="9" t="s">
        <v>5774</v>
      </c>
      <c r="AH1208" s="9">
        <v>1650</v>
      </c>
      <c r="AI1208" s="9" t="s">
        <v>77</v>
      </c>
      <c r="AJ1208" s="9" t="s">
        <v>301</v>
      </c>
      <c r="AK1208" s="11" t="str">
        <f t="shared" si="8"/>
        <v>2021GBP</v>
      </c>
      <c r="AL1208" s="11">
        <f>VLOOKUP(AK1208, Exchange_rates!$C:$D, 2, FALSE)</f>
        <v>1</v>
      </c>
      <c r="AM1208" s="14">
        <f t="shared" si="9"/>
        <v>1980</v>
      </c>
      <c r="AN1208" s="9"/>
      <c r="AO1208" s="9"/>
      <c r="AP1208" s="9"/>
      <c r="AQ1208" s="15" t="s">
        <v>49</v>
      </c>
      <c r="AR1208" t="s">
        <v>5775</v>
      </c>
      <c r="AS1208" s="16" t="s">
        <v>5776</v>
      </c>
    </row>
    <row r="1209" spans="1:45" ht="14.5">
      <c r="A1209" s="9" t="s">
        <v>5779</v>
      </c>
      <c r="B1209" s="9" t="s">
        <v>5780</v>
      </c>
      <c r="C1209" s="9" t="s">
        <v>5781</v>
      </c>
      <c r="D1209" s="9" t="s">
        <v>5539</v>
      </c>
      <c r="E1209" s="9" t="s">
        <v>49</v>
      </c>
      <c r="F1209" s="9" t="s">
        <v>69</v>
      </c>
      <c r="G1209" s="9" t="s">
        <v>70</v>
      </c>
      <c r="H1209" s="9" t="s">
        <v>5598</v>
      </c>
      <c r="I1209" s="9" t="s">
        <v>72</v>
      </c>
      <c r="J1209" s="29">
        <v>44334</v>
      </c>
      <c r="K1209" s="29">
        <v>44329</v>
      </c>
      <c r="L1209" s="10">
        <v>44335</v>
      </c>
      <c r="M1209" s="10">
        <v>44356</v>
      </c>
      <c r="N1209" s="9">
        <v>2021</v>
      </c>
      <c r="O1209" s="9" t="s">
        <v>5619</v>
      </c>
      <c r="P1209" s="9" t="s">
        <v>53</v>
      </c>
      <c r="Q1209" s="9" t="s">
        <v>53</v>
      </c>
      <c r="T1209" s="9"/>
      <c r="V1209" s="9"/>
      <c r="W1209" s="11" t="str">
        <f>IFERROR(VLOOKUP(B1209, PlumX_snapshot!$A:$B, 2, FALSE), " ")</f>
        <v xml:space="preserve"> </v>
      </c>
      <c r="X1209" s="11" t="str">
        <f>IFERROR(VLOOKUP(B1209, PlumX_snapshot!$A:$C, 3, FALSE), " ")</f>
        <v xml:space="preserve"> </v>
      </c>
      <c r="Y1209" s="12" t="str">
        <f>IFERROR(VLOOKUP(B1209, PlumX_snapshot!$A:$D, 4, FALSE), " ")</f>
        <v xml:space="preserve"> </v>
      </c>
      <c r="Z1209" s="12" t="str">
        <f>IFERROR(VLOOKUP(B1209, PlumX_snapshot!$A:$E, 5, FALSE), " ")</f>
        <v xml:space="preserve"> </v>
      </c>
      <c r="AA1209" s="12" t="str">
        <f>IFERROR(VLOOKUP(B1209, PlumX_snapshot!$A:$F, 6, FALSE), " ")</f>
        <v xml:space="preserve"> </v>
      </c>
      <c r="AB1209" s="13"/>
      <c r="AC1209" s="9" t="s">
        <v>5073</v>
      </c>
      <c r="AD1209" s="9" t="s">
        <v>5074</v>
      </c>
      <c r="AE1209" s="9" t="s">
        <v>5075</v>
      </c>
      <c r="AF1209" s="9" t="s">
        <v>5782</v>
      </c>
      <c r="AH1209" s="9">
        <v>2200</v>
      </c>
      <c r="AI1209" s="9" t="s">
        <v>77</v>
      </c>
      <c r="AJ1209" s="9" t="s">
        <v>301</v>
      </c>
      <c r="AK1209" s="11" t="str">
        <f t="shared" si="8"/>
        <v>2021GBP</v>
      </c>
      <c r="AL1209" s="11">
        <f>VLOOKUP(AK1209, Exchange_rates!$C:$D, 2, FALSE)</f>
        <v>1</v>
      </c>
      <c r="AM1209" s="14">
        <f t="shared" si="9"/>
        <v>2640</v>
      </c>
      <c r="AN1209" s="9"/>
      <c r="AO1209" s="9"/>
      <c r="AP1209" s="9"/>
      <c r="AQ1209" s="15" t="s">
        <v>49</v>
      </c>
      <c r="AR1209" t="s">
        <v>5783</v>
      </c>
      <c r="AS1209" s="16"/>
    </row>
    <row r="1210" spans="1:45" ht="14.5">
      <c r="A1210" s="9" t="s">
        <v>5784</v>
      </c>
      <c r="B1210" s="9" t="s">
        <v>5785</v>
      </c>
      <c r="C1210" s="9" t="s">
        <v>5786</v>
      </c>
      <c r="D1210" s="9" t="s">
        <v>5539</v>
      </c>
      <c r="E1210" s="9" t="s">
        <v>49</v>
      </c>
      <c r="F1210" s="9" t="s">
        <v>69</v>
      </c>
      <c r="G1210" s="9" t="s">
        <v>70</v>
      </c>
      <c r="H1210" s="9" t="s">
        <v>5598</v>
      </c>
      <c r="I1210" s="9" t="s">
        <v>72</v>
      </c>
      <c r="J1210" s="29">
        <v>44334</v>
      </c>
      <c r="K1210" s="35">
        <v>44309</v>
      </c>
      <c r="L1210" s="10">
        <v>44335</v>
      </c>
      <c r="M1210" s="10">
        <v>44369</v>
      </c>
      <c r="N1210" s="9">
        <v>2021</v>
      </c>
      <c r="O1210" s="9" t="s">
        <v>5619</v>
      </c>
      <c r="P1210" s="9" t="s">
        <v>53</v>
      </c>
      <c r="Q1210" s="9" t="s">
        <v>53</v>
      </c>
      <c r="T1210" s="9"/>
      <c r="V1210" s="9"/>
      <c r="W1210" s="11" t="str">
        <f>IFERROR(VLOOKUP(B1210, PlumX_snapshot!$A:$B, 2, FALSE), " ")</f>
        <v xml:space="preserve"> </v>
      </c>
      <c r="X1210" s="11" t="str">
        <f>IFERROR(VLOOKUP(B1210, PlumX_snapshot!$A:$C, 3, FALSE), " ")</f>
        <v xml:space="preserve"> </v>
      </c>
      <c r="Y1210" s="12" t="str">
        <f>IFERROR(VLOOKUP(B1210, PlumX_snapshot!$A:$D, 4, FALSE), " ")</f>
        <v xml:space="preserve"> </v>
      </c>
      <c r="Z1210" s="12" t="str">
        <f>IFERROR(VLOOKUP(B1210, PlumX_snapshot!$A:$E, 5, FALSE), " ")</f>
        <v xml:space="preserve"> </v>
      </c>
      <c r="AA1210" s="12" t="str">
        <f>IFERROR(VLOOKUP(B1210, PlumX_snapshot!$A:$F, 6, FALSE), " ")</f>
        <v xml:space="preserve"> </v>
      </c>
      <c r="AB1210" s="13"/>
      <c r="AC1210" s="9" t="s">
        <v>5787</v>
      </c>
      <c r="AD1210" s="9" t="s">
        <v>5788</v>
      </c>
      <c r="AH1210" s="9">
        <v>3000</v>
      </c>
      <c r="AI1210" s="9" t="s">
        <v>77</v>
      </c>
      <c r="AJ1210" s="9" t="s">
        <v>301</v>
      </c>
      <c r="AK1210" s="11" t="str">
        <f t="shared" si="8"/>
        <v>2021GBP</v>
      </c>
      <c r="AL1210" s="11">
        <f>VLOOKUP(AK1210, Exchange_rates!$C:$D, 2, FALSE)</f>
        <v>1</v>
      </c>
      <c r="AM1210" s="14">
        <f t="shared" si="9"/>
        <v>3600</v>
      </c>
      <c r="AN1210" s="9"/>
      <c r="AO1210" s="9"/>
      <c r="AP1210" s="9"/>
      <c r="AQ1210" s="15" t="s">
        <v>49</v>
      </c>
      <c r="AR1210" t="s">
        <v>5558</v>
      </c>
      <c r="AS1210" s="16"/>
    </row>
    <row r="1211" spans="1:45" ht="14.5">
      <c r="A1211" s="9" t="s">
        <v>5789</v>
      </c>
      <c r="B1211" s="9" t="s">
        <v>5790</v>
      </c>
      <c r="C1211" s="9" t="s">
        <v>5791</v>
      </c>
      <c r="D1211" s="9" t="s">
        <v>5539</v>
      </c>
      <c r="E1211" s="9" t="s">
        <v>49</v>
      </c>
      <c r="F1211" s="9" t="s">
        <v>69</v>
      </c>
      <c r="G1211" s="9" t="s">
        <v>70</v>
      </c>
      <c r="H1211" s="9" t="s">
        <v>5598</v>
      </c>
      <c r="I1211" s="9" t="s">
        <v>72</v>
      </c>
      <c r="J1211" s="29">
        <v>44334</v>
      </c>
      <c r="K1211" s="37">
        <v>44317</v>
      </c>
      <c r="L1211" s="10">
        <v>44335</v>
      </c>
      <c r="M1211" s="10">
        <v>44364</v>
      </c>
      <c r="N1211" s="9">
        <v>2021</v>
      </c>
      <c r="O1211" s="9" t="s">
        <v>5619</v>
      </c>
      <c r="P1211" s="9" t="s">
        <v>53</v>
      </c>
      <c r="Q1211" s="9" t="s">
        <v>53</v>
      </c>
      <c r="T1211" s="9"/>
      <c r="V1211" s="9"/>
      <c r="W1211" s="11" t="str">
        <f>IFERROR(VLOOKUP(B1211, PlumX_snapshot!$A:$B, 2, FALSE), " ")</f>
        <v xml:space="preserve"> </v>
      </c>
      <c r="X1211" s="11" t="str">
        <f>IFERROR(VLOOKUP(B1211, PlumX_snapshot!$A:$C, 3, FALSE), " ")</f>
        <v xml:space="preserve"> </v>
      </c>
      <c r="Y1211" s="12" t="str">
        <f>IFERROR(VLOOKUP(B1211, PlumX_snapshot!$A:$D, 4, FALSE), " ")</f>
        <v xml:space="preserve"> </v>
      </c>
      <c r="Z1211" s="12" t="str">
        <f>IFERROR(VLOOKUP(B1211, PlumX_snapshot!$A:$E, 5, FALSE), " ")</f>
        <v xml:space="preserve"> </v>
      </c>
      <c r="AA1211" s="12" t="str">
        <f>IFERROR(VLOOKUP(B1211, PlumX_snapshot!$A:$F, 6, FALSE), " ")</f>
        <v xml:space="preserve"> </v>
      </c>
      <c r="AB1211" s="13"/>
      <c r="AC1211" s="9" t="s">
        <v>5792</v>
      </c>
      <c r="AD1211" s="9" t="s">
        <v>5793</v>
      </c>
      <c r="AE1211" s="9" t="s">
        <v>5794</v>
      </c>
      <c r="AF1211" s="9" t="s">
        <v>5795</v>
      </c>
      <c r="AH1211" s="9">
        <v>1750</v>
      </c>
      <c r="AI1211" s="9" t="s">
        <v>77</v>
      </c>
      <c r="AJ1211" s="9" t="s">
        <v>301</v>
      </c>
      <c r="AK1211" s="11" t="str">
        <f t="shared" si="8"/>
        <v>2021GBP</v>
      </c>
      <c r="AL1211" s="11">
        <f>VLOOKUP(AK1211, Exchange_rates!$C:$D, 2, FALSE)</f>
        <v>1</v>
      </c>
      <c r="AM1211" s="14">
        <f t="shared" si="9"/>
        <v>2100</v>
      </c>
      <c r="AN1211" s="9"/>
      <c r="AO1211" s="9"/>
      <c r="AP1211" s="9"/>
      <c r="AQ1211" s="15" t="s">
        <v>49</v>
      </c>
      <c r="AR1211" t="s">
        <v>5796</v>
      </c>
      <c r="AS1211" s="16"/>
    </row>
    <row r="1212" spans="1:45" ht="14.5">
      <c r="A1212" s="9" t="s">
        <v>5797</v>
      </c>
      <c r="B1212" s="9" t="s">
        <v>5798</v>
      </c>
      <c r="C1212" s="9" t="s">
        <v>5698</v>
      </c>
      <c r="D1212" s="9" t="s">
        <v>5539</v>
      </c>
      <c r="E1212" s="9" t="s">
        <v>49</v>
      </c>
      <c r="F1212" s="9" t="s">
        <v>69</v>
      </c>
      <c r="G1212" s="9" t="s">
        <v>70</v>
      </c>
      <c r="H1212" s="9" t="s">
        <v>5598</v>
      </c>
      <c r="I1212" s="9" t="s">
        <v>72</v>
      </c>
      <c r="J1212" s="29">
        <v>44329</v>
      </c>
      <c r="K1212" s="37">
        <v>44321</v>
      </c>
      <c r="L1212" s="10">
        <v>44330</v>
      </c>
      <c r="M1212" s="10">
        <v>44350</v>
      </c>
      <c r="N1212" s="9">
        <v>2021</v>
      </c>
      <c r="O1212" s="9" t="s">
        <v>5619</v>
      </c>
      <c r="P1212" s="9" t="s">
        <v>53</v>
      </c>
      <c r="Q1212" s="9" t="s">
        <v>83</v>
      </c>
      <c r="T1212" s="9"/>
      <c r="V1212" s="9"/>
      <c r="W1212" s="11" t="str">
        <f>IFERROR(VLOOKUP(B1212, PlumX_snapshot!$A:$B, 2, FALSE), " ")</f>
        <v xml:space="preserve"> </v>
      </c>
      <c r="X1212" s="11" t="str">
        <f>IFERROR(VLOOKUP(B1212, PlumX_snapshot!$A:$C, 3, FALSE), " ")</f>
        <v xml:space="preserve"> </v>
      </c>
      <c r="Y1212" s="12" t="str">
        <f>IFERROR(VLOOKUP(B1212, PlumX_snapshot!$A:$D, 4, FALSE), " ")</f>
        <v xml:space="preserve"> </v>
      </c>
      <c r="Z1212" s="12" t="str">
        <f>IFERROR(VLOOKUP(B1212, PlumX_snapshot!$A:$E, 5, FALSE), " ")</f>
        <v xml:space="preserve"> </v>
      </c>
      <c r="AA1212" s="12" t="str">
        <f>IFERROR(VLOOKUP(B1212, PlumX_snapshot!$A:$F, 6, FALSE), " ")</f>
        <v xml:space="preserve"> </v>
      </c>
      <c r="AB1212" s="13"/>
      <c r="AC1212" s="9" t="s">
        <v>4567</v>
      </c>
      <c r="AD1212" s="9" t="s">
        <v>4568</v>
      </c>
      <c r="AE1212" s="9" t="s">
        <v>4569</v>
      </c>
      <c r="AF1212" s="9" t="s">
        <v>5702</v>
      </c>
      <c r="AH1212" s="9">
        <v>2267</v>
      </c>
      <c r="AI1212" s="9" t="s">
        <v>77</v>
      </c>
      <c r="AJ1212" s="9" t="s">
        <v>301</v>
      </c>
      <c r="AK1212" s="11" t="str">
        <f t="shared" si="8"/>
        <v>2021GBP</v>
      </c>
      <c r="AL1212" s="11">
        <f>VLOOKUP(AK1212, Exchange_rates!$C:$D, 2, FALSE)</f>
        <v>1</v>
      </c>
      <c r="AM1212" s="14">
        <f t="shared" si="9"/>
        <v>2720.4</v>
      </c>
      <c r="AN1212" s="9"/>
      <c r="AO1212" s="9"/>
      <c r="AP1212" s="9"/>
      <c r="AQ1212" s="15" t="s">
        <v>49</v>
      </c>
      <c r="AR1212" t="s">
        <v>5703</v>
      </c>
      <c r="AS1212" s="16"/>
    </row>
    <row r="1213" spans="1:45" ht="14.5">
      <c r="A1213" s="9" t="s">
        <v>5799</v>
      </c>
      <c r="B1213" s="9" t="s">
        <v>5800</v>
      </c>
      <c r="C1213" s="9" t="s">
        <v>5801</v>
      </c>
      <c r="D1213" s="9" t="s">
        <v>5539</v>
      </c>
      <c r="E1213" s="9" t="s">
        <v>49</v>
      </c>
      <c r="F1213" s="9" t="s">
        <v>69</v>
      </c>
      <c r="G1213" s="9" t="s">
        <v>70</v>
      </c>
      <c r="H1213" s="9" t="s">
        <v>5598</v>
      </c>
      <c r="I1213" s="9" t="s">
        <v>72</v>
      </c>
      <c r="J1213" s="29">
        <v>44326</v>
      </c>
      <c r="K1213" s="35">
        <v>44314</v>
      </c>
      <c r="L1213" s="10">
        <v>44327</v>
      </c>
      <c r="M1213" s="10">
        <v>44340</v>
      </c>
      <c r="N1213" s="9">
        <v>2021</v>
      </c>
      <c r="O1213" s="9" t="s">
        <v>5619</v>
      </c>
      <c r="P1213" s="9" t="s">
        <v>53</v>
      </c>
      <c r="Q1213" s="9" t="s">
        <v>53</v>
      </c>
      <c r="T1213" s="9"/>
      <c r="V1213" s="9"/>
      <c r="W1213" s="11" t="str">
        <f>IFERROR(VLOOKUP(B1213, PlumX_snapshot!$A:$B, 2, FALSE), " ")</f>
        <v xml:space="preserve"> </v>
      </c>
      <c r="X1213" s="11" t="str">
        <f>IFERROR(VLOOKUP(B1213, PlumX_snapshot!$A:$C, 3, FALSE), " ")</f>
        <v xml:space="preserve"> </v>
      </c>
      <c r="Y1213" s="12" t="str">
        <f>IFERROR(VLOOKUP(B1213, PlumX_snapshot!$A:$D, 4, FALSE), " ")</f>
        <v xml:space="preserve"> </v>
      </c>
      <c r="Z1213" s="12" t="str">
        <f>IFERROR(VLOOKUP(B1213, PlumX_snapshot!$A:$E, 5, FALSE), " ")</f>
        <v xml:space="preserve"> </v>
      </c>
      <c r="AA1213" s="12" t="str">
        <f>IFERROR(VLOOKUP(B1213, PlumX_snapshot!$A:$F, 6, FALSE), " ")</f>
        <v xml:space="preserve"> </v>
      </c>
      <c r="AB1213" s="13"/>
      <c r="AC1213" s="9" t="s">
        <v>5802</v>
      </c>
      <c r="AD1213" s="9" t="s">
        <v>5803</v>
      </c>
      <c r="AE1213" s="9" t="s">
        <v>5804</v>
      </c>
      <c r="AF1213" s="9" t="s">
        <v>5805</v>
      </c>
      <c r="AH1213" s="9">
        <v>3050</v>
      </c>
      <c r="AI1213" s="9" t="s">
        <v>77</v>
      </c>
      <c r="AJ1213" s="9" t="s">
        <v>301</v>
      </c>
      <c r="AK1213" s="11" t="str">
        <f t="shared" si="8"/>
        <v>2021GBP</v>
      </c>
      <c r="AL1213" s="11">
        <f>VLOOKUP(AK1213, Exchange_rates!$C:$D, 2, FALSE)</f>
        <v>1</v>
      </c>
      <c r="AM1213" s="14">
        <f t="shared" si="9"/>
        <v>3660</v>
      </c>
      <c r="AN1213" s="9"/>
      <c r="AO1213" s="9"/>
      <c r="AP1213" s="9"/>
      <c r="AQ1213" s="15" t="s">
        <v>49</v>
      </c>
      <c r="AR1213" t="s">
        <v>5806</v>
      </c>
      <c r="AS1213" s="16"/>
    </row>
    <row r="1214" spans="1:45" ht="14.5">
      <c r="A1214" s="9" t="s">
        <v>5807</v>
      </c>
      <c r="B1214" s="9" t="s">
        <v>5808</v>
      </c>
      <c r="C1214" s="9" t="s">
        <v>5809</v>
      </c>
      <c r="D1214" s="9" t="s">
        <v>5539</v>
      </c>
      <c r="E1214" s="9" t="s">
        <v>49</v>
      </c>
      <c r="F1214" s="9" t="s">
        <v>69</v>
      </c>
      <c r="G1214" s="9" t="s">
        <v>70</v>
      </c>
      <c r="H1214" s="9" t="s">
        <v>5598</v>
      </c>
      <c r="I1214" s="9" t="s">
        <v>72</v>
      </c>
      <c r="J1214" s="35">
        <v>44314</v>
      </c>
      <c r="K1214" s="35">
        <v>44307</v>
      </c>
      <c r="L1214" s="10">
        <v>44320</v>
      </c>
      <c r="M1214" s="10">
        <v>44371</v>
      </c>
      <c r="N1214" s="9">
        <v>2021</v>
      </c>
      <c r="O1214" s="9" t="s">
        <v>5619</v>
      </c>
      <c r="P1214" s="9" t="s">
        <v>83</v>
      </c>
      <c r="Q1214" s="9" t="s">
        <v>53</v>
      </c>
      <c r="T1214" s="9"/>
      <c r="V1214" s="9"/>
      <c r="W1214" s="11" t="str">
        <f>IFERROR(VLOOKUP(B1214, PlumX_snapshot!$A:$B, 2, FALSE), " ")</f>
        <v xml:space="preserve"> </v>
      </c>
      <c r="X1214" s="11" t="str">
        <f>IFERROR(VLOOKUP(B1214, PlumX_snapshot!$A:$C, 3, FALSE), " ")</f>
        <v xml:space="preserve"> </v>
      </c>
      <c r="Y1214" s="12" t="str">
        <f>IFERROR(VLOOKUP(B1214, PlumX_snapshot!$A:$D, 4, FALSE), " ")</f>
        <v xml:space="preserve"> </v>
      </c>
      <c r="Z1214" s="12" t="str">
        <f>IFERROR(VLOOKUP(B1214, PlumX_snapshot!$A:$E, 5, FALSE), " ")</f>
        <v xml:space="preserve"> </v>
      </c>
      <c r="AA1214" s="12" t="str">
        <f>IFERROR(VLOOKUP(B1214, PlumX_snapshot!$A:$F, 6, FALSE), " ")</f>
        <v xml:space="preserve"> </v>
      </c>
      <c r="AB1214" s="13"/>
      <c r="AC1214" s="9" t="s">
        <v>5810</v>
      </c>
      <c r="AD1214" s="9" t="s">
        <v>5811</v>
      </c>
      <c r="AE1214" s="9" t="s">
        <v>5812</v>
      </c>
      <c r="AF1214" s="9" t="s">
        <v>5813</v>
      </c>
      <c r="AH1214" s="9">
        <v>3100</v>
      </c>
      <c r="AI1214" s="9" t="s">
        <v>77</v>
      </c>
      <c r="AJ1214" s="9" t="s">
        <v>301</v>
      </c>
      <c r="AK1214" s="11" t="str">
        <f t="shared" si="8"/>
        <v>2021GBP</v>
      </c>
      <c r="AL1214" s="11">
        <f>VLOOKUP(AK1214, Exchange_rates!$C:$D, 2, FALSE)</f>
        <v>1</v>
      </c>
      <c r="AM1214" s="14">
        <f t="shared" si="9"/>
        <v>3720</v>
      </c>
      <c r="AN1214" s="9"/>
      <c r="AO1214" s="9"/>
      <c r="AP1214" s="9"/>
      <c r="AQ1214" s="15" t="s">
        <v>49</v>
      </c>
      <c r="AR1214" t="s">
        <v>5814</v>
      </c>
      <c r="AS1214" s="16"/>
    </row>
    <row r="1215" spans="1:45" ht="14.5">
      <c r="A1215" s="9" t="s">
        <v>5815</v>
      </c>
      <c r="B1215" s="9" t="s">
        <v>5816</v>
      </c>
      <c r="C1215" s="9" t="s">
        <v>5817</v>
      </c>
      <c r="D1215" s="9" t="s">
        <v>5539</v>
      </c>
      <c r="E1215" s="9" t="s">
        <v>49</v>
      </c>
      <c r="F1215" s="9" t="s">
        <v>69</v>
      </c>
      <c r="G1215" s="9" t="s">
        <v>70</v>
      </c>
      <c r="H1215" s="9" t="s">
        <v>5598</v>
      </c>
      <c r="I1215" s="9" t="s">
        <v>291</v>
      </c>
      <c r="J1215" s="35">
        <v>44313</v>
      </c>
      <c r="K1215" s="36">
        <v>44291</v>
      </c>
      <c r="L1215" s="10">
        <v>44314</v>
      </c>
      <c r="M1215" s="10">
        <v>44382</v>
      </c>
      <c r="N1215" s="9">
        <v>2021</v>
      </c>
      <c r="O1215" s="9" t="s">
        <v>5619</v>
      </c>
      <c r="P1215" s="9" t="s">
        <v>53</v>
      </c>
      <c r="Q1215" s="9" t="s">
        <v>53</v>
      </c>
      <c r="T1215" s="9"/>
      <c r="V1215" s="9"/>
      <c r="W1215" s="11" t="str">
        <f>IFERROR(VLOOKUP(B1215, PlumX_snapshot!$A:$B, 2, FALSE), " ")</f>
        <v xml:space="preserve"> </v>
      </c>
      <c r="X1215" s="11" t="str">
        <f>IFERROR(VLOOKUP(B1215, PlumX_snapshot!$A:$C, 3, FALSE), " ")</f>
        <v xml:space="preserve"> </v>
      </c>
      <c r="Y1215" s="12" t="str">
        <f>IFERROR(VLOOKUP(B1215, PlumX_snapshot!$A:$D, 4, FALSE), " ")</f>
        <v xml:space="preserve"> </v>
      </c>
      <c r="Z1215" s="12" t="str">
        <f>IFERROR(VLOOKUP(B1215, PlumX_snapshot!$A:$E, 5, FALSE), " ")</f>
        <v xml:space="preserve"> </v>
      </c>
      <c r="AA1215" s="12" t="str">
        <f>IFERROR(VLOOKUP(B1215, PlumX_snapshot!$A:$F, 6, FALSE), " ")</f>
        <v xml:space="preserve"> </v>
      </c>
      <c r="AB1215" s="13"/>
      <c r="AC1215" s="9" t="s">
        <v>5818</v>
      </c>
      <c r="AD1215" s="9" t="s">
        <v>5819</v>
      </c>
      <c r="AH1215" s="9">
        <v>1650</v>
      </c>
      <c r="AI1215" s="9" t="s">
        <v>77</v>
      </c>
      <c r="AJ1215" s="9" t="s">
        <v>301</v>
      </c>
      <c r="AK1215" s="11" t="str">
        <f t="shared" si="8"/>
        <v>2021GBP</v>
      </c>
      <c r="AL1215" s="11">
        <f>VLOOKUP(AK1215, Exchange_rates!$C:$D, 2, FALSE)</f>
        <v>1</v>
      </c>
      <c r="AM1215" s="14">
        <f t="shared" si="9"/>
        <v>1980</v>
      </c>
      <c r="AN1215" s="9"/>
      <c r="AO1215" s="9"/>
      <c r="AP1215" s="9"/>
      <c r="AQ1215" s="15" t="s">
        <v>49</v>
      </c>
      <c r="AR1215" t="s">
        <v>5820</v>
      </c>
      <c r="AS1215" s="16"/>
    </row>
    <row r="1216" spans="1:45" ht="14.5">
      <c r="A1216" s="9" t="s">
        <v>5821</v>
      </c>
      <c r="B1216" s="9" t="s">
        <v>5822</v>
      </c>
      <c r="C1216" s="9" t="s">
        <v>5823</v>
      </c>
      <c r="D1216" s="9" t="s">
        <v>5539</v>
      </c>
      <c r="E1216" s="9" t="s">
        <v>49</v>
      </c>
      <c r="F1216" s="9" t="s">
        <v>69</v>
      </c>
      <c r="G1216" s="9" t="s">
        <v>70</v>
      </c>
      <c r="H1216" s="9" t="s">
        <v>5598</v>
      </c>
      <c r="I1216" s="9" t="s">
        <v>238</v>
      </c>
      <c r="J1216" s="35">
        <v>44311</v>
      </c>
      <c r="K1216" s="36">
        <v>44293</v>
      </c>
      <c r="L1216" s="10">
        <v>44312</v>
      </c>
      <c r="M1216" s="10">
        <v>44333</v>
      </c>
      <c r="N1216" s="9">
        <v>2021</v>
      </c>
      <c r="O1216" s="9" t="s">
        <v>5619</v>
      </c>
      <c r="P1216" s="9" t="s">
        <v>53</v>
      </c>
      <c r="Q1216" s="9" t="s">
        <v>53</v>
      </c>
      <c r="T1216" s="9"/>
      <c r="V1216" s="9"/>
      <c r="W1216" s="11" t="str">
        <f>IFERROR(VLOOKUP(B1216, PlumX_snapshot!$A:$B, 2, FALSE), " ")</f>
        <v xml:space="preserve"> </v>
      </c>
      <c r="X1216" s="11" t="str">
        <f>IFERROR(VLOOKUP(B1216, PlumX_snapshot!$A:$C, 3, FALSE), " ")</f>
        <v xml:space="preserve"> </v>
      </c>
      <c r="Y1216" s="12" t="str">
        <f>IFERROR(VLOOKUP(B1216, PlumX_snapshot!$A:$D, 4, FALSE), " ")</f>
        <v xml:space="preserve"> </v>
      </c>
      <c r="Z1216" s="12" t="str">
        <f>IFERROR(VLOOKUP(B1216, PlumX_snapshot!$A:$E, 5, FALSE), " ")</f>
        <v xml:space="preserve"> </v>
      </c>
      <c r="AA1216" s="12" t="str">
        <f>IFERROR(VLOOKUP(B1216, PlumX_snapshot!$A:$F, 6, FALSE), " ")</f>
        <v xml:space="preserve"> </v>
      </c>
      <c r="AB1216" s="13"/>
      <c r="AC1216" s="9" t="s">
        <v>5824</v>
      </c>
      <c r="AD1216" s="9" t="s">
        <v>5825</v>
      </c>
      <c r="AE1216" s="9" t="s">
        <v>5826</v>
      </c>
      <c r="AF1216" s="9" t="s">
        <v>5827</v>
      </c>
      <c r="AH1216" s="9">
        <v>1850</v>
      </c>
      <c r="AI1216" s="9" t="s">
        <v>77</v>
      </c>
      <c r="AJ1216" s="9" t="s">
        <v>301</v>
      </c>
      <c r="AK1216" s="11" t="str">
        <f t="shared" si="8"/>
        <v>2021GBP</v>
      </c>
      <c r="AL1216" s="11">
        <f>VLOOKUP(AK1216, Exchange_rates!$C:$D, 2, FALSE)</f>
        <v>1</v>
      </c>
      <c r="AM1216" s="14">
        <f t="shared" si="9"/>
        <v>2220</v>
      </c>
      <c r="AN1216" s="9"/>
      <c r="AO1216" s="9"/>
      <c r="AP1216" s="9"/>
      <c r="AQ1216" s="15" t="s">
        <v>49</v>
      </c>
      <c r="AR1216" t="s">
        <v>5828</v>
      </c>
      <c r="AS1216" s="16"/>
    </row>
    <row r="1217" spans="1:45" ht="14.5">
      <c r="A1217" s="9" t="s">
        <v>5829</v>
      </c>
      <c r="B1217" s="9" t="s">
        <v>5830</v>
      </c>
      <c r="C1217" s="9" t="s">
        <v>5634</v>
      </c>
      <c r="D1217" s="9" t="s">
        <v>5539</v>
      </c>
      <c r="E1217" s="9" t="s">
        <v>49</v>
      </c>
      <c r="F1217" s="9" t="s">
        <v>69</v>
      </c>
      <c r="G1217" s="9" t="s">
        <v>70</v>
      </c>
      <c r="H1217" s="9" t="s">
        <v>5598</v>
      </c>
      <c r="I1217" s="9" t="s">
        <v>72</v>
      </c>
      <c r="J1217" s="35">
        <v>44301</v>
      </c>
      <c r="K1217" s="35">
        <v>44301</v>
      </c>
      <c r="L1217" s="10">
        <v>44302</v>
      </c>
      <c r="M1217" s="10">
        <v>44355</v>
      </c>
      <c r="N1217" s="9">
        <v>2021</v>
      </c>
      <c r="O1217" s="9" t="s">
        <v>5619</v>
      </c>
      <c r="P1217" s="9" t="s">
        <v>53</v>
      </c>
      <c r="Q1217" s="9" t="s">
        <v>53</v>
      </c>
      <c r="T1217" s="9"/>
      <c r="V1217" s="9"/>
      <c r="W1217" s="11" t="str">
        <f>IFERROR(VLOOKUP(B1217, PlumX_snapshot!$A:$B, 2, FALSE), " ")</f>
        <v xml:space="preserve"> </v>
      </c>
      <c r="X1217" s="11" t="str">
        <f>IFERROR(VLOOKUP(B1217, PlumX_snapshot!$A:$C, 3, FALSE), " ")</f>
        <v xml:space="preserve"> </v>
      </c>
      <c r="Y1217" s="12" t="str">
        <f>IFERROR(VLOOKUP(B1217, PlumX_snapshot!$A:$D, 4, FALSE), " ")</f>
        <v xml:space="preserve"> </v>
      </c>
      <c r="Z1217" s="12" t="str">
        <f>IFERROR(VLOOKUP(B1217, PlumX_snapshot!$A:$E, 5, FALSE), " ")</f>
        <v xml:space="preserve"> </v>
      </c>
      <c r="AA1217" s="12" t="str">
        <f>IFERROR(VLOOKUP(B1217, PlumX_snapshot!$A:$F, 6, FALSE), " ")</f>
        <v xml:space="preserve"> </v>
      </c>
      <c r="AB1217" s="13"/>
      <c r="AC1217" s="9" t="s">
        <v>111</v>
      </c>
      <c r="AD1217" s="9" t="s">
        <v>112</v>
      </c>
      <c r="AE1217" s="9" t="s">
        <v>5831</v>
      </c>
      <c r="AH1217" s="9">
        <v>2900</v>
      </c>
      <c r="AI1217" s="9" t="s">
        <v>77</v>
      </c>
      <c r="AJ1217" s="9" t="s">
        <v>301</v>
      </c>
      <c r="AK1217" s="11" t="str">
        <f t="shared" si="8"/>
        <v>2021GBP</v>
      </c>
      <c r="AL1217" s="11">
        <f>VLOOKUP(AK1217, Exchange_rates!$C:$D, 2, FALSE)</f>
        <v>1</v>
      </c>
      <c r="AM1217" s="14">
        <f t="shared" si="9"/>
        <v>3480</v>
      </c>
      <c r="AN1217" s="9"/>
      <c r="AO1217" s="9"/>
      <c r="AP1217" s="9"/>
      <c r="AQ1217" s="15" t="s">
        <v>49</v>
      </c>
      <c r="AR1217" t="s">
        <v>5551</v>
      </c>
      <c r="AS1217" s="16"/>
    </row>
    <row r="1218" spans="1:45" ht="14.5">
      <c r="A1218" s="9" t="s">
        <v>5832</v>
      </c>
      <c r="B1218" s="9" t="s">
        <v>5833</v>
      </c>
      <c r="C1218" s="9" t="s">
        <v>5834</v>
      </c>
      <c r="D1218" s="9" t="s">
        <v>5539</v>
      </c>
      <c r="E1218" s="9" t="s">
        <v>125</v>
      </c>
      <c r="F1218" s="9" t="s">
        <v>69</v>
      </c>
      <c r="G1218" s="9" t="s">
        <v>70</v>
      </c>
      <c r="H1218" s="9" t="s">
        <v>5598</v>
      </c>
      <c r="I1218" s="9" t="s">
        <v>72</v>
      </c>
      <c r="J1218" s="35">
        <v>44298</v>
      </c>
      <c r="K1218" s="29"/>
      <c r="L1218" s="10">
        <v>44300</v>
      </c>
      <c r="M1218" s="10"/>
      <c r="N1218" s="9">
        <v>2021</v>
      </c>
      <c r="O1218" s="9" t="s">
        <v>5619</v>
      </c>
      <c r="P1218" s="9" t="s">
        <v>53</v>
      </c>
      <c r="Q1218" s="9" t="s">
        <v>53</v>
      </c>
      <c r="T1218" s="9"/>
      <c r="V1218" s="9"/>
      <c r="W1218" s="11" t="str">
        <f>IFERROR(VLOOKUP(B1218, PlumX_snapshot!$A:$B, 2, FALSE), " ")</f>
        <v xml:space="preserve"> </v>
      </c>
      <c r="X1218" s="11" t="str">
        <f>IFERROR(VLOOKUP(B1218, PlumX_snapshot!$A:$C, 3, FALSE), " ")</f>
        <v xml:space="preserve"> </v>
      </c>
      <c r="Y1218" s="12" t="str">
        <f>IFERROR(VLOOKUP(B1218, PlumX_snapshot!$A:$D, 4, FALSE), " ")</f>
        <v xml:space="preserve"> </v>
      </c>
      <c r="Z1218" s="12" t="str">
        <f>IFERROR(VLOOKUP(B1218, PlumX_snapshot!$A:$E, 5, FALSE), " ")</f>
        <v xml:space="preserve"> </v>
      </c>
      <c r="AA1218" s="12" t="str">
        <f>IFERROR(VLOOKUP(B1218, PlumX_snapshot!$A:$F, 6, FALSE), " ")</f>
        <v xml:space="preserve"> </v>
      </c>
      <c r="AB1218" s="13"/>
      <c r="AC1218" s="9" t="s">
        <v>5835</v>
      </c>
      <c r="AD1218" s="9" t="s">
        <v>5836</v>
      </c>
      <c r="AE1218" s="9" t="s">
        <v>5837</v>
      </c>
      <c r="AF1218" s="9" t="s">
        <v>5838</v>
      </c>
      <c r="AH1218" s="9">
        <v>1540</v>
      </c>
      <c r="AI1218" s="9" t="s">
        <v>77</v>
      </c>
      <c r="AJ1218" s="9" t="s">
        <v>301</v>
      </c>
      <c r="AK1218" s="11" t="str">
        <f t="shared" si="8"/>
        <v>2021GBP</v>
      </c>
      <c r="AL1218" s="11">
        <f>VLOOKUP(AK1218, Exchange_rates!$C:$D, 2, FALSE)</f>
        <v>1</v>
      </c>
      <c r="AM1218" s="14">
        <f t="shared" si="9"/>
        <v>1848</v>
      </c>
      <c r="AN1218" s="9"/>
      <c r="AO1218" s="9"/>
      <c r="AP1218" s="9"/>
      <c r="AQ1218" s="15" t="s">
        <v>125</v>
      </c>
      <c r="AR1218" t="s">
        <v>5839</v>
      </c>
      <c r="AS1218" s="16"/>
    </row>
    <row r="1219" spans="1:45" ht="14.5">
      <c r="A1219" s="9" t="s">
        <v>5840</v>
      </c>
      <c r="B1219" s="9" t="s">
        <v>5841</v>
      </c>
      <c r="C1219" s="9" t="s">
        <v>5842</v>
      </c>
      <c r="D1219" s="9" t="s">
        <v>5539</v>
      </c>
      <c r="E1219" s="9" t="s">
        <v>49</v>
      </c>
      <c r="F1219" s="9" t="s">
        <v>69</v>
      </c>
      <c r="G1219" s="9" t="s">
        <v>70</v>
      </c>
      <c r="H1219" s="9" t="s">
        <v>5598</v>
      </c>
      <c r="I1219" s="9" t="s">
        <v>72</v>
      </c>
      <c r="J1219" s="36">
        <v>44295</v>
      </c>
      <c r="K1219" s="35">
        <v>44265</v>
      </c>
      <c r="L1219" s="10">
        <v>44299</v>
      </c>
      <c r="M1219" s="10">
        <v>44320</v>
      </c>
      <c r="N1219" s="9">
        <v>2021</v>
      </c>
      <c r="O1219" s="9" t="s">
        <v>5619</v>
      </c>
      <c r="P1219" s="9" t="s">
        <v>53</v>
      </c>
      <c r="Q1219" s="9" t="s">
        <v>53</v>
      </c>
      <c r="T1219" s="9"/>
      <c r="V1219" s="9"/>
      <c r="W1219" s="11" t="str">
        <f>IFERROR(VLOOKUP(B1219, PlumX_snapshot!$A:$B, 2, FALSE), " ")</f>
        <v xml:space="preserve"> </v>
      </c>
      <c r="X1219" s="11" t="str">
        <f>IFERROR(VLOOKUP(B1219, PlumX_snapshot!$A:$C, 3, FALSE), " ")</f>
        <v xml:space="preserve"> </v>
      </c>
      <c r="Y1219" s="12" t="str">
        <f>IFERROR(VLOOKUP(B1219, PlumX_snapshot!$A:$D, 4, FALSE), " ")</f>
        <v xml:space="preserve"> </v>
      </c>
      <c r="Z1219" s="12" t="str">
        <f>IFERROR(VLOOKUP(B1219, PlumX_snapshot!$A:$E, 5, FALSE), " ")</f>
        <v xml:space="preserve"> </v>
      </c>
      <c r="AA1219" s="12" t="str">
        <f>IFERROR(VLOOKUP(B1219, PlumX_snapshot!$A:$F, 6, FALSE), " ")</f>
        <v xml:space="preserve"> </v>
      </c>
      <c r="AB1219" s="13"/>
      <c r="AC1219" s="9" t="s">
        <v>5843</v>
      </c>
      <c r="AD1219" s="9" t="s">
        <v>5844</v>
      </c>
      <c r="AF1219" s="9" t="s">
        <v>5845</v>
      </c>
      <c r="AH1219" s="9">
        <v>2933</v>
      </c>
      <c r="AI1219" s="9" t="s">
        <v>77</v>
      </c>
      <c r="AJ1219" s="9" t="s">
        <v>301</v>
      </c>
      <c r="AK1219" s="11" t="str">
        <f t="shared" si="8"/>
        <v>2021GBP</v>
      </c>
      <c r="AL1219" s="11">
        <f>VLOOKUP(AK1219, Exchange_rates!$C:$D, 2, FALSE)</f>
        <v>1</v>
      </c>
      <c r="AM1219" s="14">
        <f t="shared" si="9"/>
        <v>3519.6</v>
      </c>
      <c r="AN1219" s="9"/>
      <c r="AO1219" s="9"/>
      <c r="AP1219" s="9"/>
      <c r="AQ1219" s="15" t="s">
        <v>49</v>
      </c>
      <c r="AR1219" t="s">
        <v>5846</v>
      </c>
      <c r="AS1219" s="16"/>
    </row>
    <row r="1220" spans="1:45" ht="14.5">
      <c r="A1220" s="9" t="s">
        <v>5847</v>
      </c>
      <c r="B1220" s="9" t="s">
        <v>5848</v>
      </c>
      <c r="C1220" s="9" t="s">
        <v>5849</v>
      </c>
      <c r="D1220" s="9" t="s">
        <v>5539</v>
      </c>
      <c r="E1220" s="9" t="s">
        <v>125</v>
      </c>
      <c r="F1220" s="9" t="s">
        <v>50</v>
      </c>
      <c r="G1220" s="9" t="s">
        <v>51</v>
      </c>
      <c r="H1220" s="9"/>
      <c r="J1220" s="36">
        <v>44293</v>
      </c>
      <c r="K1220" s="29"/>
      <c r="L1220" s="10">
        <v>44294</v>
      </c>
      <c r="M1220" s="10"/>
      <c r="N1220" s="9">
        <v>2021</v>
      </c>
      <c r="O1220" s="9" t="s">
        <v>5619</v>
      </c>
      <c r="P1220" s="9" t="s">
        <v>53</v>
      </c>
      <c r="Q1220" s="9" t="s">
        <v>53</v>
      </c>
      <c r="T1220" s="9" t="s">
        <v>5850</v>
      </c>
      <c r="V1220" s="9"/>
      <c r="W1220" s="11" t="str">
        <f>IFERROR(VLOOKUP(B1220, PlumX_snapshot!$A:$B, 2, FALSE), " ")</f>
        <v xml:space="preserve"> </v>
      </c>
      <c r="X1220" s="11" t="str">
        <f>IFERROR(VLOOKUP(B1220, PlumX_snapshot!$A:$C, 3, FALSE), " ")</f>
        <v xml:space="preserve"> </v>
      </c>
      <c r="Y1220" s="12" t="str">
        <f>IFERROR(VLOOKUP(B1220, PlumX_snapshot!$A:$D, 4, FALSE), " ")</f>
        <v xml:space="preserve"> </v>
      </c>
      <c r="Z1220" s="12" t="str">
        <f>IFERROR(VLOOKUP(B1220, PlumX_snapshot!$A:$E, 5, FALSE), " ")</f>
        <v xml:space="preserve"> </v>
      </c>
      <c r="AA1220" s="12" t="str">
        <f>IFERROR(VLOOKUP(B1220, PlumX_snapshot!$A:$F, 6, FALSE), " ")</f>
        <v xml:space="preserve"> </v>
      </c>
      <c r="AB1220" s="13"/>
      <c r="AC1220" s="9"/>
      <c r="AD1220" s="9"/>
      <c r="AE1220" s="9"/>
      <c r="AF1220" s="9"/>
      <c r="AH1220" s="9"/>
      <c r="AI1220" s="9"/>
      <c r="AJ1220" s="9"/>
      <c r="AK1220" s="11" t="str">
        <f t="shared" si="8"/>
        <v>2021</v>
      </c>
      <c r="AL1220" s="11" t="e">
        <f>VLOOKUP(AK1220, Exchange_rates!$C:$D, 2, FALSE)</f>
        <v>#N/A</v>
      </c>
      <c r="AM1220" s="14" t="str">
        <f t="shared" si="9"/>
        <v/>
      </c>
      <c r="AN1220" s="9"/>
      <c r="AO1220" s="9"/>
      <c r="AP1220" s="9"/>
      <c r="AQ1220" s="15" t="s">
        <v>125</v>
      </c>
      <c r="AR1220" t="s">
        <v>5851</v>
      </c>
      <c r="AS1220" s="16"/>
    </row>
    <row r="1221" spans="1:45" ht="14.5">
      <c r="A1221" s="9" t="s">
        <v>5852</v>
      </c>
      <c r="B1221" s="9" t="s">
        <v>5853</v>
      </c>
      <c r="C1221" s="9" t="s">
        <v>5854</v>
      </c>
      <c r="D1221" s="9" t="s">
        <v>5539</v>
      </c>
      <c r="E1221" s="9" t="s">
        <v>49</v>
      </c>
      <c r="F1221" s="9" t="s">
        <v>69</v>
      </c>
      <c r="G1221" s="9" t="s">
        <v>70</v>
      </c>
      <c r="H1221" s="9" t="s">
        <v>5598</v>
      </c>
      <c r="I1221" s="9" t="s">
        <v>72</v>
      </c>
      <c r="J1221" s="35">
        <v>44286</v>
      </c>
      <c r="K1221" s="29"/>
      <c r="L1221" s="10">
        <v>44293</v>
      </c>
      <c r="M1221" s="10">
        <v>44413</v>
      </c>
      <c r="N1221" s="9">
        <v>2021</v>
      </c>
      <c r="O1221" s="9" t="s">
        <v>5619</v>
      </c>
      <c r="P1221" s="9" t="s">
        <v>53</v>
      </c>
      <c r="Q1221" s="9" t="s">
        <v>53</v>
      </c>
      <c r="T1221" s="9"/>
      <c r="V1221" s="9"/>
      <c r="W1221" s="11" t="str">
        <f>IFERROR(VLOOKUP(B1221, PlumX_snapshot!$A:$B, 2, FALSE), " ")</f>
        <v xml:space="preserve"> </v>
      </c>
      <c r="X1221" s="11" t="str">
        <f>IFERROR(VLOOKUP(B1221, PlumX_snapshot!$A:$C, 3, FALSE), " ")</f>
        <v xml:space="preserve"> </v>
      </c>
      <c r="Y1221" s="12" t="str">
        <f>IFERROR(VLOOKUP(B1221, PlumX_snapshot!$A:$D, 4, FALSE), " ")</f>
        <v xml:space="preserve"> </v>
      </c>
      <c r="Z1221" s="12" t="str">
        <f>IFERROR(VLOOKUP(B1221, PlumX_snapshot!$A:$E, 5, FALSE), " ")</f>
        <v xml:space="preserve"> </v>
      </c>
      <c r="AA1221" s="12" t="str">
        <f>IFERROR(VLOOKUP(B1221, PlumX_snapshot!$A:$F, 6, FALSE), " ")</f>
        <v xml:space="preserve"> </v>
      </c>
      <c r="AB1221" s="13"/>
      <c r="AC1221" s="9" t="s">
        <v>5855</v>
      </c>
      <c r="AD1221" s="9" t="s">
        <v>5856</v>
      </c>
      <c r="AE1221" s="9" t="s">
        <v>5857</v>
      </c>
      <c r="AH1221" s="9">
        <v>2250</v>
      </c>
      <c r="AI1221" s="9" t="s">
        <v>77</v>
      </c>
      <c r="AJ1221" s="9" t="s">
        <v>301</v>
      </c>
      <c r="AK1221" s="11" t="str">
        <f t="shared" si="8"/>
        <v>2021GBP</v>
      </c>
      <c r="AL1221" s="11">
        <f>VLOOKUP(AK1221, Exchange_rates!$C:$D, 2, FALSE)</f>
        <v>1</v>
      </c>
      <c r="AM1221" s="14">
        <f t="shared" si="9"/>
        <v>2700</v>
      </c>
      <c r="AN1221" s="9"/>
      <c r="AO1221" s="9"/>
      <c r="AP1221" s="9"/>
      <c r="AQ1221" s="15" t="s">
        <v>49</v>
      </c>
      <c r="AS1221" s="16" t="s">
        <v>5858</v>
      </c>
    </row>
    <row r="1222" spans="1:45" ht="14.5">
      <c r="A1222" s="9" t="s">
        <v>5859</v>
      </c>
      <c r="B1222" s="9" t="s">
        <v>5860</v>
      </c>
      <c r="C1222" s="9" t="s">
        <v>5861</v>
      </c>
      <c r="D1222" s="9" t="s">
        <v>5539</v>
      </c>
      <c r="E1222" s="9" t="s">
        <v>49</v>
      </c>
      <c r="F1222" s="9" t="s">
        <v>69</v>
      </c>
      <c r="G1222" s="9" t="s">
        <v>70</v>
      </c>
      <c r="H1222" s="9" t="s">
        <v>5598</v>
      </c>
      <c r="I1222" s="9" t="s">
        <v>72</v>
      </c>
      <c r="J1222" s="35">
        <v>44285</v>
      </c>
      <c r="K1222" s="35">
        <v>44277</v>
      </c>
      <c r="L1222" s="10">
        <v>44286</v>
      </c>
      <c r="M1222" s="10">
        <v>44407</v>
      </c>
      <c r="N1222" s="9">
        <v>2021</v>
      </c>
      <c r="O1222" s="9" t="s">
        <v>5619</v>
      </c>
      <c r="P1222" s="9" t="s">
        <v>53</v>
      </c>
      <c r="Q1222" s="9" t="s">
        <v>53</v>
      </c>
      <c r="T1222" s="9"/>
      <c r="V1222" s="9"/>
      <c r="W1222" s="11" t="str">
        <f>IFERROR(VLOOKUP(B1222, PlumX_snapshot!$A:$B, 2, FALSE), " ")</f>
        <v xml:space="preserve"> </v>
      </c>
      <c r="X1222" s="11" t="str">
        <f>IFERROR(VLOOKUP(B1222, PlumX_snapshot!$A:$C, 3, FALSE), " ")</f>
        <v xml:space="preserve"> </v>
      </c>
      <c r="Y1222" s="12" t="str">
        <f>IFERROR(VLOOKUP(B1222, PlumX_snapshot!$A:$D, 4, FALSE), " ")</f>
        <v xml:space="preserve"> </v>
      </c>
      <c r="Z1222" s="12" t="str">
        <f>IFERROR(VLOOKUP(B1222, PlumX_snapshot!$A:$E, 5, FALSE), " ")</f>
        <v xml:space="preserve"> </v>
      </c>
      <c r="AA1222" s="12" t="str">
        <f>IFERROR(VLOOKUP(B1222, PlumX_snapshot!$A:$F, 6, FALSE), " ")</f>
        <v xml:space="preserve"> </v>
      </c>
      <c r="AB1222" s="13"/>
      <c r="AC1222" s="9" t="s">
        <v>5862</v>
      </c>
      <c r="AD1222" s="9" t="s">
        <v>5863</v>
      </c>
      <c r="AE1222" s="9" t="s">
        <v>5864</v>
      </c>
      <c r="AF1222" s="9" t="s">
        <v>5865</v>
      </c>
      <c r="AH1222" s="9">
        <v>2133</v>
      </c>
      <c r="AI1222" s="9" t="s">
        <v>77</v>
      </c>
      <c r="AJ1222" s="9" t="s">
        <v>301</v>
      </c>
      <c r="AK1222" s="11" t="str">
        <f t="shared" si="8"/>
        <v>2021GBP</v>
      </c>
      <c r="AL1222" s="11">
        <f>VLOOKUP(AK1222, Exchange_rates!$C:$D, 2, FALSE)</f>
        <v>1</v>
      </c>
      <c r="AM1222" s="14">
        <f t="shared" si="9"/>
        <v>2559.6</v>
      </c>
      <c r="AN1222" s="9"/>
      <c r="AO1222" s="9"/>
      <c r="AP1222" s="9"/>
      <c r="AQ1222" s="15" t="s">
        <v>49</v>
      </c>
      <c r="AR1222" t="s">
        <v>5866</v>
      </c>
      <c r="AS1222" s="16"/>
    </row>
    <row r="1223" spans="1:45" ht="14.5">
      <c r="A1223" s="9" t="s">
        <v>5867</v>
      </c>
      <c r="B1223" s="9" t="s">
        <v>5868</v>
      </c>
      <c r="C1223" s="9" t="s">
        <v>5869</v>
      </c>
      <c r="D1223" s="9" t="s">
        <v>5539</v>
      </c>
      <c r="E1223" s="9" t="s">
        <v>49</v>
      </c>
      <c r="F1223" s="9" t="s">
        <v>69</v>
      </c>
      <c r="G1223" s="9" t="s">
        <v>70</v>
      </c>
      <c r="H1223" s="9" t="s">
        <v>5598</v>
      </c>
      <c r="I1223" s="9" t="s">
        <v>72</v>
      </c>
      <c r="J1223" s="35">
        <v>44281</v>
      </c>
      <c r="K1223" s="35">
        <v>44276</v>
      </c>
      <c r="L1223" s="10">
        <v>44284</v>
      </c>
      <c r="M1223" s="10">
        <v>44318</v>
      </c>
      <c r="N1223" s="9">
        <v>2021</v>
      </c>
      <c r="O1223" s="9" t="s">
        <v>5619</v>
      </c>
      <c r="P1223" s="9" t="s">
        <v>53</v>
      </c>
      <c r="Q1223" s="9" t="s">
        <v>53</v>
      </c>
      <c r="T1223" s="9"/>
      <c r="V1223" s="9"/>
      <c r="W1223" s="11" t="str">
        <f>IFERROR(VLOOKUP(B1223, PlumX_snapshot!$A:$B, 2, FALSE), " ")</f>
        <v xml:space="preserve"> </v>
      </c>
      <c r="X1223" s="11" t="str">
        <f>IFERROR(VLOOKUP(B1223, PlumX_snapshot!$A:$C, 3, FALSE), " ")</f>
        <v xml:space="preserve"> </v>
      </c>
      <c r="Y1223" s="12" t="str">
        <f>IFERROR(VLOOKUP(B1223, PlumX_snapshot!$A:$D, 4, FALSE), " ")</f>
        <v xml:space="preserve"> </v>
      </c>
      <c r="Z1223" s="12" t="str">
        <f>IFERROR(VLOOKUP(B1223, PlumX_snapshot!$A:$E, 5, FALSE), " ")</f>
        <v xml:space="preserve"> </v>
      </c>
      <c r="AA1223" s="12" t="str">
        <f>IFERROR(VLOOKUP(B1223, PlumX_snapshot!$A:$F, 6, FALSE), " ")</f>
        <v xml:space="preserve"> </v>
      </c>
      <c r="AB1223" s="13"/>
      <c r="AC1223" s="9" t="s">
        <v>5870</v>
      </c>
      <c r="AD1223" s="9" t="s">
        <v>5871</v>
      </c>
      <c r="AE1223" s="9" t="s">
        <v>5872</v>
      </c>
      <c r="AH1223" s="9">
        <v>2500</v>
      </c>
      <c r="AI1223" s="9" t="s">
        <v>77</v>
      </c>
      <c r="AJ1223" s="9" t="s">
        <v>301</v>
      </c>
      <c r="AK1223" s="11" t="str">
        <f t="shared" si="8"/>
        <v>2021GBP</v>
      </c>
      <c r="AL1223" s="11">
        <f>VLOOKUP(AK1223, Exchange_rates!$C:$D, 2, FALSE)</f>
        <v>1</v>
      </c>
      <c r="AM1223" s="14">
        <f t="shared" si="9"/>
        <v>3000</v>
      </c>
      <c r="AN1223" s="9"/>
      <c r="AO1223" s="9"/>
      <c r="AP1223" s="9"/>
      <c r="AQ1223" s="15" t="s">
        <v>49</v>
      </c>
      <c r="AR1223" t="s">
        <v>5873</v>
      </c>
      <c r="AS1223" s="16"/>
    </row>
    <row r="1224" spans="1:45" ht="14.5">
      <c r="A1224" s="9" t="s">
        <v>5874</v>
      </c>
      <c r="B1224" s="9" t="s">
        <v>5875</v>
      </c>
      <c r="C1224" s="9" t="s">
        <v>5876</v>
      </c>
      <c r="D1224" s="9" t="s">
        <v>5539</v>
      </c>
      <c r="E1224" s="9" t="s">
        <v>125</v>
      </c>
      <c r="F1224" s="9" t="s">
        <v>69</v>
      </c>
      <c r="G1224" s="9" t="s">
        <v>70</v>
      </c>
      <c r="H1224" s="9" t="s">
        <v>5598</v>
      </c>
      <c r="I1224" s="9" t="s">
        <v>72</v>
      </c>
      <c r="J1224" s="35">
        <v>44279</v>
      </c>
      <c r="K1224" s="35">
        <v>44305</v>
      </c>
      <c r="L1224" s="10">
        <v>44279</v>
      </c>
      <c r="M1224" s="10">
        <v>44340</v>
      </c>
      <c r="N1224" s="9">
        <v>2021</v>
      </c>
      <c r="O1224" s="9" t="s">
        <v>5619</v>
      </c>
      <c r="P1224" s="9" t="s">
        <v>53</v>
      </c>
      <c r="Q1224" s="9" t="s">
        <v>83</v>
      </c>
      <c r="T1224" s="9"/>
      <c r="V1224" s="9"/>
      <c r="W1224" s="11" t="str">
        <f>IFERROR(VLOOKUP(B1224, PlumX_snapshot!$A:$B, 2, FALSE), " ")</f>
        <v xml:space="preserve"> </v>
      </c>
      <c r="X1224" s="11" t="str">
        <f>IFERROR(VLOOKUP(B1224, PlumX_snapshot!$A:$C, 3, FALSE), " ")</f>
        <v xml:space="preserve"> </v>
      </c>
      <c r="Y1224" s="12" t="str">
        <f>IFERROR(VLOOKUP(B1224, PlumX_snapshot!$A:$D, 4, FALSE), " ")</f>
        <v xml:space="preserve"> </v>
      </c>
      <c r="Z1224" s="12" t="str">
        <f>IFERROR(VLOOKUP(B1224, PlumX_snapshot!$A:$E, 5, FALSE), " ")</f>
        <v xml:space="preserve"> </v>
      </c>
      <c r="AA1224" s="12" t="str">
        <f>IFERROR(VLOOKUP(B1224, PlumX_snapshot!$A:$F, 6, FALSE), " ")</f>
        <v xml:space="preserve"> </v>
      </c>
      <c r="AB1224" s="13"/>
      <c r="AC1224" s="9" t="s">
        <v>5673</v>
      </c>
      <c r="AD1224" s="9" t="s">
        <v>5674</v>
      </c>
      <c r="AE1224" s="9" t="s">
        <v>5675</v>
      </c>
      <c r="AF1224" s="9" t="s">
        <v>5877</v>
      </c>
      <c r="AH1224" s="9">
        <v>3330</v>
      </c>
      <c r="AI1224" s="9" t="s">
        <v>77</v>
      </c>
      <c r="AJ1224" s="9" t="s">
        <v>301</v>
      </c>
      <c r="AK1224" s="11" t="str">
        <f t="shared" si="8"/>
        <v>2021GBP</v>
      </c>
      <c r="AL1224" s="11">
        <f>VLOOKUP(AK1224, Exchange_rates!$C:$D, 2, FALSE)</f>
        <v>1</v>
      </c>
      <c r="AM1224" s="14">
        <f t="shared" si="9"/>
        <v>3996</v>
      </c>
      <c r="AN1224" s="9"/>
      <c r="AO1224" s="9"/>
      <c r="AP1224" s="9"/>
      <c r="AQ1224" s="15" t="s">
        <v>125</v>
      </c>
      <c r="AR1224" t="s">
        <v>5878</v>
      </c>
      <c r="AS1224" s="16"/>
    </row>
    <row r="1225" spans="1:45" ht="14.5">
      <c r="A1225" s="9" t="s">
        <v>5879</v>
      </c>
      <c r="B1225" s="9" t="s">
        <v>5880</v>
      </c>
      <c r="C1225" s="9" t="s">
        <v>5881</v>
      </c>
      <c r="D1225" s="9" t="s">
        <v>5539</v>
      </c>
      <c r="E1225" s="9" t="s">
        <v>49</v>
      </c>
      <c r="F1225" s="9" t="s">
        <v>69</v>
      </c>
      <c r="G1225" s="9" t="s">
        <v>70</v>
      </c>
      <c r="H1225" s="9" t="s">
        <v>5598</v>
      </c>
      <c r="I1225" s="9" t="s">
        <v>72</v>
      </c>
      <c r="J1225" s="35">
        <v>44276</v>
      </c>
      <c r="K1225" s="35">
        <v>44270</v>
      </c>
      <c r="L1225" s="10">
        <v>44277</v>
      </c>
      <c r="M1225" s="10">
        <v>44329</v>
      </c>
      <c r="N1225" s="9">
        <v>2021</v>
      </c>
      <c r="O1225" s="9" t="s">
        <v>5619</v>
      </c>
      <c r="P1225" s="9" t="s">
        <v>53</v>
      </c>
      <c r="Q1225" s="9" t="s">
        <v>53</v>
      </c>
      <c r="T1225" s="9"/>
      <c r="V1225" s="9"/>
      <c r="W1225" s="11" t="str">
        <f>IFERROR(VLOOKUP(B1225, PlumX_snapshot!$A:$B, 2, FALSE), " ")</f>
        <v xml:space="preserve"> </v>
      </c>
      <c r="X1225" s="11" t="str">
        <f>IFERROR(VLOOKUP(B1225, PlumX_snapshot!$A:$C, 3, FALSE), " ")</f>
        <v xml:space="preserve"> </v>
      </c>
      <c r="Y1225" s="12" t="str">
        <f>IFERROR(VLOOKUP(B1225, PlumX_snapshot!$A:$D, 4, FALSE), " ")</f>
        <v xml:space="preserve"> </v>
      </c>
      <c r="Z1225" s="12" t="str">
        <f>IFERROR(VLOOKUP(B1225, PlumX_snapshot!$A:$E, 5, FALSE), " ")</f>
        <v xml:space="preserve"> </v>
      </c>
      <c r="AA1225" s="12" t="str">
        <f>IFERROR(VLOOKUP(B1225, PlumX_snapshot!$A:$F, 6, FALSE), " ")</f>
        <v xml:space="preserve"> </v>
      </c>
      <c r="AB1225" s="13"/>
      <c r="AC1225" s="9" t="s">
        <v>5882</v>
      </c>
      <c r="AD1225" s="9" t="s">
        <v>5883</v>
      </c>
      <c r="AE1225" s="9" t="s">
        <v>5884</v>
      </c>
      <c r="AF1225" s="9" t="s">
        <v>5885</v>
      </c>
      <c r="AH1225" s="9">
        <v>2000</v>
      </c>
      <c r="AI1225" s="9" t="s">
        <v>77</v>
      </c>
      <c r="AJ1225" s="9" t="s">
        <v>301</v>
      </c>
      <c r="AK1225" s="11" t="str">
        <f t="shared" si="8"/>
        <v>2021GBP</v>
      </c>
      <c r="AL1225" s="11">
        <f>VLOOKUP(AK1225, Exchange_rates!$C:$D, 2, FALSE)</f>
        <v>1</v>
      </c>
      <c r="AM1225" s="14">
        <f t="shared" si="9"/>
        <v>2400</v>
      </c>
      <c r="AN1225" s="9"/>
      <c r="AO1225" s="9"/>
      <c r="AP1225" s="9"/>
      <c r="AQ1225" s="15" t="s">
        <v>49</v>
      </c>
      <c r="AR1225" t="s">
        <v>5886</v>
      </c>
      <c r="AS1225" s="16"/>
    </row>
    <row r="1226" spans="1:45" ht="14.5">
      <c r="A1226" s="9" t="s">
        <v>5887</v>
      </c>
      <c r="B1226" s="9" t="s">
        <v>5888</v>
      </c>
      <c r="C1226" s="9" t="s">
        <v>5889</v>
      </c>
      <c r="D1226" s="9" t="s">
        <v>5539</v>
      </c>
      <c r="E1226" s="9" t="s">
        <v>49</v>
      </c>
      <c r="F1226" s="9" t="s">
        <v>69</v>
      </c>
      <c r="G1226" s="9" t="s">
        <v>70</v>
      </c>
      <c r="H1226" s="9" t="s">
        <v>5598</v>
      </c>
      <c r="I1226" s="9" t="s">
        <v>72</v>
      </c>
      <c r="J1226" s="35">
        <v>44273</v>
      </c>
      <c r="K1226" s="36">
        <v>44256</v>
      </c>
      <c r="L1226" s="10">
        <v>44274</v>
      </c>
      <c r="M1226" s="10">
        <v>44287</v>
      </c>
      <c r="N1226" s="9">
        <v>2021</v>
      </c>
      <c r="O1226" s="9" t="s">
        <v>5619</v>
      </c>
      <c r="P1226" s="9" t="s">
        <v>53</v>
      </c>
      <c r="Q1226" s="9" t="s">
        <v>53</v>
      </c>
      <c r="T1226" s="9"/>
      <c r="V1226" s="9"/>
      <c r="W1226" s="11" t="str">
        <f>IFERROR(VLOOKUP(B1226, PlumX_snapshot!$A:$B, 2, FALSE), " ")</f>
        <v xml:space="preserve"> </v>
      </c>
      <c r="X1226" s="11" t="str">
        <f>IFERROR(VLOOKUP(B1226, PlumX_snapshot!$A:$C, 3, FALSE), " ")</f>
        <v xml:space="preserve"> </v>
      </c>
      <c r="Y1226" s="12" t="str">
        <f>IFERROR(VLOOKUP(B1226, PlumX_snapshot!$A:$D, 4, FALSE), " ")</f>
        <v xml:space="preserve"> </v>
      </c>
      <c r="Z1226" s="12" t="str">
        <f>IFERROR(VLOOKUP(B1226, PlumX_snapshot!$A:$E, 5, FALSE), " ")</f>
        <v xml:space="preserve"> </v>
      </c>
      <c r="AA1226" s="12" t="str">
        <f>IFERROR(VLOOKUP(B1226, PlumX_snapshot!$A:$F, 6, FALSE), " ")</f>
        <v xml:space="preserve"> </v>
      </c>
      <c r="AB1226" s="13"/>
      <c r="AC1226" s="9" t="s">
        <v>5890</v>
      </c>
      <c r="AD1226" s="9" t="s">
        <v>5891</v>
      </c>
      <c r="AE1226" s="9" t="s">
        <v>5892</v>
      </c>
      <c r="AF1226" s="9" t="s">
        <v>5893</v>
      </c>
      <c r="AH1226" s="9">
        <v>2800</v>
      </c>
      <c r="AI1226" s="9" t="s">
        <v>77</v>
      </c>
      <c r="AJ1226" s="9" t="s">
        <v>301</v>
      </c>
      <c r="AK1226" s="11" t="str">
        <f t="shared" si="8"/>
        <v>2021GBP</v>
      </c>
      <c r="AL1226" s="11">
        <f>VLOOKUP(AK1226, Exchange_rates!$C:$D, 2, FALSE)</f>
        <v>1</v>
      </c>
      <c r="AM1226" s="14">
        <f t="shared" si="9"/>
        <v>3360</v>
      </c>
      <c r="AN1226" s="9"/>
      <c r="AO1226" s="9"/>
      <c r="AP1226" s="9"/>
      <c r="AQ1226" s="15" t="s">
        <v>49</v>
      </c>
      <c r="AR1226" t="s">
        <v>5894</v>
      </c>
      <c r="AS1226" s="16"/>
    </row>
    <row r="1227" spans="1:45" ht="14.5">
      <c r="A1227" s="9" t="s">
        <v>5895</v>
      </c>
      <c r="B1227" s="9" t="s">
        <v>5896</v>
      </c>
      <c r="C1227" s="9" t="s">
        <v>5897</v>
      </c>
      <c r="D1227" s="9" t="s">
        <v>5539</v>
      </c>
      <c r="E1227" s="9" t="s">
        <v>49</v>
      </c>
      <c r="F1227" s="9" t="s">
        <v>69</v>
      </c>
      <c r="G1227" s="9" t="s">
        <v>70</v>
      </c>
      <c r="H1227" s="9" t="s">
        <v>5598</v>
      </c>
      <c r="I1227" s="9" t="s">
        <v>72</v>
      </c>
      <c r="J1227" s="35">
        <v>44270</v>
      </c>
      <c r="K1227" s="35">
        <v>44265</v>
      </c>
      <c r="L1227" s="10">
        <v>44270</v>
      </c>
      <c r="M1227" s="10">
        <v>44291</v>
      </c>
      <c r="N1227" s="9">
        <v>2021</v>
      </c>
      <c r="O1227" s="9" t="s">
        <v>5619</v>
      </c>
      <c r="P1227" s="9" t="s">
        <v>83</v>
      </c>
      <c r="Q1227" s="9" t="s">
        <v>83</v>
      </c>
      <c r="T1227" s="9"/>
      <c r="V1227" s="9"/>
      <c r="W1227" s="11" t="str">
        <f>IFERROR(VLOOKUP(B1227, PlumX_snapshot!$A:$B, 2, FALSE), " ")</f>
        <v xml:space="preserve"> </v>
      </c>
      <c r="X1227" s="11" t="str">
        <f>IFERROR(VLOOKUP(B1227, PlumX_snapshot!$A:$C, 3, FALSE), " ")</f>
        <v xml:space="preserve"> </v>
      </c>
      <c r="Y1227" s="12" t="str">
        <f>IFERROR(VLOOKUP(B1227, PlumX_snapshot!$A:$D, 4, FALSE), " ")</f>
        <v xml:space="preserve"> </v>
      </c>
      <c r="Z1227" s="12" t="str">
        <f>IFERROR(VLOOKUP(B1227, PlumX_snapshot!$A:$E, 5, FALSE), " ")</f>
        <v xml:space="preserve"> </v>
      </c>
      <c r="AA1227" s="12" t="str">
        <f>IFERROR(VLOOKUP(B1227, PlumX_snapshot!$A:$F, 6, FALSE), " ")</f>
        <v xml:space="preserve"> </v>
      </c>
      <c r="AB1227" s="13"/>
      <c r="AC1227" s="9" t="s">
        <v>85</v>
      </c>
      <c r="AD1227" s="9" t="s">
        <v>5898</v>
      </c>
      <c r="AE1227" s="9" t="s">
        <v>5899</v>
      </c>
      <c r="AF1227" s="9" t="s">
        <v>5900</v>
      </c>
      <c r="AH1227" s="9">
        <v>2600</v>
      </c>
      <c r="AI1227" s="9" t="s">
        <v>77</v>
      </c>
      <c r="AJ1227" s="9" t="s">
        <v>301</v>
      </c>
      <c r="AK1227" s="11" t="str">
        <f t="shared" si="8"/>
        <v>2021GBP</v>
      </c>
      <c r="AL1227" s="11">
        <f>VLOOKUP(AK1227, Exchange_rates!$C:$D, 2, FALSE)</f>
        <v>1</v>
      </c>
      <c r="AM1227" s="14">
        <f t="shared" si="9"/>
        <v>3120</v>
      </c>
      <c r="AN1227" s="9"/>
      <c r="AO1227" s="9"/>
      <c r="AP1227" s="9"/>
      <c r="AQ1227" s="15" t="s">
        <v>49</v>
      </c>
      <c r="AR1227" t="s">
        <v>5901</v>
      </c>
      <c r="AS1227" s="16"/>
    </row>
    <row r="1228" spans="1:45" ht="14.5">
      <c r="A1228" s="9" t="s">
        <v>5902</v>
      </c>
      <c r="B1228" s="9" t="s">
        <v>5903</v>
      </c>
      <c r="C1228" s="9" t="s">
        <v>5904</v>
      </c>
      <c r="D1228" s="9" t="s">
        <v>5539</v>
      </c>
      <c r="E1228" s="9" t="s">
        <v>125</v>
      </c>
      <c r="F1228" s="9" t="s">
        <v>69</v>
      </c>
      <c r="G1228" s="9" t="s">
        <v>70</v>
      </c>
      <c r="H1228" s="9" t="s">
        <v>5598</v>
      </c>
      <c r="I1228" s="9" t="s">
        <v>72</v>
      </c>
      <c r="J1228" s="36">
        <v>44257</v>
      </c>
      <c r="K1228" s="36">
        <v>44380</v>
      </c>
      <c r="L1228" s="10">
        <v>44411</v>
      </c>
      <c r="M1228" s="10">
        <v>44404</v>
      </c>
      <c r="N1228" s="9">
        <v>2021</v>
      </c>
      <c r="O1228" s="9" t="s">
        <v>5619</v>
      </c>
      <c r="P1228" s="9" t="s">
        <v>83</v>
      </c>
      <c r="Q1228" s="9" t="s">
        <v>53</v>
      </c>
      <c r="T1228" s="9"/>
      <c r="V1228" s="9"/>
      <c r="W1228" s="11" t="str">
        <f>IFERROR(VLOOKUP(B1228, PlumX_snapshot!$A:$B, 2, FALSE), " ")</f>
        <v xml:space="preserve"> </v>
      </c>
      <c r="X1228" s="11" t="str">
        <f>IFERROR(VLOOKUP(B1228, PlumX_snapshot!$A:$C, 3, FALSE), " ")</f>
        <v xml:space="preserve"> </v>
      </c>
      <c r="Y1228" s="12" t="str">
        <f>IFERROR(VLOOKUP(B1228, PlumX_snapshot!$A:$D, 4, FALSE), " ")</f>
        <v xml:space="preserve"> </v>
      </c>
      <c r="Z1228" s="12" t="str">
        <f>IFERROR(VLOOKUP(B1228, PlumX_snapshot!$A:$E, 5, FALSE), " ")</f>
        <v xml:space="preserve"> </v>
      </c>
      <c r="AA1228" s="12" t="str">
        <f>IFERROR(VLOOKUP(B1228, PlumX_snapshot!$A:$F, 6, FALSE), " ")</f>
        <v xml:space="preserve"> </v>
      </c>
      <c r="AB1228" s="13"/>
      <c r="AC1228" s="9" t="s">
        <v>5905</v>
      </c>
      <c r="AD1228" s="9" t="s">
        <v>5906</v>
      </c>
      <c r="AE1228" s="9" t="s">
        <v>5907</v>
      </c>
      <c r="AF1228" s="9" t="s">
        <v>5908</v>
      </c>
      <c r="AH1228" s="9">
        <v>1439</v>
      </c>
      <c r="AI1228" s="9" t="s">
        <v>77</v>
      </c>
      <c r="AJ1228" s="9" t="s">
        <v>301</v>
      </c>
      <c r="AK1228" s="11" t="str">
        <f t="shared" si="8"/>
        <v>2021GBP</v>
      </c>
      <c r="AL1228" s="11">
        <f>VLOOKUP(AK1228, Exchange_rates!$C:$D, 2, FALSE)</f>
        <v>1</v>
      </c>
      <c r="AM1228" s="14">
        <f t="shared" si="9"/>
        <v>1726.8</v>
      </c>
      <c r="AN1228" s="9"/>
      <c r="AO1228" s="9"/>
      <c r="AP1228" s="9"/>
      <c r="AQ1228" s="15" t="s">
        <v>125</v>
      </c>
      <c r="AR1228" t="s">
        <v>5909</v>
      </c>
      <c r="AS1228" s="16"/>
    </row>
    <row r="1229" spans="1:45" ht="14.5">
      <c r="A1229" s="9" t="s">
        <v>5910</v>
      </c>
      <c r="B1229" s="9" t="s">
        <v>5911</v>
      </c>
      <c r="C1229" s="9" t="s">
        <v>5912</v>
      </c>
      <c r="D1229" s="9" t="s">
        <v>5539</v>
      </c>
      <c r="E1229" s="9" t="s">
        <v>49</v>
      </c>
      <c r="F1229" s="9" t="s">
        <v>69</v>
      </c>
      <c r="G1229" s="9" t="s">
        <v>70</v>
      </c>
      <c r="H1229" s="9" t="s">
        <v>5729</v>
      </c>
      <c r="I1229" s="9" t="s">
        <v>238</v>
      </c>
      <c r="J1229" s="35">
        <v>44252</v>
      </c>
      <c r="K1229" s="35">
        <v>44188</v>
      </c>
      <c r="L1229" s="10">
        <v>44252</v>
      </c>
      <c r="M1229" s="10">
        <v>44260</v>
      </c>
      <c r="N1229" s="9">
        <v>2020</v>
      </c>
      <c r="O1229" s="9" t="s">
        <v>5619</v>
      </c>
      <c r="P1229" s="9" t="s">
        <v>53</v>
      </c>
      <c r="Q1229" s="9" t="s">
        <v>53</v>
      </c>
      <c r="T1229" s="9"/>
      <c r="V1229" s="9"/>
      <c r="W1229" s="11" t="str">
        <f>IFERROR(VLOOKUP(B1229, PlumX_snapshot!$A:$B, 2, FALSE), " ")</f>
        <v xml:space="preserve"> </v>
      </c>
      <c r="X1229" s="11" t="str">
        <f>IFERROR(VLOOKUP(B1229, PlumX_snapshot!$A:$C, 3, FALSE), " ")</f>
        <v xml:space="preserve"> </v>
      </c>
      <c r="Y1229" s="12" t="str">
        <f>IFERROR(VLOOKUP(B1229, PlumX_snapshot!$A:$D, 4, FALSE), " ")</f>
        <v xml:space="preserve"> </v>
      </c>
      <c r="Z1229" s="12" t="str">
        <f>IFERROR(VLOOKUP(B1229, PlumX_snapshot!$A:$E, 5, FALSE), " ")</f>
        <v xml:space="preserve"> </v>
      </c>
      <c r="AA1229" s="12" t="str">
        <f>IFERROR(VLOOKUP(B1229, PlumX_snapshot!$A:$F, 6, FALSE), " ")</f>
        <v xml:space="preserve"> </v>
      </c>
      <c r="AB1229" s="13"/>
      <c r="AC1229" s="9" t="s">
        <v>5913</v>
      </c>
      <c r="AD1229" s="9" t="s">
        <v>5914</v>
      </c>
      <c r="AE1229" s="9" t="s">
        <v>5915</v>
      </c>
      <c r="AH1229" s="9">
        <v>1667</v>
      </c>
      <c r="AI1229" s="9" t="s">
        <v>77</v>
      </c>
      <c r="AJ1229" s="9" t="s">
        <v>301</v>
      </c>
      <c r="AK1229" s="11" t="str">
        <f t="shared" si="8"/>
        <v>2020GBP</v>
      </c>
      <c r="AL1229" s="11">
        <f>VLOOKUP(AK1229, Exchange_rates!$C:$D, 2, FALSE)</f>
        <v>1</v>
      </c>
      <c r="AM1229" s="14">
        <f t="shared" si="9"/>
        <v>2000.3999999999999</v>
      </c>
      <c r="AN1229" s="9"/>
      <c r="AO1229" s="9"/>
      <c r="AP1229" s="9"/>
      <c r="AQ1229" s="15" t="s">
        <v>49</v>
      </c>
      <c r="AR1229" t="s">
        <v>5916</v>
      </c>
      <c r="AS1229" s="16"/>
    </row>
    <row r="1230" spans="1:45" ht="14.5">
      <c r="A1230" s="9" t="s">
        <v>5917</v>
      </c>
      <c r="B1230" s="9" t="s">
        <v>5918</v>
      </c>
      <c r="C1230" s="9" t="s">
        <v>5919</v>
      </c>
      <c r="D1230" s="9" t="s">
        <v>5539</v>
      </c>
      <c r="E1230" s="9" t="s">
        <v>49</v>
      </c>
      <c r="F1230" s="9" t="s">
        <v>69</v>
      </c>
      <c r="G1230" s="9" t="s">
        <v>70</v>
      </c>
      <c r="H1230" s="9" t="s">
        <v>5598</v>
      </c>
      <c r="I1230" s="9" t="s">
        <v>291</v>
      </c>
      <c r="J1230" s="35">
        <v>44250</v>
      </c>
      <c r="K1230" s="29"/>
      <c r="L1230" s="10">
        <v>44250</v>
      </c>
      <c r="M1230" s="10"/>
      <c r="N1230" s="9">
        <v>2021</v>
      </c>
      <c r="O1230" s="9" t="s">
        <v>5619</v>
      </c>
      <c r="P1230" s="9" t="s">
        <v>53</v>
      </c>
      <c r="Q1230" s="9" t="s">
        <v>53</v>
      </c>
      <c r="T1230" s="9"/>
      <c r="V1230" s="9"/>
      <c r="W1230" s="11" t="str">
        <f>IFERROR(VLOOKUP(B1230, PlumX_snapshot!$A:$B, 2, FALSE), " ")</f>
        <v xml:space="preserve"> </v>
      </c>
      <c r="X1230" s="11" t="str">
        <f>IFERROR(VLOOKUP(B1230, PlumX_snapshot!$A:$C, 3, FALSE), " ")</f>
        <v xml:space="preserve"> </v>
      </c>
      <c r="Y1230" s="12" t="str">
        <f>IFERROR(VLOOKUP(B1230, PlumX_snapshot!$A:$D, 4, FALSE), " ")</f>
        <v xml:space="preserve"> </v>
      </c>
      <c r="Z1230" s="12" t="str">
        <f>IFERROR(VLOOKUP(B1230, PlumX_snapshot!$A:$E, 5, FALSE), " ")</f>
        <v xml:space="preserve"> </v>
      </c>
      <c r="AA1230" s="12" t="str">
        <f>IFERROR(VLOOKUP(B1230, PlumX_snapshot!$A:$F, 6, FALSE), " ")</f>
        <v xml:space="preserve"> </v>
      </c>
      <c r="AB1230" s="13"/>
      <c r="AC1230" s="9" t="s">
        <v>5920</v>
      </c>
      <c r="AD1230" s="9" t="s">
        <v>5921</v>
      </c>
      <c r="AH1230" s="9">
        <v>2000</v>
      </c>
      <c r="AI1230" s="9" t="s">
        <v>77</v>
      </c>
      <c r="AJ1230" s="9" t="s">
        <v>301</v>
      </c>
      <c r="AK1230" s="11" t="str">
        <f t="shared" si="8"/>
        <v>2021GBP</v>
      </c>
      <c r="AL1230" s="11">
        <f>VLOOKUP(AK1230, Exchange_rates!$C:$D, 2, FALSE)</f>
        <v>1</v>
      </c>
      <c r="AM1230" s="14">
        <f t="shared" si="9"/>
        <v>2400</v>
      </c>
      <c r="AN1230" s="9"/>
      <c r="AO1230" s="9"/>
      <c r="AP1230" s="9"/>
      <c r="AQ1230" s="15" t="s">
        <v>49</v>
      </c>
      <c r="AR1230" t="s">
        <v>5922</v>
      </c>
      <c r="AS1230" s="16"/>
    </row>
    <row r="1231" spans="1:45" ht="14.5">
      <c r="A1231" s="9" t="s">
        <v>5923</v>
      </c>
      <c r="B1231" s="9" t="s">
        <v>5924</v>
      </c>
      <c r="C1231" s="9" t="s">
        <v>5764</v>
      </c>
      <c r="D1231" s="9" t="s">
        <v>5539</v>
      </c>
      <c r="E1231" s="9" t="s">
        <v>49</v>
      </c>
      <c r="F1231" s="9" t="s">
        <v>69</v>
      </c>
      <c r="G1231" s="9" t="s">
        <v>70</v>
      </c>
      <c r="H1231" s="9" t="s">
        <v>5598</v>
      </c>
      <c r="I1231" s="9" t="s">
        <v>72</v>
      </c>
      <c r="J1231" s="35">
        <v>44246</v>
      </c>
      <c r="K1231" s="35">
        <v>44224</v>
      </c>
      <c r="L1231" s="10">
        <v>44250</v>
      </c>
      <c r="M1231" s="10">
        <v>44261</v>
      </c>
      <c r="N1231" s="9">
        <v>2021</v>
      </c>
      <c r="O1231" s="9" t="s">
        <v>5619</v>
      </c>
      <c r="P1231" s="9" t="s">
        <v>53</v>
      </c>
      <c r="Q1231" s="9" t="s">
        <v>53</v>
      </c>
      <c r="T1231" s="9"/>
      <c r="V1231" s="9"/>
      <c r="W1231" s="11" t="str">
        <f>IFERROR(VLOOKUP(B1231, PlumX_snapshot!$A:$B, 2, FALSE), " ")</f>
        <v xml:space="preserve"> </v>
      </c>
      <c r="X1231" s="11" t="str">
        <f>IFERROR(VLOOKUP(B1231, PlumX_snapshot!$A:$C, 3, FALSE), " ")</f>
        <v xml:space="preserve"> </v>
      </c>
      <c r="Y1231" s="12" t="str">
        <f>IFERROR(VLOOKUP(B1231, PlumX_snapshot!$A:$D, 4, FALSE), " ")</f>
        <v xml:space="preserve"> </v>
      </c>
      <c r="Z1231" s="12" t="str">
        <f>IFERROR(VLOOKUP(B1231, PlumX_snapshot!$A:$E, 5, FALSE), " ")</f>
        <v xml:space="preserve"> </v>
      </c>
      <c r="AA1231" s="12" t="str">
        <f>IFERROR(VLOOKUP(B1231, PlumX_snapshot!$A:$F, 6, FALSE), " ")</f>
        <v xml:space="preserve"> </v>
      </c>
      <c r="AB1231" s="13"/>
      <c r="AC1231" s="9" t="s">
        <v>5925</v>
      </c>
      <c r="AD1231" s="9" t="s">
        <v>1774</v>
      </c>
      <c r="AE1231" s="9" t="s">
        <v>5926</v>
      </c>
      <c r="AF1231" s="9" t="s">
        <v>5927</v>
      </c>
      <c r="AH1231" s="9">
        <v>2550</v>
      </c>
      <c r="AI1231" s="9" t="s">
        <v>77</v>
      </c>
      <c r="AJ1231" s="9" t="s">
        <v>301</v>
      </c>
      <c r="AK1231" s="11" t="str">
        <f t="shared" si="8"/>
        <v>2021GBP</v>
      </c>
      <c r="AL1231" s="11">
        <f>VLOOKUP(AK1231, Exchange_rates!$C:$D, 2, FALSE)</f>
        <v>1</v>
      </c>
      <c r="AM1231" s="14">
        <f t="shared" si="9"/>
        <v>3060</v>
      </c>
      <c r="AN1231" s="9"/>
      <c r="AO1231" s="9"/>
      <c r="AP1231" s="9"/>
      <c r="AQ1231" s="15" t="s">
        <v>49</v>
      </c>
      <c r="AR1231" t="s">
        <v>5595</v>
      </c>
      <c r="AS1231" s="16"/>
    </row>
    <row r="1232" spans="1:45" ht="14.5">
      <c r="A1232" s="9" t="s">
        <v>5928</v>
      </c>
      <c r="B1232" s="9" t="s">
        <v>5929</v>
      </c>
      <c r="C1232" s="9" t="s">
        <v>5627</v>
      </c>
      <c r="D1232" s="9" t="s">
        <v>5539</v>
      </c>
      <c r="E1232" s="9" t="s">
        <v>49</v>
      </c>
      <c r="F1232" s="9" t="s">
        <v>69</v>
      </c>
      <c r="G1232" s="9" t="s">
        <v>70</v>
      </c>
      <c r="H1232" s="9" t="s">
        <v>5598</v>
      </c>
      <c r="I1232" s="9" t="s">
        <v>72</v>
      </c>
      <c r="J1232" s="35">
        <v>44239</v>
      </c>
      <c r="K1232" s="35">
        <v>44238</v>
      </c>
      <c r="L1232" s="10">
        <v>44239</v>
      </c>
      <c r="M1232" s="10">
        <v>44249</v>
      </c>
      <c r="N1232" s="9">
        <v>2021</v>
      </c>
      <c r="O1232" s="9" t="s">
        <v>5619</v>
      </c>
      <c r="P1232" s="9" t="s">
        <v>83</v>
      </c>
      <c r="Q1232" s="9" t="s">
        <v>53</v>
      </c>
      <c r="T1232" s="9"/>
      <c r="V1232" s="9"/>
      <c r="W1232" s="11" t="str">
        <f>IFERROR(VLOOKUP(B1232, PlumX_snapshot!$A:$B, 2, FALSE), " ")</f>
        <v xml:space="preserve"> </v>
      </c>
      <c r="X1232" s="11" t="str">
        <f>IFERROR(VLOOKUP(B1232, PlumX_snapshot!$A:$C, 3, FALSE), " ")</f>
        <v xml:space="preserve"> </v>
      </c>
      <c r="Y1232" s="12" t="str">
        <f>IFERROR(VLOOKUP(B1232, PlumX_snapshot!$A:$D, 4, FALSE), " ")</f>
        <v xml:space="preserve"> </v>
      </c>
      <c r="Z1232" s="12" t="str">
        <f>IFERROR(VLOOKUP(B1232, PlumX_snapshot!$A:$E, 5, FALSE), " ")</f>
        <v xml:space="preserve"> </v>
      </c>
      <c r="AA1232" s="12" t="str">
        <f>IFERROR(VLOOKUP(B1232, PlumX_snapshot!$A:$F, 6, FALSE), " ")</f>
        <v xml:space="preserve"> </v>
      </c>
      <c r="AB1232" s="13"/>
      <c r="AC1232" s="9" t="s">
        <v>5628</v>
      </c>
      <c r="AD1232" s="9" t="s">
        <v>5930</v>
      </c>
      <c r="AE1232" s="9" t="s">
        <v>5931</v>
      </c>
      <c r="AF1232" s="9" t="s">
        <v>5932</v>
      </c>
      <c r="AH1232" s="9">
        <v>2867</v>
      </c>
      <c r="AI1232" s="9" t="s">
        <v>77</v>
      </c>
      <c r="AJ1232" s="9" t="s">
        <v>301</v>
      </c>
      <c r="AK1232" s="11" t="str">
        <f t="shared" si="8"/>
        <v>2021GBP</v>
      </c>
      <c r="AL1232" s="11">
        <f>VLOOKUP(AK1232, Exchange_rates!$C:$D, 2, FALSE)</f>
        <v>1</v>
      </c>
      <c r="AM1232" s="14">
        <f t="shared" si="9"/>
        <v>3440.4</v>
      </c>
      <c r="AN1232" s="9"/>
      <c r="AO1232" s="9"/>
      <c r="AP1232" s="9"/>
      <c r="AQ1232" s="15" t="s">
        <v>49</v>
      </c>
      <c r="AR1232" t="s">
        <v>5631</v>
      </c>
      <c r="AS1232" s="16"/>
    </row>
    <row r="1233" spans="1:45" ht="14.5">
      <c r="A1233" s="9" t="s">
        <v>5933</v>
      </c>
      <c r="B1233" s="9" t="s">
        <v>5934</v>
      </c>
      <c r="C1233" s="9" t="s">
        <v>5935</v>
      </c>
      <c r="D1233" s="9" t="s">
        <v>5539</v>
      </c>
      <c r="E1233" s="9" t="s">
        <v>49</v>
      </c>
      <c r="F1233" s="9" t="s">
        <v>69</v>
      </c>
      <c r="G1233" s="9" t="s">
        <v>70</v>
      </c>
      <c r="H1233" s="9" t="s">
        <v>5729</v>
      </c>
      <c r="I1233" s="9" t="s">
        <v>72</v>
      </c>
      <c r="J1233" s="36">
        <v>44235</v>
      </c>
      <c r="K1233" s="35">
        <v>44190</v>
      </c>
      <c r="L1233" s="10">
        <v>44236</v>
      </c>
      <c r="M1233" s="10">
        <v>44252</v>
      </c>
      <c r="N1233" s="9">
        <v>2020</v>
      </c>
      <c r="O1233" s="9" t="s">
        <v>5619</v>
      </c>
      <c r="P1233" s="9" t="s">
        <v>53</v>
      </c>
      <c r="Q1233" s="9" t="s">
        <v>53</v>
      </c>
      <c r="T1233" s="9"/>
      <c r="V1233" s="9"/>
      <c r="W1233" s="11" t="str">
        <f>IFERROR(VLOOKUP(B1233, PlumX_snapshot!$A:$B, 2, FALSE), " ")</f>
        <v xml:space="preserve"> </v>
      </c>
      <c r="X1233" s="11" t="str">
        <f>IFERROR(VLOOKUP(B1233, PlumX_snapshot!$A:$C, 3, FALSE), " ")</f>
        <v xml:space="preserve"> </v>
      </c>
      <c r="Y1233" s="12" t="str">
        <f>IFERROR(VLOOKUP(B1233, PlumX_snapshot!$A:$D, 4, FALSE), " ")</f>
        <v xml:space="preserve"> </v>
      </c>
      <c r="Z1233" s="12" t="str">
        <f>IFERROR(VLOOKUP(B1233, PlumX_snapshot!$A:$E, 5, FALSE), " ")</f>
        <v xml:space="preserve"> </v>
      </c>
      <c r="AA1233" s="12" t="str">
        <f>IFERROR(VLOOKUP(B1233, PlumX_snapshot!$A:$F, 6, FALSE), " ")</f>
        <v xml:space="preserve"> </v>
      </c>
      <c r="AB1233" s="13"/>
      <c r="AC1233" s="9" t="s">
        <v>5936</v>
      </c>
      <c r="AD1233" s="9" t="s">
        <v>5937</v>
      </c>
      <c r="AF1233" s="9" t="s">
        <v>5938</v>
      </c>
      <c r="AH1233" s="9">
        <v>2200</v>
      </c>
      <c r="AI1233" s="9" t="s">
        <v>77</v>
      </c>
      <c r="AJ1233" s="9" t="s">
        <v>301</v>
      </c>
      <c r="AK1233" s="11" t="str">
        <f t="shared" si="8"/>
        <v>2020GBP</v>
      </c>
      <c r="AL1233" s="11">
        <f>VLOOKUP(AK1233, Exchange_rates!$C:$D, 2, FALSE)</f>
        <v>1</v>
      </c>
      <c r="AM1233" s="14">
        <f t="shared" si="9"/>
        <v>2640</v>
      </c>
      <c r="AN1233" s="9"/>
      <c r="AO1233" s="9"/>
      <c r="AP1233" s="9"/>
      <c r="AQ1233" s="15" t="s">
        <v>49</v>
      </c>
      <c r="AR1233" t="s">
        <v>5939</v>
      </c>
      <c r="AS1233" s="16"/>
    </row>
    <row r="1234" spans="1:45" ht="14.5">
      <c r="A1234" s="9" t="s">
        <v>5940</v>
      </c>
      <c r="B1234" s="9" t="s">
        <v>5941</v>
      </c>
      <c r="C1234" s="9" t="s">
        <v>5942</v>
      </c>
      <c r="D1234" s="9" t="s">
        <v>5539</v>
      </c>
      <c r="E1234" s="9" t="s">
        <v>49</v>
      </c>
      <c r="F1234" s="9" t="s">
        <v>69</v>
      </c>
      <c r="G1234" s="9" t="s">
        <v>70</v>
      </c>
      <c r="H1234" s="9" t="s">
        <v>5598</v>
      </c>
      <c r="I1234" s="9" t="s">
        <v>72</v>
      </c>
      <c r="J1234" s="36">
        <v>44234</v>
      </c>
      <c r="K1234" s="36">
        <v>44203</v>
      </c>
      <c r="L1234" s="10">
        <v>44235</v>
      </c>
      <c r="M1234" s="10">
        <v>44251</v>
      </c>
      <c r="N1234" s="9">
        <v>2021</v>
      </c>
      <c r="O1234" s="9" t="s">
        <v>5619</v>
      </c>
      <c r="P1234" s="9" t="s">
        <v>83</v>
      </c>
      <c r="Q1234" s="9" t="s">
        <v>53</v>
      </c>
      <c r="T1234" s="9"/>
      <c r="V1234" s="9"/>
      <c r="W1234" s="11" t="str">
        <f>IFERROR(VLOOKUP(B1234, PlumX_snapshot!$A:$B, 2, FALSE), " ")</f>
        <v xml:space="preserve"> </v>
      </c>
      <c r="X1234" s="11" t="str">
        <f>IFERROR(VLOOKUP(B1234, PlumX_snapshot!$A:$C, 3, FALSE), " ")</f>
        <v xml:space="preserve"> </v>
      </c>
      <c r="Y1234" s="12" t="str">
        <f>IFERROR(VLOOKUP(B1234, PlumX_snapshot!$A:$D, 4, FALSE), " ")</f>
        <v xml:space="preserve"> </v>
      </c>
      <c r="Z1234" s="12" t="str">
        <f>IFERROR(VLOOKUP(B1234, PlumX_snapshot!$A:$E, 5, FALSE), " ")</f>
        <v xml:space="preserve"> </v>
      </c>
      <c r="AA1234" s="12" t="str">
        <f>IFERROR(VLOOKUP(B1234, PlumX_snapshot!$A:$F, 6, FALSE), " ")</f>
        <v xml:space="preserve"> </v>
      </c>
      <c r="AB1234" s="13"/>
      <c r="AC1234" s="9" t="s">
        <v>5943</v>
      </c>
      <c r="AD1234" s="9" t="s">
        <v>5944</v>
      </c>
      <c r="AE1234" s="9" t="s">
        <v>5945</v>
      </c>
      <c r="AH1234" s="9">
        <v>1700</v>
      </c>
      <c r="AI1234" s="9" t="s">
        <v>77</v>
      </c>
      <c r="AJ1234" s="9" t="s">
        <v>301</v>
      </c>
      <c r="AK1234" s="11" t="str">
        <f t="shared" si="8"/>
        <v>2021GBP</v>
      </c>
      <c r="AL1234" s="11">
        <f>VLOOKUP(AK1234, Exchange_rates!$C:$D, 2, FALSE)</f>
        <v>1</v>
      </c>
      <c r="AM1234" s="14">
        <f t="shared" si="9"/>
        <v>2040</v>
      </c>
      <c r="AN1234" s="9"/>
      <c r="AO1234" s="9"/>
      <c r="AP1234" s="9"/>
      <c r="AQ1234" s="15" t="s">
        <v>49</v>
      </c>
      <c r="AR1234" t="s">
        <v>5946</v>
      </c>
      <c r="AS1234" s="16"/>
    </row>
    <row r="1235" spans="1:45" ht="14.5">
      <c r="A1235" s="9" t="s">
        <v>5947</v>
      </c>
      <c r="B1235" s="9" t="s">
        <v>5948</v>
      </c>
      <c r="C1235" s="9" t="s">
        <v>5949</v>
      </c>
      <c r="D1235" s="9" t="s">
        <v>5539</v>
      </c>
      <c r="E1235" s="9" t="s">
        <v>49</v>
      </c>
      <c r="F1235" s="9" t="s">
        <v>69</v>
      </c>
      <c r="G1235" s="9" t="s">
        <v>70</v>
      </c>
      <c r="H1235" s="9" t="s">
        <v>5598</v>
      </c>
      <c r="I1235" s="9" t="s">
        <v>291</v>
      </c>
      <c r="J1235" s="36">
        <v>44233</v>
      </c>
      <c r="K1235" s="35">
        <v>44224</v>
      </c>
      <c r="L1235" s="10">
        <v>44235</v>
      </c>
      <c r="M1235" s="10">
        <v>44251</v>
      </c>
      <c r="N1235" s="9">
        <v>2021</v>
      </c>
      <c r="O1235" s="9" t="s">
        <v>5619</v>
      </c>
      <c r="P1235" s="9" t="s">
        <v>53</v>
      </c>
      <c r="Q1235" s="9" t="s">
        <v>53</v>
      </c>
      <c r="T1235" s="9"/>
      <c r="V1235" s="9"/>
      <c r="W1235" s="11" t="str">
        <f>IFERROR(VLOOKUP(B1235, PlumX_snapshot!$A:$B, 2, FALSE), " ")</f>
        <v xml:space="preserve"> </v>
      </c>
      <c r="X1235" s="11" t="str">
        <f>IFERROR(VLOOKUP(B1235, PlumX_snapshot!$A:$C, 3, FALSE), " ")</f>
        <v xml:space="preserve"> </v>
      </c>
      <c r="Y1235" s="12" t="str">
        <f>IFERROR(VLOOKUP(B1235, PlumX_snapshot!$A:$D, 4, FALSE), " ")</f>
        <v xml:space="preserve"> </v>
      </c>
      <c r="Z1235" s="12" t="str">
        <f>IFERROR(VLOOKUP(B1235, PlumX_snapshot!$A:$E, 5, FALSE), " ")</f>
        <v xml:space="preserve"> </v>
      </c>
      <c r="AA1235" s="12" t="str">
        <f>IFERROR(VLOOKUP(B1235, PlumX_snapshot!$A:$F, 6, FALSE), " ")</f>
        <v xml:space="preserve"> </v>
      </c>
      <c r="AB1235" s="13"/>
      <c r="AC1235" s="9" t="s">
        <v>5950</v>
      </c>
      <c r="AD1235" s="9" t="s">
        <v>5951</v>
      </c>
      <c r="AE1235" s="9" t="s">
        <v>5952</v>
      </c>
      <c r="AH1235" s="9">
        <v>2500</v>
      </c>
      <c r="AI1235" s="9" t="s">
        <v>77</v>
      </c>
      <c r="AJ1235" s="9" t="s">
        <v>301</v>
      </c>
      <c r="AK1235" s="11" t="str">
        <f t="shared" si="8"/>
        <v>2021GBP</v>
      </c>
      <c r="AL1235" s="11">
        <f>VLOOKUP(AK1235, Exchange_rates!$C:$D, 2, FALSE)</f>
        <v>1</v>
      </c>
      <c r="AM1235" s="14">
        <f t="shared" si="9"/>
        <v>3000</v>
      </c>
      <c r="AN1235" s="9"/>
      <c r="AO1235" s="9"/>
      <c r="AP1235" s="9"/>
      <c r="AQ1235" s="15" t="s">
        <v>49</v>
      </c>
      <c r="AR1235" t="s">
        <v>5953</v>
      </c>
      <c r="AS1235" s="16"/>
    </row>
    <row r="1236" spans="1:45" ht="14.5">
      <c r="A1236" s="9" t="s">
        <v>5954</v>
      </c>
      <c r="B1236" s="9" t="s">
        <v>5955</v>
      </c>
      <c r="C1236" s="9" t="s">
        <v>5956</v>
      </c>
      <c r="D1236" s="9" t="s">
        <v>5539</v>
      </c>
      <c r="E1236" s="9" t="s">
        <v>49</v>
      </c>
      <c r="F1236" s="9" t="s">
        <v>69</v>
      </c>
      <c r="G1236" s="9" t="s">
        <v>70</v>
      </c>
      <c r="H1236" s="9" t="s">
        <v>5598</v>
      </c>
      <c r="I1236" s="9" t="s">
        <v>291</v>
      </c>
      <c r="J1236" s="36">
        <v>44232</v>
      </c>
      <c r="K1236" s="29"/>
      <c r="L1236" s="10">
        <v>44232</v>
      </c>
      <c r="M1236" s="10">
        <v>44249</v>
      </c>
      <c r="N1236" s="9">
        <v>2021</v>
      </c>
      <c r="O1236" s="9" t="s">
        <v>5619</v>
      </c>
      <c r="P1236" s="9" t="s">
        <v>53</v>
      </c>
      <c r="Q1236" s="9" t="s">
        <v>53</v>
      </c>
      <c r="T1236" s="9"/>
      <c r="V1236" s="9"/>
      <c r="W1236" s="11" t="str">
        <f>IFERROR(VLOOKUP(B1236, PlumX_snapshot!$A:$B, 2, FALSE), " ")</f>
        <v xml:space="preserve"> </v>
      </c>
      <c r="X1236" s="11" t="str">
        <f>IFERROR(VLOOKUP(B1236, PlumX_snapshot!$A:$C, 3, FALSE), " ")</f>
        <v xml:space="preserve"> </v>
      </c>
      <c r="Y1236" s="12" t="str">
        <f>IFERROR(VLOOKUP(B1236, PlumX_snapshot!$A:$D, 4, FALSE), " ")</f>
        <v xml:space="preserve"> </v>
      </c>
      <c r="Z1236" s="12" t="str">
        <f>IFERROR(VLOOKUP(B1236, PlumX_snapshot!$A:$E, 5, FALSE), " ")</f>
        <v xml:space="preserve"> </v>
      </c>
      <c r="AA1236" s="12" t="str">
        <f>IFERROR(VLOOKUP(B1236, PlumX_snapshot!$A:$F, 6, FALSE), " ")</f>
        <v xml:space="preserve"> </v>
      </c>
      <c r="AB1236" s="13"/>
      <c r="AC1236" s="9" t="s">
        <v>5957</v>
      </c>
      <c r="AD1236" s="9" t="s">
        <v>5958</v>
      </c>
      <c r="AF1236" s="9" t="s">
        <v>5959</v>
      </c>
      <c r="AH1236" s="9">
        <v>2000</v>
      </c>
      <c r="AI1236" s="9" t="s">
        <v>77</v>
      </c>
      <c r="AJ1236" s="9" t="s">
        <v>301</v>
      </c>
      <c r="AK1236" s="11" t="str">
        <f t="shared" si="8"/>
        <v>2021GBP</v>
      </c>
      <c r="AL1236" s="11">
        <f>VLOOKUP(AK1236, Exchange_rates!$C:$D, 2, FALSE)</f>
        <v>1</v>
      </c>
      <c r="AM1236" s="14">
        <f t="shared" si="9"/>
        <v>2400</v>
      </c>
      <c r="AN1236" s="9"/>
      <c r="AO1236" s="9"/>
      <c r="AP1236" s="9"/>
      <c r="AQ1236" s="15" t="s">
        <v>49</v>
      </c>
      <c r="AR1236" t="s">
        <v>5960</v>
      </c>
      <c r="AS1236" s="16"/>
    </row>
    <row r="1237" spans="1:45" ht="14.5">
      <c r="A1237" s="9" t="s">
        <v>5961</v>
      </c>
      <c r="B1237" s="9" t="s">
        <v>5962</v>
      </c>
      <c r="C1237" s="9" t="s">
        <v>5741</v>
      </c>
      <c r="D1237" s="9" t="s">
        <v>5539</v>
      </c>
      <c r="E1237" s="9" t="s">
        <v>49</v>
      </c>
      <c r="F1237" s="9" t="s">
        <v>69</v>
      </c>
      <c r="G1237" s="9" t="s">
        <v>70</v>
      </c>
      <c r="H1237" s="9" t="s">
        <v>5598</v>
      </c>
      <c r="I1237" s="9" t="s">
        <v>72</v>
      </c>
      <c r="J1237" s="35">
        <v>44217</v>
      </c>
      <c r="K1237" s="35">
        <v>44210</v>
      </c>
      <c r="L1237" s="10">
        <v>44217</v>
      </c>
      <c r="M1237" s="10">
        <v>44246</v>
      </c>
      <c r="N1237" s="9">
        <v>2021</v>
      </c>
      <c r="O1237" s="9" t="s">
        <v>5619</v>
      </c>
      <c r="P1237" s="9" t="s">
        <v>53</v>
      </c>
      <c r="Q1237" s="9" t="s">
        <v>53</v>
      </c>
      <c r="T1237" s="9"/>
      <c r="V1237" s="9"/>
      <c r="W1237" s="11" t="str">
        <f>IFERROR(VLOOKUP(B1237, PlumX_snapshot!$A:$B, 2, FALSE), " ")</f>
        <v xml:space="preserve"> </v>
      </c>
      <c r="X1237" s="11" t="str">
        <f>IFERROR(VLOOKUP(B1237, PlumX_snapshot!$A:$C, 3, FALSE), " ")</f>
        <v xml:space="preserve"> </v>
      </c>
      <c r="Y1237" s="12" t="str">
        <f>IFERROR(VLOOKUP(B1237, PlumX_snapshot!$A:$D, 4, FALSE), " ")</f>
        <v xml:space="preserve"> </v>
      </c>
      <c r="Z1237" s="12" t="str">
        <f>IFERROR(VLOOKUP(B1237, PlumX_snapshot!$A:$E, 5, FALSE), " ")</f>
        <v xml:space="preserve"> </v>
      </c>
      <c r="AA1237" s="12" t="str">
        <f>IFERROR(VLOOKUP(B1237, PlumX_snapshot!$A:$F, 6, FALSE), " ")</f>
        <v xml:space="preserve"> </v>
      </c>
      <c r="AB1237" s="13"/>
      <c r="AC1237" s="9" t="s">
        <v>5963</v>
      </c>
      <c r="AD1237" s="9" t="s">
        <v>5964</v>
      </c>
      <c r="AE1237" s="9" t="s">
        <v>5965</v>
      </c>
      <c r="AF1237" s="9" t="s">
        <v>5966</v>
      </c>
      <c r="AH1237" s="9">
        <v>2600</v>
      </c>
      <c r="AI1237" s="9" t="s">
        <v>77</v>
      </c>
      <c r="AJ1237" s="9" t="s">
        <v>301</v>
      </c>
      <c r="AK1237" s="11" t="str">
        <f t="shared" si="8"/>
        <v>2021GBP</v>
      </c>
      <c r="AL1237" s="11">
        <f>VLOOKUP(AK1237, Exchange_rates!$C:$D, 2, FALSE)</f>
        <v>1</v>
      </c>
      <c r="AM1237" s="14">
        <f t="shared" si="9"/>
        <v>3120</v>
      </c>
      <c r="AN1237" s="9"/>
      <c r="AO1237" s="9"/>
      <c r="AP1237" s="9"/>
      <c r="AQ1237" s="15" t="s">
        <v>49</v>
      </c>
      <c r="AR1237" t="s">
        <v>5566</v>
      </c>
      <c r="AS1237" s="16"/>
    </row>
    <row r="1238" spans="1:45" ht="14.5">
      <c r="A1238" s="9" t="s">
        <v>5967</v>
      </c>
      <c r="B1238" s="9" t="s">
        <v>5968</v>
      </c>
      <c r="C1238" s="9" t="s">
        <v>5969</v>
      </c>
      <c r="D1238" s="9" t="s">
        <v>5539</v>
      </c>
      <c r="E1238" s="9" t="s">
        <v>49</v>
      </c>
      <c r="F1238" s="9" t="s">
        <v>69</v>
      </c>
      <c r="G1238" s="9" t="s">
        <v>70</v>
      </c>
      <c r="H1238" s="9" t="s">
        <v>5598</v>
      </c>
      <c r="I1238" s="9" t="s">
        <v>291</v>
      </c>
      <c r="J1238" s="35">
        <v>44211</v>
      </c>
      <c r="K1238" s="36">
        <v>44199</v>
      </c>
      <c r="L1238" s="10">
        <v>44211</v>
      </c>
      <c r="M1238" s="10">
        <v>44225</v>
      </c>
      <c r="N1238" s="9">
        <v>2021</v>
      </c>
      <c r="O1238" s="9" t="s">
        <v>5619</v>
      </c>
      <c r="P1238" s="9" t="s">
        <v>53</v>
      </c>
      <c r="Q1238" s="9" t="s">
        <v>53</v>
      </c>
      <c r="T1238" s="9"/>
      <c r="V1238" s="9"/>
      <c r="W1238" s="11" t="str">
        <f>IFERROR(VLOOKUP(B1238, PlumX_snapshot!$A:$B, 2, FALSE), " ")</f>
        <v xml:space="preserve"> </v>
      </c>
      <c r="X1238" s="11" t="str">
        <f>IFERROR(VLOOKUP(B1238, PlumX_snapshot!$A:$C, 3, FALSE), " ")</f>
        <v xml:space="preserve"> </v>
      </c>
      <c r="Y1238" s="12" t="str">
        <f>IFERROR(VLOOKUP(B1238, PlumX_snapshot!$A:$D, 4, FALSE), " ")</f>
        <v xml:space="preserve"> </v>
      </c>
      <c r="Z1238" s="12" t="str">
        <f>IFERROR(VLOOKUP(B1238, PlumX_snapshot!$A:$E, 5, FALSE), " ")</f>
        <v xml:space="preserve"> </v>
      </c>
      <c r="AA1238" s="12" t="str">
        <f>IFERROR(VLOOKUP(B1238, PlumX_snapshot!$A:$F, 6, FALSE), " ")</f>
        <v xml:space="preserve"> </v>
      </c>
      <c r="AB1238" s="13"/>
      <c r="AC1238" s="9" t="s">
        <v>5970</v>
      </c>
      <c r="AD1238" s="9" t="s">
        <v>5971</v>
      </c>
      <c r="AE1238" s="9" t="s">
        <v>5972</v>
      </c>
      <c r="AF1238" s="9" t="s">
        <v>5973</v>
      </c>
      <c r="AH1238" s="9">
        <v>3200</v>
      </c>
      <c r="AI1238" s="9" t="s">
        <v>77</v>
      </c>
      <c r="AJ1238" s="9" t="s">
        <v>301</v>
      </c>
      <c r="AK1238" s="11" t="str">
        <f t="shared" si="8"/>
        <v>2021GBP</v>
      </c>
      <c r="AL1238" s="11">
        <f>VLOOKUP(AK1238, Exchange_rates!$C:$D, 2, FALSE)</f>
        <v>1</v>
      </c>
      <c r="AM1238" s="14">
        <f t="shared" si="9"/>
        <v>3840</v>
      </c>
      <c r="AN1238" s="9"/>
      <c r="AO1238" s="9"/>
      <c r="AP1238" s="9"/>
      <c r="AQ1238" s="15" t="s">
        <v>49</v>
      </c>
      <c r="AR1238" t="s">
        <v>5974</v>
      </c>
      <c r="AS1238" s="16"/>
    </row>
    <row r="1239" spans="1:45" ht="14.5">
      <c r="A1239" s="9" t="s">
        <v>5975</v>
      </c>
      <c r="B1239" s="9" t="s">
        <v>5976</v>
      </c>
      <c r="C1239" s="9" t="s">
        <v>5977</v>
      </c>
      <c r="D1239" s="9" t="s">
        <v>5539</v>
      </c>
      <c r="E1239" s="9" t="s">
        <v>49</v>
      </c>
      <c r="F1239" s="9" t="s">
        <v>69</v>
      </c>
      <c r="G1239" s="9" t="s">
        <v>70</v>
      </c>
      <c r="H1239" s="9" t="s">
        <v>5729</v>
      </c>
      <c r="I1239" s="9" t="s">
        <v>72</v>
      </c>
      <c r="J1239" s="36">
        <v>44201</v>
      </c>
      <c r="K1239" s="35">
        <v>44185</v>
      </c>
      <c r="L1239" s="10">
        <v>44201</v>
      </c>
      <c r="M1239" s="10">
        <v>44214</v>
      </c>
      <c r="N1239" s="9">
        <v>2020</v>
      </c>
      <c r="O1239" s="9" t="s">
        <v>5619</v>
      </c>
      <c r="P1239" s="9" t="s">
        <v>53</v>
      </c>
      <c r="Q1239" s="9" t="s">
        <v>53</v>
      </c>
      <c r="T1239" s="9"/>
      <c r="V1239" s="9"/>
      <c r="W1239" s="11" t="str">
        <f>IFERROR(VLOOKUP(B1239, PlumX_snapshot!$A:$B, 2, FALSE), " ")</f>
        <v xml:space="preserve"> </v>
      </c>
      <c r="X1239" s="11" t="str">
        <f>IFERROR(VLOOKUP(B1239, PlumX_snapshot!$A:$C, 3, FALSE), " ")</f>
        <v xml:space="preserve"> </v>
      </c>
      <c r="Y1239" s="12" t="str">
        <f>IFERROR(VLOOKUP(B1239, PlumX_snapshot!$A:$D, 4, FALSE), " ")</f>
        <v xml:space="preserve"> </v>
      </c>
      <c r="Z1239" s="12" t="str">
        <f>IFERROR(VLOOKUP(B1239, PlumX_snapshot!$A:$E, 5, FALSE), " ")</f>
        <v xml:space="preserve"> </v>
      </c>
      <c r="AA1239" s="12" t="str">
        <f>IFERROR(VLOOKUP(B1239, PlumX_snapshot!$A:$F, 6, FALSE), " ")</f>
        <v xml:space="preserve"> </v>
      </c>
      <c r="AB1239" s="13"/>
      <c r="AC1239" s="9" t="s">
        <v>5978</v>
      </c>
      <c r="AD1239" s="9" t="s">
        <v>5979</v>
      </c>
      <c r="AE1239" s="9" t="s">
        <v>5980</v>
      </c>
      <c r="AF1239" s="9" t="s">
        <v>5981</v>
      </c>
      <c r="AH1239" s="9">
        <v>1667</v>
      </c>
      <c r="AI1239" s="9" t="s">
        <v>77</v>
      </c>
      <c r="AJ1239" s="9" t="s">
        <v>301</v>
      </c>
      <c r="AK1239" s="11" t="str">
        <f t="shared" si="8"/>
        <v>2020GBP</v>
      </c>
      <c r="AL1239" s="11">
        <f>VLOOKUP(AK1239, Exchange_rates!$C:$D, 2, FALSE)</f>
        <v>1</v>
      </c>
      <c r="AM1239" s="14">
        <f t="shared" si="9"/>
        <v>2000.3999999999999</v>
      </c>
      <c r="AN1239" s="9"/>
      <c r="AO1239" s="9"/>
      <c r="AP1239" s="9"/>
      <c r="AQ1239" s="15" t="s">
        <v>49</v>
      </c>
      <c r="AR1239" t="s">
        <v>5982</v>
      </c>
      <c r="AS1239" s="16"/>
    </row>
    <row r="1240" spans="1:45" ht="14.5">
      <c r="A1240" s="9" t="s">
        <v>5983</v>
      </c>
      <c r="B1240" s="9" t="s">
        <v>5984</v>
      </c>
      <c r="C1240" s="9" t="s">
        <v>5764</v>
      </c>
      <c r="D1240" s="9" t="s">
        <v>5539</v>
      </c>
      <c r="E1240" s="9" t="s">
        <v>49</v>
      </c>
      <c r="F1240" s="9" t="s">
        <v>69</v>
      </c>
      <c r="G1240" s="9" t="s">
        <v>70</v>
      </c>
      <c r="H1240" s="9" t="s">
        <v>5729</v>
      </c>
      <c r="I1240" s="9" t="s">
        <v>72</v>
      </c>
      <c r="J1240" s="36">
        <v>44199</v>
      </c>
      <c r="K1240" s="35">
        <v>44178</v>
      </c>
      <c r="L1240" s="10">
        <v>44201</v>
      </c>
      <c r="M1240" s="10">
        <v>44225</v>
      </c>
      <c r="N1240" s="9">
        <v>2020</v>
      </c>
      <c r="O1240" s="9" t="s">
        <v>5619</v>
      </c>
      <c r="P1240" s="9" t="s">
        <v>53</v>
      </c>
      <c r="Q1240" s="9" t="s">
        <v>83</v>
      </c>
      <c r="T1240" s="9"/>
      <c r="V1240" s="9"/>
      <c r="W1240" s="11" t="str">
        <f>IFERROR(VLOOKUP(B1240, PlumX_snapshot!$A:$B, 2, FALSE), " ")</f>
        <v xml:space="preserve"> </v>
      </c>
      <c r="X1240" s="11" t="str">
        <f>IFERROR(VLOOKUP(B1240, PlumX_snapshot!$A:$C, 3, FALSE), " ")</f>
        <v xml:space="preserve"> </v>
      </c>
      <c r="Y1240" s="12" t="str">
        <f>IFERROR(VLOOKUP(B1240, PlumX_snapshot!$A:$D, 4, FALSE), " ")</f>
        <v xml:space="preserve"> </v>
      </c>
      <c r="Z1240" s="12" t="str">
        <f>IFERROR(VLOOKUP(B1240, PlumX_snapshot!$A:$E, 5, FALSE), " ")</f>
        <v xml:space="preserve"> </v>
      </c>
      <c r="AA1240" s="12" t="str">
        <f>IFERROR(VLOOKUP(B1240, PlumX_snapshot!$A:$F, 6, FALSE), " ")</f>
        <v xml:space="preserve"> </v>
      </c>
      <c r="AB1240" s="13"/>
      <c r="AC1240" s="9" t="s">
        <v>4567</v>
      </c>
      <c r="AD1240" s="9" t="s">
        <v>4568</v>
      </c>
      <c r="AE1240" s="9" t="s">
        <v>4569</v>
      </c>
      <c r="AF1240" s="9" t="s">
        <v>5702</v>
      </c>
      <c r="AH1240" s="9">
        <v>2550</v>
      </c>
      <c r="AI1240" s="9" t="s">
        <v>77</v>
      </c>
      <c r="AJ1240" s="9" t="s">
        <v>301</v>
      </c>
      <c r="AK1240" s="11" t="str">
        <f t="shared" si="8"/>
        <v>2020GBP</v>
      </c>
      <c r="AL1240" s="11">
        <f>VLOOKUP(AK1240, Exchange_rates!$C:$D, 2, FALSE)</f>
        <v>1</v>
      </c>
      <c r="AM1240" s="14">
        <f t="shared" si="9"/>
        <v>3060</v>
      </c>
      <c r="AN1240" s="9"/>
      <c r="AO1240" s="9"/>
      <c r="AP1240" s="9"/>
      <c r="AQ1240" s="15" t="s">
        <v>49</v>
      </c>
      <c r="AR1240" t="s">
        <v>5595</v>
      </c>
      <c r="AS1240" s="16"/>
    </row>
    <row r="1241" spans="1:45" ht="14.5">
      <c r="A1241" s="9" t="s">
        <v>5985</v>
      </c>
      <c r="B1241" s="9" t="s">
        <v>5986</v>
      </c>
      <c r="C1241" s="9" t="s">
        <v>5741</v>
      </c>
      <c r="D1241" s="9" t="s">
        <v>5539</v>
      </c>
      <c r="E1241" s="9" t="s">
        <v>49</v>
      </c>
      <c r="F1241" s="9" t="s">
        <v>69</v>
      </c>
      <c r="G1241" s="9" t="s">
        <v>70</v>
      </c>
      <c r="H1241" s="9" t="s">
        <v>5729</v>
      </c>
      <c r="I1241" s="9" t="s">
        <v>72</v>
      </c>
      <c r="J1241" s="35">
        <v>44125</v>
      </c>
      <c r="K1241" s="35">
        <v>44116</v>
      </c>
      <c r="L1241" s="10">
        <v>44128</v>
      </c>
      <c r="M1241" s="10">
        <v>44138</v>
      </c>
      <c r="N1241" s="9">
        <v>2020</v>
      </c>
      <c r="O1241" s="9" t="s">
        <v>5619</v>
      </c>
      <c r="P1241" s="9" t="s">
        <v>83</v>
      </c>
      <c r="Q1241" s="9" t="s">
        <v>53</v>
      </c>
      <c r="T1241" s="9"/>
      <c r="V1241" s="9"/>
      <c r="W1241" s="11" t="str">
        <f>IFERROR(VLOOKUP(B1241, PlumX_snapshot!$A:$B, 2, FALSE), " ")</f>
        <v xml:space="preserve"> </v>
      </c>
      <c r="X1241" s="11" t="str">
        <f>IFERROR(VLOOKUP(B1241, PlumX_snapshot!$A:$C, 3, FALSE), " ")</f>
        <v xml:space="preserve"> </v>
      </c>
      <c r="Y1241" s="12" t="str">
        <f>IFERROR(VLOOKUP(B1241, PlumX_snapshot!$A:$D, 4, FALSE), " ")</f>
        <v xml:space="preserve"> </v>
      </c>
      <c r="Z1241" s="12" t="str">
        <f>IFERROR(VLOOKUP(B1241, PlumX_snapshot!$A:$E, 5, FALSE), " ")</f>
        <v xml:space="preserve"> </v>
      </c>
      <c r="AA1241" s="12" t="str">
        <f>IFERROR(VLOOKUP(B1241, PlumX_snapshot!$A:$F, 6, FALSE), " ")</f>
        <v xml:space="preserve"> </v>
      </c>
      <c r="AB1241" s="13"/>
      <c r="AC1241" s="9" t="s">
        <v>5987</v>
      </c>
      <c r="AD1241" s="9" t="s">
        <v>5988</v>
      </c>
      <c r="AF1241" s="9" t="s">
        <v>5989</v>
      </c>
      <c r="AH1241" s="9">
        <v>2350</v>
      </c>
      <c r="AI1241" s="9" t="s">
        <v>77</v>
      </c>
      <c r="AJ1241" s="9" t="s">
        <v>301</v>
      </c>
      <c r="AK1241" s="11" t="str">
        <f t="shared" si="8"/>
        <v>2020GBP</v>
      </c>
      <c r="AL1241" s="11">
        <f>VLOOKUP(AK1241, Exchange_rates!$C:$D, 2, FALSE)</f>
        <v>1</v>
      </c>
      <c r="AM1241" s="14">
        <f t="shared" si="9"/>
        <v>2820</v>
      </c>
      <c r="AN1241" s="9"/>
      <c r="AO1241" s="9"/>
      <c r="AP1241" s="9"/>
      <c r="AQ1241" s="15" t="s">
        <v>49</v>
      </c>
      <c r="AR1241" t="s">
        <v>5566</v>
      </c>
      <c r="AS1241" s="16"/>
    </row>
    <row r="1242" spans="1:45" ht="14.5">
      <c r="A1242" s="9" t="s">
        <v>5990</v>
      </c>
      <c r="B1242" s="9" t="s">
        <v>5991</v>
      </c>
      <c r="C1242" s="9" t="s">
        <v>5786</v>
      </c>
      <c r="D1242" s="9" t="s">
        <v>5539</v>
      </c>
      <c r="E1242" s="9" t="s">
        <v>49</v>
      </c>
      <c r="F1242" s="9" t="s">
        <v>69</v>
      </c>
      <c r="G1242" s="9" t="s">
        <v>70</v>
      </c>
      <c r="H1242" s="9" t="s">
        <v>5729</v>
      </c>
      <c r="I1242" s="9" t="s">
        <v>72</v>
      </c>
      <c r="J1242" s="36">
        <v>44113</v>
      </c>
      <c r="K1242" s="35">
        <v>44088</v>
      </c>
      <c r="L1242" s="10">
        <v>44113</v>
      </c>
      <c r="M1242" s="10">
        <v>44120</v>
      </c>
      <c r="N1242" s="9">
        <v>2020</v>
      </c>
      <c r="O1242" s="9" t="s">
        <v>5619</v>
      </c>
      <c r="P1242" s="9" t="s">
        <v>83</v>
      </c>
      <c r="Q1242" s="9" t="s">
        <v>53</v>
      </c>
      <c r="T1242" s="9"/>
      <c r="V1242" s="9"/>
      <c r="W1242" s="11" t="str">
        <f>IFERROR(VLOOKUP(B1242, PlumX_snapshot!$A:$B, 2, FALSE), " ")</f>
        <v xml:space="preserve"> </v>
      </c>
      <c r="X1242" s="11" t="str">
        <f>IFERROR(VLOOKUP(B1242, PlumX_snapshot!$A:$C, 3, FALSE), " ")</f>
        <v xml:space="preserve"> </v>
      </c>
      <c r="Y1242" s="12" t="str">
        <f>IFERROR(VLOOKUP(B1242, PlumX_snapshot!$A:$D, 4, FALSE), " ")</f>
        <v xml:space="preserve"> </v>
      </c>
      <c r="Z1242" s="12" t="str">
        <f>IFERROR(VLOOKUP(B1242, PlumX_snapshot!$A:$E, 5, FALSE), " ")</f>
        <v xml:space="preserve"> </v>
      </c>
      <c r="AA1242" s="12" t="str">
        <f>IFERROR(VLOOKUP(B1242, PlumX_snapshot!$A:$F, 6, FALSE), " ")</f>
        <v xml:space="preserve"> </v>
      </c>
      <c r="AB1242" s="13"/>
      <c r="AC1242" s="9" t="s">
        <v>5635</v>
      </c>
      <c r="AD1242" s="9" t="s">
        <v>5636</v>
      </c>
      <c r="AE1242" s="9" t="s">
        <v>5637</v>
      </c>
      <c r="AH1242" s="9">
        <v>2793</v>
      </c>
      <c r="AI1242" s="9" t="s">
        <v>77</v>
      </c>
      <c r="AJ1242" s="9" t="s">
        <v>301</v>
      </c>
      <c r="AK1242" s="11" t="str">
        <f t="shared" si="8"/>
        <v>2020GBP</v>
      </c>
      <c r="AL1242" s="11">
        <f>VLOOKUP(AK1242, Exchange_rates!$C:$D, 2, FALSE)</f>
        <v>1</v>
      </c>
      <c r="AM1242" s="14">
        <f t="shared" si="9"/>
        <v>3351.6</v>
      </c>
      <c r="AN1242" s="9"/>
      <c r="AO1242" s="9"/>
      <c r="AP1242" s="9"/>
      <c r="AQ1242" s="15" t="s">
        <v>49</v>
      </c>
      <c r="AR1242" t="s">
        <v>5558</v>
      </c>
      <c r="AS1242" s="16"/>
    </row>
    <row r="1243" spans="1:45" ht="14.5">
      <c r="A1243" s="9" t="s">
        <v>5992</v>
      </c>
      <c r="B1243" s="9" t="s">
        <v>5993</v>
      </c>
      <c r="C1243" s="9" t="s">
        <v>5741</v>
      </c>
      <c r="D1243" s="9" t="s">
        <v>5539</v>
      </c>
      <c r="E1243" s="9" t="s">
        <v>49</v>
      </c>
      <c r="F1243" s="9" t="s">
        <v>69</v>
      </c>
      <c r="G1243" s="9" t="s">
        <v>70</v>
      </c>
      <c r="H1243" s="9" t="s">
        <v>5729</v>
      </c>
      <c r="I1243" s="9" t="s">
        <v>72</v>
      </c>
      <c r="J1243" s="36">
        <v>44112</v>
      </c>
      <c r="K1243" s="36">
        <v>44106</v>
      </c>
      <c r="L1243" s="10">
        <v>44113</v>
      </c>
      <c r="M1243" s="10">
        <v>44128</v>
      </c>
      <c r="N1243" s="9">
        <v>2020</v>
      </c>
      <c r="O1243" s="9" t="s">
        <v>5619</v>
      </c>
      <c r="P1243" s="9" t="s">
        <v>53</v>
      </c>
      <c r="Q1243" s="9" t="s">
        <v>53</v>
      </c>
      <c r="T1243" s="9"/>
      <c r="V1243" s="9"/>
      <c r="W1243" s="11" t="str">
        <f>IFERROR(VLOOKUP(B1243, PlumX_snapshot!$A:$B, 2, FALSE), " ")</f>
        <v xml:space="preserve"> </v>
      </c>
      <c r="X1243" s="11" t="str">
        <f>IFERROR(VLOOKUP(B1243, PlumX_snapshot!$A:$C, 3, FALSE), " ")</f>
        <v xml:space="preserve"> </v>
      </c>
      <c r="Y1243" s="12" t="str">
        <f>IFERROR(VLOOKUP(B1243, PlumX_snapshot!$A:$D, 4, FALSE), " ")</f>
        <v xml:space="preserve"> </v>
      </c>
      <c r="Z1243" s="12" t="str">
        <f>IFERROR(VLOOKUP(B1243, PlumX_snapshot!$A:$E, 5, FALSE), " ")</f>
        <v xml:space="preserve"> </v>
      </c>
      <c r="AA1243" s="12" t="str">
        <f>IFERROR(VLOOKUP(B1243, PlumX_snapshot!$A:$F, 6, FALSE), " ")</f>
        <v xml:space="preserve"> </v>
      </c>
      <c r="AB1243" s="13"/>
      <c r="AC1243" s="9" t="s">
        <v>5994</v>
      </c>
      <c r="AD1243" s="9" t="s">
        <v>403</v>
      </c>
      <c r="AE1243" s="9" t="s">
        <v>5995</v>
      </c>
      <c r="AF1243" s="9" t="s">
        <v>5996</v>
      </c>
      <c r="AH1243" s="9">
        <v>2350</v>
      </c>
      <c r="AI1243" s="9" t="s">
        <v>77</v>
      </c>
      <c r="AJ1243" s="9" t="s">
        <v>301</v>
      </c>
      <c r="AK1243" s="11" t="str">
        <f t="shared" si="8"/>
        <v>2020GBP</v>
      </c>
      <c r="AL1243" s="11">
        <f>VLOOKUP(AK1243, Exchange_rates!$C:$D, 2, FALSE)</f>
        <v>1</v>
      </c>
      <c r="AM1243" s="14">
        <f t="shared" si="9"/>
        <v>2820</v>
      </c>
      <c r="AN1243" s="9"/>
      <c r="AO1243" s="9"/>
      <c r="AP1243" s="9"/>
      <c r="AQ1243" s="15" t="s">
        <v>49</v>
      </c>
      <c r="AR1243" t="s">
        <v>5566</v>
      </c>
      <c r="AS1243" s="16"/>
    </row>
    <row r="1244" spans="1:45" ht="14.5">
      <c r="A1244" s="9" t="s">
        <v>5997</v>
      </c>
      <c r="B1244" s="9" t="s">
        <v>5998</v>
      </c>
      <c r="C1244" s="9" t="s">
        <v>5618</v>
      </c>
      <c r="D1244" s="9" t="s">
        <v>5539</v>
      </c>
      <c r="E1244" s="9" t="s">
        <v>49</v>
      </c>
      <c r="F1244" s="9" t="s">
        <v>69</v>
      </c>
      <c r="G1244" s="9" t="s">
        <v>70</v>
      </c>
      <c r="H1244" s="9" t="s">
        <v>5729</v>
      </c>
      <c r="I1244" s="9" t="s">
        <v>72</v>
      </c>
      <c r="J1244" s="36">
        <v>44110</v>
      </c>
      <c r="K1244" s="36">
        <v>44105</v>
      </c>
      <c r="L1244" s="10">
        <v>44110</v>
      </c>
      <c r="M1244" s="10">
        <v>44158</v>
      </c>
      <c r="N1244" s="9">
        <v>2020</v>
      </c>
      <c r="O1244" s="9" t="s">
        <v>5619</v>
      </c>
      <c r="P1244" s="9" t="s">
        <v>83</v>
      </c>
      <c r="Q1244" s="9" t="s">
        <v>53</v>
      </c>
      <c r="T1244" s="9"/>
      <c r="V1244" s="9"/>
      <c r="W1244" s="11" t="str">
        <f>IFERROR(VLOOKUP(B1244, PlumX_snapshot!$A:$B, 2, FALSE), " ")</f>
        <v xml:space="preserve"> </v>
      </c>
      <c r="X1244" s="11" t="str">
        <f>IFERROR(VLOOKUP(B1244, PlumX_snapshot!$A:$C, 3, FALSE), " ")</f>
        <v xml:space="preserve"> </v>
      </c>
      <c r="Y1244" s="12" t="str">
        <f>IFERROR(VLOOKUP(B1244, PlumX_snapshot!$A:$D, 4, FALSE), " ")</f>
        <v xml:space="preserve"> </v>
      </c>
      <c r="Z1244" s="12" t="str">
        <f>IFERROR(VLOOKUP(B1244, PlumX_snapshot!$A:$E, 5, FALSE), " ")</f>
        <v xml:space="preserve"> </v>
      </c>
      <c r="AA1244" s="12" t="str">
        <f>IFERROR(VLOOKUP(B1244, PlumX_snapshot!$A:$F, 6, FALSE), " ")</f>
        <v xml:space="preserve"> </v>
      </c>
      <c r="AB1244" s="13"/>
      <c r="AC1244" s="9" t="s">
        <v>5999</v>
      </c>
      <c r="AD1244" s="9" t="s">
        <v>6000</v>
      </c>
      <c r="AE1244" s="9" t="s">
        <v>6001</v>
      </c>
      <c r="AF1244" s="9" t="s">
        <v>6002</v>
      </c>
      <c r="AH1244" s="9">
        <v>3350</v>
      </c>
      <c r="AI1244" s="9" t="s">
        <v>77</v>
      </c>
      <c r="AJ1244" s="9" t="s">
        <v>301</v>
      </c>
      <c r="AK1244" s="11" t="str">
        <f t="shared" si="8"/>
        <v>2020GBP</v>
      </c>
      <c r="AL1244" s="11">
        <f>VLOOKUP(AK1244, Exchange_rates!$C:$D, 2, FALSE)</f>
        <v>1</v>
      </c>
      <c r="AM1244" s="14">
        <f t="shared" si="9"/>
        <v>4020</v>
      </c>
      <c r="AN1244" s="9"/>
      <c r="AO1244" s="9"/>
      <c r="AP1244" s="9"/>
      <c r="AQ1244" s="15" t="s">
        <v>49</v>
      </c>
      <c r="AR1244" t="s">
        <v>5624</v>
      </c>
      <c r="AS1244" s="16"/>
    </row>
    <row r="1245" spans="1:45" ht="14.5">
      <c r="A1245" s="9" t="s">
        <v>6003</v>
      </c>
      <c r="B1245" s="9" t="s">
        <v>6004</v>
      </c>
      <c r="C1245" s="9" t="s">
        <v>5817</v>
      </c>
      <c r="D1245" s="9" t="s">
        <v>5539</v>
      </c>
      <c r="E1245" s="9" t="s">
        <v>49</v>
      </c>
      <c r="F1245" s="9" t="s">
        <v>69</v>
      </c>
      <c r="G1245" s="9" t="s">
        <v>70</v>
      </c>
      <c r="H1245" s="9" t="s">
        <v>5729</v>
      </c>
      <c r="I1245" s="9" t="s">
        <v>72</v>
      </c>
      <c r="J1245" s="36">
        <v>44106</v>
      </c>
      <c r="K1245" s="35">
        <v>44090</v>
      </c>
      <c r="L1245" s="10">
        <v>44106</v>
      </c>
      <c r="M1245" s="10">
        <v>44126</v>
      </c>
      <c r="N1245" s="9">
        <v>2020</v>
      </c>
      <c r="O1245" s="9" t="s">
        <v>5619</v>
      </c>
      <c r="P1245" s="9" t="s">
        <v>53</v>
      </c>
      <c r="Q1245" s="9" t="s">
        <v>53</v>
      </c>
      <c r="T1245" s="9"/>
      <c r="V1245" s="9"/>
      <c r="W1245" s="11" t="str">
        <f>IFERROR(VLOOKUP(B1245, PlumX_snapshot!$A:$B, 2, FALSE), " ")</f>
        <v xml:space="preserve"> </v>
      </c>
      <c r="X1245" s="11" t="str">
        <f>IFERROR(VLOOKUP(B1245, PlumX_snapshot!$A:$C, 3, FALSE), " ")</f>
        <v xml:space="preserve"> </v>
      </c>
      <c r="Y1245" s="12" t="str">
        <f>IFERROR(VLOOKUP(B1245, PlumX_snapshot!$A:$D, 4, FALSE), " ")</f>
        <v xml:space="preserve"> </v>
      </c>
      <c r="Z1245" s="12" t="str">
        <f>IFERROR(VLOOKUP(B1245, PlumX_snapshot!$A:$E, 5, FALSE), " ")</f>
        <v xml:space="preserve"> </v>
      </c>
      <c r="AA1245" s="12" t="str">
        <f>IFERROR(VLOOKUP(B1245, PlumX_snapshot!$A:$F, 6, FALSE), " ")</f>
        <v xml:space="preserve"> </v>
      </c>
      <c r="AB1245" s="13"/>
      <c r="AC1245" s="9" t="s">
        <v>6005</v>
      </c>
      <c r="AD1245" s="9" t="s">
        <v>6006</v>
      </c>
      <c r="AE1245" s="9" t="s">
        <v>6007</v>
      </c>
      <c r="AH1245" s="9">
        <v>1650</v>
      </c>
      <c r="AI1245" s="9" t="s">
        <v>77</v>
      </c>
      <c r="AJ1245" s="9" t="s">
        <v>301</v>
      </c>
      <c r="AK1245" s="11" t="str">
        <f t="shared" si="8"/>
        <v>2020GBP</v>
      </c>
      <c r="AL1245" s="11">
        <f>VLOOKUP(AK1245, Exchange_rates!$C:$D, 2, FALSE)</f>
        <v>1</v>
      </c>
      <c r="AM1245" s="14">
        <f t="shared" si="9"/>
        <v>1980</v>
      </c>
      <c r="AN1245" s="9"/>
      <c r="AO1245" s="9"/>
      <c r="AP1245" s="9"/>
      <c r="AQ1245" s="15" t="s">
        <v>49</v>
      </c>
      <c r="AR1245" t="s">
        <v>5820</v>
      </c>
      <c r="AS1245" s="16"/>
    </row>
    <row r="1246" spans="1:45" ht="14.5">
      <c r="A1246" s="9" t="s">
        <v>6008</v>
      </c>
      <c r="B1246" s="9" t="s">
        <v>6009</v>
      </c>
      <c r="C1246" s="9" t="s">
        <v>6010</v>
      </c>
      <c r="D1246" s="9" t="s">
        <v>5539</v>
      </c>
      <c r="E1246" s="9" t="s">
        <v>49</v>
      </c>
      <c r="F1246" s="9" t="s">
        <v>69</v>
      </c>
      <c r="G1246" s="9" t="s">
        <v>70</v>
      </c>
      <c r="H1246" s="9" t="s">
        <v>5729</v>
      </c>
      <c r="I1246" s="9" t="s">
        <v>72</v>
      </c>
      <c r="J1246" s="35">
        <v>44104</v>
      </c>
      <c r="K1246" s="35">
        <v>44089</v>
      </c>
      <c r="L1246" s="10">
        <v>44104</v>
      </c>
      <c r="M1246" s="10">
        <v>44112</v>
      </c>
      <c r="N1246" s="9">
        <v>2020</v>
      </c>
      <c r="O1246" s="9" t="s">
        <v>5619</v>
      </c>
      <c r="P1246" s="9" t="s">
        <v>83</v>
      </c>
      <c r="Q1246" s="9" t="s">
        <v>53</v>
      </c>
      <c r="T1246" s="9"/>
      <c r="V1246" s="9"/>
      <c r="W1246" s="11" t="str">
        <f>IFERROR(VLOOKUP(B1246, PlumX_snapshot!$A:$B, 2, FALSE), " ")</f>
        <v xml:space="preserve"> </v>
      </c>
      <c r="X1246" s="11" t="str">
        <f>IFERROR(VLOOKUP(B1246, PlumX_snapshot!$A:$C, 3, FALSE), " ")</f>
        <v xml:space="preserve"> </v>
      </c>
      <c r="Y1246" s="12" t="str">
        <f>IFERROR(VLOOKUP(B1246, PlumX_snapshot!$A:$D, 4, FALSE), " ")</f>
        <v xml:space="preserve"> </v>
      </c>
      <c r="Z1246" s="12" t="str">
        <f>IFERROR(VLOOKUP(B1246, PlumX_snapshot!$A:$E, 5, FALSE), " ")</f>
        <v xml:space="preserve"> </v>
      </c>
      <c r="AA1246" s="12" t="str">
        <f>IFERROR(VLOOKUP(B1246, PlumX_snapshot!$A:$F, 6, FALSE), " ")</f>
        <v xml:space="preserve"> </v>
      </c>
      <c r="AB1246" s="13"/>
      <c r="AC1246" s="9" t="s">
        <v>6011</v>
      </c>
      <c r="AD1246" s="9" t="s">
        <v>6012</v>
      </c>
      <c r="AE1246" s="9" t="s">
        <v>6013</v>
      </c>
      <c r="AF1246" s="9" t="s">
        <v>6014</v>
      </c>
      <c r="AH1246" s="9">
        <v>2450</v>
      </c>
      <c r="AI1246" s="9" t="s">
        <v>77</v>
      </c>
      <c r="AJ1246" s="9" t="s">
        <v>301</v>
      </c>
      <c r="AK1246" s="11" t="str">
        <f t="shared" si="8"/>
        <v>2020GBP</v>
      </c>
      <c r="AL1246" s="11">
        <f>VLOOKUP(AK1246, Exchange_rates!$C:$D, 2, FALSE)</f>
        <v>1</v>
      </c>
      <c r="AM1246" s="14">
        <f t="shared" si="9"/>
        <v>2940</v>
      </c>
      <c r="AN1246" s="9"/>
      <c r="AO1246" s="9"/>
      <c r="AP1246" s="9"/>
      <c r="AQ1246" s="15" t="s">
        <v>49</v>
      </c>
      <c r="AR1246" t="s">
        <v>6015</v>
      </c>
      <c r="AS1246" s="16"/>
    </row>
    <row r="1247" spans="1:45" ht="14.5">
      <c r="A1247" s="9" t="s">
        <v>6016</v>
      </c>
      <c r="B1247" s="9" t="s">
        <v>6017</v>
      </c>
      <c r="C1247" s="9" t="s">
        <v>6018</v>
      </c>
      <c r="D1247" s="9" t="s">
        <v>5539</v>
      </c>
      <c r="E1247" s="9" t="s">
        <v>125</v>
      </c>
      <c r="F1247" s="9" t="s">
        <v>69</v>
      </c>
      <c r="G1247" s="9" t="s">
        <v>70</v>
      </c>
      <c r="H1247" s="9" t="s">
        <v>5598</v>
      </c>
      <c r="I1247" s="9" t="s">
        <v>72</v>
      </c>
      <c r="J1247" s="35">
        <v>44104</v>
      </c>
      <c r="K1247" s="35">
        <v>44250</v>
      </c>
      <c r="L1247" s="10">
        <v>44110</v>
      </c>
      <c r="M1247" s="10">
        <v>44273</v>
      </c>
      <c r="N1247" s="9">
        <v>2021</v>
      </c>
      <c r="O1247" s="9" t="s">
        <v>5619</v>
      </c>
      <c r="P1247" s="9" t="s">
        <v>83</v>
      </c>
      <c r="Q1247" s="9" t="s">
        <v>53</v>
      </c>
      <c r="T1247" s="9"/>
      <c r="V1247" s="9"/>
      <c r="W1247" s="11" t="str">
        <f>IFERROR(VLOOKUP(B1247, PlumX_snapshot!$A:$B, 2, FALSE), " ")</f>
        <v xml:space="preserve"> </v>
      </c>
      <c r="X1247" s="11" t="str">
        <f>IFERROR(VLOOKUP(B1247, PlumX_snapshot!$A:$C, 3, FALSE), " ")</f>
        <v xml:space="preserve"> </v>
      </c>
      <c r="Y1247" s="12" t="str">
        <f>IFERROR(VLOOKUP(B1247, PlumX_snapshot!$A:$D, 4, FALSE), " ")</f>
        <v xml:space="preserve"> </v>
      </c>
      <c r="Z1247" s="12" t="str">
        <f>IFERROR(VLOOKUP(B1247, PlumX_snapshot!$A:$E, 5, FALSE), " ")</f>
        <v xml:space="preserve"> </v>
      </c>
      <c r="AA1247" s="12" t="str">
        <f>IFERROR(VLOOKUP(B1247, PlumX_snapshot!$A:$F, 6, FALSE), " ")</f>
        <v xml:space="preserve"> </v>
      </c>
      <c r="AB1247" s="13"/>
      <c r="AC1247" s="9" t="s">
        <v>6019</v>
      </c>
      <c r="AD1247" s="9" t="s">
        <v>6020</v>
      </c>
      <c r="AE1247" s="9" t="s">
        <v>6021</v>
      </c>
      <c r="AF1247" s="9" t="s">
        <v>6022</v>
      </c>
      <c r="AH1247" s="9">
        <v>1900</v>
      </c>
      <c r="AI1247" s="9" t="s">
        <v>77</v>
      </c>
      <c r="AJ1247" s="9" t="s">
        <v>301</v>
      </c>
      <c r="AK1247" s="11" t="str">
        <f t="shared" si="8"/>
        <v>2021GBP</v>
      </c>
      <c r="AL1247" s="11">
        <f>VLOOKUP(AK1247, Exchange_rates!$C:$D, 2, FALSE)</f>
        <v>1</v>
      </c>
      <c r="AM1247" s="14">
        <f t="shared" si="9"/>
        <v>2280</v>
      </c>
      <c r="AN1247" s="9"/>
      <c r="AO1247" s="9"/>
      <c r="AP1247" s="9"/>
      <c r="AQ1247" s="15" t="s">
        <v>125</v>
      </c>
      <c r="AR1247" t="s">
        <v>6023</v>
      </c>
      <c r="AS1247" s="16"/>
    </row>
    <row r="1248" spans="1:45" ht="14.5">
      <c r="A1248" s="9" t="s">
        <v>6024</v>
      </c>
      <c r="B1248" s="9" t="s">
        <v>6025</v>
      </c>
      <c r="C1248" s="9" t="s">
        <v>6026</v>
      </c>
      <c r="D1248" s="9" t="s">
        <v>5539</v>
      </c>
      <c r="E1248" s="9" t="s">
        <v>125</v>
      </c>
      <c r="F1248" s="9" t="s">
        <v>69</v>
      </c>
      <c r="G1248" s="9" t="s">
        <v>70</v>
      </c>
      <c r="H1248" s="9" t="s">
        <v>5598</v>
      </c>
      <c r="I1248" s="9" t="s">
        <v>72</v>
      </c>
      <c r="J1248" s="35">
        <v>44099</v>
      </c>
      <c r="K1248" s="36">
        <v>44262</v>
      </c>
      <c r="L1248" s="10">
        <v>44106</v>
      </c>
      <c r="M1248" s="10">
        <v>44325</v>
      </c>
      <c r="N1248" s="9">
        <v>2021</v>
      </c>
      <c r="O1248" s="9" t="s">
        <v>5619</v>
      </c>
      <c r="P1248" s="9" t="s">
        <v>83</v>
      </c>
      <c r="Q1248" s="9" t="s">
        <v>53</v>
      </c>
      <c r="T1248" s="9"/>
      <c r="V1248" s="9"/>
      <c r="W1248" s="11" t="str">
        <f>IFERROR(VLOOKUP(B1248, PlumX_snapshot!$A:$B, 2, FALSE), " ")</f>
        <v xml:space="preserve"> </v>
      </c>
      <c r="X1248" s="11" t="str">
        <f>IFERROR(VLOOKUP(B1248, PlumX_snapshot!$A:$C, 3, FALSE), " ")</f>
        <v xml:space="preserve"> </v>
      </c>
      <c r="Y1248" s="12" t="str">
        <f>IFERROR(VLOOKUP(B1248, PlumX_snapshot!$A:$D, 4, FALSE), " ")</f>
        <v xml:space="preserve"> </v>
      </c>
      <c r="Z1248" s="12" t="str">
        <f>IFERROR(VLOOKUP(B1248, PlumX_snapshot!$A:$E, 5, FALSE), " ")</f>
        <v xml:space="preserve"> </v>
      </c>
      <c r="AA1248" s="12" t="str">
        <f>IFERROR(VLOOKUP(B1248, PlumX_snapshot!$A:$F, 6, FALSE), " ")</f>
        <v xml:space="preserve"> </v>
      </c>
      <c r="AB1248" s="13"/>
      <c r="AC1248" s="9" t="s">
        <v>6027</v>
      </c>
      <c r="AD1248" s="9" t="s">
        <v>6028</v>
      </c>
      <c r="AE1248" s="9" t="s">
        <v>6029</v>
      </c>
      <c r="AF1248" s="9" t="s">
        <v>6030</v>
      </c>
      <c r="AH1248" s="9">
        <v>1501</v>
      </c>
      <c r="AI1248" s="9" t="s">
        <v>77</v>
      </c>
      <c r="AJ1248" s="9" t="s">
        <v>301</v>
      </c>
      <c r="AK1248" s="11" t="str">
        <f t="shared" si="8"/>
        <v>2021GBP</v>
      </c>
      <c r="AL1248" s="11">
        <f>VLOOKUP(AK1248, Exchange_rates!$C:$D, 2, FALSE)</f>
        <v>1</v>
      </c>
      <c r="AM1248" s="14">
        <f t="shared" si="9"/>
        <v>1801.2</v>
      </c>
      <c r="AN1248" s="9"/>
      <c r="AO1248" s="9"/>
      <c r="AP1248" s="9"/>
      <c r="AQ1248" s="15" t="s">
        <v>125</v>
      </c>
      <c r="AR1248" t="s">
        <v>6031</v>
      </c>
      <c r="AS1248" s="16"/>
    </row>
    <row r="1249" spans="1:45" ht="14.5">
      <c r="A1249" s="9" t="s">
        <v>6032</v>
      </c>
      <c r="B1249" s="9" t="s">
        <v>6033</v>
      </c>
      <c r="C1249" s="9" t="s">
        <v>6034</v>
      </c>
      <c r="D1249" s="9" t="s">
        <v>5539</v>
      </c>
      <c r="E1249" s="9" t="s">
        <v>49</v>
      </c>
      <c r="F1249" s="9" t="s">
        <v>69</v>
      </c>
      <c r="G1249" s="9" t="s">
        <v>70</v>
      </c>
      <c r="H1249" s="9" t="s">
        <v>5729</v>
      </c>
      <c r="I1249" s="9" t="s">
        <v>72</v>
      </c>
      <c r="J1249" s="35">
        <v>44097</v>
      </c>
      <c r="K1249" s="35">
        <v>44084</v>
      </c>
      <c r="L1249" s="10">
        <v>44097</v>
      </c>
      <c r="M1249" s="10">
        <v>44147</v>
      </c>
      <c r="N1249" s="9">
        <v>2020</v>
      </c>
      <c r="O1249" s="9" t="s">
        <v>5619</v>
      </c>
      <c r="P1249" s="9" t="s">
        <v>53</v>
      </c>
      <c r="Q1249" s="9" t="s">
        <v>53</v>
      </c>
      <c r="T1249" s="9"/>
      <c r="V1249" s="9"/>
      <c r="W1249" s="11" t="str">
        <f>IFERROR(VLOOKUP(B1249, PlumX_snapshot!$A:$B, 2, FALSE), " ")</f>
        <v xml:space="preserve"> </v>
      </c>
      <c r="X1249" s="11" t="str">
        <f>IFERROR(VLOOKUP(B1249, PlumX_snapshot!$A:$C, 3, FALSE), " ")</f>
        <v xml:space="preserve"> </v>
      </c>
      <c r="Y1249" s="12" t="str">
        <f>IFERROR(VLOOKUP(B1249, PlumX_snapshot!$A:$D, 4, FALSE), " ")</f>
        <v xml:space="preserve"> </v>
      </c>
      <c r="Z1249" s="12" t="str">
        <f>IFERROR(VLOOKUP(B1249, PlumX_snapshot!$A:$E, 5, FALSE), " ")</f>
        <v xml:space="preserve"> </v>
      </c>
      <c r="AA1249" s="12" t="str">
        <f>IFERROR(VLOOKUP(B1249, PlumX_snapshot!$A:$F, 6, FALSE), " ")</f>
        <v xml:space="preserve"> </v>
      </c>
      <c r="AB1249" s="13"/>
      <c r="AC1249" s="9" t="s">
        <v>5987</v>
      </c>
      <c r="AD1249" s="9" t="s">
        <v>5988</v>
      </c>
      <c r="AF1249" s="9" t="s">
        <v>6035</v>
      </c>
      <c r="AH1249" s="9">
        <v>2000</v>
      </c>
      <c r="AI1249" s="9" t="s">
        <v>77</v>
      </c>
      <c r="AJ1249" s="9" t="s">
        <v>301</v>
      </c>
      <c r="AK1249" s="11" t="str">
        <f t="shared" si="8"/>
        <v>2020GBP</v>
      </c>
      <c r="AL1249" s="11">
        <f>VLOOKUP(AK1249, Exchange_rates!$C:$D, 2, FALSE)</f>
        <v>1</v>
      </c>
      <c r="AM1249" s="14">
        <f t="shared" si="9"/>
        <v>2400</v>
      </c>
      <c r="AN1249" s="9"/>
      <c r="AO1249" s="9"/>
      <c r="AP1249" s="9"/>
      <c r="AQ1249" s="15" t="s">
        <v>49</v>
      </c>
      <c r="AR1249" t="s">
        <v>6036</v>
      </c>
      <c r="AS1249" s="16" t="s">
        <v>6037</v>
      </c>
    </row>
    <row r="1250" spans="1:45" ht="14.5">
      <c r="A1250" s="9" t="s">
        <v>6038</v>
      </c>
      <c r="B1250" s="9" t="s">
        <v>6039</v>
      </c>
      <c r="C1250" s="9" t="s">
        <v>6040</v>
      </c>
      <c r="D1250" s="9" t="s">
        <v>5539</v>
      </c>
      <c r="E1250" s="9" t="s">
        <v>49</v>
      </c>
      <c r="F1250" s="9" t="s">
        <v>69</v>
      </c>
      <c r="G1250" s="9" t="s">
        <v>70</v>
      </c>
      <c r="H1250" s="9" t="s">
        <v>5729</v>
      </c>
      <c r="I1250" s="9" t="s">
        <v>72</v>
      </c>
      <c r="J1250" s="35">
        <v>44096</v>
      </c>
      <c r="K1250" s="35">
        <v>44089</v>
      </c>
      <c r="L1250" s="10">
        <v>44097</v>
      </c>
      <c r="M1250" s="10">
        <v>44123</v>
      </c>
      <c r="N1250" s="9">
        <v>2020</v>
      </c>
      <c r="O1250" s="9" t="s">
        <v>5619</v>
      </c>
      <c r="P1250" s="9" t="s">
        <v>53</v>
      </c>
      <c r="Q1250" s="9" t="s">
        <v>53</v>
      </c>
      <c r="T1250" s="9"/>
      <c r="V1250" s="9"/>
      <c r="W1250" s="11" t="str">
        <f>IFERROR(VLOOKUP(B1250, PlumX_snapshot!$A:$B, 2, FALSE), " ")</f>
        <v xml:space="preserve"> </v>
      </c>
      <c r="X1250" s="11" t="str">
        <f>IFERROR(VLOOKUP(B1250, PlumX_snapshot!$A:$C, 3, FALSE), " ")</f>
        <v xml:space="preserve"> </v>
      </c>
      <c r="Y1250" s="12" t="str">
        <f>IFERROR(VLOOKUP(B1250, PlumX_snapshot!$A:$D, 4, FALSE), " ")</f>
        <v xml:space="preserve"> </v>
      </c>
      <c r="Z1250" s="12" t="str">
        <f>IFERROR(VLOOKUP(B1250, PlumX_snapshot!$A:$E, 5, FALSE), " ")</f>
        <v xml:space="preserve"> </v>
      </c>
      <c r="AA1250" s="12" t="str">
        <f>IFERROR(VLOOKUP(B1250, PlumX_snapshot!$A:$F, 6, FALSE), " ")</f>
        <v xml:space="preserve"> </v>
      </c>
      <c r="AB1250" s="13"/>
      <c r="AC1250" s="9" t="s">
        <v>6041</v>
      </c>
      <c r="AD1250" s="9" t="s">
        <v>6042</v>
      </c>
      <c r="AE1250" s="9" t="s">
        <v>6043</v>
      </c>
      <c r="AF1250" s="9" t="s">
        <v>6044</v>
      </c>
      <c r="AH1250" s="9">
        <v>1800</v>
      </c>
      <c r="AI1250" s="9" t="s">
        <v>77</v>
      </c>
      <c r="AJ1250" s="9" t="s">
        <v>301</v>
      </c>
      <c r="AK1250" s="11" t="str">
        <f t="shared" si="8"/>
        <v>2020GBP</v>
      </c>
      <c r="AL1250" s="11">
        <f>VLOOKUP(AK1250, Exchange_rates!$C:$D, 2, FALSE)</f>
        <v>1</v>
      </c>
      <c r="AM1250" s="14">
        <f t="shared" si="9"/>
        <v>2160</v>
      </c>
      <c r="AN1250" s="9"/>
      <c r="AO1250" s="9"/>
      <c r="AP1250" s="9"/>
      <c r="AQ1250" s="15" t="s">
        <v>49</v>
      </c>
      <c r="AR1250" t="s">
        <v>6045</v>
      </c>
      <c r="AS1250" s="16"/>
    </row>
    <row r="1251" spans="1:45" ht="14.5">
      <c r="A1251" s="9" t="s">
        <v>6046</v>
      </c>
      <c r="B1251" s="9" t="s">
        <v>6047</v>
      </c>
      <c r="C1251" s="9" t="s">
        <v>5854</v>
      </c>
      <c r="D1251" s="9" t="s">
        <v>5539</v>
      </c>
      <c r="E1251" s="9" t="s">
        <v>49</v>
      </c>
      <c r="F1251" s="9" t="s">
        <v>69</v>
      </c>
      <c r="G1251" s="9" t="s">
        <v>70</v>
      </c>
      <c r="H1251" s="9" t="s">
        <v>5598</v>
      </c>
      <c r="I1251" s="9" t="s">
        <v>291</v>
      </c>
      <c r="J1251" s="35">
        <v>44091</v>
      </c>
      <c r="K1251" s="29"/>
      <c r="L1251" s="10">
        <v>44092</v>
      </c>
      <c r="M1251" s="10">
        <v>44212</v>
      </c>
      <c r="N1251" s="9">
        <v>2021</v>
      </c>
      <c r="O1251" s="9" t="s">
        <v>5619</v>
      </c>
      <c r="P1251" s="9" t="s">
        <v>53</v>
      </c>
      <c r="Q1251" s="9" t="s">
        <v>53</v>
      </c>
      <c r="T1251" s="9"/>
      <c r="V1251" s="9"/>
      <c r="W1251" s="11" t="str">
        <f>IFERROR(VLOOKUP(B1251, PlumX_snapshot!$A:$B, 2, FALSE), " ")</f>
        <v xml:space="preserve"> </v>
      </c>
      <c r="X1251" s="11" t="str">
        <f>IFERROR(VLOOKUP(B1251, PlumX_snapshot!$A:$C, 3, FALSE), " ")</f>
        <v xml:space="preserve"> </v>
      </c>
      <c r="Y1251" s="12" t="str">
        <f>IFERROR(VLOOKUP(B1251, PlumX_snapshot!$A:$D, 4, FALSE), " ")</f>
        <v xml:space="preserve"> </v>
      </c>
      <c r="Z1251" s="12" t="str">
        <f>IFERROR(VLOOKUP(B1251, PlumX_snapshot!$A:$E, 5, FALSE), " ")</f>
        <v xml:space="preserve"> </v>
      </c>
      <c r="AA1251" s="12" t="str">
        <f>IFERROR(VLOOKUP(B1251, PlumX_snapshot!$A:$F, 6, FALSE), " ")</f>
        <v xml:space="preserve"> </v>
      </c>
      <c r="AB1251" s="13"/>
      <c r="AC1251" s="9" t="s">
        <v>6048</v>
      </c>
      <c r="AD1251" s="9" t="s">
        <v>6049</v>
      </c>
      <c r="AH1251" s="9">
        <v>2250</v>
      </c>
      <c r="AI1251" s="9" t="s">
        <v>77</v>
      </c>
      <c r="AJ1251" s="9" t="s">
        <v>301</v>
      </c>
      <c r="AK1251" s="11" t="str">
        <f t="shared" si="8"/>
        <v>2021GBP</v>
      </c>
      <c r="AL1251" s="11">
        <f>VLOOKUP(AK1251, Exchange_rates!$C:$D, 2, FALSE)</f>
        <v>1</v>
      </c>
      <c r="AM1251" s="14">
        <f t="shared" si="9"/>
        <v>2700</v>
      </c>
      <c r="AN1251" s="9"/>
      <c r="AO1251" s="9"/>
      <c r="AP1251" s="9"/>
      <c r="AQ1251" s="15" t="s">
        <v>49</v>
      </c>
      <c r="AS1251" s="16" t="s">
        <v>5858</v>
      </c>
    </row>
    <row r="1252" spans="1:45" ht="14.5">
      <c r="A1252" s="9" t="s">
        <v>6050</v>
      </c>
      <c r="B1252" s="9" t="s">
        <v>6051</v>
      </c>
      <c r="C1252" s="9" t="s">
        <v>5682</v>
      </c>
      <c r="D1252" s="9" t="s">
        <v>5539</v>
      </c>
      <c r="E1252" s="9" t="s">
        <v>49</v>
      </c>
      <c r="F1252" s="9" t="s">
        <v>69</v>
      </c>
      <c r="G1252" s="9" t="s">
        <v>70</v>
      </c>
      <c r="H1252" s="9" t="s">
        <v>5729</v>
      </c>
      <c r="I1252" s="9" t="s">
        <v>72</v>
      </c>
      <c r="J1252" s="35">
        <v>44088</v>
      </c>
      <c r="K1252" s="36">
        <v>44081</v>
      </c>
      <c r="L1252" s="10">
        <v>44089</v>
      </c>
      <c r="M1252" s="10">
        <v>44099</v>
      </c>
      <c r="N1252" s="9">
        <v>2020</v>
      </c>
      <c r="O1252" s="9" t="s">
        <v>5619</v>
      </c>
      <c r="P1252" s="9" t="s">
        <v>83</v>
      </c>
      <c r="Q1252" s="9" t="s">
        <v>53</v>
      </c>
      <c r="T1252" s="9"/>
      <c r="V1252" s="9"/>
      <c r="W1252" s="11" t="str">
        <f>IFERROR(VLOOKUP(B1252, PlumX_snapshot!$A:$B, 2, FALSE), " ")</f>
        <v xml:space="preserve"> </v>
      </c>
      <c r="X1252" s="11" t="str">
        <f>IFERROR(VLOOKUP(B1252, PlumX_snapshot!$A:$C, 3, FALSE), " ")</f>
        <v xml:space="preserve"> </v>
      </c>
      <c r="Y1252" s="12" t="str">
        <f>IFERROR(VLOOKUP(B1252, PlumX_snapshot!$A:$D, 4, FALSE), " ")</f>
        <v xml:space="preserve"> </v>
      </c>
      <c r="Z1252" s="12" t="str">
        <f>IFERROR(VLOOKUP(B1252, PlumX_snapshot!$A:$E, 5, FALSE), " ")</f>
        <v xml:space="preserve"> </v>
      </c>
      <c r="AA1252" s="12" t="str">
        <f>IFERROR(VLOOKUP(B1252, PlumX_snapshot!$A:$F, 6, FALSE), " ")</f>
        <v xml:space="preserve"> </v>
      </c>
      <c r="AB1252" s="13"/>
      <c r="AC1252" s="9" t="s">
        <v>5686</v>
      </c>
      <c r="AD1252" s="9" t="s">
        <v>4440</v>
      </c>
      <c r="AE1252" s="9" t="s">
        <v>5687</v>
      </c>
      <c r="AF1252" s="9" t="s">
        <v>6052</v>
      </c>
      <c r="AH1252" s="9">
        <v>2000</v>
      </c>
      <c r="AI1252" s="9" t="s">
        <v>77</v>
      </c>
      <c r="AJ1252" s="9" t="s">
        <v>301</v>
      </c>
      <c r="AK1252" s="11" t="str">
        <f t="shared" si="8"/>
        <v>2020GBP</v>
      </c>
      <c r="AL1252" s="11">
        <f>VLOOKUP(AK1252, Exchange_rates!$C:$D, 2, FALSE)</f>
        <v>1</v>
      </c>
      <c r="AM1252" s="14">
        <f t="shared" si="9"/>
        <v>2400</v>
      </c>
      <c r="AN1252" s="9"/>
      <c r="AO1252" s="9"/>
      <c r="AP1252" s="9"/>
      <c r="AQ1252" s="15" t="s">
        <v>49</v>
      </c>
      <c r="AR1252" t="s">
        <v>5615</v>
      </c>
      <c r="AS1252" s="16"/>
    </row>
    <row r="1253" spans="1:45" ht="14.5">
      <c r="A1253" s="9" t="s">
        <v>6053</v>
      </c>
      <c r="B1253" s="9" t="s">
        <v>6054</v>
      </c>
      <c r="C1253" s="9" t="s">
        <v>5634</v>
      </c>
      <c r="D1253" s="9" t="s">
        <v>5539</v>
      </c>
      <c r="E1253" s="9" t="s">
        <v>49</v>
      </c>
      <c r="F1253" s="9" t="s">
        <v>69</v>
      </c>
      <c r="G1253" s="9" t="s">
        <v>70</v>
      </c>
      <c r="H1253" s="9" t="s">
        <v>5729</v>
      </c>
      <c r="I1253" s="9" t="s">
        <v>72</v>
      </c>
      <c r="J1253" s="35">
        <v>44085</v>
      </c>
      <c r="K1253" s="35">
        <v>44085</v>
      </c>
      <c r="L1253" s="10">
        <v>44089</v>
      </c>
      <c r="M1253" s="10">
        <v>44131</v>
      </c>
      <c r="N1253" s="9">
        <v>2020</v>
      </c>
      <c r="O1253" s="9" t="s">
        <v>5619</v>
      </c>
      <c r="P1253" s="9" t="s">
        <v>53</v>
      </c>
      <c r="Q1253" s="9" t="s">
        <v>53</v>
      </c>
      <c r="T1253" s="9"/>
      <c r="V1253" s="9"/>
      <c r="W1253" s="11" t="str">
        <f>IFERROR(VLOOKUP(B1253, PlumX_snapshot!$A:$B, 2, FALSE), " ")</f>
        <v xml:space="preserve"> </v>
      </c>
      <c r="X1253" s="11" t="str">
        <f>IFERROR(VLOOKUP(B1253, PlumX_snapshot!$A:$C, 3, FALSE), " ")</f>
        <v xml:space="preserve"> </v>
      </c>
      <c r="Y1253" s="12" t="str">
        <f>IFERROR(VLOOKUP(B1253, PlumX_snapshot!$A:$D, 4, FALSE), " ")</f>
        <v xml:space="preserve"> </v>
      </c>
      <c r="Z1253" s="12" t="str">
        <f>IFERROR(VLOOKUP(B1253, PlumX_snapshot!$A:$E, 5, FALSE), " ")</f>
        <v xml:space="preserve"> </v>
      </c>
      <c r="AA1253" s="12" t="str">
        <f>IFERROR(VLOOKUP(B1253, PlumX_snapshot!$A:$F, 6, FALSE), " ")</f>
        <v xml:space="preserve"> </v>
      </c>
      <c r="AB1253" s="13"/>
      <c r="AC1253" s="9" t="s">
        <v>6055</v>
      </c>
      <c r="AD1253" s="9" t="s">
        <v>6056</v>
      </c>
      <c r="AE1253" s="9" t="s">
        <v>6057</v>
      </c>
      <c r="AF1253" s="9" t="s">
        <v>6058</v>
      </c>
      <c r="AH1253" s="9">
        <v>2650</v>
      </c>
      <c r="AI1253" s="9" t="s">
        <v>77</v>
      </c>
      <c r="AJ1253" s="9" t="s">
        <v>301</v>
      </c>
      <c r="AK1253" s="11" t="str">
        <f t="shared" si="8"/>
        <v>2020GBP</v>
      </c>
      <c r="AL1253" s="11">
        <f>VLOOKUP(AK1253, Exchange_rates!$C:$D, 2, FALSE)</f>
        <v>1</v>
      </c>
      <c r="AM1253" s="14">
        <f t="shared" si="9"/>
        <v>3180</v>
      </c>
      <c r="AN1253" s="9"/>
      <c r="AO1253" s="9"/>
      <c r="AP1253" s="9"/>
      <c r="AQ1253" s="15" t="s">
        <v>49</v>
      </c>
      <c r="AR1253" t="s">
        <v>5551</v>
      </c>
      <c r="AS1253" s="16"/>
    </row>
    <row r="1254" spans="1:45" ht="14.5">
      <c r="A1254" s="9" t="s">
        <v>6059</v>
      </c>
      <c r="B1254" s="9" t="s">
        <v>6060</v>
      </c>
      <c r="C1254" s="9" t="s">
        <v>6061</v>
      </c>
      <c r="D1254" s="9" t="s">
        <v>5539</v>
      </c>
      <c r="E1254" s="9" t="s">
        <v>49</v>
      </c>
      <c r="F1254" s="9" t="s">
        <v>69</v>
      </c>
      <c r="G1254" s="9" t="s">
        <v>70</v>
      </c>
      <c r="H1254" s="9" t="s">
        <v>5729</v>
      </c>
      <c r="I1254" s="9" t="s">
        <v>72</v>
      </c>
      <c r="J1254" s="35">
        <v>44084</v>
      </c>
      <c r="K1254" s="36">
        <v>44075</v>
      </c>
      <c r="L1254" s="10">
        <v>44085</v>
      </c>
      <c r="M1254" s="10">
        <v>44093</v>
      </c>
      <c r="N1254" s="9">
        <v>2020</v>
      </c>
      <c r="O1254" s="9" t="s">
        <v>5619</v>
      </c>
      <c r="P1254" s="9" t="s">
        <v>53</v>
      </c>
      <c r="Q1254" s="9" t="s">
        <v>83</v>
      </c>
      <c r="T1254" s="9"/>
      <c r="V1254" s="9"/>
      <c r="W1254" s="11" t="str">
        <f>IFERROR(VLOOKUP(B1254, PlumX_snapshot!$A:$B, 2, FALSE), " ")</f>
        <v xml:space="preserve"> </v>
      </c>
      <c r="X1254" s="11" t="str">
        <f>IFERROR(VLOOKUP(B1254, PlumX_snapshot!$A:$C, 3, FALSE), " ")</f>
        <v xml:space="preserve"> </v>
      </c>
      <c r="Y1254" s="12" t="str">
        <f>IFERROR(VLOOKUP(B1254, PlumX_snapshot!$A:$D, 4, FALSE), " ")</f>
        <v xml:space="preserve"> </v>
      </c>
      <c r="Z1254" s="12" t="str">
        <f>IFERROR(VLOOKUP(B1254, PlumX_snapshot!$A:$E, 5, FALSE), " ")</f>
        <v xml:space="preserve"> </v>
      </c>
      <c r="AA1254" s="12" t="str">
        <f>IFERROR(VLOOKUP(B1254, PlumX_snapshot!$A:$F, 6, FALSE), " ")</f>
        <v xml:space="preserve"> </v>
      </c>
      <c r="AB1254" s="13"/>
      <c r="AC1254" s="9" t="s">
        <v>6062</v>
      </c>
      <c r="AD1254" s="9" t="s">
        <v>6063</v>
      </c>
      <c r="AE1254" s="9" t="s">
        <v>6064</v>
      </c>
      <c r="AF1254" s="9" t="s">
        <v>6065</v>
      </c>
      <c r="AH1254" s="9">
        <v>2450</v>
      </c>
      <c r="AI1254" s="9" t="s">
        <v>77</v>
      </c>
      <c r="AJ1254" s="9" t="s">
        <v>301</v>
      </c>
      <c r="AK1254" s="11" t="str">
        <f t="shared" si="8"/>
        <v>2020GBP</v>
      </c>
      <c r="AL1254" s="11">
        <f>VLOOKUP(AK1254, Exchange_rates!$C:$D, 2, FALSE)</f>
        <v>1</v>
      </c>
      <c r="AM1254" s="14">
        <f t="shared" si="9"/>
        <v>2940</v>
      </c>
      <c r="AN1254" s="9"/>
      <c r="AO1254" s="9"/>
      <c r="AP1254" s="9"/>
      <c r="AQ1254" s="15" t="s">
        <v>49</v>
      </c>
      <c r="AR1254" t="s">
        <v>6066</v>
      </c>
      <c r="AS1254" s="16"/>
    </row>
    <row r="1255" spans="1:45" ht="14.5">
      <c r="A1255" s="9" t="s">
        <v>6067</v>
      </c>
      <c r="B1255" s="9" t="s">
        <v>6068</v>
      </c>
      <c r="C1255" s="9" t="s">
        <v>6069</v>
      </c>
      <c r="D1255" s="9" t="s">
        <v>5539</v>
      </c>
      <c r="E1255" s="9" t="s">
        <v>49</v>
      </c>
      <c r="F1255" s="9" t="s">
        <v>69</v>
      </c>
      <c r="G1255" s="9" t="s">
        <v>70</v>
      </c>
      <c r="H1255" s="9" t="s">
        <v>5729</v>
      </c>
      <c r="I1255" s="9" t="s">
        <v>72</v>
      </c>
      <c r="J1255" s="36">
        <v>44083</v>
      </c>
      <c r="K1255" s="35">
        <v>44054</v>
      </c>
      <c r="L1255" s="10">
        <v>44083</v>
      </c>
      <c r="M1255" s="10">
        <v>44160</v>
      </c>
      <c r="N1255" s="9">
        <v>2020</v>
      </c>
      <c r="O1255" s="9" t="s">
        <v>5619</v>
      </c>
      <c r="P1255" s="9" t="s">
        <v>53</v>
      </c>
      <c r="Q1255" s="9" t="s">
        <v>53</v>
      </c>
      <c r="T1255" s="9"/>
      <c r="V1255" s="9"/>
      <c r="W1255" s="11" t="str">
        <f>IFERROR(VLOOKUP(B1255, PlumX_snapshot!$A:$B, 2, FALSE), " ")</f>
        <v xml:space="preserve"> </v>
      </c>
      <c r="X1255" s="11" t="str">
        <f>IFERROR(VLOOKUP(B1255, PlumX_snapshot!$A:$C, 3, FALSE), " ")</f>
        <v xml:space="preserve"> </v>
      </c>
      <c r="Y1255" s="12" t="str">
        <f>IFERROR(VLOOKUP(B1255, PlumX_snapshot!$A:$D, 4, FALSE), " ")</f>
        <v xml:space="preserve"> </v>
      </c>
      <c r="Z1255" s="12" t="str">
        <f>IFERROR(VLOOKUP(B1255, PlumX_snapshot!$A:$E, 5, FALSE), " ")</f>
        <v xml:space="preserve"> </v>
      </c>
      <c r="AA1255" s="12" t="str">
        <f>IFERROR(VLOOKUP(B1255, PlumX_snapshot!$A:$F, 6, FALSE), " ")</f>
        <v xml:space="preserve"> </v>
      </c>
      <c r="AB1255" s="13"/>
      <c r="AC1255" s="9" t="s">
        <v>6070</v>
      </c>
      <c r="AD1255" s="9" t="s">
        <v>6071</v>
      </c>
      <c r="AE1255" s="9" t="s">
        <v>6072</v>
      </c>
      <c r="AF1255" s="9" t="s">
        <v>6073</v>
      </c>
      <c r="AH1255" s="9">
        <v>2000</v>
      </c>
      <c r="AI1255" s="9" t="s">
        <v>77</v>
      </c>
      <c r="AJ1255" s="9" t="s">
        <v>301</v>
      </c>
      <c r="AK1255" s="11" t="str">
        <f t="shared" si="8"/>
        <v>2020GBP</v>
      </c>
      <c r="AL1255" s="11">
        <f>VLOOKUP(AK1255, Exchange_rates!$C:$D, 2, FALSE)</f>
        <v>1</v>
      </c>
      <c r="AM1255" s="14">
        <f t="shared" si="9"/>
        <v>2400</v>
      </c>
      <c r="AN1255" s="9"/>
      <c r="AO1255" s="9"/>
      <c r="AP1255" s="9"/>
      <c r="AQ1255" s="15" t="s">
        <v>49</v>
      </c>
      <c r="AR1255" t="s">
        <v>6074</v>
      </c>
      <c r="AS1255" s="16"/>
    </row>
    <row r="1256" spans="1:45" ht="14.5">
      <c r="A1256" s="9" t="s">
        <v>6075</v>
      </c>
      <c r="B1256" s="9" t="s">
        <v>6076</v>
      </c>
      <c r="C1256" s="9" t="s">
        <v>6077</v>
      </c>
      <c r="D1256" s="9" t="s">
        <v>5539</v>
      </c>
      <c r="E1256" s="9" t="s">
        <v>49</v>
      </c>
      <c r="F1256" s="9" t="s">
        <v>69</v>
      </c>
      <c r="G1256" s="9" t="s">
        <v>70</v>
      </c>
      <c r="H1256" s="9" t="s">
        <v>5729</v>
      </c>
      <c r="I1256" s="9" t="s">
        <v>291</v>
      </c>
      <c r="J1256" s="36">
        <v>44081</v>
      </c>
      <c r="K1256" s="36">
        <v>44076</v>
      </c>
      <c r="L1256" s="10">
        <v>44082</v>
      </c>
      <c r="M1256" s="10">
        <v>44098</v>
      </c>
      <c r="N1256" s="9">
        <v>2020</v>
      </c>
      <c r="O1256" s="9" t="s">
        <v>5619</v>
      </c>
      <c r="P1256" s="9" t="s">
        <v>53</v>
      </c>
      <c r="Q1256" s="9" t="s">
        <v>53</v>
      </c>
      <c r="T1256" s="9"/>
      <c r="V1256" s="9"/>
      <c r="W1256" s="11" t="str">
        <f>IFERROR(VLOOKUP(B1256, PlumX_snapshot!$A:$B, 2, FALSE), " ")</f>
        <v xml:space="preserve"> </v>
      </c>
      <c r="X1256" s="11" t="str">
        <f>IFERROR(VLOOKUP(B1256, PlumX_snapshot!$A:$C, 3, FALSE), " ")</f>
        <v xml:space="preserve"> </v>
      </c>
      <c r="Y1256" s="12" t="str">
        <f>IFERROR(VLOOKUP(B1256, PlumX_snapshot!$A:$D, 4, FALSE), " ")</f>
        <v xml:space="preserve"> </v>
      </c>
      <c r="Z1256" s="12" t="str">
        <f>IFERROR(VLOOKUP(B1256, PlumX_snapshot!$A:$E, 5, FALSE), " ")</f>
        <v xml:space="preserve"> </v>
      </c>
      <c r="AA1256" s="12" t="str">
        <f>IFERROR(VLOOKUP(B1256, PlumX_snapshot!$A:$F, 6, FALSE), " ")</f>
        <v xml:space="preserve"> </v>
      </c>
      <c r="AB1256" s="13"/>
      <c r="AC1256" s="9" t="s">
        <v>6078</v>
      </c>
      <c r="AD1256" s="9" t="s">
        <v>6079</v>
      </c>
      <c r="AE1256" s="9" t="s">
        <v>6080</v>
      </c>
      <c r="AF1256" s="9" t="s">
        <v>6081</v>
      </c>
      <c r="AH1256" s="9">
        <v>2400</v>
      </c>
      <c r="AI1256" s="9" t="s">
        <v>77</v>
      </c>
      <c r="AJ1256" s="9" t="s">
        <v>301</v>
      </c>
      <c r="AK1256" s="11" t="str">
        <f t="shared" si="8"/>
        <v>2020GBP</v>
      </c>
      <c r="AL1256" s="11">
        <f>VLOOKUP(AK1256, Exchange_rates!$C:$D, 2, FALSE)</f>
        <v>1</v>
      </c>
      <c r="AM1256" s="14">
        <f t="shared" si="9"/>
        <v>2880</v>
      </c>
      <c r="AN1256" s="9"/>
      <c r="AO1256" s="9"/>
      <c r="AP1256" s="9"/>
      <c r="AQ1256" s="15" t="s">
        <v>49</v>
      </c>
      <c r="AR1256" t="s">
        <v>6082</v>
      </c>
      <c r="AS1256" s="16"/>
    </row>
    <row r="1257" spans="1:45" ht="14.5">
      <c r="A1257" s="9" t="s">
        <v>6083</v>
      </c>
      <c r="B1257" s="9" t="s">
        <v>6084</v>
      </c>
      <c r="C1257" s="9" t="s">
        <v>6085</v>
      </c>
      <c r="D1257" s="9" t="s">
        <v>5539</v>
      </c>
      <c r="E1257" s="9" t="s">
        <v>49</v>
      </c>
      <c r="F1257" s="9" t="s">
        <v>69</v>
      </c>
      <c r="G1257" s="9" t="s">
        <v>70</v>
      </c>
      <c r="H1257" s="9" t="s">
        <v>5729</v>
      </c>
      <c r="I1257" s="9" t="s">
        <v>72</v>
      </c>
      <c r="J1257" s="36">
        <v>44076</v>
      </c>
      <c r="K1257" s="35">
        <v>44073</v>
      </c>
      <c r="L1257" s="10">
        <v>44076</v>
      </c>
      <c r="M1257" s="10">
        <v>44137</v>
      </c>
      <c r="N1257" s="9">
        <v>2020</v>
      </c>
      <c r="O1257" s="9" t="s">
        <v>5619</v>
      </c>
      <c r="P1257" s="9" t="s">
        <v>83</v>
      </c>
      <c r="Q1257" s="9" t="s">
        <v>53</v>
      </c>
      <c r="T1257" s="9"/>
      <c r="V1257" s="9"/>
      <c r="W1257" s="11" t="str">
        <f>IFERROR(VLOOKUP(B1257, PlumX_snapshot!$A:$B, 2, FALSE), " ")</f>
        <v xml:space="preserve"> </v>
      </c>
      <c r="X1257" s="11" t="str">
        <f>IFERROR(VLOOKUP(B1257, PlumX_snapshot!$A:$C, 3, FALSE), " ")</f>
        <v xml:space="preserve"> </v>
      </c>
      <c r="Y1257" s="12" t="str">
        <f>IFERROR(VLOOKUP(B1257, PlumX_snapshot!$A:$D, 4, FALSE), " ")</f>
        <v xml:space="preserve"> </v>
      </c>
      <c r="Z1257" s="12" t="str">
        <f>IFERROR(VLOOKUP(B1257, PlumX_snapshot!$A:$E, 5, FALSE), " ")</f>
        <v xml:space="preserve"> </v>
      </c>
      <c r="AA1257" s="12" t="str">
        <f>IFERROR(VLOOKUP(B1257, PlumX_snapshot!$A:$F, 6, FALSE), " ")</f>
        <v xml:space="preserve"> </v>
      </c>
      <c r="AB1257" s="13"/>
      <c r="AC1257" s="9" t="s">
        <v>6086</v>
      </c>
      <c r="AD1257" s="9" t="s">
        <v>6087</v>
      </c>
      <c r="AE1257" s="9" t="s">
        <v>6088</v>
      </c>
      <c r="AF1257" s="9" t="s">
        <v>6089</v>
      </c>
      <c r="AH1257" s="9">
        <v>2350</v>
      </c>
      <c r="AI1257" s="9" t="s">
        <v>77</v>
      </c>
      <c r="AJ1257" s="9" t="s">
        <v>301</v>
      </c>
      <c r="AK1257" s="11" t="str">
        <f t="shared" si="8"/>
        <v>2020GBP</v>
      </c>
      <c r="AL1257" s="11">
        <f>VLOOKUP(AK1257, Exchange_rates!$C:$D, 2, FALSE)</f>
        <v>1</v>
      </c>
      <c r="AM1257" s="14">
        <f t="shared" si="9"/>
        <v>2820</v>
      </c>
      <c r="AN1257" s="9"/>
      <c r="AO1257" s="9"/>
      <c r="AP1257" s="9"/>
      <c r="AQ1257" s="15" t="s">
        <v>49</v>
      </c>
      <c r="AR1257" t="s">
        <v>6090</v>
      </c>
      <c r="AS1257" s="16"/>
    </row>
    <row r="1258" spans="1:45" ht="14.5">
      <c r="A1258" s="9" t="s">
        <v>6091</v>
      </c>
      <c r="B1258" s="9" t="s">
        <v>6092</v>
      </c>
      <c r="C1258" s="9" t="s">
        <v>5786</v>
      </c>
      <c r="D1258" s="9" t="s">
        <v>5539</v>
      </c>
      <c r="E1258" s="9" t="s">
        <v>49</v>
      </c>
      <c r="F1258" s="9" t="s">
        <v>69</v>
      </c>
      <c r="G1258" s="9" t="s">
        <v>70</v>
      </c>
      <c r="H1258" s="9" t="s">
        <v>5729</v>
      </c>
      <c r="I1258" s="9" t="s">
        <v>72</v>
      </c>
      <c r="J1258" s="36">
        <v>44076</v>
      </c>
      <c r="K1258" s="35">
        <v>44058</v>
      </c>
      <c r="L1258" s="10">
        <v>44076</v>
      </c>
      <c r="M1258" s="10"/>
      <c r="N1258" s="9">
        <v>2020</v>
      </c>
      <c r="O1258" s="9" t="s">
        <v>5619</v>
      </c>
      <c r="P1258" s="9" t="s">
        <v>53</v>
      </c>
      <c r="Q1258" s="9" t="s">
        <v>53</v>
      </c>
      <c r="T1258" s="9"/>
      <c r="V1258" s="9"/>
      <c r="W1258" s="11" t="str">
        <f>IFERROR(VLOOKUP(B1258, PlumX_snapshot!$A:$B, 2, FALSE), " ")</f>
        <v xml:space="preserve"> </v>
      </c>
      <c r="X1258" s="11" t="str">
        <f>IFERROR(VLOOKUP(B1258, PlumX_snapshot!$A:$C, 3, FALSE), " ")</f>
        <v xml:space="preserve"> </v>
      </c>
      <c r="Y1258" s="12" t="str">
        <f>IFERROR(VLOOKUP(B1258, PlumX_snapshot!$A:$D, 4, FALSE), " ")</f>
        <v xml:space="preserve"> </v>
      </c>
      <c r="Z1258" s="12" t="str">
        <f>IFERROR(VLOOKUP(B1258, PlumX_snapshot!$A:$E, 5, FALSE), " ")</f>
        <v xml:space="preserve"> </v>
      </c>
      <c r="AA1258" s="12" t="str">
        <f>IFERROR(VLOOKUP(B1258, PlumX_snapshot!$A:$F, 6, FALSE), " ")</f>
        <v xml:space="preserve"> </v>
      </c>
      <c r="AB1258" s="13"/>
      <c r="AC1258" s="9" t="s">
        <v>5555</v>
      </c>
      <c r="AD1258" s="9" t="s">
        <v>5556</v>
      </c>
      <c r="AE1258" s="9" t="s">
        <v>5557</v>
      </c>
      <c r="AH1258" s="9">
        <v>2793</v>
      </c>
      <c r="AI1258" s="9" t="s">
        <v>77</v>
      </c>
      <c r="AJ1258" s="9" t="s">
        <v>301</v>
      </c>
      <c r="AK1258" s="11" t="str">
        <f t="shared" si="8"/>
        <v>2020GBP</v>
      </c>
      <c r="AL1258" s="11">
        <f>VLOOKUP(AK1258, Exchange_rates!$C:$D, 2, FALSE)</f>
        <v>1</v>
      </c>
      <c r="AM1258" s="14">
        <f t="shared" si="9"/>
        <v>3351.6</v>
      </c>
      <c r="AN1258" s="9"/>
      <c r="AO1258" s="9"/>
      <c r="AP1258" s="9"/>
      <c r="AQ1258" s="15" t="s">
        <v>49</v>
      </c>
      <c r="AR1258" t="s">
        <v>5558</v>
      </c>
      <c r="AS1258" s="16"/>
    </row>
    <row r="1259" spans="1:45" ht="14.5">
      <c r="A1259" s="9" t="s">
        <v>6093</v>
      </c>
      <c r="B1259" s="9" t="s">
        <v>5848</v>
      </c>
      <c r="C1259" s="9" t="s">
        <v>6094</v>
      </c>
      <c r="D1259" s="9" t="s">
        <v>5539</v>
      </c>
      <c r="E1259" s="9" t="s">
        <v>125</v>
      </c>
      <c r="F1259" s="9" t="s">
        <v>50</v>
      </c>
      <c r="G1259" s="9" t="s">
        <v>51</v>
      </c>
      <c r="H1259" s="9"/>
      <c r="J1259" s="36">
        <v>44075</v>
      </c>
      <c r="K1259" s="29"/>
      <c r="L1259" s="10">
        <v>44078</v>
      </c>
      <c r="M1259" s="10"/>
      <c r="N1259" s="9">
        <v>2020</v>
      </c>
      <c r="O1259" s="9" t="s">
        <v>5619</v>
      </c>
      <c r="P1259" s="9" t="s">
        <v>53</v>
      </c>
      <c r="Q1259" s="9" t="s">
        <v>53</v>
      </c>
      <c r="T1259" s="9" t="s">
        <v>6095</v>
      </c>
      <c r="V1259" s="9"/>
      <c r="W1259" s="11" t="str">
        <f>IFERROR(VLOOKUP(B1259, PlumX_snapshot!$A:$B, 2, FALSE), " ")</f>
        <v xml:space="preserve"> </v>
      </c>
      <c r="X1259" s="11" t="str">
        <f>IFERROR(VLOOKUP(B1259, PlumX_snapshot!$A:$C, 3, FALSE), " ")</f>
        <v xml:space="preserve"> </v>
      </c>
      <c r="Y1259" s="12" t="str">
        <f>IFERROR(VLOOKUP(B1259, PlumX_snapshot!$A:$D, 4, FALSE), " ")</f>
        <v xml:space="preserve"> </v>
      </c>
      <c r="Z1259" s="12" t="str">
        <f>IFERROR(VLOOKUP(B1259, PlumX_snapshot!$A:$E, 5, FALSE), " ")</f>
        <v xml:space="preserve"> </v>
      </c>
      <c r="AA1259" s="12" t="str">
        <f>IFERROR(VLOOKUP(B1259, PlumX_snapshot!$A:$F, 6, FALSE), " ")</f>
        <v xml:space="preserve"> </v>
      </c>
      <c r="AB1259" s="13"/>
      <c r="AC1259" s="9"/>
      <c r="AD1259" s="9"/>
      <c r="AE1259" s="9"/>
      <c r="AF1259" s="9"/>
      <c r="AH1259" s="9"/>
      <c r="AI1259" s="9"/>
      <c r="AJ1259" s="9"/>
      <c r="AK1259" s="11" t="str">
        <f t="shared" si="8"/>
        <v>2020</v>
      </c>
      <c r="AL1259" s="11" t="e">
        <f>VLOOKUP(AK1259, Exchange_rates!$C:$D, 2, FALSE)</f>
        <v>#N/A</v>
      </c>
      <c r="AM1259" s="14" t="str">
        <f t="shared" si="9"/>
        <v/>
      </c>
      <c r="AN1259" s="9"/>
      <c r="AO1259" s="9"/>
      <c r="AP1259" s="9"/>
      <c r="AQ1259" s="15" t="s">
        <v>125</v>
      </c>
      <c r="AR1259" t="s">
        <v>6096</v>
      </c>
      <c r="AS1259" s="16"/>
    </row>
    <row r="1260" spans="1:45" ht="14.5">
      <c r="A1260" s="9" t="s">
        <v>6097</v>
      </c>
      <c r="B1260" s="9" t="s">
        <v>6098</v>
      </c>
      <c r="C1260" s="9" t="s">
        <v>5721</v>
      </c>
      <c r="D1260" s="9" t="s">
        <v>5539</v>
      </c>
      <c r="E1260" s="9" t="s">
        <v>49</v>
      </c>
      <c r="F1260" s="9" t="s">
        <v>69</v>
      </c>
      <c r="G1260" s="9" t="s">
        <v>70</v>
      </c>
      <c r="H1260" s="9" t="s">
        <v>5729</v>
      </c>
      <c r="I1260" s="9" t="s">
        <v>72</v>
      </c>
      <c r="J1260" s="35">
        <v>44067</v>
      </c>
      <c r="K1260" s="35">
        <v>44054</v>
      </c>
      <c r="L1260" s="10">
        <v>44069</v>
      </c>
      <c r="M1260" s="10">
        <v>44074</v>
      </c>
      <c r="N1260" s="9">
        <v>2020</v>
      </c>
      <c r="O1260" s="9" t="s">
        <v>5619</v>
      </c>
      <c r="P1260" s="9" t="s">
        <v>53</v>
      </c>
      <c r="Q1260" s="9" t="s">
        <v>53</v>
      </c>
      <c r="T1260" s="9"/>
      <c r="V1260" s="9"/>
      <c r="W1260" s="11" t="str">
        <f>IFERROR(VLOOKUP(B1260, PlumX_snapshot!$A:$B, 2, FALSE), " ")</f>
        <v xml:space="preserve"> </v>
      </c>
      <c r="X1260" s="11" t="str">
        <f>IFERROR(VLOOKUP(B1260, PlumX_snapshot!$A:$C, 3, FALSE), " ")</f>
        <v xml:space="preserve"> </v>
      </c>
      <c r="Y1260" s="12" t="str">
        <f>IFERROR(VLOOKUP(B1260, PlumX_snapshot!$A:$D, 4, FALSE), " ")</f>
        <v xml:space="preserve"> </v>
      </c>
      <c r="Z1260" s="12" t="str">
        <f>IFERROR(VLOOKUP(B1260, PlumX_snapshot!$A:$E, 5, FALSE), " ")</f>
        <v xml:space="preserve"> </v>
      </c>
      <c r="AA1260" s="12" t="str">
        <f>IFERROR(VLOOKUP(B1260, PlumX_snapshot!$A:$F, 6, FALSE), " ")</f>
        <v xml:space="preserve"> </v>
      </c>
      <c r="AB1260" s="13"/>
      <c r="AC1260" s="9" t="s">
        <v>5722</v>
      </c>
      <c r="AD1260" s="9" t="s">
        <v>6099</v>
      </c>
      <c r="AE1260" s="9" t="s">
        <v>6100</v>
      </c>
      <c r="AF1260" s="9" t="s">
        <v>6101</v>
      </c>
      <c r="AH1260" s="9">
        <v>2800</v>
      </c>
      <c r="AI1260" s="9" t="s">
        <v>77</v>
      </c>
      <c r="AJ1260" s="9" t="s">
        <v>301</v>
      </c>
      <c r="AK1260" s="11" t="str">
        <f t="shared" si="8"/>
        <v>2020GBP</v>
      </c>
      <c r="AL1260" s="11">
        <f>VLOOKUP(AK1260, Exchange_rates!$C:$D, 2, FALSE)</f>
        <v>1</v>
      </c>
      <c r="AM1260" s="14">
        <f t="shared" si="9"/>
        <v>3360</v>
      </c>
      <c r="AN1260" s="9"/>
      <c r="AO1260" s="9"/>
      <c r="AP1260" s="9"/>
      <c r="AQ1260" s="15" t="s">
        <v>49</v>
      </c>
      <c r="AR1260" t="s">
        <v>5725</v>
      </c>
      <c r="AS1260" s="16"/>
    </row>
    <row r="1261" spans="1:45" ht="14.5">
      <c r="A1261" s="9" t="s">
        <v>6102</v>
      </c>
      <c r="B1261" s="9" t="s">
        <v>6103</v>
      </c>
      <c r="C1261" s="9" t="s">
        <v>6104</v>
      </c>
      <c r="D1261" s="9" t="s">
        <v>5539</v>
      </c>
      <c r="E1261" s="9" t="s">
        <v>49</v>
      </c>
      <c r="F1261" s="9" t="s">
        <v>69</v>
      </c>
      <c r="G1261" s="9" t="s">
        <v>70</v>
      </c>
      <c r="H1261" s="9" t="s">
        <v>5598</v>
      </c>
      <c r="I1261" s="9" t="s">
        <v>72</v>
      </c>
      <c r="J1261" s="35">
        <v>44064</v>
      </c>
      <c r="K1261" s="29"/>
      <c r="L1261" s="10">
        <v>44064</v>
      </c>
      <c r="M1261" s="10">
        <v>44091</v>
      </c>
      <c r="N1261" s="9">
        <v>2021</v>
      </c>
      <c r="O1261" s="9" t="s">
        <v>5619</v>
      </c>
      <c r="P1261" s="9" t="s">
        <v>83</v>
      </c>
      <c r="Q1261" s="9" t="s">
        <v>53</v>
      </c>
      <c r="T1261" s="9"/>
      <c r="V1261" s="9"/>
      <c r="W1261" s="11" t="str">
        <f>IFERROR(VLOOKUP(B1261, PlumX_snapshot!$A:$B, 2, FALSE), " ")</f>
        <v xml:space="preserve"> </v>
      </c>
      <c r="X1261" s="11" t="str">
        <f>IFERROR(VLOOKUP(B1261, PlumX_snapshot!$A:$C, 3, FALSE), " ")</f>
        <v xml:space="preserve"> </v>
      </c>
      <c r="Y1261" s="12" t="str">
        <f>IFERROR(VLOOKUP(B1261, PlumX_snapshot!$A:$D, 4, FALSE), " ")</f>
        <v xml:space="preserve"> </v>
      </c>
      <c r="Z1261" s="12" t="str">
        <f>IFERROR(VLOOKUP(B1261, PlumX_snapshot!$A:$E, 5, FALSE), " ")</f>
        <v xml:space="preserve"> </v>
      </c>
      <c r="AA1261" s="12" t="str">
        <f>IFERROR(VLOOKUP(B1261, PlumX_snapshot!$A:$F, 6, FALSE), " ")</f>
        <v xml:space="preserve"> </v>
      </c>
      <c r="AB1261" s="13"/>
      <c r="AC1261" s="9" t="s">
        <v>6105</v>
      </c>
      <c r="AD1261" s="9" t="s">
        <v>6106</v>
      </c>
      <c r="AE1261" s="9" t="s">
        <v>6107</v>
      </c>
      <c r="AH1261" s="9">
        <v>1650</v>
      </c>
      <c r="AI1261" s="9" t="s">
        <v>77</v>
      </c>
      <c r="AJ1261" s="9" t="s">
        <v>301</v>
      </c>
      <c r="AK1261" s="11" t="str">
        <f t="shared" si="8"/>
        <v>2021GBP</v>
      </c>
      <c r="AL1261" s="11">
        <f>VLOOKUP(AK1261, Exchange_rates!$C:$D, 2, FALSE)</f>
        <v>1</v>
      </c>
      <c r="AM1261" s="14">
        <f t="shared" si="9"/>
        <v>1980</v>
      </c>
      <c r="AN1261" s="9"/>
      <c r="AO1261" s="9"/>
      <c r="AP1261" s="9"/>
      <c r="AQ1261" s="15" t="s">
        <v>49</v>
      </c>
      <c r="AR1261" t="s">
        <v>6108</v>
      </c>
      <c r="AS1261" s="16"/>
    </row>
    <row r="1262" spans="1:45" ht="14.5">
      <c r="A1262" s="9" t="s">
        <v>6109</v>
      </c>
      <c r="B1262" s="9" t="s">
        <v>6110</v>
      </c>
      <c r="C1262" s="9" t="s">
        <v>6111</v>
      </c>
      <c r="D1262" s="9" t="s">
        <v>5539</v>
      </c>
      <c r="E1262" s="9" t="s">
        <v>49</v>
      </c>
      <c r="F1262" s="9" t="s">
        <v>69</v>
      </c>
      <c r="G1262" s="9" t="s">
        <v>70</v>
      </c>
      <c r="H1262" s="9" t="s">
        <v>5729</v>
      </c>
      <c r="I1262" s="9" t="s">
        <v>72</v>
      </c>
      <c r="J1262" s="35">
        <v>44062</v>
      </c>
      <c r="K1262" s="35">
        <v>44041</v>
      </c>
      <c r="L1262" s="10">
        <v>44063</v>
      </c>
      <c r="M1262" s="10">
        <v>44079</v>
      </c>
      <c r="N1262" s="9">
        <v>2020</v>
      </c>
      <c r="O1262" s="9" t="s">
        <v>5619</v>
      </c>
      <c r="P1262" s="9" t="s">
        <v>53</v>
      </c>
      <c r="Q1262" s="9" t="s">
        <v>53</v>
      </c>
      <c r="T1262" s="9"/>
      <c r="V1262" s="9"/>
      <c r="W1262" s="11" t="str">
        <f>IFERROR(VLOOKUP(B1262, PlumX_snapshot!$A:$B, 2, FALSE), " ")</f>
        <v xml:space="preserve"> </v>
      </c>
      <c r="X1262" s="11" t="str">
        <f>IFERROR(VLOOKUP(B1262, PlumX_snapshot!$A:$C, 3, FALSE), " ")</f>
        <v xml:space="preserve"> </v>
      </c>
      <c r="Y1262" s="12" t="str">
        <f>IFERROR(VLOOKUP(B1262, PlumX_snapshot!$A:$D, 4, FALSE), " ")</f>
        <v xml:space="preserve"> </v>
      </c>
      <c r="Z1262" s="12" t="str">
        <f>IFERROR(VLOOKUP(B1262, PlumX_snapshot!$A:$E, 5, FALSE), " ")</f>
        <v xml:space="preserve"> </v>
      </c>
      <c r="AA1262" s="12" t="str">
        <f>IFERROR(VLOOKUP(B1262, PlumX_snapshot!$A:$F, 6, FALSE), " ")</f>
        <v xml:space="preserve"> </v>
      </c>
      <c r="AB1262" s="13"/>
      <c r="AC1262" s="9" t="s">
        <v>6112</v>
      </c>
      <c r="AD1262" s="9" t="s">
        <v>6113</v>
      </c>
      <c r="AF1262" s="9" t="s">
        <v>6114</v>
      </c>
      <c r="AH1262" s="9">
        <v>2400</v>
      </c>
      <c r="AI1262" s="9" t="s">
        <v>77</v>
      </c>
      <c r="AJ1262" s="9" t="s">
        <v>301</v>
      </c>
      <c r="AK1262" s="11" t="str">
        <f t="shared" si="8"/>
        <v>2020GBP</v>
      </c>
      <c r="AL1262" s="11">
        <f>VLOOKUP(AK1262, Exchange_rates!$C:$D, 2, FALSE)</f>
        <v>1</v>
      </c>
      <c r="AM1262" s="14">
        <f t="shared" si="9"/>
        <v>2880</v>
      </c>
      <c r="AN1262" s="9"/>
      <c r="AO1262" s="9"/>
      <c r="AP1262" s="9"/>
      <c r="AQ1262" s="15" t="s">
        <v>49</v>
      </c>
      <c r="AR1262" t="s">
        <v>6115</v>
      </c>
      <c r="AS1262" s="16"/>
    </row>
    <row r="1263" spans="1:45" ht="14.5">
      <c r="A1263" s="9" t="s">
        <v>6116</v>
      </c>
      <c r="B1263" s="9" t="s">
        <v>6117</v>
      </c>
      <c r="C1263" s="9" t="s">
        <v>5786</v>
      </c>
      <c r="D1263" s="9" t="s">
        <v>5539</v>
      </c>
      <c r="E1263" s="9" t="s">
        <v>49</v>
      </c>
      <c r="F1263" s="9" t="s">
        <v>69</v>
      </c>
      <c r="G1263" s="9" t="s">
        <v>70</v>
      </c>
      <c r="H1263" s="9" t="s">
        <v>5729</v>
      </c>
      <c r="I1263" s="9" t="s">
        <v>72</v>
      </c>
      <c r="J1263" s="35">
        <v>44059</v>
      </c>
      <c r="K1263" s="35">
        <v>44043</v>
      </c>
      <c r="L1263" s="10">
        <v>44060</v>
      </c>
      <c r="M1263" s="10">
        <v>44427</v>
      </c>
      <c r="N1263" s="9">
        <v>2020</v>
      </c>
      <c r="O1263" s="9" t="s">
        <v>5619</v>
      </c>
      <c r="P1263" s="9" t="s">
        <v>83</v>
      </c>
      <c r="Q1263" s="9" t="s">
        <v>53</v>
      </c>
      <c r="T1263" s="9"/>
      <c r="V1263" s="9"/>
      <c r="W1263" s="11" t="str">
        <f>IFERROR(VLOOKUP(B1263, PlumX_snapshot!$A:$B, 2, FALSE), " ")</f>
        <v xml:space="preserve"> </v>
      </c>
      <c r="X1263" s="11" t="str">
        <f>IFERROR(VLOOKUP(B1263, PlumX_snapshot!$A:$C, 3, FALSE), " ")</f>
        <v xml:space="preserve"> </v>
      </c>
      <c r="Y1263" s="12" t="str">
        <f>IFERROR(VLOOKUP(B1263, PlumX_snapshot!$A:$D, 4, FALSE), " ")</f>
        <v xml:space="preserve"> </v>
      </c>
      <c r="Z1263" s="12" t="str">
        <f>IFERROR(VLOOKUP(B1263, PlumX_snapshot!$A:$E, 5, FALSE), " ")</f>
        <v xml:space="preserve"> </v>
      </c>
      <c r="AA1263" s="12" t="str">
        <f>IFERROR(VLOOKUP(B1263, PlumX_snapshot!$A:$F, 6, FALSE), " ")</f>
        <v xml:space="preserve"> </v>
      </c>
      <c r="AB1263" s="13"/>
      <c r="AC1263" s="9" t="s">
        <v>6118</v>
      </c>
      <c r="AD1263" s="9" t="s">
        <v>6119</v>
      </c>
      <c r="AE1263" s="9" t="s">
        <v>6120</v>
      </c>
      <c r="AH1263" s="9">
        <v>2793</v>
      </c>
      <c r="AI1263" s="9" t="s">
        <v>77</v>
      </c>
      <c r="AJ1263" s="9" t="s">
        <v>301</v>
      </c>
      <c r="AK1263" s="11" t="str">
        <f t="shared" si="8"/>
        <v>2020GBP</v>
      </c>
      <c r="AL1263" s="11">
        <f>VLOOKUP(AK1263, Exchange_rates!$C:$D, 2, FALSE)</f>
        <v>1</v>
      </c>
      <c r="AM1263" s="14">
        <f t="shared" si="9"/>
        <v>3351.6</v>
      </c>
      <c r="AN1263" s="9"/>
      <c r="AO1263" s="9"/>
      <c r="AP1263" s="9"/>
      <c r="AQ1263" s="15" t="s">
        <v>49</v>
      </c>
      <c r="AR1263" t="s">
        <v>5558</v>
      </c>
      <c r="AS1263" s="16"/>
    </row>
    <row r="1264" spans="1:45" ht="14.5">
      <c r="A1264" s="9" t="s">
        <v>6121</v>
      </c>
      <c r="B1264" s="9" t="s">
        <v>6122</v>
      </c>
      <c r="C1264" s="9" t="s">
        <v>6123</v>
      </c>
      <c r="D1264" s="9" t="s">
        <v>5539</v>
      </c>
      <c r="E1264" s="9" t="s">
        <v>49</v>
      </c>
      <c r="F1264" s="9" t="s">
        <v>69</v>
      </c>
      <c r="G1264" s="9" t="s">
        <v>70</v>
      </c>
      <c r="H1264" s="9" t="s">
        <v>5729</v>
      </c>
      <c r="I1264" s="9" t="s">
        <v>72</v>
      </c>
      <c r="J1264" s="35">
        <v>44056</v>
      </c>
      <c r="K1264" s="36">
        <v>44049</v>
      </c>
      <c r="L1264" s="10">
        <v>44057</v>
      </c>
      <c r="M1264" s="10">
        <v>44096</v>
      </c>
      <c r="N1264" s="9">
        <v>2020</v>
      </c>
      <c r="O1264" s="9" t="s">
        <v>5619</v>
      </c>
      <c r="P1264" s="9" t="s">
        <v>53</v>
      </c>
      <c r="Q1264" s="9" t="s">
        <v>53</v>
      </c>
      <c r="T1264" s="9"/>
      <c r="V1264" s="9"/>
      <c r="W1264" s="11" t="str">
        <f>IFERROR(VLOOKUP(B1264, PlumX_snapshot!$A:$B, 2, FALSE), " ")</f>
        <v xml:space="preserve"> </v>
      </c>
      <c r="X1264" s="11" t="str">
        <f>IFERROR(VLOOKUP(B1264, PlumX_snapshot!$A:$C, 3, FALSE), " ")</f>
        <v xml:space="preserve"> </v>
      </c>
      <c r="Y1264" s="12" t="str">
        <f>IFERROR(VLOOKUP(B1264, PlumX_snapshot!$A:$D, 4, FALSE), " ")</f>
        <v xml:space="preserve"> </v>
      </c>
      <c r="Z1264" s="12" t="str">
        <f>IFERROR(VLOOKUP(B1264, PlumX_snapshot!$A:$E, 5, FALSE), " ")</f>
        <v xml:space="preserve"> </v>
      </c>
      <c r="AA1264" s="12" t="str">
        <f>IFERROR(VLOOKUP(B1264, PlumX_snapshot!$A:$F, 6, FALSE), " ")</f>
        <v xml:space="preserve"> </v>
      </c>
      <c r="AB1264" s="13"/>
      <c r="AC1264" s="9" t="s">
        <v>6124</v>
      </c>
      <c r="AD1264" s="9" t="s">
        <v>6125</v>
      </c>
      <c r="AE1264" s="9" t="s">
        <v>6126</v>
      </c>
      <c r="AF1264" s="9" t="s">
        <v>6127</v>
      </c>
      <c r="AH1264" s="9">
        <v>2400</v>
      </c>
      <c r="AI1264" s="9" t="s">
        <v>77</v>
      </c>
      <c r="AJ1264" s="9" t="s">
        <v>301</v>
      </c>
      <c r="AK1264" s="11" t="str">
        <f t="shared" si="8"/>
        <v>2020GBP</v>
      </c>
      <c r="AL1264" s="11">
        <f>VLOOKUP(AK1264, Exchange_rates!$C:$D, 2, FALSE)</f>
        <v>1</v>
      </c>
      <c r="AM1264" s="14">
        <f t="shared" si="9"/>
        <v>2880</v>
      </c>
      <c r="AN1264" s="9"/>
      <c r="AO1264" s="9"/>
      <c r="AP1264" s="9"/>
      <c r="AQ1264" s="15" t="s">
        <v>49</v>
      </c>
      <c r="AR1264" t="s">
        <v>6128</v>
      </c>
      <c r="AS1264" s="16"/>
    </row>
    <row r="1265" spans="1:45" ht="14.5">
      <c r="A1265" s="9" t="s">
        <v>6129</v>
      </c>
      <c r="B1265" s="9" t="s">
        <v>6130</v>
      </c>
      <c r="C1265" s="9" t="s">
        <v>6131</v>
      </c>
      <c r="D1265" s="9" t="s">
        <v>5539</v>
      </c>
      <c r="E1265" s="9" t="s">
        <v>49</v>
      </c>
      <c r="F1265" s="9" t="s">
        <v>69</v>
      </c>
      <c r="G1265" s="9" t="s">
        <v>70</v>
      </c>
      <c r="H1265" s="9" t="s">
        <v>5729</v>
      </c>
      <c r="I1265" s="9" t="s">
        <v>72</v>
      </c>
      <c r="J1265" s="36">
        <v>44049</v>
      </c>
      <c r="K1265" s="35">
        <v>44039</v>
      </c>
      <c r="L1265" s="10">
        <v>44053</v>
      </c>
      <c r="M1265" s="10">
        <v>44075</v>
      </c>
      <c r="N1265" s="9">
        <v>2020</v>
      </c>
      <c r="O1265" s="9" t="s">
        <v>5619</v>
      </c>
      <c r="P1265" s="9" t="s">
        <v>53</v>
      </c>
      <c r="Q1265" s="9" t="s">
        <v>53</v>
      </c>
      <c r="T1265" s="9"/>
      <c r="V1265" s="9"/>
      <c r="W1265" s="11" t="str">
        <f>IFERROR(VLOOKUP(B1265, PlumX_snapshot!$A:$B, 2, FALSE), " ")</f>
        <v xml:space="preserve"> </v>
      </c>
      <c r="X1265" s="11" t="str">
        <f>IFERROR(VLOOKUP(B1265, PlumX_snapshot!$A:$C, 3, FALSE), " ")</f>
        <v xml:space="preserve"> </v>
      </c>
      <c r="Y1265" s="12" t="str">
        <f>IFERROR(VLOOKUP(B1265, PlumX_snapshot!$A:$D, 4, FALSE), " ")</f>
        <v xml:space="preserve"> </v>
      </c>
      <c r="Z1265" s="12" t="str">
        <f>IFERROR(VLOOKUP(B1265, PlumX_snapshot!$A:$E, 5, FALSE), " ")</f>
        <v xml:space="preserve"> </v>
      </c>
      <c r="AA1265" s="12" t="str">
        <f>IFERROR(VLOOKUP(B1265, PlumX_snapshot!$A:$F, 6, FALSE), " ")</f>
        <v xml:space="preserve"> </v>
      </c>
      <c r="AB1265" s="13"/>
      <c r="AC1265" s="9" t="s">
        <v>6132</v>
      </c>
      <c r="AD1265" s="9" t="s">
        <v>6133</v>
      </c>
      <c r="AE1265" s="9" t="s">
        <v>6134</v>
      </c>
      <c r="AF1265" s="9" t="s">
        <v>6135</v>
      </c>
      <c r="AH1265" s="9">
        <v>2400</v>
      </c>
      <c r="AI1265" s="9" t="s">
        <v>77</v>
      </c>
      <c r="AJ1265" s="9" t="s">
        <v>301</v>
      </c>
      <c r="AK1265" s="11" t="str">
        <f t="shared" si="8"/>
        <v>2020GBP</v>
      </c>
      <c r="AL1265" s="11">
        <f>VLOOKUP(AK1265, Exchange_rates!$C:$D, 2, FALSE)</f>
        <v>1</v>
      </c>
      <c r="AM1265" s="14">
        <f t="shared" si="9"/>
        <v>2880</v>
      </c>
      <c r="AN1265" s="9"/>
      <c r="AO1265" s="9"/>
      <c r="AP1265" s="9"/>
      <c r="AQ1265" s="15" t="s">
        <v>49</v>
      </c>
      <c r="AR1265" t="s">
        <v>6136</v>
      </c>
      <c r="AS1265" s="16"/>
    </row>
    <row r="1266" spans="1:45" ht="14.5">
      <c r="A1266" s="9" t="s">
        <v>6137</v>
      </c>
      <c r="B1266" s="9" t="s">
        <v>6138</v>
      </c>
      <c r="C1266" s="9" t="s">
        <v>6139</v>
      </c>
      <c r="D1266" s="9" t="s">
        <v>5539</v>
      </c>
      <c r="E1266" s="9" t="s">
        <v>49</v>
      </c>
      <c r="F1266" s="9" t="s">
        <v>69</v>
      </c>
      <c r="G1266" s="9" t="s">
        <v>70</v>
      </c>
      <c r="H1266" s="9" t="s">
        <v>5729</v>
      </c>
      <c r="I1266" s="9" t="s">
        <v>72</v>
      </c>
      <c r="J1266" s="36">
        <v>44047</v>
      </c>
      <c r="K1266" s="35">
        <v>44042</v>
      </c>
      <c r="L1266" s="10">
        <v>44048</v>
      </c>
      <c r="M1266" s="10">
        <v>44082</v>
      </c>
      <c r="N1266" s="9">
        <v>2020</v>
      </c>
      <c r="O1266" s="9" t="s">
        <v>5619</v>
      </c>
      <c r="P1266" s="9" t="s">
        <v>53</v>
      </c>
      <c r="Q1266" s="9" t="s">
        <v>53</v>
      </c>
      <c r="T1266" s="9"/>
      <c r="V1266" s="9"/>
      <c r="W1266" s="11" t="str">
        <f>IFERROR(VLOOKUP(B1266, PlumX_snapshot!$A:$B, 2, FALSE), " ")</f>
        <v xml:space="preserve"> </v>
      </c>
      <c r="X1266" s="11" t="str">
        <f>IFERROR(VLOOKUP(B1266, PlumX_snapshot!$A:$C, 3, FALSE), " ")</f>
        <v xml:space="preserve"> </v>
      </c>
      <c r="Y1266" s="12" t="str">
        <f>IFERROR(VLOOKUP(B1266, PlumX_snapshot!$A:$D, 4, FALSE), " ")</f>
        <v xml:space="preserve"> </v>
      </c>
      <c r="Z1266" s="12" t="str">
        <f>IFERROR(VLOOKUP(B1266, PlumX_snapshot!$A:$E, 5, FALSE), " ")</f>
        <v xml:space="preserve"> </v>
      </c>
      <c r="AA1266" s="12" t="str">
        <f>IFERROR(VLOOKUP(B1266, PlumX_snapshot!$A:$F, 6, FALSE), " ")</f>
        <v xml:space="preserve"> </v>
      </c>
      <c r="AB1266" s="13"/>
      <c r="AC1266" s="9" t="s">
        <v>6140</v>
      </c>
      <c r="AD1266" s="9" t="s">
        <v>6141</v>
      </c>
      <c r="AF1266" s="9" t="s">
        <v>6142</v>
      </c>
      <c r="AH1266" s="9">
        <v>2000</v>
      </c>
      <c r="AI1266" s="9" t="s">
        <v>77</v>
      </c>
      <c r="AJ1266" s="9" t="s">
        <v>301</v>
      </c>
      <c r="AK1266" s="11" t="str">
        <f t="shared" si="8"/>
        <v>2020GBP</v>
      </c>
      <c r="AL1266" s="11">
        <f>VLOOKUP(AK1266, Exchange_rates!$C:$D, 2, FALSE)</f>
        <v>1</v>
      </c>
      <c r="AM1266" s="14">
        <f t="shared" si="9"/>
        <v>2400</v>
      </c>
      <c r="AN1266" s="9"/>
      <c r="AO1266" s="9"/>
      <c r="AP1266" s="9"/>
      <c r="AQ1266" s="15" t="s">
        <v>49</v>
      </c>
      <c r="AR1266" t="s">
        <v>6143</v>
      </c>
      <c r="AS1266" s="16"/>
    </row>
    <row r="1267" spans="1:45" ht="14.5">
      <c r="A1267" s="9" t="s">
        <v>6144</v>
      </c>
      <c r="B1267" s="9" t="s">
        <v>6145</v>
      </c>
      <c r="C1267" s="9" t="s">
        <v>6146</v>
      </c>
      <c r="D1267" s="9" t="s">
        <v>5539</v>
      </c>
      <c r="E1267" s="9" t="s">
        <v>49</v>
      </c>
      <c r="F1267" s="9" t="s">
        <v>69</v>
      </c>
      <c r="G1267" s="9" t="s">
        <v>70</v>
      </c>
      <c r="H1267" s="9" t="s">
        <v>5729</v>
      </c>
      <c r="I1267" s="9" t="s">
        <v>238</v>
      </c>
      <c r="J1267" s="35">
        <v>44042</v>
      </c>
      <c r="K1267" s="35">
        <v>44029</v>
      </c>
      <c r="L1267" s="10">
        <v>44042</v>
      </c>
      <c r="M1267" s="10">
        <v>44046</v>
      </c>
      <c r="N1267" s="9">
        <v>2020</v>
      </c>
      <c r="O1267" s="9" t="s">
        <v>5619</v>
      </c>
      <c r="P1267" s="9" t="s">
        <v>53</v>
      </c>
      <c r="Q1267" s="9" t="s">
        <v>53</v>
      </c>
      <c r="T1267" s="9"/>
      <c r="V1267" s="9"/>
      <c r="W1267" s="11" t="str">
        <f>IFERROR(VLOOKUP(B1267, PlumX_snapshot!$A:$B, 2, FALSE), " ")</f>
        <v xml:space="preserve"> </v>
      </c>
      <c r="X1267" s="11" t="str">
        <f>IFERROR(VLOOKUP(B1267, PlumX_snapshot!$A:$C, 3, FALSE), " ")</f>
        <v xml:space="preserve"> </v>
      </c>
      <c r="Y1267" s="12" t="str">
        <f>IFERROR(VLOOKUP(B1267, PlumX_snapshot!$A:$D, 4, FALSE), " ")</f>
        <v xml:space="preserve"> </v>
      </c>
      <c r="Z1267" s="12" t="str">
        <f>IFERROR(VLOOKUP(B1267, PlumX_snapshot!$A:$E, 5, FALSE), " ")</f>
        <v xml:space="preserve"> </v>
      </c>
      <c r="AA1267" s="12" t="str">
        <f>IFERROR(VLOOKUP(B1267, PlumX_snapshot!$A:$F, 6, FALSE), " ")</f>
        <v xml:space="preserve"> </v>
      </c>
      <c r="AB1267" s="13"/>
      <c r="AC1267" s="9" t="s">
        <v>6147</v>
      </c>
      <c r="AD1267" s="9" t="s">
        <v>6148</v>
      </c>
      <c r="AE1267" s="9" t="s">
        <v>6149</v>
      </c>
      <c r="AF1267" s="9" t="s">
        <v>6150</v>
      </c>
      <c r="AH1267" s="9">
        <v>1650</v>
      </c>
      <c r="AI1267" s="9" t="s">
        <v>77</v>
      </c>
      <c r="AJ1267" s="9" t="s">
        <v>301</v>
      </c>
      <c r="AK1267" s="11" t="str">
        <f t="shared" si="8"/>
        <v>2020GBP</v>
      </c>
      <c r="AL1267" s="11">
        <f>VLOOKUP(AK1267, Exchange_rates!$C:$D, 2, FALSE)</f>
        <v>1</v>
      </c>
      <c r="AM1267" s="14">
        <f t="shared" si="9"/>
        <v>1980</v>
      </c>
      <c r="AN1267" s="9"/>
      <c r="AO1267" s="9"/>
      <c r="AP1267" s="9"/>
      <c r="AQ1267" s="15" t="s">
        <v>49</v>
      </c>
      <c r="AR1267" t="s">
        <v>6151</v>
      </c>
      <c r="AS1267" s="16"/>
    </row>
    <row r="1268" spans="1:45" ht="14.5">
      <c r="A1268" s="9" t="s">
        <v>6152</v>
      </c>
      <c r="B1268" s="9" t="s">
        <v>6153</v>
      </c>
      <c r="C1268" s="9" t="s">
        <v>6154</v>
      </c>
      <c r="D1268" s="9" t="s">
        <v>5539</v>
      </c>
      <c r="E1268" s="9" t="s">
        <v>49</v>
      </c>
      <c r="F1268" s="9" t="s">
        <v>69</v>
      </c>
      <c r="G1268" s="9" t="s">
        <v>70</v>
      </c>
      <c r="H1268" s="9" t="s">
        <v>5729</v>
      </c>
      <c r="I1268" s="9" t="s">
        <v>72</v>
      </c>
      <c r="J1268" s="35">
        <v>44039</v>
      </c>
      <c r="K1268" s="35">
        <v>44022</v>
      </c>
      <c r="L1268" s="10">
        <v>44040</v>
      </c>
      <c r="M1268" s="10">
        <v>44054</v>
      </c>
      <c r="N1268" s="9">
        <v>2020</v>
      </c>
      <c r="O1268" s="9" t="s">
        <v>5619</v>
      </c>
      <c r="P1268" s="9" t="s">
        <v>53</v>
      </c>
      <c r="Q1268" s="9" t="s">
        <v>53</v>
      </c>
      <c r="T1268" s="9"/>
      <c r="V1268" s="9"/>
      <c r="W1268" s="11" t="str">
        <f>IFERROR(VLOOKUP(B1268, PlumX_snapshot!$A:$B, 2, FALSE), " ")</f>
        <v xml:space="preserve"> </v>
      </c>
      <c r="X1268" s="11" t="str">
        <f>IFERROR(VLOOKUP(B1268, PlumX_snapshot!$A:$C, 3, FALSE), " ")</f>
        <v xml:space="preserve"> </v>
      </c>
      <c r="Y1268" s="12" t="str">
        <f>IFERROR(VLOOKUP(B1268, PlumX_snapshot!$A:$D, 4, FALSE), " ")</f>
        <v xml:space="preserve"> </v>
      </c>
      <c r="Z1268" s="12" t="str">
        <f>IFERROR(VLOOKUP(B1268, PlumX_snapshot!$A:$E, 5, FALSE), " ")</f>
        <v xml:space="preserve"> </v>
      </c>
      <c r="AA1268" s="12" t="str">
        <f>IFERROR(VLOOKUP(B1268, PlumX_snapshot!$A:$F, 6, FALSE), " ")</f>
        <v xml:space="preserve"> </v>
      </c>
      <c r="AB1268" s="13"/>
      <c r="AC1268" s="9" t="s">
        <v>6155</v>
      </c>
      <c r="AD1268" s="9" t="s">
        <v>6156</v>
      </c>
      <c r="AE1268" s="9" t="s">
        <v>6157</v>
      </c>
      <c r="AF1268" s="9" t="s">
        <v>6158</v>
      </c>
      <c r="AH1268" s="9">
        <v>2750</v>
      </c>
      <c r="AI1268" s="9" t="s">
        <v>77</v>
      </c>
      <c r="AJ1268" s="9" t="s">
        <v>301</v>
      </c>
      <c r="AK1268" s="11" t="str">
        <f t="shared" si="8"/>
        <v>2020GBP</v>
      </c>
      <c r="AL1268" s="11">
        <f>VLOOKUP(AK1268, Exchange_rates!$C:$D, 2, FALSE)</f>
        <v>1</v>
      </c>
      <c r="AM1268" s="14">
        <f t="shared" si="9"/>
        <v>3300</v>
      </c>
      <c r="AN1268" s="9"/>
      <c r="AO1268" s="9"/>
      <c r="AP1268" s="9"/>
      <c r="AQ1268" s="15" t="s">
        <v>49</v>
      </c>
      <c r="AR1268" t="s">
        <v>6159</v>
      </c>
      <c r="AS1268" s="16"/>
    </row>
    <row r="1269" spans="1:45" ht="14.5">
      <c r="A1269" s="9" t="s">
        <v>6160</v>
      </c>
      <c r="B1269" s="9" t="s">
        <v>6161</v>
      </c>
      <c r="C1269" s="9" t="s">
        <v>6162</v>
      </c>
      <c r="D1269" s="9" t="s">
        <v>5539</v>
      </c>
      <c r="E1269" s="9" t="s">
        <v>49</v>
      </c>
      <c r="F1269" s="9" t="s">
        <v>69</v>
      </c>
      <c r="G1269" s="9" t="s">
        <v>70</v>
      </c>
      <c r="H1269" s="9" t="s">
        <v>5729</v>
      </c>
      <c r="I1269" s="9" t="s">
        <v>238</v>
      </c>
      <c r="J1269" s="35">
        <v>44039</v>
      </c>
      <c r="K1269" s="35">
        <v>44032</v>
      </c>
      <c r="L1269" s="10">
        <v>44039</v>
      </c>
      <c r="M1269" s="10">
        <v>44049</v>
      </c>
      <c r="N1269" s="9">
        <v>2020</v>
      </c>
      <c r="O1269" s="9" t="s">
        <v>5619</v>
      </c>
      <c r="P1269" s="9" t="s">
        <v>53</v>
      </c>
      <c r="Q1269" s="9" t="s">
        <v>53</v>
      </c>
      <c r="T1269" s="9"/>
      <c r="V1269" s="9"/>
      <c r="W1269" s="11" t="str">
        <f>IFERROR(VLOOKUP(B1269, PlumX_snapshot!$A:$B, 2, FALSE), " ")</f>
        <v xml:space="preserve"> </v>
      </c>
      <c r="X1269" s="11" t="str">
        <f>IFERROR(VLOOKUP(B1269, PlumX_snapshot!$A:$C, 3, FALSE), " ")</f>
        <v xml:space="preserve"> </v>
      </c>
      <c r="Y1269" s="12" t="str">
        <f>IFERROR(VLOOKUP(B1269, PlumX_snapshot!$A:$D, 4, FALSE), " ")</f>
        <v xml:space="preserve"> </v>
      </c>
      <c r="Z1269" s="12" t="str">
        <f>IFERROR(VLOOKUP(B1269, PlumX_snapshot!$A:$E, 5, FALSE), " ")</f>
        <v xml:space="preserve"> </v>
      </c>
      <c r="AA1269" s="12" t="str">
        <f>IFERROR(VLOOKUP(B1269, PlumX_snapshot!$A:$F, 6, FALSE), " ")</f>
        <v xml:space="preserve"> </v>
      </c>
      <c r="AB1269" s="13"/>
      <c r="AC1269" s="9" t="s">
        <v>6163</v>
      </c>
      <c r="AD1269" s="9" t="s">
        <v>6164</v>
      </c>
      <c r="AE1269" s="9" t="s">
        <v>6165</v>
      </c>
      <c r="AF1269" s="9" t="s">
        <v>6166</v>
      </c>
      <c r="AH1269" s="9">
        <v>2400</v>
      </c>
      <c r="AI1269" s="9" t="s">
        <v>77</v>
      </c>
      <c r="AJ1269" s="9" t="s">
        <v>301</v>
      </c>
      <c r="AK1269" s="11" t="str">
        <f t="shared" si="8"/>
        <v>2020GBP</v>
      </c>
      <c r="AL1269" s="11">
        <f>VLOOKUP(AK1269, Exchange_rates!$C:$D, 2, FALSE)</f>
        <v>1</v>
      </c>
      <c r="AM1269" s="14">
        <f t="shared" si="9"/>
        <v>2880</v>
      </c>
      <c r="AN1269" s="9"/>
      <c r="AO1269" s="9"/>
      <c r="AP1269" s="9"/>
      <c r="AQ1269" s="15" t="s">
        <v>49</v>
      </c>
      <c r="AR1269" t="s">
        <v>6167</v>
      </c>
      <c r="AS1269" s="16"/>
    </row>
    <row r="1270" spans="1:45" ht="14.5">
      <c r="A1270" s="9" t="s">
        <v>6168</v>
      </c>
      <c r="B1270" s="9" t="s">
        <v>6169</v>
      </c>
      <c r="C1270" s="9" t="s">
        <v>5786</v>
      </c>
      <c r="D1270" s="9" t="s">
        <v>5539</v>
      </c>
      <c r="E1270" s="9" t="s">
        <v>49</v>
      </c>
      <c r="F1270" s="9" t="s">
        <v>69</v>
      </c>
      <c r="G1270" s="9" t="s">
        <v>70</v>
      </c>
      <c r="H1270" s="9" t="s">
        <v>5729</v>
      </c>
      <c r="I1270" s="9" t="s">
        <v>72</v>
      </c>
      <c r="J1270" s="35">
        <v>44030</v>
      </c>
      <c r="K1270" s="36">
        <v>44014</v>
      </c>
      <c r="L1270" s="10">
        <v>44033</v>
      </c>
      <c r="M1270" s="10">
        <v>44039</v>
      </c>
      <c r="N1270" s="9">
        <v>2020</v>
      </c>
      <c r="O1270" s="9" t="s">
        <v>5619</v>
      </c>
      <c r="P1270" s="9" t="s">
        <v>83</v>
      </c>
      <c r="Q1270" s="9" t="s">
        <v>53</v>
      </c>
      <c r="T1270" s="9"/>
      <c r="V1270" s="9"/>
      <c r="W1270" s="11" t="str">
        <f>IFERROR(VLOOKUP(B1270, PlumX_snapshot!$A:$B, 2, FALSE), " ")</f>
        <v xml:space="preserve"> </v>
      </c>
      <c r="X1270" s="11" t="str">
        <f>IFERROR(VLOOKUP(B1270, PlumX_snapshot!$A:$C, 3, FALSE), " ")</f>
        <v xml:space="preserve"> </v>
      </c>
      <c r="Y1270" s="12" t="str">
        <f>IFERROR(VLOOKUP(B1270, PlumX_snapshot!$A:$D, 4, FALSE), " ")</f>
        <v xml:space="preserve"> </v>
      </c>
      <c r="Z1270" s="12" t="str">
        <f>IFERROR(VLOOKUP(B1270, PlumX_snapshot!$A:$E, 5, FALSE), " ")</f>
        <v xml:space="preserve"> </v>
      </c>
      <c r="AA1270" s="12" t="str">
        <f>IFERROR(VLOOKUP(B1270, PlumX_snapshot!$A:$F, 6, FALSE), " ")</f>
        <v xml:space="preserve"> </v>
      </c>
      <c r="AB1270" s="13"/>
      <c r="AC1270" s="9" t="s">
        <v>6170</v>
      </c>
      <c r="AD1270" s="9" t="s">
        <v>6171</v>
      </c>
      <c r="AH1270" s="9">
        <v>2793</v>
      </c>
      <c r="AI1270" s="9" t="s">
        <v>77</v>
      </c>
      <c r="AJ1270" s="9" t="s">
        <v>301</v>
      </c>
      <c r="AK1270" s="11" t="str">
        <f t="shared" si="8"/>
        <v>2020GBP</v>
      </c>
      <c r="AL1270" s="11">
        <f>VLOOKUP(AK1270, Exchange_rates!$C:$D, 2, FALSE)</f>
        <v>1</v>
      </c>
      <c r="AM1270" s="14">
        <f t="shared" si="9"/>
        <v>3351.6</v>
      </c>
      <c r="AN1270" s="9"/>
      <c r="AO1270" s="9"/>
      <c r="AP1270" s="9"/>
      <c r="AQ1270" s="15" t="s">
        <v>49</v>
      </c>
      <c r="AR1270" t="s">
        <v>5558</v>
      </c>
      <c r="AS1270" s="16"/>
    </row>
    <row r="1271" spans="1:45" ht="14.5">
      <c r="A1271" s="9" t="s">
        <v>6172</v>
      </c>
      <c r="B1271" s="9" t="s">
        <v>6173</v>
      </c>
      <c r="C1271" s="9" t="s">
        <v>6174</v>
      </c>
      <c r="D1271" s="9" t="s">
        <v>5539</v>
      </c>
      <c r="E1271" s="9" t="s">
        <v>49</v>
      </c>
      <c r="F1271" s="9" t="s">
        <v>69</v>
      </c>
      <c r="G1271" s="9" t="s">
        <v>70</v>
      </c>
      <c r="H1271" s="9" t="s">
        <v>5729</v>
      </c>
      <c r="I1271" s="9" t="s">
        <v>72</v>
      </c>
      <c r="J1271" s="35">
        <v>44027</v>
      </c>
      <c r="K1271" s="36">
        <v>44015</v>
      </c>
      <c r="L1271" s="10">
        <v>44028</v>
      </c>
      <c r="M1271" s="10">
        <v>44040</v>
      </c>
      <c r="N1271" s="9">
        <v>2020</v>
      </c>
      <c r="O1271" s="9" t="s">
        <v>5619</v>
      </c>
      <c r="P1271" s="9" t="s">
        <v>53</v>
      </c>
      <c r="Q1271" s="9" t="s">
        <v>53</v>
      </c>
      <c r="T1271" s="9"/>
      <c r="V1271" s="9"/>
      <c r="W1271" s="11" t="str">
        <f>IFERROR(VLOOKUP(B1271, PlumX_snapshot!$A:$B, 2, FALSE), " ")</f>
        <v xml:space="preserve"> </v>
      </c>
      <c r="X1271" s="11" t="str">
        <f>IFERROR(VLOOKUP(B1271, PlumX_snapshot!$A:$C, 3, FALSE), " ")</f>
        <v xml:space="preserve"> </v>
      </c>
      <c r="Y1271" s="12" t="str">
        <f>IFERROR(VLOOKUP(B1271, PlumX_snapshot!$A:$D, 4, FALSE), " ")</f>
        <v xml:space="preserve"> </v>
      </c>
      <c r="Z1271" s="12" t="str">
        <f>IFERROR(VLOOKUP(B1271, PlumX_snapshot!$A:$E, 5, FALSE), " ")</f>
        <v xml:space="preserve"> </v>
      </c>
      <c r="AA1271" s="12" t="str">
        <f>IFERROR(VLOOKUP(B1271, PlumX_snapshot!$A:$F, 6, FALSE), " ")</f>
        <v xml:space="preserve"> </v>
      </c>
      <c r="AB1271" s="13"/>
      <c r="AC1271" s="9" t="s">
        <v>6175</v>
      </c>
      <c r="AD1271" s="9" t="s">
        <v>6176</v>
      </c>
      <c r="AE1271" s="9" t="s">
        <v>6177</v>
      </c>
      <c r="AF1271" s="9" t="s">
        <v>6178</v>
      </c>
      <c r="AH1271" s="9">
        <v>1750</v>
      </c>
      <c r="AI1271" s="9" t="s">
        <v>77</v>
      </c>
      <c r="AJ1271" s="9" t="s">
        <v>301</v>
      </c>
      <c r="AK1271" s="11" t="str">
        <f t="shared" si="8"/>
        <v>2020GBP</v>
      </c>
      <c r="AL1271" s="11">
        <f>VLOOKUP(AK1271, Exchange_rates!$C:$D, 2, FALSE)</f>
        <v>1</v>
      </c>
      <c r="AM1271" s="14">
        <f t="shared" si="9"/>
        <v>2100</v>
      </c>
      <c r="AN1271" s="9"/>
      <c r="AO1271" s="9"/>
      <c r="AP1271" s="9"/>
      <c r="AQ1271" s="15" t="s">
        <v>49</v>
      </c>
      <c r="AR1271" t="s">
        <v>6179</v>
      </c>
      <c r="AS1271" s="16"/>
    </row>
    <row r="1272" spans="1:45" ht="14.5">
      <c r="A1272" s="9" t="s">
        <v>6180</v>
      </c>
      <c r="B1272" s="9" t="s">
        <v>6181</v>
      </c>
      <c r="C1272" s="9" t="s">
        <v>6182</v>
      </c>
      <c r="D1272" s="9" t="s">
        <v>5539</v>
      </c>
      <c r="E1272" s="9" t="s">
        <v>49</v>
      </c>
      <c r="F1272" s="9" t="s">
        <v>69</v>
      </c>
      <c r="G1272" s="9" t="s">
        <v>70</v>
      </c>
      <c r="H1272" s="9" t="s">
        <v>5729</v>
      </c>
      <c r="I1272" s="9" t="s">
        <v>72</v>
      </c>
      <c r="J1272" s="35">
        <v>44026</v>
      </c>
      <c r="K1272" s="35">
        <v>44025</v>
      </c>
      <c r="L1272" s="10">
        <v>44027</v>
      </c>
      <c r="M1272" s="10">
        <v>44041</v>
      </c>
      <c r="N1272" s="9">
        <v>2020</v>
      </c>
      <c r="O1272" s="9" t="s">
        <v>5619</v>
      </c>
      <c r="P1272" s="9" t="s">
        <v>83</v>
      </c>
      <c r="Q1272" s="9" t="s">
        <v>53</v>
      </c>
      <c r="T1272" s="9"/>
      <c r="V1272" s="9"/>
      <c r="W1272" s="11" t="str">
        <f>IFERROR(VLOOKUP(B1272, PlumX_snapshot!$A:$B, 2, FALSE), " ")</f>
        <v xml:space="preserve"> </v>
      </c>
      <c r="X1272" s="11" t="str">
        <f>IFERROR(VLOOKUP(B1272, PlumX_snapshot!$A:$C, 3, FALSE), " ")</f>
        <v xml:space="preserve"> </v>
      </c>
      <c r="Y1272" s="12" t="str">
        <f>IFERROR(VLOOKUP(B1272, PlumX_snapshot!$A:$D, 4, FALSE), " ")</f>
        <v xml:space="preserve"> </v>
      </c>
      <c r="Z1272" s="12" t="str">
        <f>IFERROR(VLOOKUP(B1272, PlumX_snapshot!$A:$E, 5, FALSE), " ")</f>
        <v xml:space="preserve"> </v>
      </c>
      <c r="AA1272" s="12" t="str">
        <f>IFERROR(VLOOKUP(B1272, PlumX_snapshot!$A:$F, 6, FALSE), " ")</f>
        <v xml:space="preserve"> </v>
      </c>
      <c r="AB1272" s="13"/>
      <c r="AC1272" s="9" t="s">
        <v>6183</v>
      </c>
      <c r="AD1272" s="9" t="s">
        <v>6184</v>
      </c>
      <c r="AE1272" s="9" t="s">
        <v>6185</v>
      </c>
      <c r="AF1272" s="9" t="s">
        <v>6186</v>
      </c>
      <c r="AH1272" s="9">
        <v>2350</v>
      </c>
      <c r="AI1272" s="9" t="s">
        <v>77</v>
      </c>
      <c r="AJ1272" s="9" t="s">
        <v>301</v>
      </c>
      <c r="AK1272" s="11" t="str">
        <f t="shared" si="8"/>
        <v>2020GBP</v>
      </c>
      <c r="AL1272" s="11">
        <f>VLOOKUP(AK1272, Exchange_rates!$C:$D, 2, FALSE)</f>
        <v>1</v>
      </c>
      <c r="AM1272" s="14">
        <f t="shared" si="9"/>
        <v>2820</v>
      </c>
      <c r="AN1272" s="9"/>
      <c r="AO1272" s="9"/>
      <c r="AP1272" s="9"/>
      <c r="AQ1272" s="15" t="s">
        <v>49</v>
      </c>
      <c r="AR1272" t="s">
        <v>6187</v>
      </c>
      <c r="AS1272" s="16"/>
    </row>
    <row r="1273" spans="1:45" ht="14.5">
      <c r="A1273" s="9" t="s">
        <v>6188</v>
      </c>
      <c r="B1273" s="9" t="s">
        <v>6189</v>
      </c>
      <c r="C1273" s="9" t="s">
        <v>6182</v>
      </c>
      <c r="D1273" s="9" t="s">
        <v>5539</v>
      </c>
      <c r="E1273" s="9" t="s">
        <v>49</v>
      </c>
      <c r="F1273" s="9" t="s">
        <v>69</v>
      </c>
      <c r="G1273" s="9" t="s">
        <v>70</v>
      </c>
      <c r="H1273" s="9" t="s">
        <v>5729</v>
      </c>
      <c r="I1273" s="9" t="s">
        <v>72</v>
      </c>
      <c r="J1273" s="35">
        <v>44026</v>
      </c>
      <c r="K1273" s="35">
        <v>44025</v>
      </c>
      <c r="L1273" s="10">
        <v>44026</v>
      </c>
      <c r="M1273" s="10">
        <v>44046</v>
      </c>
      <c r="N1273" s="9">
        <v>2020</v>
      </c>
      <c r="O1273" s="9" t="s">
        <v>5619</v>
      </c>
      <c r="P1273" s="9" t="s">
        <v>83</v>
      </c>
      <c r="Q1273" s="9" t="s">
        <v>53</v>
      </c>
      <c r="T1273" s="9"/>
      <c r="V1273" s="9"/>
      <c r="W1273" s="11" t="str">
        <f>IFERROR(VLOOKUP(B1273, PlumX_snapshot!$A:$B, 2, FALSE), " ")</f>
        <v xml:space="preserve"> </v>
      </c>
      <c r="X1273" s="11" t="str">
        <f>IFERROR(VLOOKUP(B1273, PlumX_snapshot!$A:$C, 3, FALSE), " ")</f>
        <v xml:space="preserve"> </v>
      </c>
      <c r="Y1273" s="12" t="str">
        <f>IFERROR(VLOOKUP(B1273, PlumX_snapshot!$A:$D, 4, FALSE), " ")</f>
        <v xml:space="preserve"> </v>
      </c>
      <c r="Z1273" s="12" t="str">
        <f>IFERROR(VLOOKUP(B1273, PlumX_snapshot!$A:$E, 5, FALSE), " ")</f>
        <v xml:space="preserve"> </v>
      </c>
      <c r="AA1273" s="12" t="str">
        <f>IFERROR(VLOOKUP(B1273, PlumX_snapshot!$A:$F, 6, FALSE), " ")</f>
        <v xml:space="preserve"> </v>
      </c>
      <c r="AB1273" s="13"/>
      <c r="AC1273" s="9" t="s">
        <v>6190</v>
      </c>
      <c r="AD1273" s="9" t="s">
        <v>6191</v>
      </c>
      <c r="AE1273" s="9" t="s">
        <v>6192</v>
      </c>
      <c r="AF1273" s="9" t="s">
        <v>6193</v>
      </c>
      <c r="AH1273" s="9">
        <v>2350</v>
      </c>
      <c r="AI1273" s="9" t="s">
        <v>77</v>
      </c>
      <c r="AJ1273" s="9" t="s">
        <v>301</v>
      </c>
      <c r="AK1273" s="11" t="str">
        <f t="shared" si="8"/>
        <v>2020GBP</v>
      </c>
      <c r="AL1273" s="11">
        <f>VLOOKUP(AK1273, Exchange_rates!$C:$D, 2, FALSE)</f>
        <v>1</v>
      </c>
      <c r="AM1273" s="14">
        <f t="shared" si="9"/>
        <v>2820</v>
      </c>
      <c r="AN1273" s="9"/>
      <c r="AO1273" s="9"/>
      <c r="AP1273" s="9"/>
      <c r="AQ1273" s="15" t="s">
        <v>49</v>
      </c>
      <c r="AR1273" t="s">
        <v>6187</v>
      </c>
      <c r="AS1273" s="16"/>
    </row>
    <row r="1274" spans="1:45" ht="14.5">
      <c r="A1274" s="9" t="s">
        <v>6194</v>
      </c>
      <c r="B1274" s="9" t="s">
        <v>6195</v>
      </c>
      <c r="C1274" s="9" t="s">
        <v>6196</v>
      </c>
      <c r="D1274" s="9" t="s">
        <v>5539</v>
      </c>
      <c r="E1274" s="9" t="s">
        <v>49</v>
      </c>
      <c r="F1274" s="9" t="s">
        <v>69</v>
      </c>
      <c r="G1274" s="9" t="s">
        <v>70</v>
      </c>
      <c r="H1274" s="9" t="s">
        <v>5729</v>
      </c>
      <c r="I1274" s="9" t="s">
        <v>72</v>
      </c>
      <c r="J1274" s="36">
        <v>44015</v>
      </c>
      <c r="K1274" s="35">
        <v>44006</v>
      </c>
      <c r="L1274" s="10">
        <v>44015</v>
      </c>
      <c r="M1274" s="10">
        <v>44032</v>
      </c>
      <c r="N1274" s="9">
        <v>2020</v>
      </c>
      <c r="O1274" s="9" t="s">
        <v>5619</v>
      </c>
      <c r="P1274" s="9" t="s">
        <v>83</v>
      </c>
      <c r="Q1274" s="9" t="s">
        <v>53</v>
      </c>
      <c r="T1274" s="9"/>
      <c r="V1274" s="9"/>
      <c r="W1274" s="11" t="str">
        <f>IFERROR(VLOOKUP(B1274, PlumX_snapshot!$A:$B, 2, FALSE), " ")</f>
        <v xml:space="preserve"> </v>
      </c>
      <c r="X1274" s="11" t="str">
        <f>IFERROR(VLOOKUP(B1274, PlumX_snapshot!$A:$C, 3, FALSE), " ")</f>
        <v xml:space="preserve"> </v>
      </c>
      <c r="Y1274" s="12" t="str">
        <f>IFERROR(VLOOKUP(B1274, PlumX_snapshot!$A:$D, 4, FALSE), " ")</f>
        <v xml:space="preserve"> </v>
      </c>
      <c r="Z1274" s="12" t="str">
        <f>IFERROR(VLOOKUP(B1274, PlumX_snapshot!$A:$E, 5, FALSE), " ")</f>
        <v xml:space="preserve"> </v>
      </c>
      <c r="AA1274" s="12" t="str">
        <f>IFERROR(VLOOKUP(B1274, PlumX_snapshot!$A:$F, 6, FALSE), " ")</f>
        <v xml:space="preserve"> </v>
      </c>
      <c r="AB1274" s="13"/>
      <c r="AC1274" s="9" t="s">
        <v>6197</v>
      </c>
      <c r="AD1274" s="9" t="s">
        <v>6198</v>
      </c>
      <c r="AE1274" s="9" t="s">
        <v>6199</v>
      </c>
      <c r="AF1274" s="9" t="s">
        <v>6200</v>
      </c>
      <c r="AH1274" s="9">
        <v>1850</v>
      </c>
      <c r="AI1274" s="9" t="s">
        <v>77</v>
      </c>
      <c r="AJ1274" s="9" t="s">
        <v>301</v>
      </c>
      <c r="AK1274" s="11" t="str">
        <f t="shared" si="8"/>
        <v>2020GBP</v>
      </c>
      <c r="AL1274" s="11">
        <f>VLOOKUP(AK1274, Exchange_rates!$C:$D, 2, FALSE)</f>
        <v>1</v>
      </c>
      <c r="AM1274" s="14">
        <f t="shared" si="9"/>
        <v>2220</v>
      </c>
      <c r="AN1274" s="9"/>
      <c r="AO1274" s="9"/>
      <c r="AP1274" s="9"/>
      <c r="AQ1274" s="15" t="s">
        <v>49</v>
      </c>
      <c r="AR1274" t="s">
        <v>6201</v>
      </c>
      <c r="AS1274" s="16"/>
    </row>
    <row r="1275" spans="1:45" ht="14.5">
      <c r="A1275" s="9" t="s">
        <v>6202</v>
      </c>
      <c r="B1275" s="9" t="s">
        <v>6203</v>
      </c>
      <c r="C1275" s="9" t="s">
        <v>6204</v>
      </c>
      <c r="D1275" s="9" t="s">
        <v>5539</v>
      </c>
      <c r="E1275" s="9" t="s">
        <v>49</v>
      </c>
      <c r="F1275" s="9" t="s">
        <v>69</v>
      </c>
      <c r="G1275" s="9" t="s">
        <v>70</v>
      </c>
      <c r="H1275" s="9" t="s">
        <v>5598</v>
      </c>
      <c r="I1275" s="9" t="s">
        <v>72</v>
      </c>
      <c r="J1275" s="36">
        <v>44015</v>
      </c>
      <c r="K1275" s="29"/>
      <c r="L1275" s="10">
        <v>44015</v>
      </c>
      <c r="M1275" s="10">
        <v>44070</v>
      </c>
      <c r="N1275" s="9">
        <v>2021</v>
      </c>
      <c r="O1275" s="9" t="s">
        <v>5619</v>
      </c>
      <c r="P1275" s="9" t="s">
        <v>53</v>
      </c>
      <c r="Q1275" s="9" t="s">
        <v>53</v>
      </c>
      <c r="T1275" s="9"/>
      <c r="V1275" s="9"/>
      <c r="W1275" s="11" t="str">
        <f>IFERROR(VLOOKUP(B1275, PlumX_snapshot!$A:$B, 2, FALSE), " ")</f>
        <v xml:space="preserve"> </v>
      </c>
      <c r="X1275" s="11" t="str">
        <f>IFERROR(VLOOKUP(B1275, PlumX_snapshot!$A:$C, 3, FALSE), " ")</f>
        <v xml:space="preserve"> </v>
      </c>
      <c r="Y1275" s="12" t="str">
        <f>IFERROR(VLOOKUP(B1275, PlumX_snapshot!$A:$D, 4, FALSE), " ")</f>
        <v xml:space="preserve"> </v>
      </c>
      <c r="Z1275" s="12" t="str">
        <f>IFERROR(VLOOKUP(B1275, PlumX_snapshot!$A:$E, 5, FALSE), " ")</f>
        <v xml:space="preserve"> </v>
      </c>
      <c r="AA1275" s="12" t="str">
        <f>IFERROR(VLOOKUP(B1275, PlumX_snapshot!$A:$F, 6, FALSE), " ")</f>
        <v xml:space="preserve"> </v>
      </c>
      <c r="AB1275" s="13"/>
      <c r="AC1275" s="9" t="s">
        <v>6205</v>
      </c>
      <c r="AD1275" s="9" t="s">
        <v>6206</v>
      </c>
      <c r="AE1275" s="9" t="s">
        <v>6207</v>
      </c>
      <c r="AH1275" s="9">
        <v>2133</v>
      </c>
      <c r="AI1275" s="9" t="s">
        <v>77</v>
      </c>
      <c r="AJ1275" s="9" t="s">
        <v>301</v>
      </c>
      <c r="AK1275" s="11" t="str">
        <f t="shared" si="8"/>
        <v>2021GBP</v>
      </c>
      <c r="AL1275" s="11">
        <f>VLOOKUP(AK1275, Exchange_rates!$C:$D, 2, FALSE)</f>
        <v>1</v>
      </c>
      <c r="AM1275" s="14">
        <f t="shared" si="9"/>
        <v>2559.6</v>
      </c>
      <c r="AN1275" s="9"/>
      <c r="AO1275" s="9"/>
      <c r="AP1275" s="9"/>
      <c r="AQ1275" s="15" t="s">
        <v>49</v>
      </c>
      <c r="AR1275" t="s">
        <v>6208</v>
      </c>
      <c r="AS1275" s="16"/>
    </row>
    <row r="1276" spans="1:45" ht="14.5">
      <c r="A1276" s="9" t="s">
        <v>6209</v>
      </c>
      <c r="B1276" s="9" t="s">
        <v>6210</v>
      </c>
      <c r="C1276" s="9" t="s">
        <v>5977</v>
      </c>
      <c r="D1276" s="9" t="s">
        <v>5539</v>
      </c>
      <c r="E1276" s="9" t="s">
        <v>49</v>
      </c>
      <c r="F1276" s="9" t="s">
        <v>69</v>
      </c>
      <c r="G1276" s="9" t="s">
        <v>70</v>
      </c>
      <c r="H1276" s="9" t="s">
        <v>5729</v>
      </c>
      <c r="I1276" s="9" t="s">
        <v>72</v>
      </c>
      <c r="J1276" s="35">
        <v>44012</v>
      </c>
      <c r="K1276" s="35">
        <v>44000</v>
      </c>
      <c r="L1276" s="10">
        <v>44012</v>
      </c>
      <c r="M1276" s="10">
        <v>44038</v>
      </c>
      <c r="N1276" s="9">
        <v>2020</v>
      </c>
      <c r="O1276" s="9" t="s">
        <v>5619</v>
      </c>
      <c r="P1276" s="9" t="s">
        <v>53</v>
      </c>
      <c r="Q1276" s="9" t="s">
        <v>53</v>
      </c>
      <c r="T1276" s="9"/>
      <c r="V1276" s="9"/>
      <c r="W1276" s="11" t="str">
        <f>IFERROR(VLOOKUP(B1276, PlumX_snapshot!$A:$B, 2, FALSE), " ")</f>
        <v xml:space="preserve"> </v>
      </c>
      <c r="X1276" s="11" t="str">
        <f>IFERROR(VLOOKUP(B1276, PlumX_snapshot!$A:$C, 3, FALSE), " ")</f>
        <v xml:space="preserve"> </v>
      </c>
      <c r="Y1276" s="12" t="str">
        <f>IFERROR(VLOOKUP(B1276, PlumX_snapshot!$A:$D, 4, FALSE), " ")</f>
        <v xml:space="preserve"> </v>
      </c>
      <c r="Z1276" s="12" t="str">
        <f>IFERROR(VLOOKUP(B1276, PlumX_snapshot!$A:$E, 5, FALSE), " ")</f>
        <v xml:space="preserve"> </v>
      </c>
      <c r="AA1276" s="12" t="str">
        <f>IFERROR(VLOOKUP(B1276, PlumX_snapshot!$A:$F, 6, FALSE), " ")</f>
        <v xml:space="preserve"> </v>
      </c>
      <c r="AB1276" s="13"/>
      <c r="AC1276" s="9" t="s">
        <v>5160</v>
      </c>
      <c r="AD1276" s="9" t="s">
        <v>6211</v>
      </c>
      <c r="AE1276" s="9" t="s">
        <v>6212</v>
      </c>
      <c r="AH1276" s="9">
        <v>1667</v>
      </c>
      <c r="AI1276" s="9" t="s">
        <v>77</v>
      </c>
      <c r="AJ1276" s="9" t="s">
        <v>301</v>
      </c>
      <c r="AK1276" s="11" t="str">
        <f t="shared" si="8"/>
        <v>2020GBP</v>
      </c>
      <c r="AL1276" s="11">
        <f>VLOOKUP(AK1276, Exchange_rates!$C:$D, 2, FALSE)</f>
        <v>1</v>
      </c>
      <c r="AM1276" s="14">
        <f t="shared" si="9"/>
        <v>2000.3999999999999</v>
      </c>
      <c r="AN1276" s="9"/>
      <c r="AO1276" s="9"/>
      <c r="AP1276" s="9"/>
      <c r="AQ1276" s="15" t="s">
        <v>49</v>
      </c>
      <c r="AR1276" t="s">
        <v>5982</v>
      </c>
      <c r="AS1276" s="16"/>
    </row>
    <row r="1277" spans="1:45" ht="14.5">
      <c r="A1277" s="9" t="s">
        <v>6213</v>
      </c>
      <c r="B1277" s="9" t="s">
        <v>6214</v>
      </c>
      <c r="C1277" s="9" t="s">
        <v>6034</v>
      </c>
      <c r="D1277" s="9" t="s">
        <v>5539</v>
      </c>
      <c r="E1277" s="9" t="s">
        <v>49</v>
      </c>
      <c r="F1277" s="9" t="s">
        <v>69</v>
      </c>
      <c r="G1277" s="9" t="s">
        <v>70</v>
      </c>
      <c r="H1277" s="9" t="s">
        <v>5729</v>
      </c>
      <c r="I1277" s="9" t="s">
        <v>72</v>
      </c>
      <c r="J1277" s="35">
        <v>44011</v>
      </c>
      <c r="K1277" s="35">
        <v>44006</v>
      </c>
      <c r="L1277" s="10">
        <v>44011</v>
      </c>
      <c r="M1277" s="10">
        <v>44048</v>
      </c>
      <c r="N1277" s="9">
        <v>2020</v>
      </c>
      <c r="O1277" s="9" t="s">
        <v>5619</v>
      </c>
      <c r="P1277" s="9" t="s">
        <v>53</v>
      </c>
      <c r="Q1277" s="9" t="s">
        <v>53</v>
      </c>
      <c r="T1277" s="9"/>
      <c r="V1277" s="9"/>
      <c r="W1277" s="11" t="str">
        <f>IFERROR(VLOOKUP(B1277, PlumX_snapshot!$A:$B, 2, FALSE), " ")</f>
        <v xml:space="preserve"> </v>
      </c>
      <c r="X1277" s="11" t="str">
        <f>IFERROR(VLOOKUP(B1277, PlumX_snapshot!$A:$C, 3, FALSE), " ")</f>
        <v xml:space="preserve"> </v>
      </c>
      <c r="Y1277" s="12" t="str">
        <f>IFERROR(VLOOKUP(B1277, PlumX_snapshot!$A:$D, 4, FALSE), " ")</f>
        <v xml:space="preserve"> </v>
      </c>
      <c r="Z1277" s="12" t="str">
        <f>IFERROR(VLOOKUP(B1277, PlumX_snapshot!$A:$E, 5, FALSE), " ")</f>
        <v xml:space="preserve"> </v>
      </c>
      <c r="AA1277" s="12" t="str">
        <f>IFERROR(VLOOKUP(B1277, PlumX_snapshot!$A:$F, 6, FALSE), " ")</f>
        <v xml:space="preserve"> </v>
      </c>
      <c r="AB1277" s="13"/>
      <c r="AC1277" s="9" t="s">
        <v>6215</v>
      </c>
      <c r="AD1277" s="9" t="s">
        <v>6216</v>
      </c>
      <c r="AE1277" s="9" t="s">
        <v>6217</v>
      </c>
      <c r="AF1277" s="9" t="s">
        <v>6218</v>
      </c>
      <c r="AH1277" s="9">
        <v>2000</v>
      </c>
      <c r="AI1277" s="9" t="s">
        <v>77</v>
      </c>
      <c r="AJ1277" s="9" t="s">
        <v>301</v>
      </c>
      <c r="AK1277" s="11" t="str">
        <f t="shared" ref="AK1277:AK1531" si="10">CONCATENATE(N1277,AJ1277)</f>
        <v>2020GBP</v>
      </c>
      <c r="AL1277" s="11">
        <f>VLOOKUP(AK1277, Exchange_rates!$C:$D, 2, FALSE)</f>
        <v>1</v>
      </c>
      <c r="AM1277" s="14">
        <f t="shared" ref="AM1277:AM1531" si="11">IFERROR(((AH1277*AL1277)*1.2), "")</f>
        <v>2400</v>
      </c>
      <c r="AN1277" s="9"/>
      <c r="AO1277" s="9"/>
      <c r="AP1277" s="9"/>
      <c r="AQ1277" s="15" t="s">
        <v>49</v>
      </c>
      <c r="AR1277" t="s">
        <v>6036</v>
      </c>
      <c r="AS1277" s="16" t="s">
        <v>6037</v>
      </c>
    </row>
    <row r="1278" spans="1:45" ht="14.5">
      <c r="A1278" s="9" t="s">
        <v>6219</v>
      </c>
      <c r="B1278" s="9" t="s">
        <v>6220</v>
      </c>
      <c r="C1278" s="9" t="s">
        <v>6221</v>
      </c>
      <c r="D1278" s="9" t="s">
        <v>5539</v>
      </c>
      <c r="E1278" s="9" t="s">
        <v>49</v>
      </c>
      <c r="F1278" s="9" t="s">
        <v>69</v>
      </c>
      <c r="G1278" s="9" t="s">
        <v>70</v>
      </c>
      <c r="H1278" s="9" t="s">
        <v>5729</v>
      </c>
      <c r="I1278" s="9" t="s">
        <v>72</v>
      </c>
      <c r="J1278" s="35">
        <v>43999</v>
      </c>
      <c r="K1278" s="35">
        <v>43997</v>
      </c>
      <c r="L1278" s="10">
        <v>44001</v>
      </c>
      <c r="M1278" s="10">
        <v>44034</v>
      </c>
      <c r="N1278" s="9">
        <v>2020</v>
      </c>
      <c r="O1278" s="9" t="s">
        <v>5619</v>
      </c>
      <c r="P1278" s="9" t="s">
        <v>53</v>
      </c>
      <c r="Q1278" s="9" t="s">
        <v>53</v>
      </c>
      <c r="T1278" s="9"/>
      <c r="V1278" s="9"/>
      <c r="W1278" s="11" t="str">
        <f>IFERROR(VLOOKUP(B1278, PlumX_snapshot!$A:$B, 2, FALSE), " ")</f>
        <v xml:space="preserve"> </v>
      </c>
      <c r="X1278" s="11" t="str">
        <f>IFERROR(VLOOKUP(B1278, PlumX_snapshot!$A:$C, 3, FALSE), " ")</f>
        <v xml:space="preserve"> </v>
      </c>
      <c r="Y1278" s="12" t="str">
        <f>IFERROR(VLOOKUP(B1278, PlumX_snapshot!$A:$D, 4, FALSE), " ")</f>
        <v xml:space="preserve"> </v>
      </c>
      <c r="Z1278" s="12" t="str">
        <f>IFERROR(VLOOKUP(B1278, PlumX_snapshot!$A:$E, 5, FALSE), " ")</f>
        <v xml:space="preserve"> </v>
      </c>
      <c r="AA1278" s="12" t="str">
        <f>IFERROR(VLOOKUP(B1278, PlumX_snapshot!$A:$F, 6, FALSE), " ")</f>
        <v xml:space="preserve"> </v>
      </c>
      <c r="AB1278" s="13"/>
      <c r="AC1278" s="9" t="s">
        <v>6222</v>
      </c>
      <c r="AD1278" s="9" t="s">
        <v>6223</v>
      </c>
      <c r="AE1278" s="9" t="s">
        <v>6224</v>
      </c>
      <c r="AF1278" s="9" t="s">
        <v>6225</v>
      </c>
      <c r="AH1278" s="9">
        <v>2867</v>
      </c>
      <c r="AI1278" s="9" t="s">
        <v>77</v>
      </c>
      <c r="AJ1278" s="9" t="s">
        <v>301</v>
      </c>
      <c r="AK1278" s="11" t="str">
        <f t="shared" si="10"/>
        <v>2020GBP</v>
      </c>
      <c r="AL1278" s="11">
        <f>VLOOKUP(AK1278, Exchange_rates!$C:$D, 2, FALSE)</f>
        <v>1</v>
      </c>
      <c r="AM1278" s="14">
        <f t="shared" si="11"/>
        <v>3440.4</v>
      </c>
      <c r="AN1278" s="9"/>
      <c r="AO1278" s="9"/>
      <c r="AP1278" s="9"/>
      <c r="AQ1278" s="15" t="s">
        <v>49</v>
      </c>
      <c r="AR1278" t="s">
        <v>6226</v>
      </c>
      <c r="AS1278" s="16"/>
    </row>
    <row r="1279" spans="1:45" ht="14.5">
      <c r="A1279" s="9" t="s">
        <v>6227</v>
      </c>
      <c r="B1279" s="9" t="s">
        <v>6228</v>
      </c>
      <c r="C1279" s="9" t="s">
        <v>6229</v>
      </c>
      <c r="D1279" s="9" t="s">
        <v>5539</v>
      </c>
      <c r="E1279" s="9" t="s">
        <v>49</v>
      </c>
      <c r="F1279" s="9" t="s">
        <v>69</v>
      </c>
      <c r="G1279" s="9" t="s">
        <v>70</v>
      </c>
      <c r="H1279" s="9" t="s">
        <v>5729</v>
      </c>
      <c r="I1279" s="9" t="s">
        <v>238</v>
      </c>
      <c r="J1279" s="35">
        <v>43999</v>
      </c>
      <c r="K1279" s="35">
        <v>43994</v>
      </c>
      <c r="L1279" s="10">
        <v>43999</v>
      </c>
      <c r="M1279" s="10">
        <v>44035</v>
      </c>
      <c r="N1279" s="9">
        <v>2020</v>
      </c>
      <c r="O1279" s="9" t="s">
        <v>5619</v>
      </c>
      <c r="P1279" s="9" t="s">
        <v>53</v>
      </c>
      <c r="Q1279" s="9" t="s">
        <v>53</v>
      </c>
      <c r="T1279" s="9"/>
      <c r="V1279" s="9"/>
      <c r="W1279" s="11" t="str">
        <f>IFERROR(VLOOKUP(B1279, PlumX_snapshot!$A:$B, 2, FALSE), " ")</f>
        <v xml:space="preserve"> </v>
      </c>
      <c r="X1279" s="11" t="str">
        <f>IFERROR(VLOOKUP(B1279, PlumX_snapshot!$A:$C, 3, FALSE), " ")</f>
        <v xml:space="preserve"> </v>
      </c>
      <c r="Y1279" s="12" t="str">
        <f>IFERROR(VLOOKUP(B1279, PlumX_snapshot!$A:$D, 4, FALSE), " ")</f>
        <v xml:space="preserve"> </v>
      </c>
      <c r="Z1279" s="12" t="str">
        <f>IFERROR(VLOOKUP(B1279, PlumX_snapshot!$A:$E, 5, FALSE), " ")</f>
        <v xml:space="preserve"> </v>
      </c>
      <c r="AA1279" s="12" t="str">
        <f>IFERROR(VLOOKUP(B1279, PlumX_snapshot!$A:$F, 6, FALSE), " ")</f>
        <v xml:space="preserve"> </v>
      </c>
      <c r="AB1279" s="13"/>
      <c r="AC1279" s="9" t="s">
        <v>6163</v>
      </c>
      <c r="AD1279" s="9" t="s">
        <v>6164</v>
      </c>
      <c r="AE1279" s="9" t="s">
        <v>6165</v>
      </c>
      <c r="AF1279" s="9" t="s">
        <v>6230</v>
      </c>
      <c r="AH1279" s="9">
        <v>2000</v>
      </c>
      <c r="AI1279" s="9" t="s">
        <v>77</v>
      </c>
      <c r="AJ1279" s="9" t="s">
        <v>301</v>
      </c>
      <c r="AK1279" s="11" t="str">
        <f t="shared" si="10"/>
        <v>2020GBP</v>
      </c>
      <c r="AL1279" s="11">
        <f>VLOOKUP(AK1279, Exchange_rates!$C:$D, 2, FALSE)</f>
        <v>1</v>
      </c>
      <c r="AM1279" s="14">
        <f t="shared" si="11"/>
        <v>2400</v>
      </c>
      <c r="AN1279" s="9"/>
      <c r="AO1279" s="9"/>
      <c r="AP1279" s="9"/>
      <c r="AQ1279" s="15" t="s">
        <v>49</v>
      </c>
      <c r="AR1279" t="s">
        <v>6231</v>
      </c>
      <c r="AS1279" s="16"/>
    </row>
    <row r="1280" spans="1:45" ht="14.5">
      <c r="A1280" s="9" t="s">
        <v>6232</v>
      </c>
      <c r="B1280" s="9" t="s">
        <v>6233</v>
      </c>
      <c r="C1280" s="9" t="s">
        <v>5809</v>
      </c>
      <c r="D1280" s="9" t="s">
        <v>5539</v>
      </c>
      <c r="E1280" s="9" t="s">
        <v>49</v>
      </c>
      <c r="F1280" s="9" t="s">
        <v>69</v>
      </c>
      <c r="G1280" s="9" t="s">
        <v>70</v>
      </c>
      <c r="H1280" s="9" t="s">
        <v>5729</v>
      </c>
      <c r="I1280" s="9" t="s">
        <v>72</v>
      </c>
      <c r="J1280" s="35">
        <v>43997</v>
      </c>
      <c r="K1280" s="36">
        <v>43983</v>
      </c>
      <c r="L1280" s="10">
        <v>43997</v>
      </c>
      <c r="M1280" s="10">
        <v>44034</v>
      </c>
      <c r="N1280" s="9">
        <v>2020</v>
      </c>
      <c r="O1280" s="9" t="s">
        <v>5619</v>
      </c>
      <c r="P1280" s="9" t="s">
        <v>83</v>
      </c>
      <c r="Q1280" s="9" t="s">
        <v>53</v>
      </c>
      <c r="T1280" s="9"/>
      <c r="V1280" s="9"/>
      <c r="W1280" s="11" t="str">
        <f>IFERROR(VLOOKUP(B1280, PlumX_snapshot!$A:$B, 2, FALSE), " ")</f>
        <v xml:space="preserve"> </v>
      </c>
      <c r="X1280" s="11" t="str">
        <f>IFERROR(VLOOKUP(B1280, PlumX_snapshot!$A:$C, 3, FALSE), " ")</f>
        <v xml:space="preserve"> </v>
      </c>
      <c r="Y1280" s="12" t="str">
        <f>IFERROR(VLOOKUP(B1280, PlumX_snapshot!$A:$D, 4, FALSE), " ")</f>
        <v xml:space="preserve"> </v>
      </c>
      <c r="Z1280" s="12" t="str">
        <f>IFERROR(VLOOKUP(B1280, PlumX_snapshot!$A:$E, 5, FALSE), " ")</f>
        <v xml:space="preserve"> </v>
      </c>
      <c r="AA1280" s="12" t="str">
        <f>IFERROR(VLOOKUP(B1280, PlumX_snapshot!$A:$F, 6, FALSE), " ")</f>
        <v xml:space="preserve"> </v>
      </c>
      <c r="AB1280" s="13"/>
      <c r="AC1280" s="9" t="s">
        <v>6234</v>
      </c>
      <c r="AD1280" s="9" t="s">
        <v>6235</v>
      </c>
      <c r="AE1280" s="9" t="s">
        <v>6236</v>
      </c>
      <c r="AF1280" s="9" t="s">
        <v>6237</v>
      </c>
      <c r="AH1280" s="9">
        <v>2800</v>
      </c>
      <c r="AI1280" s="9" t="s">
        <v>77</v>
      </c>
      <c r="AJ1280" s="9" t="s">
        <v>301</v>
      </c>
      <c r="AK1280" s="11" t="str">
        <f t="shared" si="10"/>
        <v>2020GBP</v>
      </c>
      <c r="AL1280" s="11">
        <f>VLOOKUP(AK1280, Exchange_rates!$C:$D, 2, FALSE)</f>
        <v>1</v>
      </c>
      <c r="AM1280" s="14">
        <f t="shared" si="11"/>
        <v>3360</v>
      </c>
      <c r="AN1280" s="9"/>
      <c r="AO1280" s="9"/>
      <c r="AP1280" s="9"/>
      <c r="AQ1280" s="15" t="s">
        <v>49</v>
      </c>
      <c r="AR1280" t="s">
        <v>5814</v>
      </c>
      <c r="AS1280" s="16"/>
    </row>
    <row r="1281" spans="1:45" ht="14.5">
      <c r="A1281" s="9" t="s">
        <v>6238</v>
      </c>
      <c r="B1281" s="9" t="s">
        <v>6239</v>
      </c>
      <c r="C1281" s="9" t="s">
        <v>6240</v>
      </c>
      <c r="D1281" s="9" t="s">
        <v>5539</v>
      </c>
      <c r="E1281" s="9" t="s">
        <v>49</v>
      </c>
      <c r="F1281" s="9" t="s">
        <v>69</v>
      </c>
      <c r="G1281" s="9" t="s">
        <v>70</v>
      </c>
      <c r="H1281" s="9" t="s">
        <v>5729</v>
      </c>
      <c r="I1281" s="9" t="s">
        <v>72</v>
      </c>
      <c r="J1281" s="36">
        <v>43988</v>
      </c>
      <c r="K1281" s="29">
        <v>43969</v>
      </c>
      <c r="L1281" s="10">
        <v>43990</v>
      </c>
      <c r="M1281" s="10">
        <v>44003</v>
      </c>
      <c r="N1281" s="9">
        <v>2020</v>
      </c>
      <c r="O1281" s="9" t="s">
        <v>5619</v>
      </c>
      <c r="P1281" s="9" t="s">
        <v>83</v>
      </c>
      <c r="Q1281" s="9" t="s">
        <v>53</v>
      </c>
      <c r="T1281" s="9"/>
      <c r="V1281" s="9"/>
      <c r="W1281" s="11" t="str">
        <f>IFERROR(VLOOKUP(B1281, PlumX_snapshot!$A:$B, 2, FALSE), " ")</f>
        <v xml:space="preserve"> </v>
      </c>
      <c r="X1281" s="11" t="str">
        <f>IFERROR(VLOOKUP(B1281, PlumX_snapshot!$A:$C, 3, FALSE), " ")</f>
        <v xml:space="preserve"> </v>
      </c>
      <c r="Y1281" s="12" t="str">
        <f>IFERROR(VLOOKUP(B1281, PlumX_snapshot!$A:$D, 4, FALSE), " ")</f>
        <v xml:space="preserve"> </v>
      </c>
      <c r="Z1281" s="12" t="str">
        <f>IFERROR(VLOOKUP(B1281, PlumX_snapshot!$A:$E, 5, FALSE), " ")</f>
        <v xml:space="preserve"> </v>
      </c>
      <c r="AA1281" s="12" t="str">
        <f>IFERROR(VLOOKUP(B1281, PlumX_snapshot!$A:$F, 6, FALSE), " ")</f>
        <v xml:space="preserve"> </v>
      </c>
      <c r="AB1281" s="13"/>
      <c r="AC1281" s="9" t="s">
        <v>6241</v>
      </c>
      <c r="AD1281" s="9" t="s">
        <v>6242</v>
      </c>
      <c r="AE1281" s="9" t="s">
        <v>6243</v>
      </c>
      <c r="AF1281" s="9" t="s">
        <v>6244</v>
      </c>
      <c r="AH1281" s="9">
        <v>2000</v>
      </c>
      <c r="AI1281" s="9" t="s">
        <v>77</v>
      </c>
      <c r="AJ1281" s="9" t="s">
        <v>301</v>
      </c>
      <c r="AK1281" s="11" t="str">
        <f t="shared" si="10"/>
        <v>2020GBP</v>
      </c>
      <c r="AL1281" s="11">
        <f>VLOOKUP(AK1281, Exchange_rates!$C:$D, 2, FALSE)</f>
        <v>1</v>
      </c>
      <c r="AM1281" s="14">
        <f t="shared" si="11"/>
        <v>2400</v>
      </c>
      <c r="AN1281" s="9"/>
      <c r="AO1281" s="9"/>
      <c r="AP1281" s="9"/>
      <c r="AQ1281" s="15" t="s">
        <v>49</v>
      </c>
      <c r="AR1281" t="s">
        <v>6245</v>
      </c>
      <c r="AS1281" s="16"/>
    </row>
    <row r="1282" spans="1:45" ht="14.5">
      <c r="A1282" s="9" t="s">
        <v>6246</v>
      </c>
      <c r="B1282" s="9" t="s">
        <v>6247</v>
      </c>
      <c r="C1282" s="9" t="s">
        <v>6248</v>
      </c>
      <c r="D1282" s="9" t="s">
        <v>5539</v>
      </c>
      <c r="E1282" s="9" t="s">
        <v>49</v>
      </c>
      <c r="F1282" s="9" t="s">
        <v>69</v>
      </c>
      <c r="G1282" s="9" t="s">
        <v>70</v>
      </c>
      <c r="H1282" s="9" t="s">
        <v>5729</v>
      </c>
      <c r="I1282" s="9" t="s">
        <v>72</v>
      </c>
      <c r="J1282" s="36">
        <v>43987</v>
      </c>
      <c r="K1282" s="36">
        <v>43983</v>
      </c>
      <c r="L1282" s="10">
        <v>43987</v>
      </c>
      <c r="M1282" s="10">
        <v>44006</v>
      </c>
      <c r="N1282" s="9">
        <v>2020</v>
      </c>
      <c r="O1282" s="9" t="s">
        <v>5619</v>
      </c>
      <c r="P1282" s="9" t="s">
        <v>83</v>
      </c>
      <c r="Q1282" s="9" t="s">
        <v>53</v>
      </c>
      <c r="T1282" s="9"/>
      <c r="V1282" s="9"/>
      <c r="W1282" s="11" t="str">
        <f>IFERROR(VLOOKUP(B1282, PlumX_snapshot!$A:$B, 2, FALSE), " ")</f>
        <v xml:space="preserve"> </v>
      </c>
      <c r="X1282" s="11" t="str">
        <f>IFERROR(VLOOKUP(B1282, PlumX_snapshot!$A:$C, 3, FALSE), " ")</f>
        <v xml:space="preserve"> </v>
      </c>
      <c r="Y1282" s="12" t="str">
        <f>IFERROR(VLOOKUP(B1282, PlumX_snapshot!$A:$D, 4, FALSE), " ")</f>
        <v xml:space="preserve"> </v>
      </c>
      <c r="Z1282" s="12" t="str">
        <f>IFERROR(VLOOKUP(B1282, PlumX_snapshot!$A:$E, 5, FALSE), " ")</f>
        <v xml:space="preserve"> </v>
      </c>
      <c r="AA1282" s="12" t="str">
        <f>IFERROR(VLOOKUP(B1282, PlumX_snapshot!$A:$F, 6, FALSE), " ")</f>
        <v xml:space="preserve"> </v>
      </c>
      <c r="AB1282" s="13"/>
      <c r="AC1282" s="9" t="s">
        <v>6249</v>
      </c>
      <c r="AD1282" s="9" t="s">
        <v>6250</v>
      </c>
      <c r="AF1282" s="9" t="s">
        <v>6251</v>
      </c>
      <c r="AH1282" s="9">
        <v>2000</v>
      </c>
      <c r="AI1282" s="9" t="s">
        <v>77</v>
      </c>
      <c r="AJ1282" s="9" t="s">
        <v>301</v>
      </c>
      <c r="AK1282" s="11" t="str">
        <f t="shared" si="10"/>
        <v>2020GBP</v>
      </c>
      <c r="AL1282" s="11">
        <f>VLOOKUP(AK1282, Exchange_rates!$C:$D, 2, FALSE)</f>
        <v>1</v>
      </c>
      <c r="AM1282" s="14">
        <f t="shared" si="11"/>
        <v>2400</v>
      </c>
      <c r="AN1282" s="9"/>
      <c r="AO1282" s="9"/>
      <c r="AP1282" s="9"/>
      <c r="AQ1282" s="15" t="s">
        <v>49</v>
      </c>
      <c r="AR1282" t="s">
        <v>6252</v>
      </c>
      <c r="AS1282" s="16"/>
    </row>
    <row r="1283" spans="1:45" ht="14.5">
      <c r="A1283" s="9" t="s">
        <v>6253</v>
      </c>
      <c r="B1283" s="9" t="s">
        <v>6254</v>
      </c>
      <c r="C1283" s="9" t="s">
        <v>5786</v>
      </c>
      <c r="D1283" s="9" t="s">
        <v>5539</v>
      </c>
      <c r="E1283" s="9" t="s">
        <v>49</v>
      </c>
      <c r="F1283" s="9" t="s">
        <v>69</v>
      </c>
      <c r="G1283" s="9" t="s">
        <v>70</v>
      </c>
      <c r="H1283" s="9" t="s">
        <v>5729</v>
      </c>
      <c r="I1283" s="9" t="s">
        <v>72</v>
      </c>
      <c r="J1283" s="36">
        <v>43986</v>
      </c>
      <c r="K1283" s="36">
        <v>43930</v>
      </c>
      <c r="L1283" s="10">
        <v>43987</v>
      </c>
      <c r="M1283" s="10"/>
      <c r="N1283" s="9">
        <v>2020</v>
      </c>
      <c r="O1283" s="9" t="s">
        <v>5619</v>
      </c>
      <c r="P1283" s="9" t="s">
        <v>53</v>
      </c>
      <c r="Q1283" s="9" t="s">
        <v>53</v>
      </c>
      <c r="T1283" s="9"/>
      <c r="V1283" s="9"/>
      <c r="W1283" s="11" t="str">
        <f>IFERROR(VLOOKUP(B1283, PlumX_snapshot!$A:$B, 2, FALSE), " ")</f>
        <v xml:space="preserve"> </v>
      </c>
      <c r="X1283" s="11" t="str">
        <f>IFERROR(VLOOKUP(B1283, PlumX_snapshot!$A:$C, 3, FALSE), " ")</f>
        <v xml:space="preserve"> </v>
      </c>
      <c r="Y1283" s="12" t="str">
        <f>IFERROR(VLOOKUP(B1283, PlumX_snapshot!$A:$D, 4, FALSE), " ")</f>
        <v xml:space="preserve"> </v>
      </c>
      <c r="Z1283" s="12" t="str">
        <f>IFERROR(VLOOKUP(B1283, PlumX_snapshot!$A:$E, 5, FALSE), " ")</f>
        <v xml:space="preserve"> </v>
      </c>
      <c r="AA1283" s="12" t="str">
        <f>IFERROR(VLOOKUP(B1283, PlumX_snapshot!$A:$F, 6, FALSE), " ")</f>
        <v xml:space="preserve"> </v>
      </c>
      <c r="AB1283" s="13"/>
      <c r="AC1283" s="9" t="s">
        <v>6255</v>
      </c>
      <c r="AD1283" s="9" t="s">
        <v>6256</v>
      </c>
      <c r="AH1283" s="9">
        <v>2793</v>
      </c>
      <c r="AI1283" s="9" t="s">
        <v>77</v>
      </c>
      <c r="AJ1283" s="9" t="s">
        <v>301</v>
      </c>
      <c r="AK1283" s="11" t="str">
        <f t="shared" si="10"/>
        <v>2020GBP</v>
      </c>
      <c r="AL1283" s="11">
        <f>VLOOKUP(AK1283, Exchange_rates!$C:$D, 2, FALSE)</f>
        <v>1</v>
      </c>
      <c r="AM1283" s="14">
        <f t="shared" si="11"/>
        <v>3351.6</v>
      </c>
      <c r="AN1283" s="9"/>
      <c r="AO1283" s="9"/>
      <c r="AP1283" s="9"/>
      <c r="AQ1283" s="15" t="s">
        <v>49</v>
      </c>
      <c r="AR1283" t="s">
        <v>5558</v>
      </c>
      <c r="AS1283" s="16"/>
    </row>
    <row r="1284" spans="1:45" ht="14.5">
      <c r="A1284" s="9" t="s">
        <v>6257</v>
      </c>
      <c r="B1284" s="9" t="s">
        <v>6258</v>
      </c>
      <c r="C1284" s="9" t="s">
        <v>6259</v>
      </c>
      <c r="D1284" s="9" t="s">
        <v>5539</v>
      </c>
      <c r="E1284" s="9" t="s">
        <v>125</v>
      </c>
      <c r="F1284" s="9" t="s">
        <v>69</v>
      </c>
      <c r="G1284" s="9" t="s">
        <v>70</v>
      </c>
      <c r="H1284" s="9" t="s">
        <v>5729</v>
      </c>
      <c r="I1284" s="9" t="s">
        <v>72</v>
      </c>
      <c r="J1284" s="36">
        <v>43986</v>
      </c>
      <c r="K1284" s="35">
        <v>44151</v>
      </c>
      <c r="L1284" s="10">
        <v>43991</v>
      </c>
      <c r="M1284" s="10">
        <v>44169</v>
      </c>
      <c r="N1284" s="9">
        <v>2020</v>
      </c>
      <c r="O1284" s="9" t="s">
        <v>5619</v>
      </c>
      <c r="P1284" s="9" t="s">
        <v>53</v>
      </c>
      <c r="Q1284" s="9" t="s">
        <v>53</v>
      </c>
      <c r="T1284" s="9"/>
      <c r="V1284" s="9"/>
      <c r="W1284" s="11" t="str">
        <f>IFERROR(VLOOKUP(B1284, PlumX_snapshot!$A:$B, 2, FALSE), " ")</f>
        <v xml:space="preserve"> </v>
      </c>
      <c r="X1284" s="11" t="str">
        <f>IFERROR(VLOOKUP(B1284, PlumX_snapshot!$A:$C, 3, FALSE), " ")</f>
        <v xml:space="preserve"> </v>
      </c>
      <c r="Y1284" s="12" t="str">
        <f>IFERROR(VLOOKUP(B1284, PlumX_snapshot!$A:$D, 4, FALSE), " ")</f>
        <v xml:space="preserve"> </v>
      </c>
      <c r="Z1284" s="12" t="str">
        <f>IFERROR(VLOOKUP(B1284, PlumX_snapshot!$A:$E, 5, FALSE), " ")</f>
        <v xml:space="preserve"> </v>
      </c>
      <c r="AA1284" s="12" t="str">
        <f>IFERROR(VLOOKUP(B1284, PlumX_snapshot!$A:$F, 6, FALSE), " ")</f>
        <v xml:space="preserve"> </v>
      </c>
      <c r="AB1284" s="13"/>
      <c r="AC1284" s="9" t="s">
        <v>6260</v>
      </c>
      <c r="AD1284" s="9" t="s">
        <v>6261</v>
      </c>
      <c r="AE1284" s="9" t="s">
        <v>6262</v>
      </c>
      <c r="AF1284" s="9" t="s">
        <v>6263</v>
      </c>
      <c r="AH1284" s="9">
        <v>1755</v>
      </c>
      <c r="AI1284" s="9" t="s">
        <v>77</v>
      </c>
      <c r="AJ1284" s="9" t="s">
        <v>301</v>
      </c>
      <c r="AK1284" s="11" t="str">
        <f t="shared" si="10"/>
        <v>2020GBP</v>
      </c>
      <c r="AL1284" s="11">
        <f>VLOOKUP(AK1284, Exchange_rates!$C:$D, 2, FALSE)</f>
        <v>1</v>
      </c>
      <c r="AM1284" s="14">
        <f t="shared" si="11"/>
        <v>2106</v>
      </c>
      <c r="AN1284" s="9"/>
      <c r="AO1284" s="9"/>
      <c r="AP1284" s="9"/>
      <c r="AQ1284" s="15" t="s">
        <v>125</v>
      </c>
      <c r="AR1284" t="s">
        <v>6264</v>
      </c>
      <c r="AS1284" s="16"/>
    </row>
    <row r="1285" spans="1:45" ht="14.5">
      <c r="A1285" s="9" t="s">
        <v>6265</v>
      </c>
      <c r="B1285" s="9" t="s">
        <v>6266</v>
      </c>
      <c r="C1285" s="9" t="s">
        <v>5634</v>
      </c>
      <c r="D1285" s="9" t="s">
        <v>5539</v>
      </c>
      <c r="E1285" s="9" t="s">
        <v>49</v>
      </c>
      <c r="F1285" s="9" t="s">
        <v>69</v>
      </c>
      <c r="G1285" s="9" t="s">
        <v>70</v>
      </c>
      <c r="H1285" s="9" t="s">
        <v>5729</v>
      </c>
      <c r="I1285" s="9" t="s">
        <v>72</v>
      </c>
      <c r="J1285" s="36">
        <v>43983</v>
      </c>
      <c r="K1285" s="35">
        <v>43938</v>
      </c>
      <c r="L1285" s="10">
        <v>43983</v>
      </c>
      <c r="M1285" s="10">
        <v>44020</v>
      </c>
      <c r="N1285" s="9">
        <v>2020</v>
      </c>
      <c r="O1285" s="9" t="s">
        <v>5619</v>
      </c>
      <c r="P1285" s="9" t="s">
        <v>83</v>
      </c>
      <c r="Q1285" s="9" t="s">
        <v>83</v>
      </c>
      <c r="T1285" s="9"/>
      <c r="V1285" s="9"/>
      <c r="W1285" s="11" t="str">
        <f>IFERROR(VLOOKUP(B1285, PlumX_snapshot!$A:$B, 2, FALSE), " ")</f>
        <v xml:space="preserve"> </v>
      </c>
      <c r="X1285" s="11" t="str">
        <f>IFERROR(VLOOKUP(B1285, PlumX_snapshot!$A:$C, 3, FALSE), " ")</f>
        <v xml:space="preserve"> </v>
      </c>
      <c r="Y1285" s="12" t="str">
        <f>IFERROR(VLOOKUP(B1285, PlumX_snapshot!$A:$D, 4, FALSE), " ")</f>
        <v xml:space="preserve"> </v>
      </c>
      <c r="Z1285" s="12" t="str">
        <f>IFERROR(VLOOKUP(B1285, PlumX_snapshot!$A:$E, 5, FALSE), " ")</f>
        <v xml:space="preserve"> </v>
      </c>
      <c r="AA1285" s="12" t="str">
        <f>IFERROR(VLOOKUP(B1285, PlumX_snapshot!$A:$F, 6, FALSE), " ")</f>
        <v xml:space="preserve"> </v>
      </c>
      <c r="AB1285" s="13"/>
      <c r="AC1285" s="9" t="s">
        <v>6267</v>
      </c>
      <c r="AD1285" s="9" t="s">
        <v>6268</v>
      </c>
      <c r="AE1285" s="9" t="s">
        <v>6269</v>
      </c>
      <c r="AF1285" s="9" t="s">
        <v>6270</v>
      </c>
      <c r="AH1285" s="9">
        <v>2650</v>
      </c>
      <c r="AI1285" s="9" t="s">
        <v>77</v>
      </c>
      <c r="AJ1285" s="9" t="s">
        <v>301</v>
      </c>
      <c r="AK1285" s="11" t="str">
        <f t="shared" si="10"/>
        <v>2020GBP</v>
      </c>
      <c r="AL1285" s="11">
        <f>VLOOKUP(AK1285, Exchange_rates!$C:$D, 2, FALSE)</f>
        <v>1</v>
      </c>
      <c r="AM1285" s="14">
        <f t="shared" si="11"/>
        <v>3180</v>
      </c>
      <c r="AN1285" s="9"/>
      <c r="AO1285" s="9"/>
      <c r="AP1285" s="9"/>
      <c r="AQ1285" s="15" t="s">
        <v>49</v>
      </c>
      <c r="AR1285" t="s">
        <v>5551</v>
      </c>
      <c r="AS1285" s="16"/>
    </row>
    <row r="1286" spans="1:45" ht="14.5">
      <c r="A1286" s="9" t="s">
        <v>6271</v>
      </c>
      <c r="B1286" s="9" t="s">
        <v>6272</v>
      </c>
      <c r="C1286" s="9" t="s">
        <v>6273</v>
      </c>
      <c r="D1286" s="9" t="s">
        <v>5539</v>
      </c>
      <c r="E1286" s="9" t="s">
        <v>49</v>
      </c>
      <c r="F1286" s="9" t="s">
        <v>69</v>
      </c>
      <c r="G1286" s="9" t="s">
        <v>70</v>
      </c>
      <c r="H1286" s="9" t="s">
        <v>5729</v>
      </c>
      <c r="I1286" s="9" t="s">
        <v>72</v>
      </c>
      <c r="J1286" s="29">
        <v>43977</v>
      </c>
      <c r="K1286" s="37">
        <v>43953</v>
      </c>
      <c r="L1286" s="10">
        <v>43980</v>
      </c>
      <c r="M1286" s="10">
        <v>44004</v>
      </c>
      <c r="N1286" s="9">
        <v>2020</v>
      </c>
      <c r="O1286" s="9" t="s">
        <v>5619</v>
      </c>
      <c r="P1286" s="9" t="s">
        <v>83</v>
      </c>
      <c r="Q1286" s="9" t="s">
        <v>53</v>
      </c>
      <c r="T1286" s="9"/>
      <c r="V1286" s="9"/>
      <c r="W1286" s="11" t="str">
        <f>IFERROR(VLOOKUP(B1286, PlumX_snapshot!$A:$B, 2, FALSE), " ")</f>
        <v xml:space="preserve"> </v>
      </c>
      <c r="X1286" s="11" t="str">
        <f>IFERROR(VLOOKUP(B1286, PlumX_snapshot!$A:$C, 3, FALSE), " ")</f>
        <v xml:space="preserve"> </v>
      </c>
      <c r="Y1286" s="12" t="str">
        <f>IFERROR(VLOOKUP(B1286, PlumX_snapshot!$A:$D, 4, FALSE), " ")</f>
        <v xml:space="preserve"> </v>
      </c>
      <c r="Z1286" s="12" t="str">
        <f>IFERROR(VLOOKUP(B1286, PlumX_snapshot!$A:$E, 5, FALSE), " ")</f>
        <v xml:space="preserve"> </v>
      </c>
      <c r="AA1286" s="12" t="str">
        <f>IFERROR(VLOOKUP(B1286, PlumX_snapshot!$A:$F, 6, FALSE), " ")</f>
        <v xml:space="preserve"> </v>
      </c>
      <c r="AB1286" s="13"/>
      <c r="AC1286" s="9" t="s">
        <v>6274</v>
      </c>
      <c r="AD1286" s="9" t="s">
        <v>6275</v>
      </c>
      <c r="AE1286" s="9" t="s">
        <v>6276</v>
      </c>
      <c r="AF1286" s="9" t="s">
        <v>6277</v>
      </c>
      <c r="AH1286" s="9">
        <v>2550</v>
      </c>
      <c r="AI1286" s="9" t="s">
        <v>77</v>
      </c>
      <c r="AJ1286" s="9" t="s">
        <v>301</v>
      </c>
      <c r="AK1286" s="11" t="str">
        <f t="shared" si="10"/>
        <v>2020GBP</v>
      </c>
      <c r="AL1286" s="11">
        <f>VLOOKUP(AK1286, Exchange_rates!$C:$D, 2, FALSE)</f>
        <v>1</v>
      </c>
      <c r="AM1286" s="14">
        <f t="shared" si="11"/>
        <v>3060</v>
      </c>
      <c r="AN1286" s="9"/>
      <c r="AO1286" s="9"/>
      <c r="AP1286" s="9"/>
      <c r="AQ1286" s="15" t="s">
        <v>49</v>
      </c>
      <c r="AR1286" t="s">
        <v>6278</v>
      </c>
      <c r="AS1286" s="16"/>
    </row>
    <row r="1287" spans="1:45" ht="14.5">
      <c r="A1287" s="9" t="s">
        <v>6279</v>
      </c>
      <c r="B1287" s="9" t="s">
        <v>6280</v>
      </c>
      <c r="C1287" s="9" t="s">
        <v>6069</v>
      </c>
      <c r="D1287" s="9" t="s">
        <v>5539</v>
      </c>
      <c r="E1287" s="9" t="s">
        <v>49</v>
      </c>
      <c r="F1287" s="9" t="s">
        <v>69</v>
      </c>
      <c r="G1287" s="9" t="s">
        <v>70</v>
      </c>
      <c r="H1287" s="9" t="s">
        <v>5729</v>
      </c>
      <c r="I1287" s="9" t="s">
        <v>72</v>
      </c>
      <c r="J1287" s="29">
        <v>43977</v>
      </c>
      <c r="K1287" s="35">
        <v>43945</v>
      </c>
      <c r="L1287" s="10">
        <v>43980</v>
      </c>
      <c r="M1287" s="10">
        <v>44015</v>
      </c>
      <c r="N1287" s="9">
        <v>2020</v>
      </c>
      <c r="O1287" s="9" t="s">
        <v>5619</v>
      </c>
      <c r="P1287" s="9" t="s">
        <v>53</v>
      </c>
      <c r="Q1287" s="9" t="s">
        <v>53</v>
      </c>
      <c r="T1287" s="9"/>
      <c r="V1287" s="9"/>
      <c r="W1287" s="11" t="str">
        <f>IFERROR(VLOOKUP(B1287, PlumX_snapshot!$A:$B, 2, FALSE), " ")</f>
        <v xml:space="preserve"> </v>
      </c>
      <c r="X1287" s="11" t="str">
        <f>IFERROR(VLOOKUP(B1287, PlumX_snapshot!$A:$C, 3, FALSE), " ")</f>
        <v xml:space="preserve"> </v>
      </c>
      <c r="Y1287" s="12" t="str">
        <f>IFERROR(VLOOKUP(B1287, PlumX_snapshot!$A:$D, 4, FALSE), " ")</f>
        <v xml:space="preserve"> </v>
      </c>
      <c r="Z1287" s="12" t="str">
        <f>IFERROR(VLOOKUP(B1287, PlumX_snapshot!$A:$E, 5, FALSE), " ")</f>
        <v xml:space="preserve"> </v>
      </c>
      <c r="AA1287" s="12" t="str">
        <f>IFERROR(VLOOKUP(B1287, PlumX_snapshot!$A:$F, 6, FALSE), " ")</f>
        <v xml:space="preserve"> </v>
      </c>
      <c r="AB1287" s="13"/>
      <c r="AC1287" s="9" t="s">
        <v>6281</v>
      </c>
      <c r="AD1287" s="9" t="s">
        <v>6282</v>
      </c>
      <c r="AE1287" s="9" t="s">
        <v>6283</v>
      </c>
      <c r="AH1287" s="9">
        <v>2000</v>
      </c>
      <c r="AI1287" s="9" t="s">
        <v>77</v>
      </c>
      <c r="AJ1287" s="9" t="s">
        <v>301</v>
      </c>
      <c r="AK1287" s="11" t="str">
        <f t="shared" si="10"/>
        <v>2020GBP</v>
      </c>
      <c r="AL1287" s="11">
        <f>VLOOKUP(AK1287, Exchange_rates!$C:$D, 2, FALSE)</f>
        <v>1</v>
      </c>
      <c r="AM1287" s="14">
        <f t="shared" si="11"/>
        <v>2400</v>
      </c>
      <c r="AN1287" s="9"/>
      <c r="AO1287" s="9"/>
      <c r="AP1287" s="9"/>
      <c r="AQ1287" s="15" t="s">
        <v>49</v>
      </c>
      <c r="AR1287" t="s">
        <v>6074</v>
      </c>
      <c r="AS1287" s="16"/>
    </row>
    <row r="1288" spans="1:45" ht="14.5">
      <c r="A1288" s="9" t="s">
        <v>6284</v>
      </c>
      <c r="B1288" s="9" t="s">
        <v>6285</v>
      </c>
      <c r="C1288" s="9" t="s">
        <v>5786</v>
      </c>
      <c r="D1288" s="9" t="s">
        <v>5539</v>
      </c>
      <c r="E1288" s="9" t="s">
        <v>49</v>
      </c>
      <c r="F1288" s="9" t="s">
        <v>69</v>
      </c>
      <c r="G1288" s="9" t="s">
        <v>70</v>
      </c>
      <c r="H1288" s="9" t="s">
        <v>5729</v>
      </c>
      <c r="I1288" s="9" t="s">
        <v>72</v>
      </c>
      <c r="J1288" s="29">
        <v>43976</v>
      </c>
      <c r="K1288" s="35">
        <v>43941</v>
      </c>
      <c r="L1288" s="10">
        <v>43980</v>
      </c>
      <c r="M1288" s="10">
        <v>43980</v>
      </c>
      <c r="N1288" s="9">
        <v>2020</v>
      </c>
      <c r="O1288" s="9" t="s">
        <v>5619</v>
      </c>
      <c r="P1288" s="9" t="s">
        <v>83</v>
      </c>
      <c r="Q1288" s="9" t="s">
        <v>53</v>
      </c>
      <c r="T1288" s="9"/>
      <c r="V1288" s="9"/>
      <c r="W1288" s="11" t="str">
        <f>IFERROR(VLOOKUP(B1288, PlumX_snapshot!$A:$B, 2, FALSE), " ")</f>
        <v xml:space="preserve"> </v>
      </c>
      <c r="X1288" s="11" t="str">
        <f>IFERROR(VLOOKUP(B1288, PlumX_snapshot!$A:$C, 3, FALSE), " ")</f>
        <v xml:space="preserve"> </v>
      </c>
      <c r="Y1288" s="12" t="str">
        <f>IFERROR(VLOOKUP(B1288, PlumX_snapshot!$A:$D, 4, FALSE), " ")</f>
        <v xml:space="preserve"> </v>
      </c>
      <c r="Z1288" s="12" t="str">
        <f>IFERROR(VLOOKUP(B1288, PlumX_snapshot!$A:$E, 5, FALSE), " ")</f>
        <v xml:space="preserve"> </v>
      </c>
      <c r="AA1288" s="12" t="str">
        <f>IFERROR(VLOOKUP(B1288, PlumX_snapshot!$A:$F, 6, FALSE), " ")</f>
        <v xml:space="preserve"> </v>
      </c>
      <c r="AB1288" s="13"/>
      <c r="AC1288" s="9" t="s">
        <v>6286</v>
      </c>
      <c r="AD1288" s="9" t="s">
        <v>6287</v>
      </c>
      <c r="AE1288" s="9" t="s">
        <v>6288</v>
      </c>
      <c r="AH1288" s="9">
        <v>2793</v>
      </c>
      <c r="AI1288" s="9" t="s">
        <v>77</v>
      </c>
      <c r="AJ1288" s="9" t="s">
        <v>301</v>
      </c>
      <c r="AK1288" s="11" t="str">
        <f t="shared" si="10"/>
        <v>2020GBP</v>
      </c>
      <c r="AL1288" s="11">
        <f>VLOOKUP(AK1288, Exchange_rates!$C:$D, 2, FALSE)</f>
        <v>1</v>
      </c>
      <c r="AM1288" s="14">
        <f t="shared" si="11"/>
        <v>3351.6</v>
      </c>
      <c r="AN1288" s="9"/>
      <c r="AO1288" s="9"/>
      <c r="AP1288" s="9"/>
      <c r="AQ1288" s="15" t="s">
        <v>49</v>
      </c>
      <c r="AR1288" t="s">
        <v>5558</v>
      </c>
      <c r="AS1288" s="16"/>
    </row>
    <row r="1289" spans="1:45" ht="14.5">
      <c r="A1289" s="9" t="s">
        <v>6289</v>
      </c>
      <c r="B1289" s="9" t="s">
        <v>6290</v>
      </c>
      <c r="C1289" s="9" t="s">
        <v>6291</v>
      </c>
      <c r="D1289" s="9" t="s">
        <v>5539</v>
      </c>
      <c r="E1289" s="9" t="s">
        <v>49</v>
      </c>
      <c r="F1289" s="9" t="s">
        <v>69</v>
      </c>
      <c r="G1289" s="9" t="s">
        <v>70</v>
      </c>
      <c r="H1289" s="9" t="s">
        <v>5729</v>
      </c>
      <c r="I1289" s="9" t="s">
        <v>72</v>
      </c>
      <c r="J1289" s="29">
        <v>43974</v>
      </c>
      <c r="K1289" s="37">
        <v>43957</v>
      </c>
      <c r="L1289" s="10">
        <v>43980</v>
      </c>
      <c r="M1289" s="10">
        <v>43980</v>
      </c>
      <c r="N1289" s="9">
        <v>2020</v>
      </c>
      <c r="O1289" s="9" t="s">
        <v>5619</v>
      </c>
      <c r="P1289" s="9" t="s">
        <v>83</v>
      </c>
      <c r="Q1289" s="9" t="s">
        <v>53</v>
      </c>
      <c r="T1289" s="9"/>
      <c r="V1289" s="9"/>
      <c r="W1289" s="11" t="str">
        <f>IFERROR(VLOOKUP(B1289, PlumX_snapshot!$A:$B, 2, FALSE), " ")</f>
        <v xml:space="preserve"> </v>
      </c>
      <c r="X1289" s="11" t="str">
        <f>IFERROR(VLOOKUP(B1289, PlumX_snapshot!$A:$C, 3, FALSE), " ")</f>
        <v xml:space="preserve"> </v>
      </c>
      <c r="Y1289" s="12" t="str">
        <f>IFERROR(VLOOKUP(B1289, PlumX_snapshot!$A:$D, 4, FALSE), " ")</f>
        <v xml:space="preserve"> </v>
      </c>
      <c r="Z1289" s="12" t="str">
        <f>IFERROR(VLOOKUP(B1289, PlumX_snapshot!$A:$E, 5, FALSE), " ")</f>
        <v xml:space="preserve"> </v>
      </c>
      <c r="AA1289" s="12" t="str">
        <f>IFERROR(VLOOKUP(B1289, PlumX_snapshot!$A:$F, 6, FALSE), " ")</f>
        <v xml:space="preserve"> </v>
      </c>
      <c r="AB1289" s="13"/>
      <c r="AC1289" s="9" t="s">
        <v>6292</v>
      </c>
      <c r="AD1289" s="9" t="s">
        <v>6293</v>
      </c>
      <c r="AH1289" s="9">
        <v>2370</v>
      </c>
      <c r="AI1289" s="9" t="s">
        <v>77</v>
      </c>
      <c r="AJ1289" s="9" t="s">
        <v>301</v>
      </c>
      <c r="AK1289" s="11" t="str">
        <f t="shared" si="10"/>
        <v>2020GBP</v>
      </c>
      <c r="AL1289" s="11">
        <f>VLOOKUP(AK1289, Exchange_rates!$C:$D, 2, FALSE)</f>
        <v>1</v>
      </c>
      <c r="AM1289" s="14">
        <f t="shared" si="11"/>
        <v>2844</v>
      </c>
      <c r="AN1289" s="9"/>
      <c r="AO1289" s="9"/>
      <c r="AP1289" s="9"/>
      <c r="AQ1289" s="15" t="s">
        <v>49</v>
      </c>
      <c r="AR1289" t="s">
        <v>6294</v>
      </c>
      <c r="AS1289" s="16"/>
    </row>
    <row r="1290" spans="1:45" ht="14.5">
      <c r="A1290" s="9" t="s">
        <v>6295</v>
      </c>
      <c r="B1290" s="9" t="s">
        <v>6296</v>
      </c>
      <c r="C1290" s="9" t="s">
        <v>5969</v>
      </c>
      <c r="D1290" s="9" t="s">
        <v>5539</v>
      </c>
      <c r="E1290" s="9" t="s">
        <v>49</v>
      </c>
      <c r="F1290" s="9" t="s">
        <v>69</v>
      </c>
      <c r="G1290" s="9" t="s">
        <v>70</v>
      </c>
      <c r="H1290" s="9" t="s">
        <v>5729</v>
      </c>
      <c r="I1290" s="9" t="s">
        <v>238</v>
      </c>
      <c r="J1290" s="29">
        <v>43973</v>
      </c>
      <c r="K1290" s="36">
        <v>43928</v>
      </c>
      <c r="L1290" s="10">
        <v>43980</v>
      </c>
      <c r="M1290" s="10">
        <v>43976</v>
      </c>
      <c r="N1290" s="9">
        <v>2020</v>
      </c>
      <c r="O1290" s="9" t="s">
        <v>5619</v>
      </c>
      <c r="P1290" s="9" t="s">
        <v>53</v>
      </c>
      <c r="Q1290" s="9" t="s">
        <v>53</v>
      </c>
      <c r="T1290" s="9"/>
      <c r="V1290" s="9"/>
      <c r="W1290" s="11" t="str">
        <f>IFERROR(VLOOKUP(B1290, PlumX_snapshot!$A:$B, 2, FALSE), " ")</f>
        <v xml:space="preserve"> </v>
      </c>
      <c r="X1290" s="11" t="str">
        <f>IFERROR(VLOOKUP(B1290, PlumX_snapshot!$A:$C, 3, FALSE), " ")</f>
        <v xml:space="preserve"> </v>
      </c>
      <c r="Y1290" s="12" t="str">
        <f>IFERROR(VLOOKUP(B1290, PlumX_snapshot!$A:$D, 4, FALSE), " ")</f>
        <v xml:space="preserve"> </v>
      </c>
      <c r="Z1290" s="12" t="str">
        <f>IFERROR(VLOOKUP(B1290, PlumX_snapshot!$A:$E, 5, FALSE), " ")</f>
        <v xml:space="preserve"> </v>
      </c>
      <c r="AA1290" s="12" t="str">
        <f>IFERROR(VLOOKUP(B1290, PlumX_snapshot!$A:$F, 6, FALSE), " ")</f>
        <v xml:space="preserve"> </v>
      </c>
      <c r="AB1290" s="13"/>
      <c r="AC1290" s="9" t="s">
        <v>5970</v>
      </c>
      <c r="AD1290" s="9" t="s">
        <v>5971</v>
      </c>
      <c r="AE1290" s="9" t="s">
        <v>5972</v>
      </c>
      <c r="AF1290" s="9" t="s">
        <v>6297</v>
      </c>
      <c r="AH1290" s="9">
        <v>3000</v>
      </c>
      <c r="AI1290" s="9" t="s">
        <v>77</v>
      </c>
      <c r="AJ1290" s="9" t="s">
        <v>301</v>
      </c>
      <c r="AK1290" s="11" t="str">
        <f t="shared" si="10"/>
        <v>2020GBP</v>
      </c>
      <c r="AL1290" s="11">
        <f>VLOOKUP(AK1290, Exchange_rates!$C:$D, 2, FALSE)</f>
        <v>1</v>
      </c>
      <c r="AM1290" s="14">
        <f t="shared" si="11"/>
        <v>3600</v>
      </c>
      <c r="AN1290" s="9"/>
      <c r="AO1290" s="9"/>
      <c r="AP1290" s="9"/>
      <c r="AQ1290" s="15" t="s">
        <v>49</v>
      </c>
      <c r="AR1290" t="s">
        <v>5974</v>
      </c>
      <c r="AS1290" s="16"/>
    </row>
    <row r="1291" spans="1:45" ht="14.5">
      <c r="A1291" s="9" t="s">
        <v>6298</v>
      </c>
      <c r="B1291" s="9" t="s">
        <v>6299</v>
      </c>
      <c r="C1291" s="9" t="s">
        <v>5634</v>
      </c>
      <c r="D1291" s="9" t="s">
        <v>5539</v>
      </c>
      <c r="E1291" s="9" t="s">
        <v>49</v>
      </c>
      <c r="F1291" s="9" t="s">
        <v>69</v>
      </c>
      <c r="G1291" s="9" t="s">
        <v>70</v>
      </c>
      <c r="H1291" s="9" t="s">
        <v>5729</v>
      </c>
      <c r="I1291" s="9" t="s">
        <v>72</v>
      </c>
      <c r="J1291" s="29">
        <v>43972</v>
      </c>
      <c r="K1291" s="29">
        <v>43971</v>
      </c>
      <c r="L1291" s="10">
        <v>43972</v>
      </c>
      <c r="M1291" s="10">
        <v>44085</v>
      </c>
      <c r="N1291" s="9">
        <v>2020</v>
      </c>
      <c r="O1291" s="9" t="s">
        <v>5619</v>
      </c>
      <c r="P1291" s="9" t="s">
        <v>83</v>
      </c>
      <c r="Q1291" s="9" t="s">
        <v>53</v>
      </c>
      <c r="T1291" s="9"/>
      <c r="V1291" s="9"/>
      <c r="W1291" s="11" t="str">
        <f>IFERROR(VLOOKUP(B1291, PlumX_snapshot!$A:$B, 2, FALSE), " ")</f>
        <v xml:space="preserve"> </v>
      </c>
      <c r="X1291" s="11" t="str">
        <f>IFERROR(VLOOKUP(B1291, PlumX_snapshot!$A:$C, 3, FALSE), " ")</f>
        <v xml:space="preserve"> </v>
      </c>
      <c r="Y1291" s="12" t="str">
        <f>IFERROR(VLOOKUP(B1291, PlumX_snapshot!$A:$D, 4, FALSE), " ")</f>
        <v xml:space="preserve"> </v>
      </c>
      <c r="Z1291" s="12" t="str">
        <f>IFERROR(VLOOKUP(B1291, PlumX_snapshot!$A:$E, 5, FALSE), " ")</f>
        <v xml:space="preserve"> </v>
      </c>
      <c r="AA1291" s="12" t="str">
        <f>IFERROR(VLOOKUP(B1291, PlumX_snapshot!$A:$F, 6, FALSE), " ")</f>
        <v xml:space="preserve"> </v>
      </c>
      <c r="AB1291" s="13"/>
      <c r="AC1291" s="9" t="s">
        <v>6300</v>
      </c>
      <c r="AD1291" s="9" t="s">
        <v>6301</v>
      </c>
      <c r="AE1291" s="9" t="s">
        <v>6302</v>
      </c>
      <c r="AF1291" s="9" t="s">
        <v>6303</v>
      </c>
      <c r="AH1291" s="9">
        <v>2650</v>
      </c>
      <c r="AI1291" s="9" t="s">
        <v>77</v>
      </c>
      <c r="AJ1291" s="9" t="s">
        <v>301</v>
      </c>
      <c r="AK1291" s="11" t="str">
        <f t="shared" si="10"/>
        <v>2020GBP</v>
      </c>
      <c r="AL1291" s="11">
        <f>VLOOKUP(AK1291, Exchange_rates!$C:$D, 2, FALSE)</f>
        <v>1</v>
      </c>
      <c r="AM1291" s="14">
        <f t="shared" si="11"/>
        <v>3180</v>
      </c>
      <c r="AN1291" s="9"/>
      <c r="AO1291" s="9"/>
      <c r="AP1291" s="9"/>
      <c r="AQ1291" s="15" t="s">
        <v>49</v>
      </c>
      <c r="AR1291" t="s">
        <v>5551</v>
      </c>
      <c r="AS1291" s="16"/>
    </row>
    <row r="1292" spans="1:45" ht="14.5">
      <c r="A1292" s="9" t="s">
        <v>6304</v>
      </c>
      <c r="B1292" s="9" t="s">
        <v>6305</v>
      </c>
      <c r="C1292" s="9" t="s">
        <v>6306</v>
      </c>
      <c r="D1292" s="9" t="s">
        <v>5539</v>
      </c>
      <c r="E1292" s="9" t="s">
        <v>49</v>
      </c>
      <c r="F1292" s="9" t="s">
        <v>69</v>
      </c>
      <c r="G1292" s="9" t="s">
        <v>70</v>
      </c>
      <c r="H1292" s="9" t="s">
        <v>5729</v>
      </c>
      <c r="I1292" s="9" t="s">
        <v>72</v>
      </c>
      <c r="J1292" s="29">
        <v>43971</v>
      </c>
      <c r="K1292" s="36">
        <v>43922</v>
      </c>
      <c r="L1292" s="10">
        <v>43971</v>
      </c>
      <c r="M1292" s="10">
        <v>43992</v>
      </c>
      <c r="N1292" s="9">
        <v>2020</v>
      </c>
      <c r="O1292" s="9" t="s">
        <v>5619</v>
      </c>
      <c r="P1292" s="9" t="s">
        <v>53</v>
      </c>
      <c r="Q1292" s="9" t="s">
        <v>53</v>
      </c>
      <c r="T1292" s="9"/>
      <c r="V1292" s="9"/>
      <c r="W1292" s="11" t="str">
        <f>IFERROR(VLOOKUP(B1292, PlumX_snapshot!$A:$B, 2, FALSE), " ")</f>
        <v xml:space="preserve"> </v>
      </c>
      <c r="X1292" s="11" t="str">
        <f>IFERROR(VLOOKUP(B1292, PlumX_snapshot!$A:$C, 3, FALSE), " ")</f>
        <v xml:space="preserve"> </v>
      </c>
      <c r="Y1292" s="12" t="str">
        <f>IFERROR(VLOOKUP(B1292, PlumX_snapshot!$A:$D, 4, FALSE), " ")</f>
        <v xml:space="preserve"> </v>
      </c>
      <c r="Z1292" s="12" t="str">
        <f>IFERROR(VLOOKUP(B1292, PlumX_snapshot!$A:$E, 5, FALSE), " ")</f>
        <v xml:space="preserve"> </v>
      </c>
      <c r="AA1292" s="12" t="str">
        <f>IFERROR(VLOOKUP(B1292, PlumX_snapshot!$A:$F, 6, FALSE), " ")</f>
        <v xml:space="preserve"> </v>
      </c>
      <c r="AB1292" s="13"/>
      <c r="AC1292" s="9" t="s">
        <v>6307</v>
      </c>
      <c r="AD1292" s="9" t="s">
        <v>6308</v>
      </c>
      <c r="AE1292" s="9" t="s">
        <v>6309</v>
      </c>
      <c r="AH1292" s="9">
        <v>2400</v>
      </c>
      <c r="AI1292" s="9" t="s">
        <v>77</v>
      </c>
      <c r="AJ1292" s="9" t="s">
        <v>301</v>
      </c>
      <c r="AK1292" s="11" t="str">
        <f t="shared" si="10"/>
        <v>2020GBP</v>
      </c>
      <c r="AL1292" s="11">
        <f>VLOOKUP(AK1292, Exchange_rates!$C:$D, 2, FALSE)</f>
        <v>1</v>
      </c>
      <c r="AM1292" s="14">
        <f t="shared" si="11"/>
        <v>2880</v>
      </c>
      <c r="AN1292" s="9"/>
      <c r="AO1292" s="9"/>
      <c r="AP1292" s="9"/>
      <c r="AQ1292" s="15" t="s">
        <v>49</v>
      </c>
      <c r="AR1292" t="s">
        <v>6310</v>
      </c>
      <c r="AS1292" s="16"/>
    </row>
    <row r="1293" spans="1:45" ht="14.5">
      <c r="A1293" s="9" t="s">
        <v>6311</v>
      </c>
      <c r="B1293" s="9" t="s">
        <v>6312</v>
      </c>
      <c r="C1293" s="9" t="s">
        <v>5869</v>
      </c>
      <c r="D1293" s="9" t="s">
        <v>5539</v>
      </c>
      <c r="E1293" s="9" t="s">
        <v>49</v>
      </c>
      <c r="F1293" s="9" t="s">
        <v>69</v>
      </c>
      <c r="G1293" s="9" t="s">
        <v>70</v>
      </c>
      <c r="H1293" s="9" t="s">
        <v>5729</v>
      </c>
      <c r="I1293" s="9" t="s">
        <v>291</v>
      </c>
      <c r="J1293" s="29">
        <v>43970</v>
      </c>
      <c r="K1293" s="37">
        <v>43959</v>
      </c>
      <c r="L1293" s="10">
        <v>43971</v>
      </c>
      <c r="M1293" s="10">
        <v>44004</v>
      </c>
      <c r="N1293" s="9">
        <v>2020</v>
      </c>
      <c r="O1293" s="9" t="s">
        <v>5619</v>
      </c>
      <c r="P1293" s="9" t="s">
        <v>53</v>
      </c>
      <c r="Q1293" s="9" t="s">
        <v>53</v>
      </c>
      <c r="T1293" s="9"/>
      <c r="V1293" s="9"/>
      <c r="W1293" s="11" t="str">
        <f>IFERROR(VLOOKUP(B1293, PlumX_snapshot!$A:$B, 2, FALSE), " ")</f>
        <v xml:space="preserve"> </v>
      </c>
      <c r="X1293" s="11" t="str">
        <f>IFERROR(VLOOKUP(B1293, PlumX_snapshot!$A:$C, 3, FALSE), " ")</f>
        <v xml:space="preserve"> </v>
      </c>
      <c r="Y1293" s="12" t="str">
        <f>IFERROR(VLOOKUP(B1293, PlumX_snapshot!$A:$D, 4, FALSE), " ")</f>
        <v xml:space="preserve"> </v>
      </c>
      <c r="Z1293" s="12" t="str">
        <f>IFERROR(VLOOKUP(B1293, PlumX_snapshot!$A:$E, 5, FALSE), " ")</f>
        <v xml:space="preserve"> </v>
      </c>
      <c r="AA1293" s="12" t="str">
        <f>IFERROR(VLOOKUP(B1293, PlumX_snapshot!$A:$F, 6, FALSE), " ")</f>
        <v xml:space="preserve"> </v>
      </c>
      <c r="AB1293" s="13"/>
      <c r="AC1293" s="9" t="s">
        <v>5870</v>
      </c>
      <c r="AD1293" s="9" t="s">
        <v>5871</v>
      </c>
      <c r="AE1293" s="9" t="s">
        <v>5872</v>
      </c>
      <c r="AH1293" s="9">
        <v>2500</v>
      </c>
      <c r="AI1293" s="9" t="s">
        <v>77</v>
      </c>
      <c r="AJ1293" s="9" t="s">
        <v>301</v>
      </c>
      <c r="AK1293" s="11" t="str">
        <f t="shared" si="10"/>
        <v>2020GBP</v>
      </c>
      <c r="AL1293" s="11">
        <f>VLOOKUP(AK1293, Exchange_rates!$C:$D, 2, FALSE)</f>
        <v>1</v>
      </c>
      <c r="AM1293" s="14">
        <f t="shared" si="11"/>
        <v>3000</v>
      </c>
      <c r="AN1293" s="9"/>
      <c r="AO1293" s="9"/>
      <c r="AP1293" s="9"/>
      <c r="AQ1293" s="15" t="s">
        <v>49</v>
      </c>
      <c r="AR1293" t="s">
        <v>5873</v>
      </c>
      <c r="AS1293" s="16"/>
    </row>
    <row r="1294" spans="1:45" ht="14.5">
      <c r="A1294" s="9" t="s">
        <v>6313</v>
      </c>
      <c r="B1294" s="9" t="s">
        <v>6314</v>
      </c>
      <c r="C1294" s="9" t="s">
        <v>6034</v>
      </c>
      <c r="D1294" s="9" t="s">
        <v>5539</v>
      </c>
      <c r="E1294" s="9" t="s">
        <v>49</v>
      </c>
      <c r="F1294" s="9" t="s">
        <v>69</v>
      </c>
      <c r="G1294" s="9" t="s">
        <v>70</v>
      </c>
      <c r="H1294" s="9" t="s">
        <v>5598</v>
      </c>
      <c r="I1294" s="9" t="s">
        <v>291</v>
      </c>
      <c r="J1294" s="29">
        <v>43965</v>
      </c>
      <c r="K1294" s="29"/>
      <c r="L1294" s="10">
        <v>43965</v>
      </c>
      <c r="M1294" s="10">
        <v>43992</v>
      </c>
      <c r="N1294" s="9">
        <v>2021</v>
      </c>
      <c r="O1294" s="9" t="s">
        <v>5619</v>
      </c>
      <c r="P1294" s="9" t="s">
        <v>53</v>
      </c>
      <c r="Q1294" s="9" t="s">
        <v>53</v>
      </c>
      <c r="T1294" s="9"/>
      <c r="V1294" s="9"/>
      <c r="W1294" s="11" t="str">
        <f>IFERROR(VLOOKUP(B1294, PlumX_snapshot!$A:$B, 2, FALSE), " ")</f>
        <v xml:space="preserve"> </v>
      </c>
      <c r="X1294" s="11" t="str">
        <f>IFERROR(VLOOKUP(B1294, PlumX_snapshot!$A:$C, 3, FALSE), " ")</f>
        <v xml:space="preserve"> </v>
      </c>
      <c r="Y1294" s="12" t="str">
        <f>IFERROR(VLOOKUP(B1294, PlumX_snapshot!$A:$D, 4, FALSE), " ")</f>
        <v xml:space="preserve"> </v>
      </c>
      <c r="Z1294" s="12" t="str">
        <f>IFERROR(VLOOKUP(B1294, PlumX_snapshot!$A:$E, 5, FALSE), " ")</f>
        <v xml:space="preserve"> </v>
      </c>
      <c r="AA1294" s="12" t="str">
        <f>IFERROR(VLOOKUP(B1294, PlumX_snapshot!$A:$F, 6, FALSE), " ")</f>
        <v xml:space="preserve"> </v>
      </c>
      <c r="AB1294" s="13"/>
      <c r="AC1294" s="9" t="s">
        <v>6315</v>
      </c>
      <c r="AD1294" s="9" t="s">
        <v>6316</v>
      </c>
      <c r="AE1294" s="9" t="s">
        <v>6317</v>
      </c>
      <c r="AF1294" s="9" t="s">
        <v>6318</v>
      </c>
      <c r="AH1294" s="9">
        <v>2000</v>
      </c>
      <c r="AI1294" s="9" t="s">
        <v>77</v>
      </c>
      <c r="AJ1294" s="9" t="s">
        <v>301</v>
      </c>
      <c r="AK1294" s="11" t="str">
        <f t="shared" si="10"/>
        <v>2021GBP</v>
      </c>
      <c r="AL1294" s="11">
        <f>VLOOKUP(AK1294, Exchange_rates!$C:$D, 2, FALSE)</f>
        <v>1</v>
      </c>
      <c r="AM1294" s="14">
        <f t="shared" si="11"/>
        <v>2400</v>
      </c>
      <c r="AN1294" s="9"/>
      <c r="AO1294" s="9"/>
      <c r="AP1294" s="9"/>
      <c r="AQ1294" s="15" t="s">
        <v>49</v>
      </c>
      <c r="AR1294" t="s">
        <v>6036</v>
      </c>
      <c r="AS1294" s="16" t="s">
        <v>6037</v>
      </c>
    </row>
    <row r="1295" spans="1:45" ht="14.5">
      <c r="A1295" s="9" t="s">
        <v>6319</v>
      </c>
      <c r="B1295" s="9" t="s">
        <v>6320</v>
      </c>
      <c r="C1295" s="9" t="s">
        <v>6321</v>
      </c>
      <c r="D1295" s="9" t="s">
        <v>5539</v>
      </c>
      <c r="E1295" s="9" t="s">
        <v>49</v>
      </c>
      <c r="F1295" s="9" t="s">
        <v>69</v>
      </c>
      <c r="G1295" s="9" t="s">
        <v>70</v>
      </c>
      <c r="H1295" s="9" t="s">
        <v>5729</v>
      </c>
      <c r="I1295" s="9" t="s">
        <v>72</v>
      </c>
      <c r="J1295" s="29">
        <v>43964</v>
      </c>
      <c r="K1295" s="37">
        <v>43956</v>
      </c>
      <c r="L1295" s="10">
        <v>43964</v>
      </c>
      <c r="M1295" s="10">
        <v>43984</v>
      </c>
      <c r="N1295" s="9">
        <v>2020</v>
      </c>
      <c r="O1295" s="9" t="s">
        <v>5619</v>
      </c>
      <c r="P1295" s="9" t="s">
        <v>83</v>
      </c>
      <c r="Q1295" s="9" t="s">
        <v>53</v>
      </c>
      <c r="T1295" s="9"/>
      <c r="V1295" s="9"/>
      <c r="W1295" s="11" t="str">
        <f>IFERROR(VLOOKUP(B1295, PlumX_snapshot!$A:$B, 2, FALSE), " ")</f>
        <v xml:space="preserve"> </v>
      </c>
      <c r="X1295" s="11" t="str">
        <f>IFERROR(VLOOKUP(B1295, PlumX_snapshot!$A:$C, 3, FALSE), " ")</f>
        <v xml:space="preserve"> </v>
      </c>
      <c r="Y1295" s="12" t="str">
        <f>IFERROR(VLOOKUP(B1295, PlumX_snapshot!$A:$D, 4, FALSE), " ")</f>
        <v xml:space="preserve"> </v>
      </c>
      <c r="Z1295" s="12" t="str">
        <f>IFERROR(VLOOKUP(B1295, PlumX_snapshot!$A:$E, 5, FALSE), " ")</f>
        <v xml:space="preserve"> </v>
      </c>
      <c r="AA1295" s="12" t="str">
        <f>IFERROR(VLOOKUP(B1295, PlumX_snapshot!$A:$F, 6, FALSE), " ")</f>
        <v xml:space="preserve"> </v>
      </c>
      <c r="AB1295" s="13"/>
      <c r="AC1295" s="9" t="s">
        <v>6249</v>
      </c>
      <c r="AD1295" s="9" t="s">
        <v>6250</v>
      </c>
      <c r="AF1295" s="9" t="s">
        <v>6322</v>
      </c>
      <c r="AH1295" s="9">
        <v>2533</v>
      </c>
      <c r="AI1295" s="9" t="s">
        <v>77</v>
      </c>
      <c r="AJ1295" s="9" t="s">
        <v>301</v>
      </c>
      <c r="AK1295" s="11" t="str">
        <f t="shared" si="10"/>
        <v>2020GBP</v>
      </c>
      <c r="AL1295" s="11">
        <f>VLOOKUP(AK1295, Exchange_rates!$C:$D, 2, FALSE)</f>
        <v>1</v>
      </c>
      <c r="AM1295" s="14">
        <f t="shared" si="11"/>
        <v>3039.6</v>
      </c>
      <c r="AN1295" s="9"/>
      <c r="AO1295" s="9"/>
      <c r="AP1295" s="9"/>
      <c r="AQ1295" s="15" t="s">
        <v>49</v>
      </c>
      <c r="AR1295" t="s">
        <v>6323</v>
      </c>
      <c r="AS1295" s="16"/>
    </row>
    <row r="1296" spans="1:45" ht="14.5">
      <c r="A1296" s="9" t="s">
        <v>6324</v>
      </c>
      <c r="B1296" s="9" t="s">
        <v>6325</v>
      </c>
      <c r="C1296" s="9" t="s">
        <v>5817</v>
      </c>
      <c r="D1296" s="9" t="s">
        <v>5539</v>
      </c>
      <c r="E1296" s="9" t="s">
        <v>49</v>
      </c>
      <c r="F1296" s="9" t="s">
        <v>69</v>
      </c>
      <c r="G1296" s="9" t="s">
        <v>70</v>
      </c>
      <c r="H1296" s="9" t="s">
        <v>5729</v>
      </c>
      <c r="I1296" s="9" t="s">
        <v>291</v>
      </c>
      <c r="J1296" s="29">
        <v>43961</v>
      </c>
      <c r="K1296" s="37">
        <v>43959</v>
      </c>
      <c r="L1296" s="10">
        <v>43963</v>
      </c>
      <c r="M1296" s="10">
        <v>44089</v>
      </c>
      <c r="N1296" s="9">
        <v>2020</v>
      </c>
      <c r="O1296" s="9" t="s">
        <v>5619</v>
      </c>
      <c r="P1296" s="9" t="s">
        <v>53</v>
      </c>
      <c r="Q1296" s="9" t="s">
        <v>53</v>
      </c>
      <c r="T1296" s="9"/>
      <c r="V1296" s="9"/>
      <c r="W1296" s="11" t="str">
        <f>IFERROR(VLOOKUP(B1296, PlumX_snapshot!$A:$B, 2, FALSE), " ")</f>
        <v xml:space="preserve"> </v>
      </c>
      <c r="X1296" s="11" t="str">
        <f>IFERROR(VLOOKUP(B1296, PlumX_snapshot!$A:$C, 3, FALSE), " ")</f>
        <v xml:space="preserve"> </v>
      </c>
      <c r="Y1296" s="12" t="str">
        <f>IFERROR(VLOOKUP(B1296, PlumX_snapshot!$A:$D, 4, FALSE), " ")</f>
        <v xml:space="preserve"> </v>
      </c>
      <c r="Z1296" s="12" t="str">
        <f>IFERROR(VLOOKUP(B1296, PlumX_snapshot!$A:$E, 5, FALSE), " ")</f>
        <v xml:space="preserve"> </v>
      </c>
      <c r="AA1296" s="12" t="str">
        <f>IFERROR(VLOOKUP(B1296, PlumX_snapshot!$A:$F, 6, FALSE), " ")</f>
        <v xml:space="preserve"> </v>
      </c>
      <c r="AB1296" s="13"/>
      <c r="AC1296" s="9" t="s">
        <v>6326</v>
      </c>
      <c r="AD1296" s="9" t="s">
        <v>6327</v>
      </c>
      <c r="AH1296" s="9">
        <v>1650</v>
      </c>
      <c r="AI1296" s="9" t="s">
        <v>77</v>
      </c>
      <c r="AJ1296" s="9" t="s">
        <v>301</v>
      </c>
      <c r="AK1296" s="11" t="str">
        <f t="shared" si="10"/>
        <v>2020GBP</v>
      </c>
      <c r="AL1296" s="11">
        <f>VLOOKUP(AK1296, Exchange_rates!$C:$D, 2, FALSE)</f>
        <v>1</v>
      </c>
      <c r="AM1296" s="14">
        <f t="shared" si="11"/>
        <v>1980</v>
      </c>
      <c r="AN1296" s="9"/>
      <c r="AO1296" s="9"/>
      <c r="AP1296" s="9"/>
      <c r="AQ1296" s="15" t="s">
        <v>49</v>
      </c>
      <c r="AR1296" t="s">
        <v>5820</v>
      </c>
      <c r="AS1296" s="16"/>
    </row>
    <row r="1297" spans="1:45" ht="14.5">
      <c r="A1297" s="9" t="s">
        <v>6328</v>
      </c>
      <c r="B1297" s="9" t="s">
        <v>6329</v>
      </c>
      <c r="C1297" s="9" t="s">
        <v>6330</v>
      </c>
      <c r="D1297" s="9" t="s">
        <v>5539</v>
      </c>
      <c r="E1297" s="9" t="s">
        <v>125</v>
      </c>
      <c r="F1297" s="9" t="s">
        <v>69</v>
      </c>
      <c r="G1297" s="9" t="s">
        <v>70</v>
      </c>
      <c r="H1297" s="9" t="s">
        <v>5729</v>
      </c>
      <c r="I1297" s="9" t="s">
        <v>72</v>
      </c>
      <c r="J1297" s="37">
        <v>43958</v>
      </c>
      <c r="K1297" s="36">
        <v>44107</v>
      </c>
      <c r="L1297" s="10">
        <v>44117</v>
      </c>
      <c r="M1297" s="10">
        <v>44145</v>
      </c>
      <c r="N1297" s="9">
        <v>2020</v>
      </c>
      <c r="O1297" s="9" t="s">
        <v>5619</v>
      </c>
      <c r="P1297" s="9" t="s">
        <v>83</v>
      </c>
      <c r="Q1297" s="9" t="s">
        <v>53</v>
      </c>
      <c r="T1297" s="9"/>
      <c r="V1297" s="9"/>
      <c r="W1297" s="11" t="str">
        <f>IFERROR(VLOOKUP(B1297, PlumX_snapshot!$A:$B, 2, FALSE), " ")</f>
        <v xml:space="preserve"> </v>
      </c>
      <c r="X1297" s="11" t="str">
        <f>IFERROR(VLOOKUP(B1297, PlumX_snapshot!$A:$C, 3, FALSE), " ")</f>
        <v xml:space="preserve"> </v>
      </c>
      <c r="Y1297" s="12" t="str">
        <f>IFERROR(VLOOKUP(B1297, PlumX_snapshot!$A:$D, 4, FALSE), " ")</f>
        <v xml:space="preserve"> </v>
      </c>
      <c r="Z1297" s="12" t="str">
        <f>IFERROR(VLOOKUP(B1297, PlumX_snapshot!$A:$E, 5, FALSE), " ")</f>
        <v xml:space="preserve"> </v>
      </c>
      <c r="AA1297" s="12" t="str">
        <f>IFERROR(VLOOKUP(B1297, PlumX_snapshot!$A:$F, 6, FALSE), " ")</f>
        <v xml:space="preserve"> </v>
      </c>
      <c r="AB1297" s="13"/>
      <c r="AC1297" s="9" t="s">
        <v>6331</v>
      </c>
      <c r="AD1297" s="9" t="s">
        <v>6332</v>
      </c>
      <c r="AE1297" s="9" t="s">
        <v>6333</v>
      </c>
      <c r="AF1297" s="9" t="s">
        <v>6334</v>
      </c>
      <c r="AH1297" s="9">
        <v>1700</v>
      </c>
      <c r="AI1297" s="9" t="s">
        <v>77</v>
      </c>
      <c r="AJ1297" s="9" t="s">
        <v>301</v>
      </c>
      <c r="AK1297" s="11" t="str">
        <f t="shared" si="10"/>
        <v>2020GBP</v>
      </c>
      <c r="AL1297" s="11">
        <f>VLOOKUP(AK1297, Exchange_rates!$C:$D, 2, FALSE)</f>
        <v>1</v>
      </c>
      <c r="AM1297" s="14">
        <f t="shared" si="11"/>
        <v>2040</v>
      </c>
      <c r="AN1297" s="9"/>
      <c r="AO1297" s="9"/>
      <c r="AP1297" s="9"/>
      <c r="AQ1297" s="15" t="s">
        <v>125</v>
      </c>
      <c r="AR1297" t="s">
        <v>6335</v>
      </c>
      <c r="AS1297" s="16"/>
    </row>
    <row r="1298" spans="1:45" ht="14.5">
      <c r="A1298" s="9" t="s">
        <v>6336</v>
      </c>
      <c r="B1298" s="9" t="s">
        <v>6337</v>
      </c>
      <c r="C1298" s="9" t="s">
        <v>6221</v>
      </c>
      <c r="D1298" s="9" t="s">
        <v>5539</v>
      </c>
      <c r="E1298" s="9" t="s">
        <v>49</v>
      </c>
      <c r="F1298" s="9" t="s">
        <v>69</v>
      </c>
      <c r="G1298" s="9" t="s">
        <v>70</v>
      </c>
      <c r="H1298" s="9" t="s">
        <v>5729</v>
      </c>
      <c r="I1298" s="9" t="s">
        <v>72</v>
      </c>
      <c r="J1298" s="35">
        <v>43950</v>
      </c>
      <c r="K1298" s="35">
        <v>43943</v>
      </c>
      <c r="L1298" s="10">
        <v>43951</v>
      </c>
      <c r="M1298" s="10">
        <v>44068</v>
      </c>
      <c r="N1298" s="9">
        <v>2020</v>
      </c>
      <c r="O1298" s="9" t="s">
        <v>5619</v>
      </c>
      <c r="P1298" s="9" t="s">
        <v>53</v>
      </c>
      <c r="Q1298" s="9" t="s">
        <v>53</v>
      </c>
      <c r="T1298" s="9"/>
      <c r="V1298" s="9"/>
      <c r="W1298" s="11" t="str">
        <f>IFERROR(VLOOKUP(B1298, PlumX_snapshot!$A:$B, 2, FALSE), " ")</f>
        <v xml:space="preserve"> </v>
      </c>
      <c r="X1298" s="11" t="str">
        <f>IFERROR(VLOOKUP(B1298, PlumX_snapshot!$A:$C, 3, FALSE), " ")</f>
        <v xml:space="preserve"> </v>
      </c>
      <c r="Y1298" s="12" t="str">
        <f>IFERROR(VLOOKUP(B1298, PlumX_snapshot!$A:$D, 4, FALSE), " ")</f>
        <v xml:space="preserve"> </v>
      </c>
      <c r="Z1298" s="12" t="str">
        <f>IFERROR(VLOOKUP(B1298, PlumX_snapshot!$A:$E, 5, FALSE), " ")</f>
        <v xml:space="preserve"> </v>
      </c>
      <c r="AA1298" s="12" t="str">
        <f>IFERROR(VLOOKUP(B1298, PlumX_snapshot!$A:$F, 6, FALSE), " ")</f>
        <v xml:space="preserve"> </v>
      </c>
      <c r="AB1298" s="13"/>
      <c r="AC1298" s="9" t="s">
        <v>4710</v>
      </c>
      <c r="AD1298" s="9" t="s">
        <v>4711</v>
      </c>
      <c r="AE1298" s="9" t="s">
        <v>4712</v>
      </c>
      <c r="AF1298" s="9" t="s">
        <v>6338</v>
      </c>
      <c r="AH1298" s="9">
        <v>2867</v>
      </c>
      <c r="AI1298" s="9" t="s">
        <v>77</v>
      </c>
      <c r="AJ1298" s="9" t="s">
        <v>301</v>
      </c>
      <c r="AK1298" s="11" t="str">
        <f t="shared" si="10"/>
        <v>2020GBP</v>
      </c>
      <c r="AL1298" s="11">
        <f>VLOOKUP(AK1298, Exchange_rates!$C:$D, 2, FALSE)</f>
        <v>1</v>
      </c>
      <c r="AM1298" s="14">
        <f t="shared" si="11"/>
        <v>3440.4</v>
      </c>
      <c r="AN1298" s="9"/>
      <c r="AO1298" s="9"/>
      <c r="AP1298" s="9"/>
      <c r="AQ1298" s="15" t="s">
        <v>49</v>
      </c>
      <c r="AR1298" t="s">
        <v>6226</v>
      </c>
      <c r="AS1298" s="16"/>
    </row>
    <row r="1299" spans="1:45" ht="14.5">
      <c r="A1299" s="9" t="s">
        <v>6339</v>
      </c>
      <c r="B1299" s="9" t="s">
        <v>6340</v>
      </c>
      <c r="C1299" s="9" t="s">
        <v>6341</v>
      </c>
      <c r="D1299" s="9" t="s">
        <v>5539</v>
      </c>
      <c r="E1299" s="9" t="s">
        <v>49</v>
      </c>
      <c r="F1299" s="9" t="s">
        <v>69</v>
      </c>
      <c r="G1299" s="9" t="s">
        <v>70</v>
      </c>
      <c r="H1299" s="9" t="s">
        <v>5729</v>
      </c>
      <c r="I1299" s="9" t="s">
        <v>72</v>
      </c>
      <c r="J1299" s="35">
        <v>43950</v>
      </c>
      <c r="K1299" s="35">
        <v>43946</v>
      </c>
      <c r="L1299" s="10">
        <v>43950</v>
      </c>
      <c r="M1299" s="10">
        <v>43986</v>
      </c>
      <c r="N1299" s="9">
        <v>2020</v>
      </c>
      <c r="O1299" s="9" t="s">
        <v>5619</v>
      </c>
      <c r="P1299" s="9" t="s">
        <v>83</v>
      </c>
      <c r="Q1299" s="9" t="s">
        <v>83</v>
      </c>
      <c r="T1299" s="9"/>
      <c r="V1299" s="9"/>
      <c r="W1299" s="11" t="str">
        <f>IFERROR(VLOOKUP(B1299, PlumX_snapshot!$A:$B, 2, FALSE), " ")</f>
        <v xml:space="preserve"> </v>
      </c>
      <c r="X1299" s="11" t="str">
        <f>IFERROR(VLOOKUP(B1299, PlumX_snapshot!$A:$C, 3, FALSE), " ")</f>
        <v xml:space="preserve"> </v>
      </c>
      <c r="Y1299" s="12" t="str">
        <f>IFERROR(VLOOKUP(B1299, PlumX_snapshot!$A:$D, 4, FALSE), " ")</f>
        <v xml:space="preserve"> </v>
      </c>
      <c r="Z1299" s="12" t="str">
        <f>IFERROR(VLOOKUP(B1299, PlumX_snapshot!$A:$E, 5, FALSE), " ")</f>
        <v xml:space="preserve"> </v>
      </c>
      <c r="AA1299" s="12" t="str">
        <f>IFERROR(VLOOKUP(B1299, PlumX_snapshot!$A:$F, 6, FALSE), " ")</f>
        <v xml:space="preserve"> </v>
      </c>
      <c r="AB1299" s="13"/>
      <c r="AC1299" s="9" t="s">
        <v>787</v>
      </c>
      <c r="AD1299" s="9" t="s">
        <v>788</v>
      </c>
      <c r="AE1299" s="9" t="s">
        <v>5683</v>
      </c>
      <c r="AF1299" s="9" t="s">
        <v>6342</v>
      </c>
      <c r="AH1299" s="9">
        <v>2050</v>
      </c>
      <c r="AI1299" s="9" t="s">
        <v>77</v>
      </c>
      <c r="AJ1299" s="9" t="s">
        <v>301</v>
      </c>
      <c r="AK1299" s="11" t="str">
        <f t="shared" si="10"/>
        <v>2020GBP</v>
      </c>
      <c r="AL1299" s="11">
        <f>VLOOKUP(AK1299, Exchange_rates!$C:$D, 2, FALSE)</f>
        <v>1</v>
      </c>
      <c r="AM1299" s="14">
        <f t="shared" si="11"/>
        <v>2460</v>
      </c>
      <c r="AN1299" s="9"/>
      <c r="AO1299" s="9"/>
      <c r="AP1299" s="9"/>
      <c r="AQ1299" s="15" t="s">
        <v>49</v>
      </c>
      <c r="AR1299" t="s">
        <v>6343</v>
      </c>
      <c r="AS1299" s="16"/>
    </row>
    <row r="1300" spans="1:45" ht="14.5">
      <c r="A1300" s="9" t="s">
        <v>6344</v>
      </c>
      <c r="B1300" s="9" t="s">
        <v>6345</v>
      </c>
      <c r="C1300" s="9" t="s">
        <v>6346</v>
      </c>
      <c r="D1300" s="9" t="s">
        <v>5539</v>
      </c>
      <c r="E1300" s="9" t="s">
        <v>49</v>
      </c>
      <c r="F1300" s="9" t="s">
        <v>69</v>
      </c>
      <c r="G1300" s="9" t="s">
        <v>70</v>
      </c>
      <c r="H1300" s="9" t="s">
        <v>5729</v>
      </c>
      <c r="I1300" s="9" t="s">
        <v>72</v>
      </c>
      <c r="J1300" s="35">
        <v>43950</v>
      </c>
      <c r="K1300" s="35">
        <v>43942</v>
      </c>
      <c r="L1300" s="10">
        <v>43959</v>
      </c>
      <c r="M1300" s="10">
        <v>43978</v>
      </c>
      <c r="N1300" s="9">
        <v>2020</v>
      </c>
      <c r="O1300" s="9" t="s">
        <v>5619</v>
      </c>
      <c r="P1300" s="9" t="s">
        <v>53</v>
      </c>
      <c r="Q1300" s="9" t="s">
        <v>53</v>
      </c>
      <c r="T1300" s="9"/>
      <c r="V1300" s="9"/>
      <c r="W1300" s="11" t="str">
        <f>IFERROR(VLOOKUP(B1300, PlumX_snapshot!$A:$B, 2, FALSE), " ")</f>
        <v xml:space="preserve"> </v>
      </c>
      <c r="X1300" s="11" t="str">
        <f>IFERROR(VLOOKUP(B1300, PlumX_snapshot!$A:$C, 3, FALSE), " ")</f>
        <v xml:space="preserve"> </v>
      </c>
      <c r="Y1300" s="12" t="str">
        <f>IFERROR(VLOOKUP(B1300, PlumX_snapshot!$A:$D, 4, FALSE), " ")</f>
        <v xml:space="preserve"> </v>
      </c>
      <c r="Z1300" s="12" t="str">
        <f>IFERROR(VLOOKUP(B1300, PlumX_snapshot!$A:$E, 5, FALSE), " ")</f>
        <v xml:space="preserve"> </v>
      </c>
      <c r="AA1300" s="12" t="str">
        <f>IFERROR(VLOOKUP(B1300, PlumX_snapshot!$A:$F, 6, FALSE), " ")</f>
        <v xml:space="preserve"> </v>
      </c>
      <c r="AB1300" s="13"/>
      <c r="AC1300" s="9" t="s">
        <v>6347</v>
      </c>
      <c r="AD1300" s="9" t="s">
        <v>6348</v>
      </c>
      <c r="AE1300" s="9" t="s">
        <v>6349</v>
      </c>
      <c r="AF1300" s="9" t="s">
        <v>6350</v>
      </c>
      <c r="AH1300" s="9">
        <v>3750</v>
      </c>
      <c r="AI1300" s="9" t="s">
        <v>77</v>
      </c>
      <c r="AJ1300" s="9" t="s">
        <v>301</v>
      </c>
      <c r="AK1300" s="11" t="str">
        <f t="shared" si="10"/>
        <v>2020GBP</v>
      </c>
      <c r="AL1300" s="11">
        <f>VLOOKUP(AK1300, Exchange_rates!$C:$D, 2, FALSE)</f>
        <v>1</v>
      </c>
      <c r="AM1300" s="14">
        <f t="shared" si="11"/>
        <v>4500</v>
      </c>
      <c r="AN1300" s="9"/>
      <c r="AO1300" s="9"/>
      <c r="AP1300" s="9"/>
      <c r="AQ1300" s="15" t="s">
        <v>49</v>
      </c>
      <c r="AR1300" t="s">
        <v>6351</v>
      </c>
      <c r="AS1300" s="16"/>
    </row>
    <row r="1301" spans="1:45" ht="14.5">
      <c r="A1301" s="9" t="s">
        <v>6352</v>
      </c>
      <c r="B1301" s="9" t="s">
        <v>6353</v>
      </c>
      <c r="C1301" s="9" t="s">
        <v>5756</v>
      </c>
      <c r="D1301" s="9" t="s">
        <v>5539</v>
      </c>
      <c r="E1301" s="9" t="s">
        <v>49</v>
      </c>
      <c r="F1301" s="9" t="s">
        <v>69</v>
      </c>
      <c r="G1301" s="9" t="s">
        <v>70</v>
      </c>
      <c r="H1301" s="9" t="s">
        <v>5729</v>
      </c>
      <c r="I1301" s="9" t="s">
        <v>72</v>
      </c>
      <c r="J1301" s="35">
        <v>43950</v>
      </c>
      <c r="K1301" s="35">
        <v>43949</v>
      </c>
      <c r="L1301" s="10">
        <v>43950</v>
      </c>
      <c r="M1301" s="10">
        <v>43970</v>
      </c>
      <c r="N1301" s="9">
        <v>2020</v>
      </c>
      <c r="O1301" s="9" t="s">
        <v>5619</v>
      </c>
      <c r="P1301" s="9" t="s">
        <v>83</v>
      </c>
      <c r="Q1301" s="9" t="s">
        <v>53</v>
      </c>
      <c r="T1301" s="9"/>
      <c r="V1301" s="9"/>
      <c r="W1301" s="11" t="str">
        <f>IFERROR(VLOOKUP(B1301, PlumX_snapshot!$A:$B, 2, FALSE), " ")</f>
        <v xml:space="preserve"> </v>
      </c>
      <c r="X1301" s="11" t="str">
        <f>IFERROR(VLOOKUP(B1301, PlumX_snapshot!$A:$C, 3, FALSE), " ")</f>
        <v xml:space="preserve"> </v>
      </c>
      <c r="Y1301" s="12" t="str">
        <f>IFERROR(VLOOKUP(B1301, PlumX_snapshot!$A:$D, 4, FALSE), " ")</f>
        <v xml:space="preserve"> </v>
      </c>
      <c r="Z1301" s="12" t="str">
        <f>IFERROR(VLOOKUP(B1301, PlumX_snapshot!$A:$E, 5, FALSE), " ")</f>
        <v xml:space="preserve"> </v>
      </c>
      <c r="AA1301" s="12" t="str">
        <f>IFERROR(VLOOKUP(B1301, PlumX_snapshot!$A:$F, 6, FALSE), " ")</f>
        <v xml:space="preserve"> </v>
      </c>
      <c r="AB1301" s="13"/>
      <c r="AC1301" s="9" t="s">
        <v>5757</v>
      </c>
      <c r="AD1301" s="9" t="s">
        <v>5758</v>
      </c>
      <c r="AE1301" s="9" t="s">
        <v>5759</v>
      </c>
      <c r="AF1301" s="9" t="s">
        <v>6354</v>
      </c>
      <c r="AH1301" s="9">
        <v>2550</v>
      </c>
      <c r="AI1301" s="9" t="s">
        <v>77</v>
      </c>
      <c r="AJ1301" s="9" t="s">
        <v>301</v>
      </c>
      <c r="AK1301" s="11" t="str">
        <f t="shared" si="10"/>
        <v>2020GBP</v>
      </c>
      <c r="AL1301" s="11">
        <f>VLOOKUP(AK1301, Exchange_rates!$C:$D, 2, FALSE)</f>
        <v>1</v>
      </c>
      <c r="AM1301" s="14">
        <f t="shared" si="11"/>
        <v>3060</v>
      </c>
      <c r="AN1301" s="9"/>
      <c r="AO1301" s="9"/>
      <c r="AP1301" s="9"/>
      <c r="AQ1301" s="15" t="s">
        <v>49</v>
      </c>
      <c r="AR1301" t="s">
        <v>5761</v>
      </c>
      <c r="AS1301" s="16"/>
    </row>
    <row r="1302" spans="1:45" ht="14.5">
      <c r="A1302" s="9" t="s">
        <v>6355</v>
      </c>
      <c r="B1302" s="9" t="s">
        <v>6356</v>
      </c>
      <c r="C1302" s="9" t="s">
        <v>5634</v>
      </c>
      <c r="D1302" s="9" t="s">
        <v>5539</v>
      </c>
      <c r="E1302" s="9" t="s">
        <v>49</v>
      </c>
      <c r="F1302" s="9" t="s">
        <v>69</v>
      </c>
      <c r="G1302" s="9" t="s">
        <v>70</v>
      </c>
      <c r="H1302" s="9" t="s">
        <v>5729</v>
      </c>
      <c r="I1302" s="9" t="s">
        <v>72</v>
      </c>
      <c r="J1302" s="35">
        <v>43948</v>
      </c>
      <c r="K1302" s="36">
        <v>43930</v>
      </c>
      <c r="L1302" s="10">
        <v>43948</v>
      </c>
      <c r="M1302" s="10">
        <v>44036</v>
      </c>
      <c r="N1302" s="9">
        <v>2020</v>
      </c>
      <c r="O1302" s="9" t="s">
        <v>5619</v>
      </c>
      <c r="P1302" s="9" t="s">
        <v>53</v>
      </c>
      <c r="Q1302" s="9" t="s">
        <v>53</v>
      </c>
      <c r="T1302" s="9"/>
      <c r="V1302" s="9"/>
      <c r="W1302" s="11" t="str">
        <f>IFERROR(VLOOKUP(B1302, PlumX_snapshot!$A:$B, 2, FALSE), " ")</f>
        <v xml:space="preserve"> </v>
      </c>
      <c r="X1302" s="11" t="str">
        <f>IFERROR(VLOOKUP(B1302, PlumX_snapshot!$A:$C, 3, FALSE), " ")</f>
        <v xml:space="preserve"> </v>
      </c>
      <c r="Y1302" s="12" t="str">
        <f>IFERROR(VLOOKUP(B1302, PlumX_snapshot!$A:$D, 4, FALSE), " ")</f>
        <v xml:space="preserve"> </v>
      </c>
      <c r="Z1302" s="12" t="str">
        <f>IFERROR(VLOOKUP(B1302, PlumX_snapshot!$A:$E, 5, FALSE), " ")</f>
        <v xml:space="preserve"> </v>
      </c>
      <c r="AA1302" s="12" t="str">
        <f>IFERROR(VLOOKUP(B1302, PlumX_snapshot!$A:$F, 6, FALSE), " ")</f>
        <v xml:space="preserve"> </v>
      </c>
      <c r="AB1302" s="13"/>
      <c r="AC1302" s="9" t="s">
        <v>6357</v>
      </c>
      <c r="AD1302" s="9" t="s">
        <v>6358</v>
      </c>
      <c r="AE1302" s="9" t="s">
        <v>6359</v>
      </c>
      <c r="AF1302" s="9" t="s">
        <v>6360</v>
      </c>
      <c r="AH1302" s="9">
        <v>2650</v>
      </c>
      <c r="AI1302" s="9" t="s">
        <v>77</v>
      </c>
      <c r="AJ1302" s="9" t="s">
        <v>301</v>
      </c>
      <c r="AK1302" s="11" t="str">
        <f t="shared" si="10"/>
        <v>2020GBP</v>
      </c>
      <c r="AL1302" s="11">
        <f>VLOOKUP(AK1302, Exchange_rates!$C:$D, 2, FALSE)</f>
        <v>1</v>
      </c>
      <c r="AM1302" s="14">
        <f t="shared" si="11"/>
        <v>3180</v>
      </c>
      <c r="AN1302" s="9"/>
      <c r="AO1302" s="9"/>
      <c r="AP1302" s="9"/>
      <c r="AQ1302" s="15" t="s">
        <v>49</v>
      </c>
      <c r="AR1302" t="s">
        <v>5551</v>
      </c>
      <c r="AS1302" s="16"/>
    </row>
    <row r="1303" spans="1:45" ht="14.5">
      <c r="A1303" s="9" t="s">
        <v>6361</v>
      </c>
      <c r="B1303" s="9" t="s">
        <v>6362</v>
      </c>
      <c r="C1303" s="9" t="s">
        <v>6363</v>
      </c>
      <c r="D1303" s="9" t="s">
        <v>5539</v>
      </c>
      <c r="E1303" s="9" t="s">
        <v>49</v>
      </c>
      <c r="F1303" s="9" t="s">
        <v>69</v>
      </c>
      <c r="G1303" s="9" t="s">
        <v>70</v>
      </c>
      <c r="H1303" s="9" t="s">
        <v>5729</v>
      </c>
      <c r="I1303" s="9" t="s">
        <v>72</v>
      </c>
      <c r="J1303" s="35">
        <v>43945</v>
      </c>
      <c r="K1303" s="36">
        <v>43894</v>
      </c>
      <c r="L1303" s="10">
        <v>43945</v>
      </c>
      <c r="M1303" s="10">
        <v>43986</v>
      </c>
      <c r="N1303" s="9">
        <v>2020</v>
      </c>
      <c r="O1303" s="9" t="s">
        <v>5619</v>
      </c>
      <c r="P1303" s="9" t="s">
        <v>53</v>
      </c>
      <c r="Q1303" s="9" t="s">
        <v>53</v>
      </c>
      <c r="T1303" s="9"/>
      <c r="V1303" s="9"/>
      <c r="W1303" s="11" t="str">
        <f>IFERROR(VLOOKUP(B1303, PlumX_snapshot!$A:$B, 2, FALSE), " ")</f>
        <v xml:space="preserve"> </v>
      </c>
      <c r="X1303" s="11" t="str">
        <f>IFERROR(VLOOKUP(B1303, PlumX_snapshot!$A:$C, 3, FALSE), " ")</f>
        <v xml:space="preserve"> </v>
      </c>
      <c r="Y1303" s="12" t="str">
        <f>IFERROR(VLOOKUP(B1303, PlumX_snapshot!$A:$D, 4, FALSE), " ")</f>
        <v xml:space="preserve"> </v>
      </c>
      <c r="Z1303" s="12" t="str">
        <f>IFERROR(VLOOKUP(B1303, PlumX_snapshot!$A:$E, 5, FALSE), " ")</f>
        <v xml:space="preserve"> </v>
      </c>
      <c r="AA1303" s="12" t="str">
        <f>IFERROR(VLOOKUP(B1303, PlumX_snapshot!$A:$F, 6, FALSE), " ")</f>
        <v xml:space="preserve"> </v>
      </c>
      <c r="AB1303" s="13"/>
      <c r="AC1303" s="9" t="s">
        <v>6364</v>
      </c>
      <c r="AD1303" s="9" t="s">
        <v>6365</v>
      </c>
      <c r="AE1303" s="9" t="s">
        <v>6366</v>
      </c>
      <c r="AH1303" s="9">
        <v>2200</v>
      </c>
      <c r="AI1303" s="9" t="s">
        <v>77</v>
      </c>
      <c r="AJ1303" s="9" t="s">
        <v>301</v>
      </c>
      <c r="AK1303" s="11" t="str">
        <f t="shared" si="10"/>
        <v>2020GBP</v>
      </c>
      <c r="AL1303" s="11">
        <f>VLOOKUP(AK1303, Exchange_rates!$C:$D, 2, FALSE)</f>
        <v>1</v>
      </c>
      <c r="AM1303" s="14">
        <f t="shared" si="11"/>
        <v>2640</v>
      </c>
      <c r="AN1303" s="9"/>
      <c r="AO1303" s="9"/>
      <c r="AP1303" s="9"/>
      <c r="AQ1303" s="15" t="s">
        <v>49</v>
      </c>
      <c r="AR1303" t="s">
        <v>6367</v>
      </c>
      <c r="AS1303" s="16"/>
    </row>
    <row r="1304" spans="1:45" ht="14.5">
      <c r="A1304" s="9" t="s">
        <v>6368</v>
      </c>
      <c r="B1304" s="9" t="s">
        <v>6369</v>
      </c>
      <c r="C1304" s="9" t="s">
        <v>5634</v>
      </c>
      <c r="D1304" s="9" t="s">
        <v>5539</v>
      </c>
      <c r="E1304" s="9" t="s">
        <v>49</v>
      </c>
      <c r="F1304" s="9" t="s">
        <v>69</v>
      </c>
      <c r="G1304" s="9" t="s">
        <v>70</v>
      </c>
      <c r="H1304" s="9" t="s">
        <v>5729</v>
      </c>
      <c r="I1304" s="9" t="s">
        <v>72</v>
      </c>
      <c r="J1304" s="35">
        <v>43942</v>
      </c>
      <c r="K1304" s="35">
        <v>43936</v>
      </c>
      <c r="L1304" s="10">
        <v>43943</v>
      </c>
      <c r="M1304" s="10">
        <v>43993</v>
      </c>
      <c r="N1304" s="9">
        <v>2020</v>
      </c>
      <c r="O1304" s="9" t="s">
        <v>5619</v>
      </c>
      <c r="P1304" s="9" t="s">
        <v>83</v>
      </c>
      <c r="Q1304" s="9" t="s">
        <v>53</v>
      </c>
      <c r="T1304" s="9"/>
      <c r="V1304" s="9"/>
      <c r="W1304" s="11" t="str">
        <f>IFERROR(VLOOKUP(B1304, PlumX_snapshot!$A:$B, 2, FALSE), " ")</f>
        <v xml:space="preserve"> </v>
      </c>
      <c r="X1304" s="11" t="str">
        <f>IFERROR(VLOOKUP(B1304, PlumX_snapshot!$A:$C, 3, FALSE), " ")</f>
        <v xml:space="preserve"> </v>
      </c>
      <c r="Y1304" s="12" t="str">
        <f>IFERROR(VLOOKUP(B1304, PlumX_snapshot!$A:$D, 4, FALSE), " ")</f>
        <v xml:space="preserve"> </v>
      </c>
      <c r="Z1304" s="12" t="str">
        <f>IFERROR(VLOOKUP(B1304, PlumX_snapshot!$A:$E, 5, FALSE), " ")</f>
        <v xml:space="preserve"> </v>
      </c>
      <c r="AA1304" s="12" t="str">
        <f>IFERROR(VLOOKUP(B1304, PlumX_snapshot!$A:$F, 6, FALSE), " ")</f>
        <v xml:space="preserve"> </v>
      </c>
      <c r="AB1304" s="13"/>
      <c r="AC1304" s="9" t="s">
        <v>5673</v>
      </c>
      <c r="AD1304" s="9" t="s">
        <v>5674</v>
      </c>
      <c r="AE1304" s="9" t="s">
        <v>5675</v>
      </c>
      <c r="AF1304" s="9" t="s">
        <v>6370</v>
      </c>
      <c r="AH1304" s="9">
        <v>2650</v>
      </c>
      <c r="AI1304" s="9" t="s">
        <v>77</v>
      </c>
      <c r="AJ1304" s="9" t="s">
        <v>301</v>
      </c>
      <c r="AK1304" s="11" t="str">
        <f t="shared" si="10"/>
        <v>2020GBP</v>
      </c>
      <c r="AL1304" s="11">
        <f>VLOOKUP(AK1304, Exchange_rates!$C:$D, 2, FALSE)</f>
        <v>1</v>
      </c>
      <c r="AM1304" s="14">
        <f t="shared" si="11"/>
        <v>3180</v>
      </c>
      <c r="AN1304" s="9"/>
      <c r="AO1304" s="9"/>
      <c r="AP1304" s="9"/>
      <c r="AQ1304" s="15" t="s">
        <v>49</v>
      </c>
      <c r="AR1304" t="s">
        <v>5551</v>
      </c>
      <c r="AS1304" s="16"/>
    </row>
    <row r="1305" spans="1:45" ht="14.5">
      <c r="A1305" s="9" t="s">
        <v>6371</v>
      </c>
      <c r="B1305" s="9" t="s">
        <v>6372</v>
      </c>
      <c r="C1305" s="9" t="s">
        <v>5764</v>
      </c>
      <c r="D1305" s="9" t="s">
        <v>5539</v>
      </c>
      <c r="E1305" s="9" t="s">
        <v>49</v>
      </c>
      <c r="F1305" s="9" t="s">
        <v>69</v>
      </c>
      <c r="G1305" s="9" t="s">
        <v>70</v>
      </c>
      <c r="H1305" s="9" t="s">
        <v>5729</v>
      </c>
      <c r="I1305" s="9" t="s">
        <v>72</v>
      </c>
      <c r="J1305" s="35">
        <v>43937</v>
      </c>
      <c r="K1305" s="36">
        <v>43924</v>
      </c>
      <c r="L1305" s="10">
        <v>43938</v>
      </c>
      <c r="M1305" s="10">
        <v>43985</v>
      </c>
      <c r="N1305" s="9">
        <v>2020</v>
      </c>
      <c r="O1305" s="9" t="s">
        <v>5619</v>
      </c>
      <c r="P1305" s="9" t="s">
        <v>53</v>
      </c>
      <c r="Q1305" s="9" t="s">
        <v>53</v>
      </c>
      <c r="T1305" s="9"/>
      <c r="V1305" s="9"/>
      <c r="W1305" s="11" t="str">
        <f>IFERROR(VLOOKUP(B1305, PlumX_snapshot!$A:$B, 2, FALSE), " ")</f>
        <v xml:space="preserve"> </v>
      </c>
      <c r="X1305" s="11" t="str">
        <f>IFERROR(VLOOKUP(B1305, PlumX_snapshot!$A:$C, 3, FALSE), " ")</f>
        <v xml:space="preserve"> </v>
      </c>
      <c r="Y1305" s="12" t="str">
        <f>IFERROR(VLOOKUP(B1305, PlumX_snapshot!$A:$D, 4, FALSE), " ")</f>
        <v xml:space="preserve"> </v>
      </c>
      <c r="Z1305" s="12" t="str">
        <f>IFERROR(VLOOKUP(B1305, PlumX_snapshot!$A:$E, 5, FALSE), " ")</f>
        <v xml:space="preserve"> </v>
      </c>
      <c r="AA1305" s="12" t="str">
        <f>IFERROR(VLOOKUP(B1305, PlumX_snapshot!$A:$F, 6, FALSE), " ")</f>
        <v xml:space="preserve"> </v>
      </c>
      <c r="AB1305" s="13"/>
      <c r="AC1305" s="9" t="s">
        <v>6373</v>
      </c>
      <c r="AD1305" s="9" t="s">
        <v>6374</v>
      </c>
      <c r="AE1305" s="9" t="s">
        <v>6375</v>
      </c>
      <c r="AF1305" s="9" t="s">
        <v>6376</v>
      </c>
      <c r="AH1305" s="9">
        <v>2300</v>
      </c>
      <c r="AI1305" s="9" t="s">
        <v>77</v>
      </c>
      <c r="AJ1305" s="9" t="s">
        <v>301</v>
      </c>
      <c r="AK1305" s="11" t="str">
        <f t="shared" si="10"/>
        <v>2020GBP</v>
      </c>
      <c r="AL1305" s="11">
        <f>VLOOKUP(AK1305, Exchange_rates!$C:$D, 2, FALSE)</f>
        <v>1</v>
      </c>
      <c r="AM1305" s="14">
        <f t="shared" si="11"/>
        <v>2760</v>
      </c>
      <c r="AN1305" s="9"/>
      <c r="AO1305" s="9"/>
      <c r="AP1305" s="9"/>
      <c r="AQ1305" s="15" t="s">
        <v>49</v>
      </c>
      <c r="AR1305" t="s">
        <v>5595</v>
      </c>
      <c r="AS1305" s="16"/>
    </row>
    <row r="1306" spans="1:45" ht="14.5">
      <c r="A1306" s="9" t="s">
        <v>6377</v>
      </c>
      <c r="B1306" s="9" t="s">
        <v>6378</v>
      </c>
      <c r="C1306" s="9" t="s">
        <v>6379</v>
      </c>
      <c r="D1306" s="9" t="s">
        <v>5539</v>
      </c>
      <c r="E1306" s="9" t="s">
        <v>125</v>
      </c>
      <c r="F1306" s="9" t="s">
        <v>69</v>
      </c>
      <c r="G1306" s="9" t="s">
        <v>70</v>
      </c>
      <c r="H1306" s="9" t="s">
        <v>5729</v>
      </c>
      <c r="I1306" s="9" t="s">
        <v>72</v>
      </c>
      <c r="J1306" s="35">
        <v>43935</v>
      </c>
      <c r="K1306" s="36">
        <v>43929</v>
      </c>
      <c r="L1306" s="10">
        <v>43936</v>
      </c>
      <c r="M1306" s="10">
        <v>43955</v>
      </c>
      <c r="N1306" s="9">
        <v>2020</v>
      </c>
      <c r="O1306" s="9" t="s">
        <v>5619</v>
      </c>
      <c r="P1306" s="9" t="s">
        <v>83</v>
      </c>
      <c r="Q1306" s="9" t="s">
        <v>53</v>
      </c>
      <c r="T1306" s="9"/>
      <c r="V1306" s="9"/>
      <c r="W1306" s="11" t="str">
        <f>IFERROR(VLOOKUP(B1306, PlumX_snapshot!$A:$B, 2, FALSE), " ")</f>
        <v xml:space="preserve"> </v>
      </c>
      <c r="X1306" s="11" t="str">
        <f>IFERROR(VLOOKUP(B1306, PlumX_snapshot!$A:$C, 3, FALSE), " ")</f>
        <v xml:space="preserve"> </v>
      </c>
      <c r="Y1306" s="12" t="str">
        <f>IFERROR(VLOOKUP(B1306, PlumX_snapshot!$A:$D, 4, FALSE), " ")</f>
        <v xml:space="preserve"> </v>
      </c>
      <c r="Z1306" s="12" t="str">
        <f>IFERROR(VLOOKUP(B1306, PlumX_snapshot!$A:$E, 5, FALSE), " ")</f>
        <v xml:space="preserve"> </v>
      </c>
      <c r="AA1306" s="12" t="str">
        <f>IFERROR(VLOOKUP(B1306, PlumX_snapshot!$A:$F, 6, FALSE), " ")</f>
        <v xml:space="preserve"> </v>
      </c>
      <c r="AB1306" s="13"/>
      <c r="AC1306" s="9" t="s">
        <v>6380</v>
      </c>
      <c r="AD1306" s="9" t="s">
        <v>128</v>
      </c>
      <c r="AE1306" s="9" t="s">
        <v>6381</v>
      </c>
      <c r="AF1306" s="9" t="s">
        <v>6382</v>
      </c>
      <c r="AH1306" s="9">
        <v>1450</v>
      </c>
      <c r="AI1306" s="9" t="s">
        <v>77</v>
      </c>
      <c r="AJ1306" s="9" t="s">
        <v>301</v>
      </c>
      <c r="AK1306" s="11" t="str">
        <f t="shared" si="10"/>
        <v>2020GBP</v>
      </c>
      <c r="AL1306" s="11">
        <f>VLOOKUP(AK1306, Exchange_rates!$C:$D, 2, FALSE)</f>
        <v>1</v>
      </c>
      <c r="AM1306" s="14">
        <f t="shared" si="11"/>
        <v>1740</v>
      </c>
      <c r="AN1306" s="9"/>
      <c r="AO1306" s="9"/>
      <c r="AP1306" s="9"/>
      <c r="AQ1306" s="15" t="s">
        <v>125</v>
      </c>
      <c r="AR1306" t="s">
        <v>6383</v>
      </c>
      <c r="AS1306" s="16"/>
    </row>
    <row r="1307" spans="1:45" ht="14.5">
      <c r="A1307" s="9" t="s">
        <v>6384</v>
      </c>
      <c r="B1307" s="9" t="s">
        <v>6385</v>
      </c>
      <c r="C1307" s="9" t="s">
        <v>6321</v>
      </c>
      <c r="D1307" s="9" t="s">
        <v>5539</v>
      </c>
      <c r="E1307" s="9" t="s">
        <v>49</v>
      </c>
      <c r="F1307" s="9" t="s">
        <v>69</v>
      </c>
      <c r="G1307" s="9" t="s">
        <v>70</v>
      </c>
      <c r="H1307" s="9" t="s">
        <v>5729</v>
      </c>
      <c r="I1307" s="9" t="s">
        <v>72</v>
      </c>
      <c r="J1307" s="35">
        <v>43934</v>
      </c>
      <c r="K1307" s="35">
        <v>43921</v>
      </c>
      <c r="L1307" s="10">
        <v>43935</v>
      </c>
      <c r="M1307" s="10">
        <v>43956</v>
      </c>
      <c r="N1307" s="9">
        <v>2020</v>
      </c>
      <c r="O1307" s="9" t="s">
        <v>5619</v>
      </c>
      <c r="P1307" s="9" t="s">
        <v>83</v>
      </c>
      <c r="Q1307" s="9" t="s">
        <v>53</v>
      </c>
      <c r="T1307" s="9"/>
      <c r="V1307" s="9"/>
      <c r="W1307" s="11" t="str">
        <f>IFERROR(VLOOKUP(B1307, PlumX_snapshot!$A:$B, 2, FALSE), " ")</f>
        <v xml:space="preserve"> </v>
      </c>
      <c r="X1307" s="11" t="str">
        <f>IFERROR(VLOOKUP(B1307, PlumX_snapshot!$A:$C, 3, FALSE), " ")</f>
        <v xml:space="preserve"> </v>
      </c>
      <c r="Y1307" s="12" t="str">
        <f>IFERROR(VLOOKUP(B1307, PlumX_snapshot!$A:$D, 4, FALSE), " ")</f>
        <v xml:space="preserve"> </v>
      </c>
      <c r="Z1307" s="12" t="str">
        <f>IFERROR(VLOOKUP(B1307, PlumX_snapshot!$A:$E, 5, FALSE), " ")</f>
        <v xml:space="preserve"> </v>
      </c>
      <c r="AA1307" s="12" t="str">
        <f>IFERROR(VLOOKUP(B1307, PlumX_snapshot!$A:$F, 6, FALSE), " ")</f>
        <v xml:space="preserve"> </v>
      </c>
      <c r="AB1307" s="13"/>
      <c r="AC1307" s="9" t="s">
        <v>6386</v>
      </c>
      <c r="AD1307" s="9" t="s">
        <v>6387</v>
      </c>
      <c r="AE1307" s="9" t="s">
        <v>6388</v>
      </c>
      <c r="AF1307" s="9" t="s">
        <v>6389</v>
      </c>
      <c r="AH1307" s="9">
        <v>2533</v>
      </c>
      <c r="AI1307" s="9" t="s">
        <v>77</v>
      </c>
      <c r="AJ1307" s="9" t="s">
        <v>301</v>
      </c>
      <c r="AK1307" s="11" t="str">
        <f t="shared" si="10"/>
        <v>2020GBP</v>
      </c>
      <c r="AL1307" s="11">
        <f>VLOOKUP(AK1307, Exchange_rates!$C:$D, 2, FALSE)</f>
        <v>1</v>
      </c>
      <c r="AM1307" s="14">
        <f t="shared" si="11"/>
        <v>3039.6</v>
      </c>
      <c r="AN1307" s="9"/>
      <c r="AO1307" s="9"/>
      <c r="AP1307" s="9"/>
      <c r="AQ1307" s="15" t="s">
        <v>49</v>
      </c>
      <c r="AR1307" t="s">
        <v>6323</v>
      </c>
      <c r="AS1307" s="16"/>
    </row>
    <row r="1308" spans="1:45" ht="14.5">
      <c r="A1308" s="9" t="s">
        <v>6390</v>
      </c>
      <c r="B1308" s="9" t="s">
        <v>6391</v>
      </c>
      <c r="C1308" s="9" t="s">
        <v>6154</v>
      </c>
      <c r="D1308" s="9" t="s">
        <v>5539</v>
      </c>
      <c r="E1308" s="9" t="s">
        <v>49</v>
      </c>
      <c r="F1308" s="9" t="s">
        <v>69</v>
      </c>
      <c r="G1308" s="9" t="s">
        <v>70</v>
      </c>
      <c r="H1308" s="9" t="s">
        <v>5729</v>
      </c>
      <c r="I1308" s="9" t="s">
        <v>72</v>
      </c>
      <c r="J1308" s="35">
        <v>43931</v>
      </c>
      <c r="K1308" s="35">
        <v>43919</v>
      </c>
      <c r="L1308" s="10">
        <v>43935</v>
      </c>
      <c r="M1308" s="10">
        <v>43944</v>
      </c>
      <c r="N1308" s="9">
        <v>2020</v>
      </c>
      <c r="O1308" s="9" t="s">
        <v>5619</v>
      </c>
      <c r="P1308" s="9" t="s">
        <v>53</v>
      </c>
      <c r="Q1308" s="9" t="s">
        <v>53</v>
      </c>
      <c r="T1308" s="9"/>
      <c r="V1308" s="9"/>
      <c r="W1308" s="11" t="str">
        <f>IFERROR(VLOOKUP(B1308, PlumX_snapshot!$A:$B, 2, FALSE), " ")</f>
        <v xml:space="preserve"> </v>
      </c>
      <c r="X1308" s="11" t="str">
        <f>IFERROR(VLOOKUP(B1308, PlumX_snapshot!$A:$C, 3, FALSE), " ")</f>
        <v xml:space="preserve"> </v>
      </c>
      <c r="Y1308" s="12" t="str">
        <f>IFERROR(VLOOKUP(B1308, PlumX_snapshot!$A:$D, 4, FALSE), " ")</f>
        <v xml:space="preserve"> </v>
      </c>
      <c r="Z1308" s="12" t="str">
        <f>IFERROR(VLOOKUP(B1308, PlumX_snapshot!$A:$E, 5, FALSE), " ")</f>
        <v xml:space="preserve"> </v>
      </c>
      <c r="AA1308" s="12" t="str">
        <f>IFERROR(VLOOKUP(B1308, PlumX_snapshot!$A:$F, 6, FALSE), " ")</f>
        <v xml:space="preserve"> </v>
      </c>
      <c r="AB1308" s="13"/>
      <c r="AC1308" s="9" t="s">
        <v>6392</v>
      </c>
      <c r="AD1308" s="9" t="s">
        <v>6393</v>
      </c>
      <c r="AE1308" s="9" t="s">
        <v>6394</v>
      </c>
      <c r="AF1308" s="9" t="s">
        <v>6395</v>
      </c>
      <c r="AH1308" s="9">
        <v>2750</v>
      </c>
      <c r="AI1308" s="9" t="s">
        <v>77</v>
      </c>
      <c r="AJ1308" s="9" t="s">
        <v>301</v>
      </c>
      <c r="AK1308" s="11" t="str">
        <f t="shared" si="10"/>
        <v>2020GBP</v>
      </c>
      <c r="AL1308" s="11">
        <f>VLOOKUP(AK1308, Exchange_rates!$C:$D, 2, FALSE)</f>
        <v>1</v>
      </c>
      <c r="AM1308" s="14">
        <f t="shared" si="11"/>
        <v>3300</v>
      </c>
      <c r="AN1308" s="9"/>
      <c r="AO1308" s="9"/>
      <c r="AP1308" s="9"/>
      <c r="AQ1308" s="15" t="s">
        <v>49</v>
      </c>
      <c r="AR1308" t="s">
        <v>6159</v>
      </c>
      <c r="AS1308" s="16"/>
    </row>
    <row r="1309" spans="1:45" ht="14.5">
      <c r="A1309" s="9" t="s">
        <v>6396</v>
      </c>
      <c r="B1309" s="9" t="s">
        <v>6397</v>
      </c>
      <c r="C1309" s="9" t="s">
        <v>6123</v>
      </c>
      <c r="D1309" s="9" t="s">
        <v>5539</v>
      </c>
      <c r="E1309" s="9" t="s">
        <v>49</v>
      </c>
      <c r="F1309" s="9" t="s">
        <v>69</v>
      </c>
      <c r="G1309" s="9" t="s">
        <v>70</v>
      </c>
      <c r="H1309" s="9" t="s">
        <v>5729</v>
      </c>
      <c r="I1309" s="9" t="s">
        <v>72</v>
      </c>
      <c r="J1309" s="36">
        <v>43927</v>
      </c>
      <c r="K1309" s="36">
        <v>43922</v>
      </c>
      <c r="L1309" s="10">
        <v>43927</v>
      </c>
      <c r="M1309" s="10">
        <v>43964</v>
      </c>
      <c r="N1309" s="9">
        <v>2020</v>
      </c>
      <c r="O1309" s="9" t="s">
        <v>5619</v>
      </c>
      <c r="P1309" s="9" t="s">
        <v>83</v>
      </c>
      <c r="Q1309" s="9" t="s">
        <v>83</v>
      </c>
      <c r="T1309" s="9"/>
      <c r="V1309" s="9"/>
      <c r="W1309" s="11" t="str">
        <f>IFERROR(VLOOKUP(B1309, PlumX_snapshot!$A:$B, 2, FALSE), " ")</f>
        <v xml:space="preserve"> </v>
      </c>
      <c r="X1309" s="11" t="str">
        <f>IFERROR(VLOOKUP(B1309, PlumX_snapshot!$A:$C, 3, FALSE), " ")</f>
        <v xml:space="preserve"> </v>
      </c>
      <c r="Y1309" s="12" t="str">
        <f>IFERROR(VLOOKUP(B1309, PlumX_snapshot!$A:$D, 4, FALSE), " ")</f>
        <v xml:space="preserve"> </v>
      </c>
      <c r="Z1309" s="12" t="str">
        <f>IFERROR(VLOOKUP(B1309, PlumX_snapshot!$A:$E, 5, FALSE), " ")</f>
        <v xml:space="preserve"> </v>
      </c>
      <c r="AA1309" s="12" t="str">
        <f>IFERROR(VLOOKUP(B1309, PlumX_snapshot!$A:$F, 6, FALSE), " ")</f>
        <v xml:space="preserve"> </v>
      </c>
      <c r="AB1309" s="13"/>
      <c r="AC1309" s="9" t="s">
        <v>6398</v>
      </c>
      <c r="AD1309" s="9" t="s">
        <v>6399</v>
      </c>
      <c r="AE1309" s="9" t="s">
        <v>6400</v>
      </c>
      <c r="AF1309" s="9" t="s">
        <v>6401</v>
      </c>
      <c r="AH1309" s="9">
        <v>2400</v>
      </c>
      <c r="AI1309" s="9" t="s">
        <v>77</v>
      </c>
      <c r="AJ1309" s="9" t="s">
        <v>301</v>
      </c>
      <c r="AK1309" s="11" t="str">
        <f t="shared" si="10"/>
        <v>2020GBP</v>
      </c>
      <c r="AL1309" s="11">
        <f>VLOOKUP(AK1309, Exchange_rates!$C:$D, 2, FALSE)</f>
        <v>1</v>
      </c>
      <c r="AM1309" s="14">
        <f t="shared" si="11"/>
        <v>2880</v>
      </c>
      <c r="AN1309" s="9"/>
      <c r="AO1309" s="9"/>
      <c r="AP1309" s="9"/>
      <c r="AQ1309" s="15" t="s">
        <v>49</v>
      </c>
      <c r="AR1309" t="s">
        <v>6128</v>
      </c>
      <c r="AS1309" s="16"/>
    </row>
    <row r="1310" spans="1:45" ht="14.5">
      <c r="A1310" s="9" t="s">
        <v>6402</v>
      </c>
      <c r="B1310" s="9" t="s">
        <v>6403</v>
      </c>
      <c r="C1310" s="9" t="s">
        <v>6404</v>
      </c>
      <c r="D1310" s="9" t="s">
        <v>5539</v>
      </c>
      <c r="E1310" s="9" t="s">
        <v>125</v>
      </c>
      <c r="F1310" s="9" t="s">
        <v>69</v>
      </c>
      <c r="G1310" s="9" t="s">
        <v>70</v>
      </c>
      <c r="H1310" s="9" t="s">
        <v>5729</v>
      </c>
      <c r="I1310" s="9" t="s">
        <v>72</v>
      </c>
      <c r="J1310" s="36">
        <v>43922</v>
      </c>
      <c r="K1310" s="29">
        <v>43965</v>
      </c>
      <c r="L1310" s="10">
        <v>43935</v>
      </c>
      <c r="M1310" s="10">
        <v>44019</v>
      </c>
      <c r="N1310" s="9">
        <v>2020</v>
      </c>
      <c r="O1310" s="9" t="s">
        <v>5619</v>
      </c>
      <c r="P1310" s="9" t="s">
        <v>83</v>
      </c>
      <c r="Q1310" s="9" t="s">
        <v>53</v>
      </c>
      <c r="T1310" s="9"/>
      <c r="V1310" s="9"/>
      <c r="W1310" s="11" t="str">
        <f>IFERROR(VLOOKUP(B1310, PlumX_snapshot!$A:$B, 2, FALSE), " ")</f>
        <v xml:space="preserve"> </v>
      </c>
      <c r="X1310" s="11" t="str">
        <f>IFERROR(VLOOKUP(B1310, PlumX_snapshot!$A:$C, 3, FALSE), " ")</f>
        <v xml:space="preserve"> </v>
      </c>
      <c r="Y1310" s="12" t="str">
        <f>IFERROR(VLOOKUP(B1310, PlumX_snapshot!$A:$D, 4, FALSE), " ")</f>
        <v xml:space="preserve"> </v>
      </c>
      <c r="Z1310" s="12" t="str">
        <f>IFERROR(VLOOKUP(B1310, PlumX_snapshot!$A:$E, 5, FALSE), " ")</f>
        <v xml:space="preserve"> </v>
      </c>
      <c r="AA1310" s="12" t="str">
        <f>IFERROR(VLOOKUP(B1310, PlumX_snapshot!$A:$F, 6, FALSE), " ")</f>
        <v xml:space="preserve"> </v>
      </c>
      <c r="AB1310" s="13"/>
      <c r="AC1310" s="9" t="s">
        <v>6405</v>
      </c>
      <c r="AD1310" s="9" t="s">
        <v>6406</v>
      </c>
      <c r="AE1310" s="9" t="s">
        <v>6407</v>
      </c>
      <c r="AF1310" s="9" t="s">
        <v>6408</v>
      </c>
      <c r="AH1310" s="9">
        <v>1600</v>
      </c>
      <c r="AI1310" s="9" t="s">
        <v>77</v>
      </c>
      <c r="AJ1310" s="9" t="s">
        <v>301</v>
      </c>
      <c r="AK1310" s="11" t="str">
        <f t="shared" si="10"/>
        <v>2020GBP</v>
      </c>
      <c r="AL1310" s="11">
        <f>VLOOKUP(AK1310, Exchange_rates!$C:$D, 2, FALSE)</f>
        <v>1</v>
      </c>
      <c r="AM1310" s="14">
        <f t="shared" si="11"/>
        <v>1920</v>
      </c>
      <c r="AN1310" s="9"/>
      <c r="AO1310" s="9"/>
      <c r="AP1310" s="9"/>
      <c r="AQ1310" s="15" t="s">
        <v>125</v>
      </c>
      <c r="AR1310" t="s">
        <v>6409</v>
      </c>
      <c r="AS1310" s="16"/>
    </row>
    <row r="1311" spans="1:45" ht="14.5">
      <c r="A1311" s="9" t="s">
        <v>6410</v>
      </c>
      <c r="B1311" s="9" t="s">
        <v>6411</v>
      </c>
      <c r="C1311" s="9" t="s">
        <v>6182</v>
      </c>
      <c r="D1311" s="9" t="s">
        <v>5539</v>
      </c>
      <c r="E1311" s="9" t="s">
        <v>49</v>
      </c>
      <c r="F1311" s="9" t="s">
        <v>69</v>
      </c>
      <c r="G1311" s="9" t="s">
        <v>70</v>
      </c>
      <c r="H1311" s="9" t="s">
        <v>5729</v>
      </c>
      <c r="I1311" s="9" t="s">
        <v>72</v>
      </c>
      <c r="J1311" s="35">
        <v>43917</v>
      </c>
      <c r="K1311" s="35">
        <v>43916</v>
      </c>
      <c r="L1311" s="10">
        <v>43923</v>
      </c>
      <c r="M1311" s="10">
        <v>43962</v>
      </c>
      <c r="N1311" s="9">
        <v>2020</v>
      </c>
      <c r="O1311" s="9" t="s">
        <v>5619</v>
      </c>
      <c r="P1311" s="9" t="s">
        <v>53</v>
      </c>
      <c r="Q1311" s="9" t="s">
        <v>53</v>
      </c>
      <c r="T1311" s="9"/>
      <c r="V1311" s="9"/>
      <c r="W1311" s="11" t="str">
        <f>IFERROR(VLOOKUP(B1311, PlumX_snapshot!$A:$B, 2, FALSE), " ")</f>
        <v xml:space="preserve"> </v>
      </c>
      <c r="X1311" s="11" t="str">
        <f>IFERROR(VLOOKUP(B1311, PlumX_snapshot!$A:$C, 3, FALSE), " ")</f>
        <v xml:space="preserve"> </v>
      </c>
      <c r="Y1311" s="12" t="str">
        <f>IFERROR(VLOOKUP(B1311, PlumX_snapshot!$A:$D, 4, FALSE), " ")</f>
        <v xml:space="preserve"> </v>
      </c>
      <c r="Z1311" s="12" t="str">
        <f>IFERROR(VLOOKUP(B1311, PlumX_snapshot!$A:$E, 5, FALSE), " ")</f>
        <v xml:space="preserve"> </v>
      </c>
      <c r="AA1311" s="12" t="str">
        <f>IFERROR(VLOOKUP(B1311, PlumX_snapshot!$A:$F, 6, FALSE), " ")</f>
        <v xml:space="preserve"> </v>
      </c>
      <c r="AB1311" s="13"/>
      <c r="AC1311" s="9" t="s">
        <v>6412</v>
      </c>
      <c r="AD1311" s="9" t="s">
        <v>6413</v>
      </c>
      <c r="AE1311" s="9" t="s">
        <v>6414</v>
      </c>
      <c r="AF1311" s="9" t="s">
        <v>6415</v>
      </c>
      <c r="AH1311" s="9">
        <v>2350</v>
      </c>
      <c r="AI1311" s="9" t="s">
        <v>77</v>
      </c>
      <c r="AJ1311" s="9" t="s">
        <v>301</v>
      </c>
      <c r="AK1311" s="11" t="str">
        <f t="shared" si="10"/>
        <v>2020GBP</v>
      </c>
      <c r="AL1311" s="11">
        <f>VLOOKUP(AK1311, Exchange_rates!$C:$D, 2, FALSE)</f>
        <v>1</v>
      </c>
      <c r="AM1311" s="14">
        <f t="shared" si="11"/>
        <v>2820</v>
      </c>
      <c r="AN1311" s="9"/>
      <c r="AO1311" s="9"/>
      <c r="AP1311" s="9"/>
      <c r="AQ1311" s="15" t="s">
        <v>49</v>
      </c>
      <c r="AR1311" t="s">
        <v>6187</v>
      </c>
      <c r="AS1311" s="16"/>
    </row>
    <row r="1312" spans="1:45" ht="14.5">
      <c r="A1312" s="9" t="s">
        <v>6416</v>
      </c>
      <c r="B1312" s="9" t="s">
        <v>6417</v>
      </c>
      <c r="C1312" s="9" t="s">
        <v>6418</v>
      </c>
      <c r="D1312" s="9" t="s">
        <v>5539</v>
      </c>
      <c r="E1312" s="9" t="s">
        <v>49</v>
      </c>
      <c r="F1312" s="9" t="s">
        <v>69</v>
      </c>
      <c r="G1312" s="9" t="s">
        <v>70</v>
      </c>
      <c r="H1312" s="9" t="s">
        <v>5729</v>
      </c>
      <c r="I1312" s="9" t="s">
        <v>238</v>
      </c>
      <c r="J1312" s="35">
        <v>43914</v>
      </c>
      <c r="K1312" s="35">
        <v>43851</v>
      </c>
      <c r="L1312" s="10">
        <v>43924</v>
      </c>
      <c r="M1312" s="10">
        <v>43955</v>
      </c>
      <c r="N1312" s="9">
        <v>2020</v>
      </c>
      <c r="O1312" s="9" t="s">
        <v>5619</v>
      </c>
      <c r="P1312" s="9" t="s">
        <v>53</v>
      </c>
      <c r="Q1312" s="9" t="s">
        <v>53</v>
      </c>
      <c r="T1312" s="9"/>
      <c r="V1312" s="9"/>
      <c r="W1312" s="11" t="str">
        <f>IFERROR(VLOOKUP(B1312, PlumX_snapshot!$A:$B, 2, FALSE), " ")</f>
        <v xml:space="preserve"> </v>
      </c>
      <c r="X1312" s="11" t="str">
        <f>IFERROR(VLOOKUP(B1312, PlumX_snapshot!$A:$C, 3, FALSE), " ")</f>
        <v xml:space="preserve"> </v>
      </c>
      <c r="Y1312" s="12" t="str">
        <f>IFERROR(VLOOKUP(B1312, PlumX_snapshot!$A:$D, 4, FALSE), " ")</f>
        <v xml:space="preserve"> </v>
      </c>
      <c r="Z1312" s="12" t="str">
        <f>IFERROR(VLOOKUP(B1312, PlumX_snapshot!$A:$E, 5, FALSE), " ")</f>
        <v xml:space="preserve"> </v>
      </c>
      <c r="AA1312" s="12" t="str">
        <f>IFERROR(VLOOKUP(B1312, PlumX_snapshot!$A:$F, 6, FALSE), " ")</f>
        <v xml:space="preserve"> </v>
      </c>
      <c r="AB1312" s="13"/>
      <c r="AC1312" s="9" t="s">
        <v>6419</v>
      </c>
      <c r="AD1312" s="9" t="s">
        <v>6420</v>
      </c>
      <c r="AF1312" s="9" t="s">
        <v>6421</v>
      </c>
      <c r="AH1312" s="9">
        <v>2450</v>
      </c>
      <c r="AI1312" s="9" t="s">
        <v>77</v>
      </c>
      <c r="AJ1312" s="9" t="s">
        <v>301</v>
      </c>
      <c r="AK1312" s="11" t="str">
        <f t="shared" si="10"/>
        <v>2020GBP</v>
      </c>
      <c r="AL1312" s="11">
        <f>VLOOKUP(AK1312, Exchange_rates!$C:$D, 2, FALSE)</f>
        <v>1</v>
      </c>
      <c r="AM1312" s="14">
        <f t="shared" si="11"/>
        <v>2940</v>
      </c>
      <c r="AN1312" s="9"/>
      <c r="AO1312" s="9"/>
      <c r="AP1312" s="9"/>
      <c r="AQ1312" s="15" t="s">
        <v>49</v>
      </c>
      <c r="AR1312" t="s">
        <v>6422</v>
      </c>
      <c r="AS1312" s="16"/>
    </row>
    <row r="1313" spans="1:45" ht="14.5">
      <c r="A1313" s="9" t="s">
        <v>6423</v>
      </c>
      <c r="B1313" s="9" t="s">
        <v>6424</v>
      </c>
      <c r="C1313" s="9" t="s">
        <v>5854</v>
      </c>
      <c r="D1313" s="9" t="s">
        <v>5539</v>
      </c>
      <c r="E1313" s="9" t="s">
        <v>49</v>
      </c>
      <c r="F1313" s="9" t="s">
        <v>69</v>
      </c>
      <c r="G1313" s="9" t="s">
        <v>70</v>
      </c>
      <c r="H1313" s="9" t="s">
        <v>5598</v>
      </c>
      <c r="I1313" s="9" t="s">
        <v>291</v>
      </c>
      <c r="J1313" s="35">
        <v>43913</v>
      </c>
      <c r="K1313" s="29"/>
      <c r="L1313" s="10">
        <v>43923</v>
      </c>
      <c r="M1313" s="10">
        <v>44027</v>
      </c>
      <c r="N1313" s="9">
        <v>2021</v>
      </c>
      <c r="O1313" s="9" t="s">
        <v>5619</v>
      </c>
      <c r="P1313" s="9" t="s">
        <v>53</v>
      </c>
      <c r="Q1313" s="9" t="s">
        <v>53</v>
      </c>
      <c r="T1313" s="9"/>
      <c r="V1313" s="9"/>
      <c r="W1313" s="11" t="str">
        <f>IFERROR(VLOOKUP(B1313, PlumX_snapshot!$A:$B, 2, FALSE), " ")</f>
        <v xml:space="preserve"> </v>
      </c>
      <c r="X1313" s="11" t="str">
        <f>IFERROR(VLOOKUP(B1313, PlumX_snapshot!$A:$C, 3, FALSE), " ")</f>
        <v xml:space="preserve"> </v>
      </c>
      <c r="Y1313" s="12" t="str">
        <f>IFERROR(VLOOKUP(B1313, PlumX_snapshot!$A:$D, 4, FALSE), " ")</f>
        <v xml:space="preserve"> </v>
      </c>
      <c r="Z1313" s="12" t="str">
        <f>IFERROR(VLOOKUP(B1313, PlumX_snapshot!$A:$E, 5, FALSE), " ")</f>
        <v xml:space="preserve"> </v>
      </c>
      <c r="AA1313" s="12" t="str">
        <f>IFERROR(VLOOKUP(B1313, PlumX_snapshot!$A:$F, 6, FALSE), " ")</f>
        <v xml:space="preserve"> </v>
      </c>
      <c r="AB1313" s="13"/>
      <c r="AC1313" s="9" t="s">
        <v>6425</v>
      </c>
      <c r="AD1313" s="9" t="s">
        <v>6426</v>
      </c>
      <c r="AH1313" s="9">
        <v>2250</v>
      </c>
      <c r="AI1313" s="9" t="s">
        <v>77</v>
      </c>
      <c r="AJ1313" s="9" t="s">
        <v>301</v>
      </c>
      <c r="AK1313" s="11" t="str">
        <f t="shared" si="10"/>
        <v>2021GBP</v>
      </c>
      <c r="AL1313" s="11">
        <f>VLOOKUP(AK1313, Exchange_rates!$C:$D, 2, FALSE)</f>
        <v>1</v>
      </c>
      <c r="AM1313" s="14">
        <f t="shared" si="11"/>
        <v>2700</v>
      </c>
      <c r="AN1313" s="9"/>
      <c r="AO1313" s="9"/>
      <c r="AP1313" s="9"/>
      <c r="AQ1313" s="15" t="s">
        <v>49</v>
      </c>
      <c r="AS1313" s="16" t="s">
        <v>5858</v>
      </c>
    </row>
    <row r="1314" spans="1:45" ht="14.5">
      <c r="A1314" s="9" t="s">
        <v>6427</v>
      </c>
      <c r="B1314" s="9" t="s">
        <v>6428</v>
      </c>
      <c r="C1314" s="9" t="s">
        <v>6429</v>
      </c>
      <c r="D1314" s="9" t="s">
        <v>5539</v>
      </c>
      <c r="E1314" s="9" t="s">
        <v>49</v>
      </c>
      <c r="F1314" s="9" t="s">
        <v>69</v>
      </c>
      <c r="G1314" s="9" t="s">
        <v>70</v>
      </c>
      <c r="H1314" s="9" t="s">
        <v>5729</v>
      </c>
      <c r="I1314" s="9" t="s">
        <v>72</v>
      </c>
      <c r="J1314" s="35">
        <v>43913</v>
      </c>
      <c r="K1314" s="36">
        <v>43898</v>
      </c>
      <c r="L1314" s="10">
        <v>43923</v>
      </c>
      <c r="M1314" s="10">
        <v>44230</v>
      </c>
      <c r="N1314" s="9">
        <v>2020</v>
      </c>
      <c r="O1314" s="9" t="s">
        <v>5619</v>
      </c>
      <c r="P1314" s="9" t="s">
        <v>53</v>
      </c>
      <c r="Q1314" s="9" t="s">
        <v>53</v>
      </c>
      <c r="T1314" s="9"/>
      <c r="V1314" s="9"/>
      <c r="W1314" s="11" t="str">
        <f>IFERROR(VLOOKUP(B1314, PlumX_snapshot!$A:$B, 2, FALSE), " ")</f>
        <v xml:space="preserve"> </v>
      </c>
      <c r="X1314" s="11" t="str">
        <f>IFERROR(VLOOKUP(B1314, PlumX_snapshot!$A:$C, 3, FALSE), " ")</f>
        <v xml:space="preserve"> </v>
      </c>
      <c r="Y1314" s="12" t="str">
        <f>IFERROR(VLOOKUP(B1314, PlumX_snapshot!$A:$D, 4, FALSE), " ")</f>
        <v xml:space="preserve"> </v>
      </c>
      <c r="Z1314" s="12" t="str">
        <f>IFERROR(VLOOKUP(B1314, PlumX_snapshot!$A:$E, 5, FALSE), " ")</f>
        <v xml:space="preserve"> </v>
      </c>
      <c r="AA1314" s="12" t="str">
        <f>IFERROR(VLOOKUP(B1314, PlumX_snapshot!$A:$F, 6, FALSE), " ")</f>
        <v xml:space="preserve"> </v>
      </c>
      <c r="AB1314" s="13"/>
      <c r="AC1314" s="9" t="s">
        <v>6430</v>
      </c>
      <c r="AD1314" s="9" t="s">
        <v>6431</v>
      </c>
      <c r="AF1314" s="9" t="s">
        <v>6432</v>
      </c>
      <c r="AH1314" s="9">
        <v>2000</v>
      </c>
      <c r="AI1314" s="9" t="s">
        <v>77</v>
      </c>
      <c r="AJ1314" s="9" t="s">
        <v>301</v>
      </c>
      <c r="AK1314" s="11" t="str">
        <f t="shared" si="10"/>
        <v>2020GBP</v>
      </c>
      <c r="AL1314" s="11">
        <f>VLOOKUP(AK1314, Exchange_rates!$C:$D, 2, FALSE)</f>
        <v>1</v>
      </c>
      <c r="AM1314" s="14">
        <f t="shared" si="11"/>
        <v>2400</v>
      </c>
      <c r="AN1314" s="9"/>
      <c r="AO1314" s="9"/>
      <c r="AP1314" s="9"/>
      <c r="AQ1314" s="15" t="s">
        <v>49</v>
      </c>
      <c r="AR1314" t="s">
        <v>6433</v>
      </c>
      <c r="AS1314" s="16"/>
    </row>
    <row r="1315" spans="1:45" ht="14.5">
      <c r="A1315" s="9" t="s">
        <v>6434</v>
      </c>
      <c r="B1315" s="9" t="s">
        <v>6435</v>
      </c>
      <c r="C1315" s="9" t="s">
        <v>6436</v>
      </c>
      <c r="D1315" s="9" t="s">
        <v>5539</v>
      </c>
      <c r="E1315" s="9" t="s">
        <v>125</v>
      </c>
      <c r="F1315" s="9" t="s">
        <v>69</v>
      </c>
      <c r="G1315" s="9" t="s">
        <v>70</v>
      </c>
      <c r="H1315" s="9" t="s">
        <v>5729</v>
      </c>
      <c r="I1315" s="9" t="s">
        <v>72</v>
      </c>
      <c r="J1315" s="35">
        <v>43908</v>
      </c>
      <c r="K1315" s="35">
        <v>44122</v>
      </c>
      <c r="L1315" s="10">
        <v>43924</v>
      </c>
      <c r="M1315" s="10">
        <v>44140</v>
      </c>
      <c r="N1315" s="9">
        <v>2020</v>
      </c>
      <c r="O1315" s="9" t="s">
        <v>5619</v>
      </c>
      <c r="P1315" s="9" t="s">
        <v>83</v>
      </c>
      <c r="Q1315" s="9" t="s">
        <v>53</v>
      </c>
      <c r="T1315" s="9"/>
      <c r="V1315" s="9"/>
      <c r="W1315" s="11" t="str">
        <f>IFERROR(VLOOKUP(B1315, PlumX_snapshot!$A:$B, 2, FALSE), " ")</f>
        <v xml:space="preserve"> </v>
      </c>
      <c r="X1315" s="11" t="str">
        <f>IFERROR(VLOOKUP(B1315, PlumX_snapshot!$A:$C, 3, FALSE), " ")</f>
        <v xml:space="preserve"> </v>
      </c>
      <c r="Y1315" s="12" t="str">
        <f>IFERROR(VLOOKUP(B1315, PlumX_snapshot!$A:$D, 4, FALSE), " ")</f>
        <v xml:space="preserve"> </v>
      </c>
      <c r="Z1315" s="12" t="str">
        <f>IFERROR(VLOOKUP(B1315, PlumX_snapshot!$A:$E, 5, FALSE), " ")</f>
        <v xml:space="preserve"> </v>
      </c>
      <c r="AA1315" s="12" t="str">
        <f>IFERROR(VLOOKUP(B1315, PlumX_snapshot!$A:$F, 6, FALSE), " ")</f>
        <v xml:space="preserve"> </v>
      </c>
      <c r="AB1315" s="13"/>
      <c r="AC1315" s="9" t="s">
        <v>6437</v>
      </c>
      <c r="AD1315" s="9" t="s">
        <v>6438</v>
      </c>
      <c r="AE1315" s="9" t="s">
        <v>6439</v>
      </c>
      <c r="AF1315" s="9" t="s">
        <v>6440</v>
      </c>
      <c r="AH1315" s="9">
        <v>1700</v>
      </c>
      <c r="AI1315" s="9" t="s">
        <v>77</v>
      </c>
      <c r="AJ1315" s="9" t="s">
        <v>301</v>
      </c>
      <c r="AK1315" s="11" t="str">
        <f t="shared" si="10"/>
        <v>2020GBP</v>
      </c>
      <c r="AL1315" s="11">
        <f>VLOOKUP(AK1315, Exchange_rates!$C:$D, 2, FALSE)</f>
        <v>1</v>
      </c>
      <c r="AM1315" s="14">
        <f t="shared" si="11"/>
        <v>2040</v>
      </c>
      <c r="AN1315" s="9"/>
      <c r="AO1315" s="9"/>
      <c r="AP1315" s="9"/>
      <c r="AQ1315" s="15" t="s">
        <v>125</v>
      </c>
      <c r="AR1315" t="s">
        <v>6441</v>
      </c>
      <c r="AS1315" s="16"/>
    </row>
    <row r="1316" spans="1:45" ht="14.5">
      <c r="A1316" s="9" t="s">
        <v>6442</v>
      </c>
      <c r="B1316" s="9" t="s">
        <v>6443</v>
      </c>
      <c r="C1316" s="9" t="s">
        <v>6221</v>
      </c>
      <c r="D1316" s="9" t="s">
        <v>5539</v>
      </c>
      <c r="E1316" s="9" t="s">
        <v>49</v>
      </c>
      <c r="F1316" s="9" t="s">
        <v>69</v>
      </c>
      <c r="G1316" s="9" t="s">
        <v>70</v>
      </c>
      <c r="H1316" s="9" t="s">
        <v>5729</v>
      </c>
      <c r="I1316" s="9" t="s">
        <v>72</v>
      </c>
      <c r="J1316" s="35">
        <v>43906</v>
      </c>
      <c r="K1316" s="35">
        <v>43903</v>
      </c>
      <c r="L1316" s="10">
        <v>43923</v>
      </c>
      <c r="M1316" s="10">
        <v>43938</v>
      </c>
      <c r="N1316" s="9">
        <v>2020</v>
      </c>
      <c r="O1316" s="9" t="s">
        <v>5619</v>
      </c>
      <c r="P1316" s="9" t="s">
        <v>53</v>
      </c>
      <c r="Q1316" s="9" t="s">
        <v>53</v>
      </c>
      <c r="T1316" s="9"/>
      <c r="V1316" s="9"/>
      <c r="W1316" s="11" t="str">
        <f>IFERROR(VLOOKUP(B1316, PlumX_snapshot!$A:$B, 2, FALSE), " ")</f>
        <v xml:space="preserve"> </v>
      </c>
      <c r="X1316" s="11" t="str">
        <f>IFERROR(VLOOKUP(B1316, PlumX_snapshot!$A:$C, 3, FALSE), " ")</f>
        <v xml:space="preserve"> </v>
      </c>
      <c r="Y1316" s="12" t="str">
        <f>IFERROR(VLOOKUP(B1316, PlumX_snapshot!$A:$D, 4, FALSE), " ")</f>
        <v xml:space="preserve"> </v>
      </c>
      <c r="Z1316" s="12" t="str">
        <f>IFERROR(VLOOKUP(B1316, PlumX_snapshot!$A:$E, 5, FALSE), " ")</f>
        <v xml:space="preserve"> </v>
      </c>
      <c r="AA1316" s="12" t="str">
        <f>IFERROR(VLOOKUP(B1316, PlumX_snapshot!$A:$F, 6, FALSE), " ")</f>
        <v xml:space="preserve"> </v>
      </c>
      <c r="AB1316" s="13"/>
      <c r="AC1316" s="9" t="s">
        <v>4710</v>
      </c>
      <c r="AD1316" s="9" t="s">
        <v>4711</v>
      </c>
      <c r="AE1316" s="9" t="s">
        <v>4712</v>
      </c>
      <c r="AF1316" s="9" t="s">
        <v>6444</v>
      </c>
      <c r="AH1316" s="9">
        <v>2867</v>
      </c>
      <c r="AI1316" s="9" t="s">
        <v>77</v>
      </c>
      <c r="AJ1316" s="9" t="s">
        <v>301</v>
      </c>
      <c r="AK1316" s="11" t="str">
        <f t="shared" si="10"/>
        <v>2020GBP</v>
      </c>
      <c r="AL1316" s="11">
        <f>VLOOKUP(AK1316, Exchange_rates!$C:$D, 2, FALSE)</f>
        <v>1</v>
      </c>
      <c r="AM1316" s="14">
        <f t="shared" si="11"/>
        <v>3440.4</v>
      </c>
      <c r="AN1316" s="9"/>
      <c r="AO1316" s="9"/>
      <c r="AP1316" s="9"/>
      <c r="AQ1316" s="15" t="s">
        <v>49</v>
      </c>
      <c r="AR1316" t="s">
        <v>6226</v>
      </c>
      <c r="AS1316" s="16"/>
    </row>
    <row r="1317" spans="1:45" ht="14.5">
      <c r="A1317" s="9" t="s">
        <v>6445</v>
      </c>
      <c r="B1317" s="9" t="s">
        <v>6446</v>
      </c>
      <c r="C1317" s="9" t="s">
        <v>6447</v>
      </c>
      <c r="D1317" s="9" t="s">
        <v>5539</v>
      </c>
      <c r="E1317" s="9" t="s">
        <v>49</v>
      </c>
      <c r="F1317" s="9" t="s">
        <v>69</v>
      </c>
      <c r="G1317" s="9" t="s">
        <v>70</v>
      </c>
      <c r="H1317" s="9" t="s">
        <v>5729</v>
      </c>
      <c r="I1317" s="9" t="s">
        <v>72</v>
      </c>
      <c r="J1317" s="35">
        <v>43903</v>
      </c>
      <c r="K1317" s="35">
        <v>43860</v>
      </c>
      <c r="L1317" s="10">
        <v>43923</v>
      </c>
      <c r="M1317" s="10">
        <v>43920</v>
      </c>
      <c r="N1317" s="9">
        <v>2020</v>
      </c>
      <c r="O1317" s="9" t="s">
        <v>5619</v>
      </c>
      <c r="P1317" s="9" t="s">
        <v>83</v>
      </c>
      <c r="Q1317" s="9" t="s">
        <v>53</v>
      </c>
      <c r="T1317" s="9"/>
      <c r="V1317" s="9"/>
      <c r="W1317" s="11" t="str">
        <f>IFERROR(VLOOKUP(B1317, PlumX_snapshot!$A:$B, 2, FALSE), " ")</f>
        <v xml:space="preserve"> </v>
      </c>
      <c r="X1317" s="11" t="str">
        <f>IFERROR(VLOOKUP(B1317, PlumX_snapshot!$A:$C, 3, FALSE), " ")</f>
        <v xml:space="preserve"> </v>
      </c>
      <c r="Y1317" s="12" t="str">
        <f>IFERROR(VLOOKUP(B1317, PlumX_snapshot!$A:$D, 4, FALSE), " ")</f>
        <v xml:space="preserve"> </v>
      </c>
      <c r="Z1317" s="12" t="str">
        <f>IFERROR(VLOOKUP(B1317, PlumX_snapshot!$A:$E, 5, FALSE), " ")</f>
        <v xml:space="preserve"> </v>
      </c>
      <c r="AA1317" s="12" t="str">
        <f>IFERROR(VLOOKUP(B1317, PlumX_snapshot!$A:$F, 6, FALSE), " ")</f>
        <v xml:space="preserve"> </v>
      </c>
      <c r="AB1317" s="13"/>
      <c r="AC1317" s="9" t="s">
        <v>6448</v>
      </c>
      <c r="AD1317" s="9" t="s">
        <v>6449</v>
      </c>
      <c r="AE1317" s="9" t="s">
        <v>6450</v>
      </c>
      <c r="AF1317" s="9" t="s">
        <v>6451</v>
      </c>
      <c r="AH1317" s="9">
        <v>2000</v>
      </c>
      <c r="AI1317" s="9" t="s">
        <v>77</v>
      </c>
      <c r="AJ1317" s="9" t="s">
        <v>301</v>
      </c>
      <c r="AK1317" s="11" t="str">
        <f t="shared" si="10"/>
        <v>2020GBP</v>
      </c>
      <c r="AL1317" s="11">
        <f>VLOOKUP(AK1317, Exchange_rates!$C:$D, 2, FALSE)</f>
        <v>1</v>
      </c>
      <c r="AM1317" s="14">
        <f t="shared" si="11"/>
        <v>2400</v>
      </c>
      <c r="AN1317" s="9"/>
      <c r="AO1317" s="9"/>
      <c r="AP1317" s="9"/>
      <c r="AQ1317" s="15" t="s">
        <v>49</v>
      </c>
      <c r="AR1317" t="s">
        <v>6452</v>
      </c>
      <c r="AS1317" s="16"/>
    </row>
    <row r="1318" spans="1:45" ht="14.5">
      <c r="A1318" s="9" t="s">
        <v>6453</v>
      </c>
      <c r="B1318" s="9" t="s">
        <v>6454</v>
      </c>
      <c r="C1318" s="9" t="s">
        <v>6404</v>
      </c>
      <c r="D1318" s="9" t="s">
        <v>5539</v>
      </c>
      <c r="E1318" s="9" t="s">
        <v>125</v>
      </c>
      <c r="F1318" s="9" t="s">
        <v>69</v>
      </c>
      <c r="G1318" s="9" t="s">
        <v>70</v>
      </c>
      <c r="H1318" s="9" t="s">
        <v>5729</v>
      </c>
      <c r="I1318" s="9" t="s">
        <v>72</v>
      </c>
      <c r="J1318" s="35">
        <v>43903</v>
      </c>
      <c r="K1318" s="35">
        <v>44041</v>
      </c>
      <c r="L1318" s="10">
        <v>44097</v>
      </c>
      <c r="M1318" s="10">
        <v>44104</v>
      </c>
      <c r="N1318" s="9">
        <v>2020</v>
      </c>
      <c r="O1318" s="9" t="s">
        <v>5619</v>
      </c>
      <c r="P1318" s="9" t="s">
        <v>83</v>
      </c>
      <c r="Q1318" s="9" t="s">
        <v>53</v>
      </c>
      <c r="T1318" s="9"/>
      <c r="V1318" s="9"/>
      <c r="W1318" s="11" t="str">
        <f>IFERROR(VLOOKUP(B1318, PlumX_snapshot!$A:$B, 2, FALSE), " ")</f>
        <v xml:space="preserve"> </v>
      </c>
      <c r="X1318" s="11" t="str">
        <f>IFERROR(VLOOKUP(B1318, PlumX_snapshot!$A:$C, 3, FALSE), " ")</f>
        <v xml:space="preserve"> </v>
      </c>
      <c r="Y1318" s="12" t="str">
        <f>IFERROR(VLOOKUP(B1318, PlumX_snapshot!$A:$D, 4, FALSE), " ")</f>
        <v xml:space="preserve"> </v>
      </c>
      <c r="Z1318" s="12" t="str">
        <f>IFERROR(VLOOKUP(B1318, PlumX_snapshot!$A:$E, 5, FALSE), " ")</f>
        <v xml:space="preserve"> </v>
      </c>
      <c r="AA1318" s="12" t="str">
        <f>IFERROR(VLOOKUP(B1318, PlumX_snapshot!$A:$F, 6, FALSE), " ")</f>
        <v xml:space="preserve"> </v>
      </c>
      <c r="AB1318" s="13"/>
      <c r="AC1318" s="9" t="s">
        <v>6027</v>
      </c>
      <c r="AD1318" s="9" t="s">
        <v>6028</v>
      </c>
      <c r="AE1318" s="9" t="s">
        <v>6029</v>
      </c>
      <c r="AF1318" s="9" t="s">
        <v>6455</v>
      </c>
      <c r="AH1318" s="9">
        <v>1600</v>
      </c>
      <c r="AI1318" s="9" t="s">
        <v>77</v>
      </c>
      <c r="AJ1318" s="9" t="s">
        <v>301</v>
      </c>
      <c r="AK1318" s="11" t="str">
        <f t="shared" si="10"/>
        <v>2020GBP</v>
      </c>
      <c r="AL1318" s="11">
        <f>VLOOKUP(AK1318, Exchange_rates!$C:$D, 2, FALSE)</f>
        <v>1</v>
      </c>
      <c r="AM1318" s="14">
        <f t="shared" si="11"/>
        <v>1920</v>
      </c>
      <c r="AN1318" s="9"/>
      <c r="AO1318" s="9"/>
      <c r="AP1318" s="9"/>
      <c r="AQ1318" s="15" t="s">
        <v>125</v>
      </c>
      <c r="AR1318" t="s">
        <v>6409</v>
      </c>
      <c r="AS1318" s="16"/>
    </row>
    <row r="1319" spans="1:45" ht="14.5">
      <c r="A1319" s="9" t="s">
        <v>6456</v>
      </c>
      <c r="B1319" s="9" t="s">
        <v>6457</v>
      </c>
      <c r="C1319" s="9" t="s">
        <v>6458</v>
      </c>
      <c r="D1319" s="9" t="s">
        <v>5539</v>
      </c>
      <c r="E1319" s="9" t="s">
        <v>49</v>
      </c>
      <c r="F1319" s="9" t="s">
        <v>69</v>
      </c>
      <c r="G1319" s="9" t="s">
        <v>70</v>
      </c>
      <c r="H1319" s="9" t="s">
        <v>5729</v>
      </c>
      <c r="I1319" s="9" t="s">
        <v>72</v>
      </c>
      <c r="J1319" s="35">
        <v>43900</v>
      </c>
      <c r="K1319" s="35">
        <v>43853</v>
      </c>
      <c r="L1319" s="10">
        <v>43923</v>
      </c>
      <c r="M1319" s="10">
        <v>43878</v>
      </c>
      <c r="N1319" s="9">
        <v>2020</v>
      </c>
      <c r="O1319" s="9" t="s">
        <v>5619</v>
      </c>
      <c r="P1319" s="9" t="s">
        <v>83</v>
      </c>
      <c r="Q1319" s="9" t="s">
        <v>53</v>
      </c>
      <c r="T1319" s="9"/>
      <c r="V1319" s="9"/>
      <c r="W1319" s="11" t="str">
        <f>IFERROR(VLOOKUP(B1319, PlumX_snapshot!$A:$B, 2, FALSE), " ")</f>
        <v xml:space="preserve"> </v>
      </c>
      <c r="X1319" s="11" t="str">
        <f>IFERROR(VLOOKUP(B1319, PlumX_snapshot!$A:$C, 3, FALSE), " ")</f>
        <v xml:space="preserve"> </v>
      </c>
      <c r="Y1319" s="12" t="str">
        <f>IFERROR(VLOOKUP(B1319, PlumX_snapshot!$A:$D, 4, FALSE), " ")</f>
        <v xml:space="preserve"> </v>
      </c>
      <c r="Z1319" s="12" t="str">
        <f>IFERROR(VLOOKUP(B1319, PlumX_snapshot!$A:$E, 5, FALSE), " ")</f>
        <v xml:space="preserve"> </v>
      </c>
      <c r="AA1319" s="12" t="str">
        <f>IFERROR(VLOOKUP(B1319, PlumX_snapshot!$A:$F, 6, FALSE), " ")</f>
        <v xml:space="preserve"> </v>
      </c>
      <c r="AB1319" s="13"/>
      <c r="AC1319" s="9" t="s">
        <v>6459</v>
      </c>
      <c r="AD1319" s="9" t="s">
        <v>6460</v>
      </c>
      <c r="AE1319" s="9" t="s">
        <v>6461</v>
      </c>
      <c r="AF1319" s="9" t="s">
        <v>6462</v>
      </c>
      <c r="AH1319" s="9">
        <v>2867</v>
      </c>
      <c r="AI1319" s="9" t="s">
        <v>77</v>
      </c>
      <c r="AJ1319" s="9" t="s">
        <v>301</v>
      </c>
      <c r="AK1319" s="11" t="str">
        <f t="shared" si="10"/>
        <v>2020GBP</v>
      </c>
      <c r="AL1319" s="11">
        <f>VLOOKUP(AK1319, Exchange_rates!$C:$D, 2, FALSE)</f>
        <v>1</v>
      </c>
      <c r="AM1319" s="14">
        <f t="shared" si="11"/>
        <v>3440.4</v>
      </c>
      <c r="AN1319" s="9"/>
      <c r="AO1319" s="9"/>
      <c r="AP1319" s="9"/>
      <c r="AQ1319" s="15" t="s">
        <v>49</v>
      </c>
      <c r="AR1319" t="s">
        <v>6463</v>
      </c>
      <c r="AS1319" s="16"/>
    </row>
    <row r="1320" spans="1:45" ht="14.5">
      <c r="A1320" s="9" t="s">
        <v>6464</v>
      </c>
      <c r="B1320" s="9" t="s">
        <v>6465</v>
      </c>
      <c r="C1320" s="9" t="s">
        <v>6466</v>
      </c>
      <c r="D1320" s="9" t="s">
        <v>5539</v>
      </c>
      <c r="E1320" s="9" t="s">
        <v>125</v>
      </c>
      <c r="F1320" s="9" t="s">
        <v>69</v>
      </c>
      <c r="G1320" s="9" t="s">
        <v>70</v>
      </c>
      <c r="H1320" s="9" t="s">
        <v>5729</v>
      </c>
      <c r="I1320" s="9" t="s">
        <v>72</v>
      </c>
      <c r="J1320" s="36">
        <v>43899</v>
      </c>
      <c r="K1320" s="35">
        <v>43938</v>
      </c>
      <c r="L1320" s="10">
        <v>43950</v>
      </c>
      <c r="M1320" s="10">
        <v>43970</v>
      </c>
      <c r="N1320" s="9">
        <v>2020</v>
      </c>
      <c r="O1320" s="9" t="s">
        <v>5619</v>
      </c>
      <c r="P1320" s="9" t="s">
        <v>53</v>
      </c>
      <c r="Q1320" s="9" t="s">
        <v>53</v>
      </c>
      <c r="T1320" s="9"/>
      <c r="V1320" s="9"/>
      <c r="W1320" s="11" t="str">
        <f>IFERROR(VLOOKUP(B1320, PlumX_snapshot!$A:$B, 2, FALSE), " ")</f>
        <v xml:space="preserve"> </v>
      </c>
      <c r="X1320" s="11" t="str">
        <f>IFERROR(VLOOKUP(B1320, PlumX_snapshot!$A:$C, 3, FALSE), " ")</f>
        <v xml:space="preserve"> </v>
      </c>
      <c r="Y1320" s="12" t="str">
        <f>IFERROR(VLOOKUP(B1320, PlumX_snapshot!$A:$D, 4, FALSE), " ")</f>
        <v xml:space="preserve"> </v>
      </c>
      <c r="Z1320" s="12" t="str">
        <f>IFERROR(VLOOKUP(B1320, PlumX_snapshot!$A:$E, 5, FALSE), " ")</f>
        <v xml:space="preserve"> </v>
      </c>
      <c r="AA1320" s="12" t="str">
        <f>IFERROR(VLOOKUP(B1320, PlumX_snapshot!$A:$F, 6, FALSE), " ")</f>
        <v xml:space="preserve"> </v>
      </c>
      <c r="AB1320" s="13"/>
      <c r="AC1320" s="9" t="s">
        <v>6467</v>
      </c>
      <c r="AD1320" s="9" t="s">
        <v>6468</v>
      </c>
      <c r="AE1320" s="9" t="s">
        <v>6469</v>
      </c>
      <c r="AF1320" s="9" t="s">
        <v>6470</v>
      </c>
      <c r="AH1320" s="9">
        <v>1783</v>
      </c>
      <c r="AI1320" s="9" t="s">
        <v>77</v>
      </c>
      <c r="AJ1320" s="9" t="s">
        <v>301</v>
      </c>
      <c r="AK1320" s="11" t="str">
        <f t="shared" si="10"/>
        <v>2020GBP</v>
      </c>
      <c r="AL1320" s="11">
        <f>VLOOKUP(AK1320, Exchange_rates!$C:$D, 2, FALSE)</f>
        <v>1</v>
      </c>
      <c r="AM1320" s="14">
        <f t="shared" si="11"/>
        <v>2139.6</v>
      </c>
      <c r="AN1320" s="9"/>
      <c r="AO1320" s="9"/>
      <c r="AP1320" s="9"/>
      <c r="AQ1320" s="15" t="s">
        <v>125</v>
      </c>
      <c r="AR1320" t="s">
        <v>6471</v>
      </c>
      <c r="AS1320" s="16"/>
    </row>
    <row r="1321" spans="1:45" ht="14.5">
      <c r="A1321" s="9" t="s">
        <v>6472</v>
      </c>
      <c r="B1321" s="9" t="s">
        <v>6473</v>
      </c>
      <c r="C1321" s="9" t="s">
        <v>6474</v>
      </c>
      <c r="D1321" s="9" t="s">
        <v>5539</v>
      </c>
      <c r="E1321" s="9" t="s">
        <v>49</v>
      </c>
      <c r="F1321" s="9" t="s">
        <v>69</v>
      </c>
      <c r="G1321" s="9" t="s">
        <v>70</v>
      </c>
      <c r="H1321" s="9" t="s">
        <v>5729</v>
      </c>
      <c r="I1321" s="9" t="s">
        <v>72</v>
      </c>
      <c r="J1321" s="36">
        <v>43894</v>
      </c>
      <c r="K1321" s="36">
        <v>43892</v>
      </c>
      <c r="L1321" s="10">
        <v>43923</v>
      </c>
      <c r="M1321" s="10">
        <v>43933</v>
      </c>
      <c r="N1321" s="9">
        <v>2020</v>
      </c>
      <c r="O1321" s="9" t="s">
        <v>5619</v>
      </c>
      <c r="P1321" s="9" t="s">
        <v>83</v>
      </c>
      <c r="Q1321" s="9" t="s">
        <v>53</v>
      </c>
      <c r="T1321" s="9"/>
      <c r="V1321" s="9"/>
      <c r="W1321" s="11" t="str">
        <f>IFERROR(VLOOKUP(B1321, PlumX_snapshot!$A:$B, 2, FALSE), " ")</f>
        <v xml:space="preserve"> </v>
      </c>
      <c r="X1321" s="11" t="str">
        <f>IFERROR(VLOOKUP(B1321, PlumX_snapshot!$A:$C, 3, FALSE), " ")</f>
        <v xml:space="preserve"> </v>
      </c>
      <c r="Y1321" s="12" t="str">
        <f>IFERROR(VLOOKUP(B1321, PlumX_snapshot!$A:$D, 4, FALSE), " ")</f>
        <v xml:space="preserve"> </v>
      </c>
      <c r="Z1321" s="12" t="str">
        <f>IFERROR(VLOOKUP(B1321, PlumX_snapshot!$A:$E, 5, FALSE), " ")</f>
        <v xml:space="preserve"> </v>
      </c>
      <c r="AA1321" s="12" t="str">
        <f>IFERROR(VLOOKUP(B1321, PlumX_snapshot!$A:$F, 6, FALSE), " ")</f>
        <v xml:space="preserve"> </v>
      </c>
      <c r="AB1321" s="13"/>
      <c r="AC1321" s="9" t="s">
        <v>6475</v>
      </c>
      <c r="AD1321" s="9" t="s">
        <v>6476</v>
      </c>
      <c r="AE1321" s="9" t="s">
        <v>6477</v>
      </c>
      <c r="AF1321" s="9" t="s">
        <v>6478</v>
      </c>
      <c r="AH1321" s="9">
        <v>2000</v>
      </c>
      <c r="AI1321" s="9" t="s">
        <v>77</v>
      </c>
      <c r="AJ1321" s="9" t="s">
        <v>301</v>
      </c>
      <c r="AK1321" s="11" t="str">
        <f t="shared" si="10"/>
        <v>2020GBP</v>
      </c>
      <c r="AL1321" s="11">
        <f>VLOOKUP(AK1321, Exchange_rates!$C:$D, 2, FALSE)</f>
        <v>1</v>
      </c>
      <c r="AM1321" s="14">
        <f t="shared" si="11"/>
        <v>2400</v>
      </c>
      <c r="AN1321" s="9"/>
      <c r="AO1321" s="9"/>
      <c r="AP1321" s="9"/>
      <c r="AQ1321" s="15" t="s">
        <v>49</v>
      </c>
      <c r="AR1321" t="s">
        <v>6479</v>
      </c>
      <c r="AS1321" s="16"/>
    </row>
    <row r="1322" spans="1:45" ht="14.5">
      <c r="A1322" s="9" t="s">
        <v>6480</v>
      </c>
      <c r="B1322" s="9" t="s">
        <v>6481</v>
      </c>
      <c r="C1322" s="9" t="s">
        <v>6482</v>
      </c>
      <c r="D1322" s="9" t="s">
        <v>5539</v>
      </c>
      <c r="E1322" s="9" t="s">
        <v>125</v>
      </c>
      <c r="F1322" s="9" t="s">
        <v>69</v>
      </c>
      <c r="G1322" s="9" t="s">
        <v>70</v>
      </c>
      <c r="H1322" s="9" t="s">
        <v>5729</v>
      </c>
      <c r="I1322" s="9" t="s">
        <v>72</v>
      </c>
      <c r="J1322" s="36">
        <v>43893</v>
      </c>
      <c r="K1322" s="35">
        <v>44026</v>
      </c>
      <c r="L1322" s="10">
        <v>43924</v>
      </c>
      <c r="M1322" s="10">
        <v>44051</v>
      </c>
      <c r="N1322" s="9">
        <v>2020</v>
      </c>
      <c r="O1322" s="9" t="s">
        <v>5619</v>
      </c>
      <c r="P1322" s="9" t="s">
        <v>83</v>
      </c>
      <c r="Q1322" s="9" t="s">
        <v>53</v>
      </c>
      <c r="T1322" s="9"/>
      <c r="V1322" s="9"/>
      <c r="W1322" s="11" t="str">
        <f>IFERROR(VLOOKUP(B1322, PlumX_snapshot!$A:$B, 2, FALSE), " ")</f>
        <v xml:space="preserve"> </v>
      </c>
      <c r="X1322" s="11" t="str">
        <f>IFERROR(VLOOKUP(B1322, PlumX_snapshot!$A:$C, 3, FALSE), " ")</f>
        <v xml:space="preserve"> </v>
      </c>
      <c r="Y1322" s="12" t="str">
        <f>IFERROR(VLOOKUP(B1322, PlumX_snapshot!$A:$D, 4, FALSE), " ")</f>
        <v xml:space="preserve"> </v>
      </c>
      <c r="Z1322" s="12" t="str">
        <f>IFERROR(VLOOKUP(B1322, PlumX_snapshot!$A:$E, 5, FALSE), " ")</f>
        <v xml:space="preserve"> </v>
      </c>
      <c r="AA1322" s="12" t="str">
        <f>IFERROR(VLOOKUP(B1322, PlumX_snapshot!$A:$F, 6, FALSE), " ")</f>
        <v xml:space="preserve"> </v>
      </c>
      <c r="AB1322" s="13"/>
      <c r="AC1322" s="9" t="s">
        <v>6483</v>
      </c>
      <c r="AD1322" s="9" t="s">
        <v>6484</v>
      </c>
      <c r="AE1322" s="9" t="s">
        <v>6485</v>
      </c>
      <c r="AF1322" s="9" t="s">
        <v>6486</v>
      </c>
      <c r="AH1322" s="9">
        <v>1570</v>
      </c>
      <c r="AI1322" s="9" t="s">
        <v>77</v>
      </c>
      <c r="AJ1322" s="9" t="s">
        <v>301</v>
      </c>
      <c r="AK1322" s="11" t="str">
        <f t="shared" si="10"/>
        <v>2020GBP</v>
      </c>
      <c r="AL1322" s="11">
        <f>VLOOKUP(AK1322, Exchange_rates!$C:$D, 2, FALSE)</f>
        <v>1</v>
      </c>
      <c r="AM1322" s="14">
        <f t="shared" si="11"/>
        <v>1884</v>
      </c>
      <c r="AN1322" s="9"/>
      <c r="AO1322" s="9"/>
      <c r="AP1322" s="9"/>
      <c r="AQ1322" s="15" t="s">
        <v>125</v>
      </c>
      <c r="AR1322" t="s">
        <v>6487</v>
      </c>
      <c r="AS1322" s="16"/>
    </row>
    <row r="1323" spans="1:45" ht="14.5">
      <c r="A1323" s="9" t="s">
        <v>6488</v>
      </c>
      <c r="B1323" s="9" t="s">
        <v>6489</v>
      </c>
      <c r="C1323" s="9" t="s">
        <v>6379</v>
      </c>
      <c r="D1323" s="9" t="s">
        <v>5539</v>
      </c>
      <c r="E1323" s="9" t="s">
        <v>125</v>
      </c>
      <c r="F1323" s="9" t="s">
        <v>69</v>
      </c>
      <c r="G1323" s="9" t="s">
        <v>70</v>
      </c>
      <c r="H1323" s="9" t="s">
        <v>5729</v>
      </c>
      <c r="I1323" s="9" t="s">
        <v>238</v>
      </c>
      <c r="J1323" s="35">
        <v>43888</v>
      </c>
      <c r="K1323" s="35">
        <v>43872</v>
      </c>
      <c r="L1323" s="10">
        <v>43922</v>
      </c>
      <c r="M1323" s="10"/>
      <c r="N1323" s="9">
        <v>2020</v>
      </c>
      <c r="O1323" s="9" t="s">
        <v>5619</v>
      </c>
      <c r="P1323" s="9" t="s">
        <v>53</v>
      </c>
      <c r="Q1323" s="9" t="s">
        <v>53</v>
      </c>
      <c r="T1323" s="9"/>
      <c r="V1323" s="9"/>
      <c r="W1323" s="11" t="str">
        <f>IFERROR(VLOOKUP(B1323, PlumX_snapshot!$A:$B, 2, FALSE), " ")</f>
        <v xml:space="preserve"> </v>
      </c>
      <c r="X1323" s="11" t="str">
        <f>IFERROR(VLOOKUP(B1323, PlumX_snapshot!$A:$C, 3, FALSE), " ")</f>
        <v xml:space="preserve"> </v>
      </c>
      <c r="Y1323" s="12" t="str">
        <f>IFERROR(VLOOKUP(B1323, PlumX_snapshot!$A:$D, 4, FALSE), " ")</f>
        <v xml:space="preserve"> </v>
      </c>
      <c r="Z1323" s="12" t="str">
        <f>IFERROR(VLOOKUP(B1323, PlumX_snapshot!$A:$E, 5, FALSE), " ")</f>
        <v xml:space="preserve"> </v>
      </c>
      <c r="AA1323" s="12" t="str">
        <f>IFERROR(VLOOKUP(B1323, PlumX_snapshot!$A:$F, 6, FALSE), " ")</f>
        <v xml:space="preserve"> </v>
      </c>
      <c r="AB1323" s="13"/>
      <c r="AC1323" s="9" t="s">
        <v>6490</v>
      </c>
      <c r="AD1323" s="9" t="s">
        <v>6491</v>
      </c>
      <c r="AE1323" s="9" t="s">
        <v>6492</v>
      </c>
      <c r="AF1323" s="9" t="s">
        <v>6493</v>
      </c>
      <c r="AH1323" s="9">
        <v>1450</v>
      </c>
      <c r="AI1323" s="9" t="s">
        <v>77</v>
      </c>
      <c r="AJ1323" s="9" t="s">
        <v>301</v>
      </c>
      <c r="AK1323" s="11" t="str">
        <f t="shared" si="10"/>
        <v>2020GBP</v>
      </c>
      <c r="AL1323" s="11">
        <f>VLOOKUP(AK1323, Exchange_rates!$C:$D, 2, FALSE)</f>
        <v>1</v>
      </c>
      <c r="AM1323" s="14">
        <f t="shared" si="11"/>
        <v>1740</v>
      </c>
      <c r="AN1323" s="9"/>
      <c r="AO1323" s="9"/>
      <c r="AP1323" s="9"/>
      <c r="AQ1323" s="15" t="s">
        <v>125</v>
      </c>
      <c r="AR1323" t="s">
        <v>6383</v>
      </c>
      <c r="AS1323" s="16"/>
    </row>
    <row r="1324" spans="1:45" ht="14.5">
      <c r="A1324" s="9" t="s">
        <v>6494</v>
      </c>
      <c r="B1324" s="9" t="s">
        <v>6495</v>
      </c>
      <c r="C1324" s="9" t="s">
        <v>6330</v>
      </c>
      <c r="D1324" s="9" t="s">
        <v>5539</v>
      </c>
      <c r="E1324" s="9" t="s">
        <v>125</v>
      </c>
      <c r="F1324" s="9" t="s">
        <v>69</v>
      </c>
      <c r="G1324" s="9" t="s">
        <v>70</v>
      </c>
      <c r="H1324" s="9" t="s">
        <v>5729</v>
      </c>
      <c r="I1324" s="9" t="s">
        <v>72</v>
      </c>
      <c r="J1324" s="35">
        <v>43857</v>
      </c>
      <c r="K1324" s="29">
        <v>43978</v>
      </c>
      <c r="L1324" s="10">
        <v>43894</v>
      </c>
      <c r="M1324" s="10">
        <v>44005</v>
      </c>
      <c r="N1324" s="9">
        <v>2020</v>
      </c>
      <c r="O1324" s="9" t="s">
        <v>5619</v>
      </c>
      <c r="P1324" s="9" t="s">
        <v>83</v>
      </c>
      <c r="Q1324" s="9" t="s">
        <v>53</v>
      </c>
      <c r="T1324" s="9"/>
      <c r="V1324" s="9"/>
      <c r="W1324" s="11" t="str">
        <f>IFERROR(VLOOKUP(B1324, PlumX_snapshot!$A:$B, 2, FALSE), " ")</f>
        <v xml:space="preserve"> </v>
      </c>
      <c r="X1324" s="11" t="str">
        <f>IFERROR(VLOOKUP(B1324, PlumX_snapshot!$A:$C, 3, FALSE), " ")</f>
        <v xml:space="preserve"> </v>
      </c>
      <c r="Y1324" s="12" t="str">
        <f>IFERROR(VLOOKUP(B1324, PlumX_snapshot!$A:$D, 4, FALSE), " ")</f>
        <v xml:space="preserve"> </v>
      </c>
      <c r="Z1324" s="12" t="str">
        <f>IFERROR(VLOOKUP(B1324, PlumX_snapshot!$A:$E, 5, FALSE), " ")</f>
        <v xml:space="preserve"> </v>
      </c>
      <c r="AA1324" s="12" t="str">
        <f>IFERROR(VLOOKUP(B1324, PlumX_snapshot!$A:$F, 6, FALSE), " ")</f>
        <v xml:space="preserve"> </v>
      </c>
      <c r="AB1324" s="13"/>
      <c r="AC1324" s="9" t="s">
        <v>5749</v>
      </c>
      <c r="AD1324" s="9" t="s">
        <v>5750</v>
      </c>
      <c r="AE1324" s="9" t="s">
        <v>5751</v>
      </c>
      <c r="AF1324" s="9" t="s">
        <v>6496</v>
      </c>
      <c r="AH1324" s="9">
        <v>1700</v>
      </c>
      <c r="AI1324" s="9" t="s">
        <v>77</v>
      </c>
      <c r="AJ1324" s="9" t="s">
        <v>301</v>
      </c>
      <c r="AK1324" s="11" t="str">
        <f t="shared" si="10"/>
        <v>2020GBP</v>
      </c>
      <c r="AL1324" s="11">
        <f>VLOOKUP(AK1324, Exchange_rates!$C:$D, 2, FALSE)</f>
        <v>1</v>
      </c>
      <c r="AM1324" s="14">
        <f t="shared" si="11"/>
        <v>2040</v>
      </c>
      <c r="AN1324" s="9"/>
      <c r="AO1324" s="9"/>
      <c r="AP1324" s="9"/>
      <c r="AQ1324" s="15" t="s">
        <v>125</v>
      </c>
      <c r="AR1324" t="s">
        <v>6335</v>
      </c>
      <c r="AS1324" s="16"/>
    </row>
    <row r="1325" spans="1:45" ht="14.5">
      <c r="A1325" s="9" t="s">
        <v>6497</v>
      </c>
      <c r="B1325" s="9" t="s">
        <v>6498</v>
      </c>
      <c r="C1325" s="9" t="s">
        <v>6404</v>
      </c>
      <c r="D1325" s="9" t="s">
        <v>5539</v>
      </c>
      <c r="E1325" s="9" t="s">
        <v>125</v>
      </c>
      <c r="F1325" s="9" t="s">
        <v>69</v>
      </c>
      <c r="G1325" s="9" t="s">
        <v>70</v>
      </c>
      <c r="H1325" s="9" t="s">
        <v>5729</v>
      </c>
      <c r="I1325" s="9" t="s">
        <v>72</v>
      </c>
      <c r="J1325" s="35">
        <v>43725</v>
      </c>
      <c r="K1325" s="35">
        <v>43935</v>
      </c>
      <c r="L1325" s="10">
        <v>43894</v>
      </c>
      <c r="M1325" s="10">
        <v>43958</v>
      </c>
      <c r="N1325" s="9">
        <v>2020</v>
      </c>
      <c r="O1325" s="9" t="s">
        <v>5619</v>
      </c>
      <c r="P1325" s="9" t="s">
        <v>83</v>
      </c>
      <c r="Q1325" s="9" t="s">
        <v>53</v>
      </c>
      <c r="T1325" s="9"/>
      <c r="V1325" s="9"/>
      <c r="W1325" s="11" t="str">
        <f>IFERROR(VLOOKUP(B1325, PlumX_snapshot!$A:$B, 2, FALSE), " ")</f>
        <v xml:space="preserve"> </v>
      </c>
      <c r="X1325" s="11" t="str">
        <f>IFERROR(VLOOKUP(B1325, PlumX_snapshot!$A:$C, 3, FALSE), " ")</f>
        <v xml:space="preserve"> </v>
      </c>
      <c r="Y1325" s="12" t="str">
        <f>IFERROR(VLOOKUP(B1325, PlumX_snapshot!$A:$D, 4, FALSE), " ")</f>
        <v xml:space="preserve"> </v>
      </c>
      <c r="Z1325" s="12" t="str">
        <f>IFERROR(VLOOKUP(B1325, PlumX_snapshot!$A:$E, 5, FALSE), " ")</f>
        <v xml:space="preserve"> </v>
      </c>
      <c r="AA1325" s="12" t="str">
        <f>IFERROR(VLOOKUP(B1325, PlumX_snapshot!$A:$F, 6, FALSE), " ")</f>
        <v xml:space="preserve"> </v>
      </c>
      <c r="AB1325" s="13"/>
      <c r="AC1325" s="9" t="s">
        <v>6499</v>
      </c>
      <c r="AD1325" s="9" t="s">
        <v>6500</v>
      </c>
      <c r="AE1325" s="9" t="s">
        <v>6501</v>
      </c>
      <c r="AF1325" s="9" t="s">
        <v>6502</v>
      </c>
      <c r="AH1325" s="9">
        <v>1600</v>
      </c>
      <c r="AI1325" s="9" t="s">
        <v>77</v>
      </c>
      <c r="AJ1325" s="9" t="s">
        <v>301</v>
      </c>
      <c r="AK1325" s="11" t="str">
        <f t="shared" si="10"/>
        <v>2020GBP</v>
      </c>
      <c r="AL1325" s="11">
        <f>VLOOKUP(AK1325, Exchange_rates!$C:$D, 2, FALSE)</f>
        <v>1</v>
      </c>
      <c r="AM1325" s="14">
        <f t="shared" si="11"/>
        <v>1920</v>
      </c>
      <c r="AN1325" s="9"/>
      <c r="AO1325" s="9"/>
      <c r="AP1325" s="9"/>
      <c r="AQ1325" s="15" t="s">
        <v>125</v>
      </c>
      <c r="AR1325" t="s">
        <v>6409</v>
      </c>
      <c r="AS1325" s="16"/>
    </row>
    <row r="1326" spans="1:45" ht="14.5">
      <c r="A1326" s="9" t="s">
        <v>6503</v>
      </c>
      <c r="B1326" s="9" t="s">
        <v>6504</v>
      </c>
      <c r="C1326" s="9" t="s">
        <v>5786</v>
      </c>
      <c r="D1326" s="9" t="s">
        <v>5539</v>
      </c>
      <c r="E1326" s="9" t="s">
        <v>49</v>
      </c>
      <c r="F1326" s="9" t="s">
        <v>69</v>
      </c>
      <c r="G1326" s="9" t="s">
        <v>70</v>
      </c>
      <c r="H1326" s="9" t="s">
        <v>6505</v>
      </c>
      <c r="I1326" s="9" t="s">
        <v>72</v>
      </c>
      <c r="J1326" s="29"/>
      <c r="K1326" s="35">
        <v>44592</v>
      </c>
      <c r="L1326" s="10">
        <v>44613</v>
      </c>
      <c r="M1326" s="10">
        <v>44624</v>
      </c>
      <c r="N1326" s="9">
        <v>2022</v>
      </c>
      <c r="O1326" s="9" t="s">
        <v>6506</v>
      </c>
      <c r="P1326" s="9" t="s">
        <v>83</v>
      </c>
      <c r="Q1326" s="9" t="s">
        <v>53</v>
      </c>
      <c r="R1326" s="9" t="s">
        <v>6507</v>
      </c>
      <c r="T1326" s="9"/>
      <c r="V1326" s="9"/>
      <c r="W1326" s="11" t="str">
        <f>IFERROR(VLOOKUP(B1326, PlumX_snapshot!$A:$B, 2, FALSE), " ")</f>
        <v xml:space="preserve"> </v>
      </c>
      <c r="X1326" s="11" t="str">
        <f>IFERROR(VLOOKUP(B1326, PlumX_snapshot!$A:$C, 3, FALSE), " ")</f>
        <v xml:space="preserve"> </v>
      </c>
      <c r="Y1326" s="12" t="str">
        <f>IFERROR(VLOOKUP(B1326, PlumX_snapshot!$A:$D, 4, FALSE), " ")</f>
        <v xml:space="preserve"> </v>
      </c>
      <c r="Z1326" s="12" t="str">
        <f>IFERROR(VLOOKUP(B1326, PlumX_snapshot!$A:$E, 5, FALSE), " ")</f>
        <v xml:space="preserve"> </v>
      </c>
      <c r="AA1326" s="12" t="str">
        <f>IFERROR(VLOOKUP(B1326, PlumX_snapshot!$A:$F, 6, FALSE), " ")</f>
        <v xml:space="preserve"> </v>
      </c>
      <c r="AB1326" s="13"/>
      <c r="AC1326" s="9" t="s">
        <v>6041</v>
      </c>
      <c r="AD1326" s="9" t="s">
        <v>6042</v>
      </c>
      <c r="AE1326" s="9" t="s">
        <v>6043</v>
      </c>
      <c r="AH1326" s="9">
        <v>3550</v>
      </c>
      <c r="AI1326" s="9" t="s">
        <v>77</v>
      </c>
      <c r="AJ1326" s="9" t="s">
        <v>301</v>
      </c>
      <c r="AK1326" s="11" t="str">
        <f t="shared" si="10"/>
        <v>2022GBP</v>
      </c>
      <c r="AL1326" s="11">
        <f>VLOOKUP(AK1326, Exchange_rates!$C:$D, 2, FALSE)</f>
        <v>1</v>
      </c>
      <c r="AM1326" s="14">
        <f t="shared" si="11"/>
        <v>4260</v>
      </c>
      <c r="AN1326" s="9"/>
      <c r="AO1326" s="9"/>
      <c r="AP1326" s="9"/>
      <c r="AQ1326" s="15" t="s">
        <v>49</v>
      </c>
      <c r="AR1326" t="s">
        <v>5558</v>
      </c>
      <c r="AS1326" s="16"/>
    </row>
    <row r="1327" spans="1:45" ht="14.5">
      <c r="A1327" s="9" t="s">
        <v>6508</v>
      </c>
      <c r="B1327" s="9" t="s">
        <v>6509</v>
      </c>
      <c r="C1327" s="9" t="s">
        <v>6174</v>
      </c>
      <c r="D1327" s="9" t="s">
        <v>5539</v>
      </c>
      <c r="E1327" s="9" t="s">
        <v>49</v>
      </c>
      <c r="F1327" s="9" t="s">
        <v>69</v>
      </c>
      <c r="G1327" s="9" t="s">
        <v>70</v>
      </c>
      <c r="H1327" s="9" t="s">
        <v>6505</v>
      </c>
      <c r="I1327" s="9" t="s">
        <v>72</v>
      </c>
      <c r="J1327" s="29"/>
      <c r="K1327" s="35">
        <v>44574</v>
      </c>
      <c r="L1327" s="10">
        <v>44613</v>
      </c>
      <c r="M1327" s="10"/>
      <c r="N1327" s="9">
        <v>2022</v>
      </c>
      <c r="O1327" s="9" t="s">
        <v>6506</v>
      </c>
      <c r="P1327" s="9" t="s">
        <v>53</v>
      </c>
      <c r="Q1327" s="9" t="s">
        <v>53</v>
      </c>
      <c r="T1327" s="9"/>
      <c r="V1327" s="9"/>
      <c r="W1327" s="11" t="str">
        <f>IFERROR(VLOOKUP(B1327, PlumX_snapshot!$A:$B, 2, FALSE), " ")</f>
        <v xml:space="preserve"> </v>
      </c>
      <c r="X1327" s="11" t="str">
        <f>IFERROR(VLOOKUP(B1327, PlumX_snapshot!$A:$C, 3, FALSE), " ")</f>
        <v xml:space="preserve"> </v>
      </c>
      <c r="Y1327" s="12" t="str">
        <f>IFERROR(VLOOKUP(B1327, PlumX_snapshot!$A:$D, 4, FALSE), " ")</f>
        <v xml:space="preserve"> </v>
      </c>
      <c r="Z1327" s="12" t="str">
        <f>IFERROR(VLOOKUP(B1327, PlumX_snapshot!$A:$E, 5, FALSE), " ")</f>
        <v xml:space="preserve"> </v>
      </c>
      <c r="AA1327" s="12" t="str">
        <f>IFERROR(VLOOKUP(B1327, PlumX_snapshot!$A:$F, 6, FALSE), " ")</f>
        <v xml:space="preserve"> </v>
      </c>
      <c r="AB1327" s="13"/>
      <c r="AC1327" s="9" t="s">
        <v>6510</v>
      </c>
      <c r="AD1327" s="9" t="s">
        <v>6511</v>
      </c>
      <c r="AE1327" s="9" t="s">
        <v>6512</v>
      </c>
      <c r="AF1327" s="9" t="s">
        <v>6513</v>
      </c>
      <c r="AH1327" s="9">
        <v>2100</v>
      </c>
      <c r="AI1327" s="9" t="s">
        <v>77</v>
      </c>
      <c r="AJ1327" s="9" t="s">
        <v>301</v>
      </c>
      <c r="AK1327" s="11" t="str">
        <f t="shared" si="10"/>
        <v>2022GBP</v>
      </c>
      <c r="AL1327" s="11">
        <f>VLOOKUP(AK1327, Exchange_rates!$C:$D, 2, FALSE)</f>
        <v>1</v>
      </c>
      <c r="AM1327" s="14">
        <f t="shared" si="11"/>
        <v>2520</v>
      </c>
      <c r="AN1327" s="9"/>
      <c r="AO1327" s="9"/>
      <c r="AP1327" s="9"/>
      <c r="AQ1327" s="15" t="s">
        <v>49</v>
      </c>
      <c r="AR1327" t="s">
        <v>6179</v>
      </c>
      <c r="AS1327" s="16"/>
    </row>
    <row r="1328" spans="1:45" ht="14.5">
      <c r="A1328" s="9" t="s">
        <v>6514</v>
      </c>
      <c r="B1328" s="9" t="s">
        <v>6515</v>
      </c>
      <c r="C1328" s="9" t="s">
        <v>6516</v>
      </c>
      <c r="D1328" s="9" t="s">
        <v>5539</v>
      </c>
      <c r="E1328" s="9" t="s">
        <v>49</v>
      </c>
      <c r="F1328" s="9" t="s">
        <v>69</v>
      </c>
      <c r="G1328" s="9" t="s">
        <v>70</v>
      </c>
      <c r="H1328" s="9" t="s">
        <v>6505</v>
      </c>
      <c r="I1328" s="9" t="s">
        <v>72</v>
      </c>
      <c r="J1328" s="29"/>
      <c r="K1328" s="36">
        <v>44596</v>
      </c>
      <c r="L1328" s="10">
        <v>44606</v>
      </c>
      <c r="M1328" s="10"/>
      <c r="N1328" s="9">
        <v>2022</v>
      </c>
      <c r="O1328" s="9" t="s">
        <v>6506</v>
      </c>
      <c r="P1328" s="9" t="s">
        <v>53</v>
      </c>
      <c r="Q1328" s="9" t="s">
        <v>53</v>
      </c>
      <c r="R1328" s="9" t="s">
        <v>6517</v>
      </c>
      <c r="T1328" s="9"/>
      <c r="V1328" s="9"/>
      <c r="W1328" s="11" t="str">
        <f>IFERROR(VLOOKUP(B1328, PlumX_snapshot!$A:$B, 2, FALSE), " ")</f>
        <v xml:space="preserve"> </v>
      </c>
      <c r="X1328" s="11" t="str">
        <f>IFERROR(VLOOKUP(B1328, PlumX_snapshot!$A:$C, 3, FALSE), " ")</f>
        <v xml:space="preserve"> </v>
      </c>
      <c r="Y1328" s="12" t="str">
        <f>IFERROR(VLOOKUP(B1328, PlumX_snapshot!$A:$D, 4, FALSE), " ")</f>
        <v xml:space="preserve"> </v>
      </c>
      <c r="Z1328" s="12" t="str">
        <f>IFERROR(VLOOKUP(B1328, PlumX_snapshot!$A:$E, 5, FALSE), " ")</f>
        <v xml:space="preserve"> </v>
      </c>
      <c r="AA1328" s="12" t="str">
        <f>IFERROR(VLOOKUP(B1328, PlumX_snapshot!$A:$F, 6, FALSE), " ")</f>
        <v xml:space="preserve"> </v>
      </c>
      <c r="AB1328" s="13"/>
      <c r="AC1328" s="9" t="s">
        <v>5987</v>
      </c>
      <c r="AD1328" s="9" t="s">
        <v>5988</v>
      </c>
      <c r="AF1328" s="9" t="s">
        <v>6518</v>
      </c>
      <c r="AH1328" s="9">
        <v>2300</v>
      </c>
      <c r="AI1328" s="9" t="s">
        <v>77</v>
      </c>
      <c r="AJ1328" s="9" t="s">
        <v>301</v>
      </c>
      <c r="AK1328" s="11" t="str">
        <f t="shared" si="10"/>
        <v>2022GBP</v>
      </c>
      <c r="AL1328" s="11">
        <f>VLOOKUP(AK1328, Exchange_rates!$C:$D, 2, FALSE)</f>
        <v>1</v>
      </c>
      <c r="AM1328" s="14">
        <f t="shared" si="11"/>
        <v>2760</v>
      </c>
      <c r="AN1328" s="9"/>
      <c r="AO1328" s="9"/>
      <c r="AP1328" s="9"/>
      <c r="AQ1328" s="15" t="s">
        <v>49</v>
      </c>
      <c r="AR1328" t="s">
        <v>6519</v>
      </c>
      <c r="AS1328" s="16" t="s">
        <v>6520</v>
      </c>
    </row>
    <row r="1329" spans="1:45" ht="14.5">
      <c r="A1329" s="9" t="s">
        <v>6521</v>
      </c>
      <c r="B1329" s="9" t="s">
        <v>6522</v>
      </c>
      <c r="C1329" s="9" t="s">
        <v>6111</v>
      </c>
      <c r="D1329" s="9" t="s">
        <v>5539</v>
      </c>
      <c r="E1329" s="9" t="s">
        <v>49</v>
      </c>
      <c r="F1329" s="9" t="s">
        <v>69</v>
      </c>
      <c r="G1329" s="9" t="s">
        <v>70</v>
      </c>
      <c r="H1329" s="9" t="s">
        <v>6505</v>
      </c>
      <c r="I1329" s="9" t="s">
        <v>72</v>
      </c>
      <c r="J1329" s="29"/>
      <c r="K1329" s="35">
        <v>44602</v>
      </c>
      <c r="L1329" s="10">
        <v>44606</v>
      </c>
      <c r="M1329" s="10">
        <v>44628</v>
      </c>
      <c r="N1329" s="9">
        <v>2022</v>
      </c>
      <c r="O1329" s="9" t="s">
        <v>6506</v>
      </c>
      <c r="P1329" s="9" t="s">
        <v>83</v>
      </c>
      <c r="Q1329" s="9" t="s">
        <v>53</v>
      </c>
      <c r="R1329" s="9" t="s">
        <v>6523</v>
      </c>
      <c r="T1329" s="9"/>
      <c r="V1329" s="9"/>
      <c r="W1329" s="11" t="str">
        <f>IFERROR(VLOOKUP(B1329, PlumX_snapshot!$A:$B, 2, FALSE), " ")</f>
        <v xml:space="preserve"> </v>
      </c>
      <c r="X1329" s="11" t="str">
        <f>IFERROR(VLOOKUP(B1329, PlumX_snapshot!$A:$C, 3, FALSE), " ")</f>
        <v xml:space="preserve"> </v>
      </c>
      <c r="Y1329" s="12" t="str">
        <f>IFERROR(VLOOKUP(B1329, PlumX_snapshot!$A:$D, 4, FALSE), " ")</f>
        <v xml:space="preserve"> </v>
      </c>
      <c r="Z1329" s="12" t="str">
        <f>IFERROR(VLOOKUP(B1329, PlumX_snapshot!$A:$E, 5, FALSE), " ")</f>
        <v xml:space="preserve"> </v>
      </c>
      <c r="AA1329" s="12" t="str">
        <f>IFERROR(VLOOKUP(B1329, PlumX_snapshot!$A:$F, 6, FALSE), " ")</f>
        <v xml:space="preserve"> </v>
      </c>
      <c r="AB1329" s="13"/>
      <c r="AC1329" s="9" t="s">
        <v>6524</v>
      </c>
      <c r="AD1329" s="9" t="s">
        <v>6525</v>
      </c>
      <c r="AE1329" s="9" t="s">
        <v>6526</v>
      </c>
      <c r="AF1329" s="9" t="s">
        <v>6527</v>
      </c>
      <c r="AH1329" s="9">
        <v>2750</v>
      </c>
      <c r="AI1329" s="9" t="s">
        <v>77</v>
      </c>
      <c r="AJ1329" s="9" t="s">
        <v>301</v>
      </c>
      <c r="AK1329" s="11" t="str">
        <f t="shared" si="10"/>
        <v>2022GBP</v>
      </c>
      <c r="AL1329" s="11">
        <f>VLOOKUP(AK1329, Exchange_rates!$C:$D, 2, FALSE)</f>
        <v>1</v>
      </c>
      <c r="AM1329" s="14">
        <f t="shared" si="11"/>
        <v>3300</v>
      </c>
      <c r="AN1329" s="9"/>
      <c r="AO1329" s="9"/>
      <c r="AP1329" s="9"/>
      <c r="AQ1329" s="15" t="s">
        <v>49</v>
      </c>
      <c r="AR1329" t="s">
        <v>6115</v>
      </c>
      <c r="AS1329" s="16"/>
    </row>
    <row r="1330" spans="1:45" ht="14.5">
      <c r="A1330" s="9" t="s">
        <v>6528</v>
      </c>
      <c r="B1330" s="9" t="s">
        <v>6529</v>
      </c>
      <c r="C1330" s="9" t="s">
        <v>5741</v>
      </c>
      <c r="D1330" s="9" t="s">
        <v>5539</v>
      </c>
      <c r="E1330" s="9" t="s">
        <v>49</v>
      </c>
      <c r="F1330" s="9" t="s">
        <v>69</v>
      </c>
      <c r="G1330" s="9" t="s">
        <v>70</v>
      </c>
      <c r="H1330" s="9" t="s">
        <v>6505</v>
      </c>
      <c r="I1330" s="9" t="s">
        <v>238</v>
      </c>
      <c r="J1330" s="29"/>
      <c r="K1330" s="35">
        <v>44588</v>
      </c>
      <c r="L1330" s="10">
        <v>44600</v>
      </c>
      <c r="M1330" s="10"/>
      <c r="N1330" s="9">
        <v>2022</v>
      </c>
      <c r="O1330" s="9" t="s">
        <v>6506</v>
      </c>
      <c r="P1330" s="9" t="s">
        <v>53</v>
      </c>
      <c r="Q1330" s="9" t="s">
        <v>53</v>
      </c>
      <c r="T1330" s="9"/>
      <c r="V1330" s="9"/>
      <c r="W1330" s="11" t="str">
        <f>IFERROR(VLOOKUP(B1330, PlumX_snapshot!$A:$B, 2, FALSE), " ")</f>
        <v xml:space="preserve"> </v>
      </c>
      <c r="X1330" s="11" t="str">
        <f>IFERROR(VLOOKUP(B1330, PlumX_snapshot!$A:$C, 3, FALSE), " ")</f>
        <v xml:space="preserve"> </v>
      </c>
      <c r="Y1330" s="12" t="str">
        <f>IFERROR(VLOOKUP(B1330, PlumX_snapshot!$A:$D, 4, FALSE), " ")</f>
        <v xml:space="preserve"> </v>
      </c>
      <c r="Z1330" s="12" t="str">
        <f>IFERROR(VLOOKUP(B1330, PlumX_snapshot!$A:$E, 5, FALSE), " ")</f>
        <v xml:space="preserve"> </v>
      </c>
      <c r="AA1330" s="12" t="str">
        <f>IFERROR(VLOOKUP(B1330, PlumX_snapshot!$A:$F, 6, FALSE), " ")</f>
        <v xml:space="preserve"> </v>
      </c>
      <c r="AB1330" s="13"/>
      <c r="AC1330" s="9" t="s">
        <v>6530</v>
      </c>
      <c r="AD1330" s="9" t="s">
        <v>6531</v>
      </c>
      <c r="AF1330" s="9" t="s">
        <v>6532</v>
      </c>
      <c r="AH1330" s="9">
        <v>3150</v>
      </c>
      <c r="AI1330" s="9" t="s">
        <v>77</v>
      </c>
      <c r="AJ1330" s="9" t="s">
        <v>301</v>
      </c>
      <c r="AK1330" s="11" t="str">
        <f t="shared" si="10"/>
        <v>2022GBP</v>
      </c>
      <c r="AL1330" s="11">
        <f>VLOOKUP(AK1330, Exchange_rates!$C:$D, 2, FALSE)</f>
        <v>1</v>
      </c>
      <c r="AM1330" s="14">
        <f t="shared" si="11"/>
        <v>3780</v>
      </c>
      <c r="AN1330" s="9"/>
      <c r="AO1330" s="9"/>
      <c r="AP1330" s="9"/>
      <c r="AQ1330" s="15" t="s">
        <v>49</v>
      </c>
      <c r="AR1330" t="s">
        <v>5566</v>
      </c>
      <c r="AS1330" s="16"/>
    </row>
    <row r="1331" spans="1:45" ht="14.5">
      <c r="A1331" s="9" t="s">
        <v>6533</v>
      </c>
      <c r="B1331" s="9" t="s">
        <v>6534</v>
      </c>
      <c r="C1331" s="9" t="s">
        <v>6535</v>
      </c>
      <c r="D1331" s="9" t="s">
        <v>5539</v>
      </c>
      <c r="E1331" s="9" t="s">
        <v>125</v>
      </c>
      <c r="F1331" s="9" t="s">
        <v>69</v>
      </c>
      <c r="G1331" s="9" t="s">
        <v>70</v>
      </c>
      <c r="H1331" s="9" t="s">
        <v>6505</v>
      </c>
      <c r="I1331" s="9" t="s">
        <v>72</v>
      </c>
      <c r="J1331" s="29"/>
      <c r="K1331" s="35">
        <v>44651</v>
      </c>
      <c r="L1331" s="10">
        <v>44600</v>
      </c>
      <c r="M1331" s="10">
        <v>44665</v>
      </c>
      <c r="N1331" s="9">
        <v>2022</v>
      </c>
      <c r="O1331" s="9" t="s">
        <v>6506</v>
      </c>
      <c r="P1331" s="9" t="s">
        <v>83</v>
      </c>
      <c r="Q1331" s="9" t="s">
        <v>53</v>
      </c>
      <c r="R1331" s="9" t="s">
        <v>6536</v>
      </c>
      <c r="T1331" s="9"/>
      <c r="V1331" s="9"/>
      <c r="W1331" s="11" t="str">
        <f>IFERROR(VLOOKUP(B1331, PlumX_snapshot!$A:$B, 2, FALSE), " ")</f>
        <v xml:space="preserve"> </v>
      </c>
      <c r="X1331" s="11" t="str">
        <f>IFERROR(VLOOKUP(B1331, PlumX_snapshot!$A:$C, 3, FALSE), " ")</f>
        <v xml:space="preserve"> </v>
      </c>
      <c r="Y1331" s="12" t="str">
        <f>IFERROR(VLOOKUP(B1331, PlumX_snapshot!$A:$D, 4, FALSE), " ")</f>
        <v xml:space="preserve"> </v>
      </c>
      <c r="Z1331" s="12" t="str">
        <f>IFERROR(VLOOKUP(B1331, PlumX_snapshot!$A:$E, 5, FALSE), " ")</f>
        <v xml:space="preserve"> </v>
      </c>
      <c r="AA1331" s="12" t="str">
        <f>IFERROR(VLOOKUP(B1331, PlumX_snapshot!$A:$F, 6, FALSE), " ")</f>
        <v xml:space="preserve"> </v>
      </c>
      <c r="AB1331" s="13"/>
      <c r="AC1331" s="9" t="s">
        <v>6537</v>
      </c>
      <c r="AD1331" s="9" t="s">
        <v>1659</v>
      </c>
      <c r="AF1331" s="9" t="s">
        <v>6538</v>
      </c>
      <c r="AH1331" s="9">
        <v>1900</v>
      </c>
      <c r="AI1331" s="9" t="s">
        <v>77</v>
      </c>
      <c r="AJ1331" s="9" t="s">
        <v>301</v>
      </c>
      <c r="AK1331" s="11" t="str">
        <f t="shared" si="10"/>
        <v>2022GBP</v>
      </c>
      <c r="AL1331" s="11">
        <f>VLOOKUP(AK1331, Exchange_rates!$C:$D, 2, FALSE)</f>
        <v>1</v>
      </c>
      <c r="AM1331" s="14">
        <f t="shared" si="11"/>
        <v>2280</v>
      </c>
      <c r="AN1331" s="9"/>
      <c r="AO1331" s="9"/>
      <c r="AP1331" s="9"/>
      <c r="AQ1331" s="15" t="s">
        <v>125</v>
      </c>
      <c r="AR1331" t="s">
        <v>6539</v>
      </c>
      <c r="AS1331" s="16"/>
    </row>
    <row r="1332" spans="1:45" ht="14.5">
      <c r="A1332" s="9" t="s">
        <v>6540</v>
      </c>
      <c r="B1332" s="9" t="s">
        <v>6541</v>
      </c>
      <c r="C1332" s="9" t="s">
        <v>5801</v>
      </c>
      <c r="D1332" s="9" t="s">
        <v>5539</v>
      </c>
      <c r="E1332" s="9" t="s">
        <v>49</v>
      </c>
      <c r="F1332" s="9" t="s">
        <v>69</v>
      </c>
      <c r="G1332" s="9" t="s">
        <v>70</v>
      </c>
      <c r="H1332" s="9" t="s">
        <v>6505</v>
      </c>
      <c r="I1332" s="9" t="s">
        <v>72</v>
      </c>
      <c r="J1332" s="29"/>
      <c r="K1332" s="35">
        <v>44581</v>
      </c>
      <c r="L1332" s="10">
        <v>44593</v>
      </c>
      <c r="M1332" s="10">
        <v>44597</v>
      </c>
      <c r="N1332" s="9">
        <v>2022</v>
      </c>
      <c r="O1332" s="9" t="s">
        <v>6506</v>
      </c>
      <c r="P1332" s="9" t="s">
        <v>83</v>
      </c>
      <c r="Q1332" s="9" t="s">
        <v>53</v>
      </c>
      <c r="R1332" s="9" t="s">
        <v>6542</v>
      </c>
      <c r="T1332" s="9"/>
      <c r="V1332" s="9"/>
      <c r="W1332" s="11" t="str">
        <f>IFERROR(VLOOKUP(B1332, PlumX_snapshot!$A:$B, 2, FALSE), " ")</f>
        <v xml:space="preserve"> </v>
      </c>
      <c r="X1332" s="11" t="str">
        <f>IFERROR(VLOOKUP(B1332, PlumX_snapshot!$A:$C, 3, FALSE), " ")</f>
        <v xml:space="preserve"> </v>
      </c>
      <c r="Y1332" s="12" t="str">
        <f>IFERROR(VLOOKUP(B1332, PlumX_snapshot!$A:$D, 4, FALSE), " ")</f>
        <v xml:space="preserve"> </v>
      </c>
      <c r="Z1332" s="12" t="str">
        <f>IFERROR(VLOOKUP(B1332, PlumX_snapshot!$A:$E, 5, FALSE), " ")</f>
        <v xml:space="preserve"> </v>
      </c>
      <c r="AA1332" s="12" t="str">
        <f>IFERROR(VLOOKUP(B1332, PlumX_snapshot!$A:$F, 6, FALSE), " ")</f>
        <v xml:space="preserve"> </v>
      </c>
      <c r="AB1332" s="13"/>
      <c r="AC1332" s="9" t="s">
        <v>6543</v>
      </c>
      <c r="AD1332" s="9" t="s">
        <v>6544</v>
      </c>
      <c r="AE1332" s="9" t="s">
        <v>6545</v>
      </c>
      <c r="AF1332" s="9" t="s">
        <v>6546</v>
      </c>
      <c r="AH1332" s="9">
        <v>3150</v>
      </c>
      <c r="AI1332" s="9" t="s">
        <v>77</v>
      </c>
      <c r="AJ1332" s="9" t="s">
        <v>301</v>
      </c>
      <c r="AK1332" s="11" t="str">
        <f t="shared" si="10"/>
        <v>2022GBP</v>
      </c>
      <c r="AL1332" s="11">
        <f>VLOOKUP(AK1332, Exchange_rates!$C:$D, 2, FALSE)</f>
        <v>1</v>
      </c>
      <c r="AM1332" s="14">
        <f t="shared" si="11"/>
        <v>3780</v>
      </c>
      <c r="AN1332" s="9"/>
      <c r="AO1332" s="9"/>
      <c r="AP1332" s="9"/>
      <c r="AQ1332" s="15" t="s">
        <v>49</v>
      </c>
      <c r="AR1332" t="s">
        <v>5806</v>
      </c>
      <c r="AS1332" s="16"/>
    </row>
    <row r="1333" spans="1:45" ht="14.5">
      <c r="A1333" s="9" t="s">
        <v>6547</v>
      </c>
      <c r="B1333" s="9" t="s">
        <v>6548</v>
      </c>
      <c r="C1333" s="9" t="s">
        <v>6549</v>
      </c>
      <c r="D1333" s="9" t="s">
        <v>5539</v>
      </c>
      <c r="E1333" s="9" t="s">
        <v>49</v>
      </c>
      <c r="F1333" s="9" t="s">
        <v>69</v>
      </c>
      <c r="G1333" s="9" t="s">
        <v>70</v>
      </c>
      <c r="H1333" s="9" t="s">
        <v>6505</v>
      </c>
      <c r="I1333" s="9" t="s">
        <v>72</v>
      </c>
      <c r="J1333" s="29"/>
      <c r="K1333" s="35">
        <v>44528</v>
      </c>
      <c r="L1333" s="10">
        <v>44592</v>
      </c>
      <c r="M1333" s="10">
        <v>44607</v>
      </c>
      <c r="N1333" s="9">
        <v>2022</v>
      </c>
      <c r="O1333" s="9" t="s">
        <v>6506</v>
      </c>
      <c r="P1333" s="9" t="s">
        <v>53</v>
      </c>
      <c r="Q1333" s="9" t="s">
        <v>53</v>
      </c>
      <c r="R1333" s="9" t="s">
        <v>6550</v>
      </c>
      <c r="T1333" s="9"/>
      <c r="V1333" s="9"/>
      <c r="W1333" s="11" t="str">
        <f>IFERROR(VLOOKUP(B1333, PlumX_snapshot!$A:$B, 2, FALSE), " ")</f>
        <v xml:space="preserve"> </v>
      </c>
      <c r="X1333" s="11" t="str">
        <f>IFERROR(VLOOKUP(B1333, PlumX_snapshot!$A:$C, 3, FALSE), " ")</f>
        <v xml:space="preserve"> </v>
      </c>
      <c r="Y1333" s="12" t="str">
        <f>IFERROR(VLOOKUP(B1333, PlumX_snapshot!$A:$D, 4, FALSE), " ")</f>
        <v xml:space="preserve"> </v>
      </c>
      <c r="Z1333" s="12" t="str">
        <f>IFERROR(VLOOKUP(B1333, PlumX_snapshot!$A:$E, 5, FALSE), " ")</f>
        <v xml:space="preserve"> </v>
      </c>
      <c r="AA1333" s="12" t="str">
        <f>IFERROR(VLOOKUP(B1333, PlumX_snapshot!$A:$F, 6, FALSE), " ")</f>
        <v xml:space="preserve"> </v>
      </c>
      <c r="AB1333" s="13"/>
      <c r="AC1333" s="9" t="s">
        <v>6551</v>
      </c>
      <c r="AD1333" s="9" t="s">
        <v>6552</v>
      </c>
      <c r="AE1333" s="9" t="s">
        <v>6553</v>
      </c>
      <c r="AF1333" s="9" t="s">
        <v>6554</v>
      </c>
      <c r="AH1333" s="9">
        <v>2400</v>
      </c>
      <c r="AI1333" s="9" t="s">
        <v>77</v>
      </c>
      <c r="AJ1333" s="9" t="s">
        <v>301</v>
      </c>
      <c r="AK1333" s="11" t="str">
        <f t="shared" si="10"/>
        <v>2022GBP</v>
      </c>
      <c r="AL1333" s="11">
        <f>VLOOKUP(AK1333, Exchange_rates!$C:$D, 2, FALSE)</f>
        <v>1</v>
      </c>
      <c r="AM1333" s="14">
        <f t="shared" si="11"/>
        <v>2880</v>
      </c>
      <c r="AN1333" s="9"/>
      <c r="AO1333" s="9"/>
      <c r="AP1333" s="9"/>
      <c r="AQ1333" s="15" t="s">
        <v>49</v>
      </c>
      <c r="AR1333" t="s">
        <v>6555</v>
      </c>
      <c r="AS1333" s="16"/>
    </row>
    <row r="1334" spans="1:45" ht="14.5">
      <c r="A1334" s="9" t="s">
        <v>6556</v>
      </c>
      <c r="B1334" s="9" t="s">
        <v>6557</v>
      </c>
      <c r="C1334" s="9" t="s">
        <v>5741</v>
      </c>
      <c r="D1334" s="9" t="s">
        <v>5539</v>
      </c>
      <c r="E1334" s="9" t="s">
        <v>49</v>
      </c>
      <c r="F1334" s="9" t="s">
        <v>69</v>
      </c>
      <c r="G1334" s="9" t="s">
        <v>70</v>
      </c>
      <c r="H1334" s="9" t="s">
        <v>6505</v>
      </c>
      <c r="I1334" s="9" t="s">
        <v>72</v>
      </c>
      <c r="J1334" s="29"/>
      <c r="K1334" s="35">
        <v>44573</v>
      </c>
      <c r="L1334" s="10">
        <v>44592</v>
      </c>
      <c r="M1334" s="10"/>
      <c r="N1334" s="9">
        <v>2022</v>
      </c>
      <c r="O1334" s="9" t="s">
        <v>6506</v>
      </c>
      <c r="P1334" s="9" t="s">
        <v>53</v>
      </c>
      <c r="Q1334" s="9" t="s">
        <v>53</v>
      </c>
      <c r="R1334" s="9" t="s">
        <v>6558</v>
      </c>
      <c r="T1334" s="9"/>
      <c r="V1334" s="9"/>
      <c r="W1334" s="11" t="str">
        <f>IFERROR(VLOOKUP(B1334, PlumX_snapshot!$A:$B, 2, FALSE), " ")</f>
        <v xml:space="preserve"> </v>
      </c>
      <c r="X1334" s="11" t="str">
        <f>IFERROR(VLOOKUP(B1334, PlumX_snapshot!$A:$C, 3, FALSE), " ")</f>
        <v xml:space="preserve"> </v>
      </c>
      <c r="Y1334" s="12" t="str">
        <f>IFERROR(VLOOKUP(B1334, PlumX_snapshot!$A:$D, 4, FALSE), " ")</f>
        <v xml:space="preserve"> </v>
      </c>
      <c r="Z1334" s="12" t="str">
        <f>IFERROR(VLOOKUP(B1334, PlumX_snapshot!$A:$E, 5, FALSE), " ")</f>
        <v xml:space="preserve"> </v>
      </c>
      <c r="AA1334" s="12" t="str">
        <f>IFERROR(VLOOKUP(B1334, PlumX_snapshot!$A:$F, 6, FALSE), " ")</f>
        <v xml:space="preserve"> </v>
      </c>
      <c r="AB1334" s="13"/>
      <c r="AC1334" s="9" t="s">
        <v>4681</v>
      </c>
      <c r="AD1334" s="9" t="s">
        <v>4682</v>
      </c>
      <c r="AE1334" s="9" t="s">
        <v>6559</v>
      </c>
      <c r="AF1334" s="9" t="s">
        <v>6560</v>
      </c>
      <c r="AH1334" s="9">
        <v>3150</v>
      </c>
      <c r="AI1334" s="9" t="s">
        <v>77</v>
      </c>
      <c r="AJ1334" s="9" t="s">
        <v>301</v>
      </c>
      <c r="AK1334" s="11" t="str">
        <f t="shared" si="10"/>
        <v>2022GBP</v>
      </c>
      <c r="AL1334" s="11">
        <f>VLOOKUP(AK1334, Exchange_rates!$C:$D, 2, FALSE)</f>
        <v>1</v>
      </c>
      <c r="AM1334" s="14">
        <f t="shared" si="11"/>
        <v>3780</v>
      </c>
      <c r="AN1334" s="9"/>
      <c r="AO1334" s="9"/>
      <c r="AP1334" s="9"/>
      <c r="AQ1334" s="15" t="s">
        <v>49</v>
      </c>
      <c r="AR1334" t="s">
        <v>5566</v>
      </c>
      <c r="AS1334" s="16"/>
    </row>
    <row r="1335" spans="1:45" ht="14.5">
      <c r="A1335" s="9" t="s">
        <v>6561</v>
      </c>
      <c r="B1335" s="9" t="s">
        <v>6562</v>
      </c>
      <c r="C1335" s="9" t="s">
        <v>5869</v>
      </c>
      <c r="D1335" s="9" t="s">
        <v>5539</v>
      </c>
      <c r="E1335" s="9" t="s">
        <v>49</v>
      </c>
      <c r="F1335" s="9" t="s">
        <v>69</v>
      </c>
      <c r="G1335" s="9" t="s">
        <v>70</v>
      </c>
      <c r="H1335" s="9" t="s">
        <v>6505</v>
      </c>
      <c r="I1335" s="9" t="s">
        <v>72</v>
      </c>
      <c r="J1335" s="29"/>
      <c r="K1335" s="36">
        <v>44539</v>
      </c>
      <c r="L1335" s="10">
        <v>44571</v>
      </c>
      <c r="M1335" s="10">
        <v>44574</v>
      </c>
      <c r="N1335" s="9">
        <v>2022</v>
      </c>
      <c r="O1335" s="9" t="s">
        <v>6506</v>
      </c>
      <c r="P1335" s="9" t="s">
        <v>83</v>
      </c>
      <c r="Q1335" s="9" t="s">
        <v>53</v>
      </c>
      <c r="R1335" s="9" t="s">
        <v>6563</v>
      </c>
      <c r="T1335" s="9"/>
      <c r="V1335" s="9"/>
      <c r="W1335" s="11" t="str">
        <f>IFERROR(VLOOKUP(B1335, PlumX_snapshot!$A:$B, 2, FALSE), " ")</f>
        <v xml:space="preserve"> </v>
      </c>
      <c r="X1335" s="11" t="str">
        <f>IFERROR(VLOOKUP(B1335, PlumX_snapshot!$A:$C, 3, FALSE), " ")</f>
        <v xml:space="preserve"> </v>
      </c>
      <c r="Y1335" s="12" t="str">
        <f>IFERROR(VLOOKUP(B1335, PlumX_snapshot!$A:$D, 4, FALSE), " ")</f>
        <v xml:space="preserve"> </v>
      </c>
      <c r="Z1335" s="12" t="str">
        <f>IFERROR(VLOOKUP(B1335, PlumX_snapshot!$A:$E, 5, FALSE), " ")</f>
        <v xml:space="preserve"> </v>
      </c>
      <c r="AA1335" s="12" t="str">
        <f>IFERROR(VLOOKUP(B1335, PlumX_snapshot!$A:$F, 6, FALSE), " ")</f>
        <v xml:space="preserve"> </v>
      </c>
      <c r="AB1335" s="13"/>
      <c r="AC1335" s="9" t="s">
        <v>6564</v>
      </c>
      <c r="AD1335" s="9" t="s">
        <v>6565</v>
      </c>
      <c r="AF1335" s="9" t="s">
        <v>6566</v>
      </c>
      <c r="AH1335" s="9">
        <v>2900</v>
      </c>
      <c r="AI1335" s="9" t="s">
        <v>77</v>
      </c>
      <c r="AJ1335" s="9" t="s">
        <v>301</v>
      </c>
      <c r="AK1335" s="11" t="str">
        <f t="shared" si="10"/>
        <v>2022GBP</v>
      </c>
      <c r="AL1335" s="11">
        <f>VLOOKUP(AK1335, Exchange_rates!$C:$D, 2, FALSE)</f>
        <v>1</v>
      </c>
      <c r="AM1335" s="14">
        <f t="shared" si="11"/>
        <v>3480</v>
      </c>
      <c r="AN1335" s="9"/>
      <c r="AO1335" s="9"/>
      <c r="AP1335" s="9"/>
      <c r="AQ1335" s="15" t="s">
        <v>49</v>
      </c>
      <c r="AR1335" t="s">
        <v>5873</v>
      </c>
      <c r="AS1335" s="16"/>
    </row>
    <row r="1336" spans="1:45" ht="14.5">
      <c r="A1336" s="9" t="s">
        <v>6567</v>
      </c>
      <c r="B1336" s="9" t="s">
        <v>6568</v>
      </c>
      <c r="C1336" s="9" t="s">
        <v>5881</v>
      </c>
      <c r="D1336" s="9" t="s">
        <v>5539</v>
      </c>
      <c r="E1336" s="9" t="s">
        <v>49</v>
      </c>
      <c r="F1336" s="9" t="s">
        <v>69</v>
      </c>
      <c r="G1336" s="9" t="s">
        <v>70</v>
      </c>
      <c r="H1336" s="9" t="s">
        <v>6505</v>
      </c>
      <c r="I1336" s="9" t="s">
        <v>72</v>
      </c>
      <c r="J1336" s="29"/>
      <c r="K1336" s="35">
        <v>44550</v>
      </c>
      <c r="L1336" s="10">
        <v>44571</v>
      </c>
      <c r="M1336" s="10">
        <v>44579</v>
      </c>
      <c r="N1336" s="9">
        <v>2022</v>
      </c>
      <c r="O1336" s="9" t="s">
        <v>6506</v>
      </c>
      <c r="P1336" s="9" t="s">
        <v>83</v>
      </c>
      <c r="Q1336" s="9" t="s">
        <v>53</v>
      </c>
      <c r="R1336" s="9" t="s">
        <v>6569</v>
      </c>
      <c r="T1336" s="9"/>
      <c r="V1336" s="9"/>
      <c r="W1336" s="11" t="str">
        <f>IFERROR(VLOOKUP(B1336, PlumX_snapshot!$A:$B, 2, FALSE), " ")</f>
        <v xml:space="preserve"> </v>
      </c>
      <c r="X1336" s="11" t="str">
        <f>IFERROR(VLOOKUP(B1336, PlumX_snapshot!$A:$C, 3, FALSE), " ")</f>
        <v xml:space="preserve"> </v>
      </c>
      <c r="Y1336" s="12" t="str">
        <f>IFERROR(VLOOKUP(B1336, PlumX_snapshot!$A:$D, 4, FALSE), " ")</f>
        <v xml:space="preserve"> </v>
      </c>
      <c r="Z1336" s="12" t="str">
        <f>IFERROR(VLOOKUP(B1336, PlumX_snapshot!$A:$E, 5, FALSE), " ")</f>
        <v xml:space="preserve"> </v>
      </c>
      <c r="AA1336" s="12" t="str">
        <f>IFERROR(VLOOKUP(B1336, PlumX_snapshot!$A:$F, 6, FALSE), " ")</f>
        <v xml:space="preserve"> </v>
      </c>
      <c r="AB1336" s="13"/>
      <c r="AC1336" s="9" t="s">
        <v>6570</v>
      </c>
      <c r="AD1336" s="9" t="s">
        <v>6571</v>
      </c>
      <c r="AE1336" s="9" t="s">
        <v>6572</v>
      </c>
      <c r="AF1336" s="9" t="s">
        <v>6573</v>
      </c>
      <c r="AH1336" s="9">
        <v>2200</v>
      </c>
      <c r="AI1336" s="9" t="s">
        <v>77</v>
      </c>
      <c r="AJ1336" s="9" t="s">
        <v>301</v>
      </c>
      <c r="AK1336" s="11" t="str">
        <f t="shared" si="10"/>
        <v>2022GBP</v>
      </c>
      <c r="AL1336" s="11">
        <f>VLOOKUP(AK1336, Exchange_rates!$C:$D, 2, FALSE)</f>
        <v>1</v>
      </c>
      <c r="AM1336" s="14">
        <f t="shared" si="11"/>
        <v>2640</v>
      </c>
      <c r="AN1336" s="9"/>
      <c r="AO1336" s="9"/>
      <c r="AP1336" s="9"/>
      <c r="AQ1336" s="15" t="s">
        <v>49</v>
      </c>
      <c r="AR1336" t="s">
        <v>5886</v>
      </c>
      <c r="AS1336" s="16"/>
    </row>
    <row r="1337" spans="1:45" ht="14.5">
      <c r="A1337" s="9" t="s">
        <v>6574</v>
      </c>
      <c r="B1337" s="9" t="s">
        <v>6575</v>
      </c>
      <c r="C1337" s="9" t="s">
        <v>6576</v>
      </c>
      <c r="D1337" s="9" t="s">
        <v>5539</v>
      </c>
      <c r="E1337" s="9" t="s">
        <v>49</v>
      </c>
      <c r="F1337" s="9" t="s">
        <v>69</v>
      </c>
      <c r="G1337" s="9" t="s">
        <v>70</v>
      </c>
      <c r="H1337" s="9" t="s">
        <v>6505</v>
      </c>
      <c r="I1337" s="9" t="s">
        <v>72</v>
      </c>
      <c r="J1337" s="29"/>
      <c r="K1337" s="35">
        <v>44554</v>
      </c>
      <c r="L1337" s="10">
        <v>44568</v>
      </c>
      <c r="M1337" s="10">
        <v>44579</v>
      </c>
      <c r="N1337" s="9">
        <v>2022</v>
      </c>
      <c r="O1337" s="9" t="s">
        <v>6506</v>
      </c>
      <c r="P1337" s="9" t="s">
        <v>83</v>
      </c>
      <c r="Q1337" s="9" t="s">
        <v>53</v>
      </c>
      <c r="R1337" s="9" t="s">
        <v>6577</v>
      </c>
      <c r="T1337" s="9"/>
      <c r="V1337" s="9"/>
      <c r="W1337" s="11" t="str">
        <f>IFERROR(VLOOKUP(B1337, PlumX_snapshot!$A:$B, 2, FALSE), " ")</f>
        <v xml:space="preserve"> </v>
      </c>
      <c r="X1337" s="11" t="str">
        <f>IFERROR(VLOOKUP(B1337, PlumX_snapshot!$A:$C, 3, FALSE), " ")</f>
        <v xml:space="preserve"> </v>
      </c>
      <c r="Y1337" s="12" t="str">
        <f>IFERROR(VLOOKUP(B1337, PlumX_snapshot!$A:$D, 4, FALSE), " ")</f>
        <v xml:space="preserve"> </v>
      </c>
      <c r="Z1337" s="12" t="str">
        <f>IFERROR(VLOOKUP(B1337, PlumX_snapshot!$A:$E, 5, FALSE), " ")</f>
        <v xml:space="preserve"> </v>
      </c>
      <c r="AA1337" s="12" t="str">
        <f>IFERROR(VLOOKUP(B1337, PlumX_snapshot!$A:$F, 6, FALSE), " ")</f>
        <v xml:space="preserve"> </v>
      </c>
      <c r="AB1337" s="13"/>
      <c r="AC1337" s="9" t="s">
        <v>6578</v>
      </c>
      <c r="AD1337" s="9" t="s">
        <v>6579</v>
      </c>
      <c r="AE1337" s="9" t="s">
        <v>6580</v>
      </c>
      <c r="AF1337" s="9" t="s">
        <v>6581</v>
      </c>
      <c r="AH1337" s="9">
        <v>2000</v>
      </c>
      <c r="AI1337" s="9" t="s">
        <v>77</v>
      </c>
      <c r="AJ1337" s="9" t="s">
        <v>301</v>
      </c>
      <c r="AK1337" s="11" t="str">
        <f t="shared" si="10"/>
        <v>2022GBP</v>
      </c>
      <c r="AL1337" s="11">
        <f>VLOOKUP(AK1337, Exchange_rates!$C:$D, 2, FALSE)</f>
        <v>1</v>
      </c>
      <c r="AM1337" s="14">
        <f t="shared" si="11"/>
        <v>2400</v>
      </c>
      <c r="AN1337" s="9"/>
      <c r="AO1337" s="9"/>
      <c r="AP1337" s="9"/>
      <c r="AQ1337" s="15" t="s">
        <v>49</v>
      </c>
      <c r="AR1337" t="s">
        <v>6582</v>
      </c>
      <c r="AS1337" s="16"/>
    </row>
    <row r="1338" spans="1:45" ht="14.5">
      <c r="A1338" s="9" t="s">
        <v>6583</v>
      </c>
      <c r="B1338" s="9" t="s">
        <v>6584</v>
      </c>
      <c r="C1338" s="9" t="s">
        <v>6585</v>
      </c>
      <c r="D1338" s="9" t="s">
        <v>5539</v>
      </c>
      <c r="E1338" s="9" t="s">
        <v>49</v>
      </c>
      <c r="F1338" s="9" t="s">
        <v>69</v>
      </c>
      <c r="G1338" s="9" t="s">
        <v>70</v>
      </c>
      <c r="H1338" s="9" t="s">
        <v>6505</v>
      </c>
      <c r="I1338" s="9" t="s">
        <v>72</v>
      </c>
      <c r="J1338" s="29"/>
      <c r="K1338" s="35">
        <v>44552</v>
      </c>
      <c r="L1338" s="10">
        <v>44568</v>
      </c>
      <c r="M1338" s="10">
        <v>44588</v>
      </c>
      <c r="N1338" s="9">
        <v>2022</v>
      </c>
      <c r="O1338" s="9" t="s">
        <v>6506</v>
      </c>
      <c r="P1338" s="9" t="s">
        <v>83</v>
      </c>
      <c r="Q1338" s="9" t="s">
        <v>53</v>
      </c>
      <c r="R1338" s="9" t="s">
        <v>6586</v>
      </c>
      <c r="T1338" s="9"/>
      <c r="V1338" s="9"/>
      <c r="W1338" s="11" t="str">
        <f>IFERROR(VLOOKUP(B1338, PlumX_snapshot!$A:$B, 2, FALSE), " ")</f>
        <v xml:space="preserve"> </v>
      </c>
      <c r="X1338" s="11" t="str">
        <f>IFERROR(VLOOKUP(B1338, PlumX_snapshot!$A:$C, 3, FALSE), " ")</f>
        <v xml:space="preserve"> </v>
      </c>
      <c r="Y1338" s="12" t="str">
        <f>IFERROR(VLOOKUP(B1338, PlumX_snapshot!$A:$D, 4, FALSE), " ")</f>
        <v xml:space="preserve"> </v>
      </c>
      <c r="Z1338" s="12" t="str">
        <f>IFERROR(VLOOKUP(B1338, PlumX_snapshot!$A:$E, 5, FALSE), " ")</f>
        <v xml:space="preserve"> </v>
      </c>
      <c r="AA1338" s="12" t="str">
        <f>IFERROR(VLOOKUP(B1338, PlumX_snapshot!$A:$F, 6, FALSE), " ")</f>
        <v xml:space="preserve"> </v>
      </c>
      <c r="AB1338" s="13"/>
      <c r="AC1338" s="9" t="s">
        <v>6587</v>
      </c>
      <c r="AD1338" s="9" t="s">
        <v>6588</v>
      </c>
      <c r="AE1338" s="9" t="s">
        <v>6589</v>
      </c>
      <c r="AH1338" s="9">
        <v>2300</v>
      </c>
      <c r="AI1338" s="9" t="s">
        <v>77</v>
      </c>
      <c r="AJ1338" s="9" t="s">
        <v>301</v>
      </c>
      <c r="AK1338" s="11" t="str">
        <f t="shared" si="10"/>
        <v>2022GBP</v>
      </c>
      <c r="AL1338" s="11">
        <f>VLOOKUP(AK1338, Exchange_rates!$C:$D, 2, FALSE)</f>
        <v>1</v>
      </c>
      <c r="AM1338" s="14">
        <f t="shared" si="11"/>
        <v>2760</v>
      </c>
      <c r="AN1338" s="9"/>
      <c r="AO1338" s="9"/>
      <c r="AP1338" s="9"/>
      <c r="AQ1338" s="15" t="s">
        <v>49</v>
      </c>
      <c r="AR1338" t="s">
        <v>6519</v>
      </c>
      <c r="AS1338" s="16"/>
    </row>
    <row r="1339" spans="1:45" ht="14.5">
      <c r="A1339" s="9" t="s">
        <v>6590</v>
      </c>
      <c r="B1339" s="9" t="s">
        <v>6591</v>
      </c>
      <c r="C1339" s="9" t="s">
        <v>6592</v>
      </c>
      <c r="D1339" s="9" t="s">
        <v>5539</v>
      </c>
      <c r="E1339" s="9" t="s">
        <v>49</v>
      </c>
      <c r="F1339" s="9" t="s">
        <v>69</v>
      </c>
      <c r="G1339" s="9" t="s">
        <v>70</v>
      </c>
      <c r="H1339" s="9" t="s">
        <v>6505</v>
      </c>
      <c r="I1339" s="9" t="s">
        <v>72</v>
      </c>
      <c r="J1339" s="29"/>
      <c r="K1339" s="36">
        <v>44566</v>
      </c>
      <c r="L1339" s="10">
        <v>44567</v>
      </c>
      <c r="M1339" s="10">
        <v>44627</v>
      </c>
      <c r="N1339" s="9">
        <v>2022</v>
      </c>
      <c r="O1339" s="9" t="s">
        <v>6506</v>
      </c>
      <c r="P1339" s="9" t="s">
        <v>53</v>
      </c>
      <c r="Q1339" s="9" t="s">
        <v>83</v>
      </c>
      <c r="R1339" s="9" t="s">
        <v>6593</v>
      </c>
      <c r="T1339" s="9"/>
      <c r="V1339" s="9"/>
      <c r="W1339" s="11" t="str">
        <f>IFERROR(VLOOKUP(B1339, PlumX_snapshot!$A:$B, 2, FALSE), " ")</f>
        <v xml:space="preserve"> </v>
      </c>
      <c r="X1339" s="11" t="str">
        <f>IFERROR(VLOOKUP(B1339, PlumX_snapshot!$A:$C, 3, FALSE), " ")</f>
        <v xml:space="preserve"> </v>
      </c>
      <c r="Y1339" s="12" t="str">
        <f>IFERROR(VLOOKUP(B1339, PlumX_snapshot!$A:$D, 4, FALSE), " ")</f>
        <v xml:space="preserve"> </v>
      </c>
      <c r="Z1339" s="12" t="str">
        <f>IFERROR(VLOOKUP(B1339, PlumX_snapshot!$A:$E, 5, FALSE), " ")</f>
        <v xml:space="preserve"> </v>
      </c>
      <c r="AA1339" s="12" t="str">
        <f>IFERROR(VLOOKUP(B1339, PlumX_snapshot!$A:$F, 6, FALSE), " ")</f>
        <v xml:space="preserve"> </v>
      </c>
      <c r="AB1339" s="13"/>
      <c r="AC1339" s="9" t="s">
        <v>85</v>
      </c>
      <c r="AD1339" s="9" t="s">
        <v>86</v>
      </c>
      <c r="AF1339" s="9" t="s">
        <v>6594</v>
      </c>
      <c r="AH1339" s="9">
        <v>2500</v>
      </c>
      <c r="AI1339" s="9" t="s">
        <v>77</v>
      </c>
      <c r="AJ1339" s="9" t="s">
        <v>301</v>
      </c>
      <c r="AK1339" s="11" t="str">
        <f t="shared" si="10"/>
        <v>2022GBP</v>
      </c>
      <c r="AL1339" s="11">
        <f>VLOOKUP(AK1339, Exchange_rates!$C:$D, 2, FALSE)</f>
        <v>1</v>
      </c>
      <c r="AM1339" s="14">
        <f t="shared" si="11"/>
        <v>3000</v>
      </c>
      <c r="AN1339" s="9"/>
      <c r="AO1339" s="9"/>
      <c r="AP1339" s="9"/>
      <c r="AQ1339" s="15" t="s">
        <v>49</v>
      </c>
      <c r="AR1339" t="s">
        <v>6595</v>
      </c>
      <c r="AS1339" s="16"/>
    </row>
    <row r="1340" spans="1:45" ht="14.5">
      <c r="A1340" s="9" t="s">
        <v>6596</v>
      </c>
      <c r="B1340" s="9" t="s">
        <v>6597</v>
      </c>
      <c r="C1340" s="9" t="s">
        <v>6139</v>
      </c>
      <c r="D1340" s="9" t="s">
        <v>5539</v>
      </c>
      <c r="E1340" s="9" t="s">
        <v>49</v>
      </c>
      <c r="F1340" s="9" t="s">
        <v>69</v>
      </c>
      <c r="G1340" s="9" t="s">
        <v>70</v>
      </c>
      <c r="H1340" s="9" t="s">
        <v>6505</v>
      </c>
      <c r="I1340" s="9" t="s">
        <v>72</v>
      </c>
      <c r="J1340" s="29"/>
      <c r="K1340" s="35">
        <v>44558</v>
      </c>
      <c r="L1340" s="10">
        <v>44565</v>
      </c>
      <c r="M1340" s="10">
        <v>44586</v>
      </c>
      <c r="N1340" s="9">
        <v>2022</v>
      </c>
      <c r="O1340" s="9" t="s">
        <v>6506</v>
      </c>
      <c r="P1340" s="9" t="s">
        <v>53</v>
      </c>
      <c r="Q1340" s="9" t="s">
        <v>53</v>
      </c>
      <c r="R1340" s="9" t="s">
        <v>6598</v>
      </c>
      <c r="T1340" s="9"/>
      <c r="V1340" s="9"/>
      <c r="W1340" s="11" t="str">
        <f>IFERROR(VLOOKUP(B1340, PlumX_snapshot!$A:$B, 2, FALSE), " ")</f>
        <v xml:space="preserve"> </v>
      </c>
      <c r="X1340" s="11" t="str">
        <f>IFERROR(VLOOKUP(B1340, PlumX_snapshot!$A:$C, 3, FALSE), " ")</f>
        <v xml:space="preserve"> </v>
      </c>
      <c r="Y1340" s="12" t="str">
        <f>IFERROR(VLOOKUP(B1340, PlumX_snapshot!$A:$D, 4, FALSE), " ")</f>
        <v xml:space="preserve"> </v>
      </c>
      <c r="Z1340" s="12" t="str">
        <f>IFERROR(VLOOKUP(B1340, PlumX_snapshot!$A:$E, 5, FALSE), " ")</f>
        <v xml:space="preserve"> </v>
      </c>
      <c r="AA1340" s="12" t="str">
        <f>IFERROR(VLOOKUP(B1340, PlumX_snapshot!$A:$F, 6, FALSE), " ")</f>
        <v xml:space="preserve"> </v>
      </c>
      <c r="AB1340" s="13"/>
      <c r="AC1340" s="9" t="s">
        <v>5882</v>
      </c>
      <c r="AD1340" s="9" t="s">
        <v>5883</v>
      </c>
      <c r="AE1340" s="9" t="s">
        <v>5884</v>
      </c>
      <c r="AF1340" s="9" t="s">
        <v>6599</v>
      </c>
      <c r="AH1340" s="9">
        <v>2000</v>
      </c>
      <c r="AI1340" s="9" t="s">
        <v>77</v>
      </c>
      <c r="AJ1340" s="9" t="s">
        <v>301</v>
      </c>
      <c r="AK1340" s="11" t="str">
        <f t="shared" si="10"/>
        <v>2022GBP</v>
      </c>
      <c r="AL1340" s="11">
        <f>VLOOKUP(AK1340, Exchange_rates!$C:$D, 2, FALSE)</f>
        <v>1</v>
      </c>
      <c r="AM1340" s="14">
        <f t="shared" si="11"/>
        <v>2400</v>
      </c>
      <c r="AN1340" s="9"/>
      <c r="AO1340" s="9"/>
      <c r="AP1340" s="9"/>
      <c r="AQ1340" s="15" t="s">
        <v>49</v>
      </c>
      <c r="AR1340" t="s">
        <v>6143</v>
      </c>
      <c r="AS1340" s="16"/>
    </row>
    <row r="1341" spans="1:45" ht="14.5">
      <c r="A1341" s="9" t="s">
        <v>6600</v>
      </c>
      <c r="B1341" s="9" t="s">
        <v>6601</v>
      </c>
      <c r="C1341" s="9" t="s">
        <v>6602</v>
      </c>
      <c r="D1341" s="9" t="s">
        <v>5539</v>
      </c>
      <c r="E1341" s="9" t="s">
        <v>49</v>
      </c>
      <c r="F1341" s="9" t="s">
        <v>69</v>
      </c>
      <c r="G1341" s="9" t="s">
        <v>70</v>
      </c>
      <c r="H1341" s="9" t="s">
        <v>6505</v>
      </c>
      <c r="I1341" s="9" t="s">
        <v>72</v>
      </c>
      <c r="J1341" s="29"/>
      <c r="K1341" s="35">
        <v>44552</v>
      </c>
      <c r="L1341" s="10">
        <v>44565</v>
      </c>
      <c r="M1341" s="10">
        <v>44572</v>
      </c>
      <c r="N1341" s="9">
        <v>2022</v>
      </c>
      <c r="O1341" s="9" t="s">
        <v>6506</v>
      </c>
      <c r="P1341" s="9" t="s">
        <v>53</v>
      </c>
      <c r="Q1341" s="9" t="s">
        <v>83</v>
      </c>
      <c r="R1341" s="9" t="s">
        <v>6603</v>
      </c>
      <c r="T1341" s="9"/>
      <c r="V1341" s="9"/>
      <c r="W1341" s="11" t="str">
        <f>IFERROR(VLOOKUP(B1341, PlumX_snapshot!$A:$B, 2, FALSE), " ")</f>
        <v xml:space="preserve"> </v>
      </c>
      <c r="X1341" s="11" t="str">
        <f>IFERROR(VLOOKUP(B1341, PlumX_snapshot!$A:$C, 3, FALSE), " ")</f>
        <v xml:space="preserve"> </v>
      </c>
      <c r="Y1341" s="12" t="str">
        <f>IFERROR(VLOOKUP(B1341, PlumX_snapshot!$A:$D, 4, FALSE), " ")</f>
        <v xml:space="preserve"> </v>
      </c>
      <c r="Z1341" s="12" t="str">
        <f>IFERROR(VLOOKUP(B1341, PlumX_snapshot!$A:$E, 5, FALSE), " ")</f>
        <v xml:space="preserve"> </v>
      </c>
      <c r="AA1341" s="12" t="str">
        <f>IFERROR(VLOOKUP(B1341, PlumX_snapshot!$A:$F, 6, FALSE), " ")</f>
        <v xml:space="preserve"> </v>
      </c>
      <c r="AB1341" s="13"/>
      <c r="AC1341" s="9" t="s">
        <v>6604</v>
      </c>
      <c r="AD1341" s="9" t="s">
        <v>6605</v>
      </c>
      <c r="AE1341" s="9" t="s">
        <v>6606</v>
      </c>
      <c r="AF1341" s="9" t="s">
        <v>6607</v>
      </c>
      <c r="AH1341" s="9">
        <v>1850</v>
      </c>
      <c r="AI1341" s="9" t="s">
        <v>77</v>
      </c>
      <c r="AJ1341" s="9" t="s">
        <v>301</v>
      </c>
      <c r="AK1341" s="11" t="str">
        <f t="shared" si="10"/>
        <v>2022GBP</v>
      </c>
      <c r="AL1341" s="11">
        <f>VLOOKUP(AK1341, Exchange_rates!$C:$D, 2, FALSE)</f>
        <v>1</v>
      </c>
      <c r="AM1341" s="14">
        <f t="shared" si="11"/>
        <v>2220</v>
      </c>
      <c r="AN1341" s="9"/>
      <c r="AO1341" s="9"/>
      <c r="AP1341" s="9"/>
      <c r="AQ1341" s="15" t="s">
        <v>49</v>
      </c>
      <c r="AR1341" t="s">
        <v>6608</v>
      </c>
      <c r="AS1341" s="16"/>
    </row>
    <row r="1342" spans="1:45" ht="14.5">
      <c r="A1342" s="9" t="s">
        <v>6609</v>
      </c>
      <c r="B1342" s="9" t="s">
        <v>6610</v>
      </c>
      <c r="C1342" s="9" t="s">
        <v>6611</v>
      </c>
      <c r="D1342" s="9" t="s">
        <v>5539</v>
      </c>
      <c r="E1342" s="9" t="s">
        <v>125</v>
      </c>
      <c r="F1342" s="9" t="s">
        <v>69</v>
      </c>
      <c r="G1342" s="9" t="s">
        <v>70</v>
      </c>
      <c r="H1342" s="9" t="s">
        <v>6505</v>
      </c>
      <c r="I1342" s="9" t="s">
        <v>72</v>
      </c>
      <c r="J1342" s="29"/>
      <c r="K1342" s="29"/>
      <c r="L1342" s="10">
        <v>44574</v>
      </c>
      <c r="M1342" s="10">
        <v>44677</v>
      </c>
      <c r="N1342" s="9">
        <v>2022</v>
      </c>
      <c r="O1342" s="9" t="s">
        <v>6506</v>
      </c>
      <c r="P1342" s="9" t="s">
        <v>53</v>
      </c>
      <c r="Q1342" s="9" t="s">
        <v>53</v>
      </c>
      <c r="T1342" s="9"/>
      <c r="V1342" s="9"/>
      <c r="W1342" s="11" t="str">
        <f>IFERROR(VLOOKUP(B1342, PlumX_snapshot!$A:$B, 2, FALSE), " ")</f>
        <v xml:space="preserve"> </v>
      </c>
      <c r="X1342" s="11" t="str">
        <f>IFERROR(VLOOKUP(B1342, PlumX_snapshot!$A:$C, 3, FALSE), " ")</f>
        <v xml:space="preserve"> </v>
      </c>
      <c r="Y1342" s="12" t="str">
        <f>IFERROR(VLOOKUP(B1342, PlumX_snapshot!$A:$D, 4, FALSE), " ")</f>
        <v xml:space="preserve"> </v>
      </c>
      <c r="Z1342" s="12" t="str">
        <f>IFERROR(VLOOKUP(B1342, PlumX_snapshot!$A:$E, 5, FALSE), " ")</f>
        <v xml:space="preserve"> </v>
      </c>
      <c r="AA1342" s="12" t="str">
        <f>IFERROR(VLOOKUP(B1342, PlumX_snapshot!$A:$F, 6, FALSE), " ")</f>
        <v xml:space="preserve"> </v>
      </c>
      <c r="AB1342" s="13"/>
      <c r="AC1342" s="9" t="s">
        <v>6612</v>
      </c>
      <c r="AD1342" s="9" t="s">
        <v>6613</v>
      </c>
      <c r="AF1342" s="9" t="s">
        <v>6614</v>
      </c>
      <c r="AH1342" s="9">
        <v>1200</v>
      </c>
      <c r="AI1342" s="9" t="s">
        <v>77</v>
      </c>
      <c r="AJ1342" s="9" t="s">
        <v>301</v>
      </c>
      <c r="AK1342" s="11" t="str">
        <f t="shared" si="10"/>
        <v>2022GBP</v>
      </c>
      <c r="AL1342" s="11">
        <f>VLOOKUP(AK1342, Exchange_rates!$C:$D, 2, FALSE)</f>
        <v>1</v>
      </c>
      <c r="AM1342" s="14">
        <f t="shared" si="11"/>
        <v>1440</v>
      </c>
      <c r="AN1342" s="9"/>
      <c r="AO1342" s="9"/>
      <c r="AP1342" s="9"/>
      <c r="AQ1342" s="15" t="s">
        <v>125</v>
      </c>
      <c r="AR1342" t="s">
        <v>6615</v>
      </c>
      <c r="AS1342" s="16"/>
    </row>
    <row r="1343" spans="1:45" ht="14.5">
      <c r="A1343" s="9" t="s">
        <v>6616</v>
      </c>
      <c r="B1343" s="9" t="s">
        <v>6617</v>
      </c>
      <c r="C1343" s="9" t="s">
        <v>6139</v>
      </c>
      <c r="D1343" s="9" t="s">
        <v>5539</v>
      </c>
      <c r="E1343" s="9" t="s">
        <v>49</v>
      </c>
      <c r="F1343" s="9" t="s">
        <v>69</v>
      </c>
      <c r="G1343" s="9" t="s">
        <v>70</v>
      </c>
      <c r="H1343" s="9" t="s">
        <v>5598</v>
      </c>
      <c r="I1343" s="9" t="s">
        <v>72</v>
      </c>
      <c r="J1343" s="29"/>
      <c r="K1343" s="35">
        <v>44541</v>
      </c>
      <c r="L1343" s="10">
        <v>44547</v>
      </c>
      <c r="M1343" s="10">
        <v>44613</v>
      </c>
      <c r="N1343" s="9">
        <v>2021</v>
      </c>
      <c r="O1343" s="9" t="s">
        <v>6506</v>
      </c>
      <c r="P1343" s="9" t="s">
        <v>83</v>
      </c>
      <c r="Q1343" s="9" t="s">
        <v>53</v>
      </c>
      <c r="R1343" s="9" t="s">
        <v>6618</v>
      </c>
      <c r="T1343" s="9"/>
      <c r="V1343" s="9"/>
      <c r="W1343" s="11" t="str">
        <f>IFERROR(VLOOKUP(B1343, PlumX_snapshot!$A:$B, 2, FALSE), " ")</f>
        <v xml:space="preserve"> </v>
      </c>
      <c r="X1343" s="11" t="str">
        <f>IFERROR(VLOOKUP(B1343, PlumX_snapshot!$A:$C, 3, FALSE), " ")</f>
        <v xml:space="preserve"> </v>
      </c>
      <c r="Y1343" s="12" t="str">
        <f>IFERROR(VLOOKUP(B1343, PlumX_snapshot!$A:$D, 4, FALSE), " ")</f>
        <v xml:space="preserve"> </v>
      </c>
      <c r="Z1343" s="12" t="str">
        <f>IFERROR(VLOOKUP(B1343, PlumX_snapshot!$A:$E, 5, FALSE), " ")</f>
        <v xml:space="preserve"> </v>
      </c>
      <c r="AA1343" s="12" t="str">
        <f>IFERROR(VLOOKUP(B1343, PlumX_snapshot!$A:$F, 6, FALSE), " ")</f>
        <v xml:space="preserve"> </v>
      </c>
      <c r="AB1343" s="13"/>
      <c r="AC1343" s="9" t="s">
        <v>6619</v>
      </c>
      <c r="AD1343" s="9" t="s">
        <v>6620</v>
      </c>
      <c r="AE1343" s="9" t="s">
        <v>6621</v>
      </c>
      <c r="AF1343" s="9" t="s">
        <v>6622</v>
      </c>
      <c r="AH1343" s="9">
        <v>2000</v>
      </c>
      <c r="AI1343" s="9" t="s">
        <v>77</v>
      </c>
      <c r="AJ1343" s="9" t="s">
        <v>301</v>
      </c>
      <c r="AK1343" s="11" t="str">
        <f t="shared" si="10"/>
        <v>2021GBP</v>
      </c>
      <c r="AL1343" s="11">
        <f>VLOOKUP(AK1343, Exchange_rates!$C:$D, 2, FALSE)</f>
        <v>1</v>
      </c>
      <c r="AM1343" s="14">
        <f t="shared" si="11"/>
        <v>2400</v>
      </c>
      <c r="AN1343" s="9"/>
      <c r="AO1343" s="9"/>
      <c r="AP1343" s="9"/>
      <c r="AQ1343" s="15" t="s">
        <v>49</v>
      </c>
      <c r="AR1343" t="s">
        <v>6143</v>
      </c>
      <c r="AS1343" s="16"/>
    </row>
    <row r="1344" spans="1:45" ht="14.5">
      <c r="A1344" s="9" t="s">
        <v>6623</v>
      </c>
      <c r="B1344" s="9" t="s">
        <v>6624</v>
      </c>
      <c r="C1344" s="9" t="s">
        <v>5665</v>
      </c>
      <c r="D1344" s="9" t="s">
        <v>5539</v>
      </c>
      <c r="E1344" s="9" t="s">
        <v>49</v>
      </c>
      <c r="F1344" s="9" t="s">
        <v>69</v>
      </c>
      <c r="G1344" s="9" t="s">
        <v>70</v>
      </c>
      <c r="H1344" s="9" t="s">
        <v>5598</v>
      </c>
      <c r="I1344" s="9" t="s">
        <v>72</v>
      </c>
      <c r="J1344" s="29"/>
      <c r="K1344" s="36">
        <v>44538</v>
      </c>
      <c r="L1344" s="10">
        <v>44545</v>
      </c>
      <c r="M1344" s="10">
        <v>44551</v>
      </c>
      <c r="N1344" s="9">
        <v>2021</v>
      </c>
      <c r="O1344" s="9" t="s">
        <v>6506</v>
      </c>
      <c r="P1344" s="9" t="s">
        <v>83</v>
      </c>
      <c r="Q1344" s="9" t="s">
        <v>53</v>
      </c>
      <c r="R1344" s="9" t="s">
        <v>6625</v>
      </c>
      <c r="T1344" s="9"/>
      <c r="V1344" s="9"/>
      <c r="W1344" s="11" t="str">
        <f>IFERROR(VLOOKUP(B1344, PlumX_snapshot!$A:$B, 2, FALSE), " ")</f>
        <v xml:space="preserve"> </v>
      </c>
      <c r="X1344" s="11" t="str">
        <f>IFERROR(VLOOKUP(B1344, PlumX_snapshot!$A:$C, 3, FALSE), " ")</f>
        <v xml:space="preserve"> </v>
      </c>
      <c r="Y1344" s="12" t="str">
        <f>IFERROR(VLOOKUP(B1344, PlumX_snapshot!$A:$D, 4, FALSE), " ")</f>
        <v xml:space="preserve"> </v>
      </c>
      <c r="Z1344" s="12" t="str">
        <f>IFERROR(VLOOKUP(B1344, PlumX_snapshot!$A:$E, 5, FALSE), " ")</f>
        <v xml:space="preserve"> </v>
      </c>
      <c r="AA1344" s="12" t="str">
        <f>IFERROR(VLOOKUP(B1344, PlumX_snapshot!$A:$F, 6, FALSE), " ")</f>
        <v xml:space="preserve"> </v>
      </c>
      <c r="AB1344" s="13"/>
      <c r="AC1344" s="9" t="s">
        <v>6626</v>
      </c>
      <c r="AD1344" s="9" t="s">
        <v>6627</v>
      </c>
      <c r="AE1344" s="9" t="s">
        <v>6628</v>
      </c>
      <c r="AF1344" s="9" t="s">
        <v>6629</v>
      </c>
      <c r="AH1344" s="9">
        <v>3000</v>
      </c>
      <c r="AI1344" s="9" t="s">
        <v>77</v>
      </c>
      <c r="AJ1344" s="9" t="s">
        <v>301</v>
      </c>
      <c r="AK1344" s="11" t="str">
        <f t="shared" si="10"/>
        <v>2021GBP</v>
      </c>
      <c r="AL1344" s="11">
        <f>VLOOKUP(AK1344, Exchange_rates!$C:$D, 2, FALSE)</f>
        <v>1</v>
      </c>
      <c r="AM1344" s="14">
        <f t="shared" si="11"/>
        <v>3600</v>
      </c>
      <c r="AN1344" s="9"/>
      <c r="AO1344" s="9"/>
      <c r="AP1344" s="9"/>
      <c r="AQ1344" s="15" t="s">
        <v>49</v>
      </c>
      <c r="AR1344" t="s">
        <v>5670</v>
      </c>
      <c r="AS1344" s="16"/>
    </row>
    <row r="1345" spans="1:45" ht="14.5">
      <c r="A1345" s="9" t="s">
        <v>6630</v>
      </c>
      <c r="B1345" s="9" t="s">
        <v>6631</v>
      </c>
      <c r="C1345" s="9" t="s">
        <v>6632</v>
      </c>
      <c r="D1345" s="9" t="s">
        <v>5539</v>
      </c>
      <c r="E1345" s="9" t="s">
        <v>49</v>
      </c>
      <c r="F1345" s="9" t="s">
        <v>69</v>
      </c>
      <c r="G1345" s="9" t="s">
        <v>70</v>
      </c>
      <c r="H1345" s="9" t="s">
        <v>5598</v>
      </c>
      <c r="I1345" s="9" t="s">
        <v>72</v>
      </c>
      <c r="J1345" s="29"/>
      <c r="K1345" s="35">
        <v>44530</v>
      </c>
      <c r="L1345" s="10">
        <v>44536</v>
      </c>
      <c r="M1345" s="10">
        <v>44542</v>
      </c>
      <c r="N1345" s="9">
        <v>2021</v>
      </c>
      <c r="O1345" s="9" t="s">
        <v>6506</v>
      </c>
      <c r="P1345" s="9" t="s">
        <v>83</v>
      </c>
      <c r="Q1345" s="9" t="s">
        <v>53</v>
      </c>
      <c r="R1345" s="9" t="s">
        <v>6633</v>
      </c>
      <c r="T1345" s="9"/>
      <c r="V1345" s="9"/>
      <c r="W1345" s="11" t="str">
        <f>IFERROR(VLOOKUP(B1345, PlumX_snapshot!$A:$B, 2, FALSE), " ")</f>
        <v xml:space="preserve"> </v>
      </c>
      <c r="X1345" s="11" t="str">
        <f>IFERROR(VLOOKUP(B1345, PlumX_snapshot!$A:$C, 3, FALSE), " ")</f>
        <v xml:space="preserve"> </v>
      </c>
      <c r="Y1345" s="12" t="str">
        <f>IFERROR(VLOOKUP(B1345, PlumX_snapshot!$A:$D, 4, FALSE), " ")</f>
        <v xml:space="preserve"> </v>
      </c>
      <c r="Z1345" s="12" t="str">
        <f>IFERROR(VLOOKUP(B1345, PlumX_snapshot!$A:$E, 5, FALSE), " ")</f>
        <v xml:space="preserve"> </v>
      </c>
      <c r="AA1345" s="12" t="str">
        <f>IFERROR(VLOOKUP(B1345, PlumX_snapshot!$A:$F, 6, FALSE), " ")</f>
        <v xml:space="preserve"> </v>
      </c>
      <c r="AB1345" s="13"/>
      <c r="AC1345" s="9" t="s">
        <v>6634</v>
      </c>
      <c r="AD1345" s="9" t="s">
        <v>6635</v>
      </c>
      <c r="AE1345" s="9" t="s">
        <v>6636</v>
      </c>
      <c r="AF1345" s="9" t="s">
        <v>6637</v>
      </c>
      <c r="AH1345" s="9">
        <v>2000</v>
      </c>
      <c r="AI1345" s="9" t="s">
        <v>77</v>
      </c>
      <c r="AJ1345" s="9" t="s">
        <v>301</v>
      </c>
      <c r="AK1345" s="11" t="str">
        <f t="shared" si="10"/>
        <v>2021GBP</v>
      </c>
      <c r="AL1345" s="11">
        <f>VLOOKUP(AK1345, Exchange_rates!$C:$D, 2, FALSE)</f>
        <v>1</v>
      </c>
      <c r="AM1345" s="14">
        <f t="shared" si="11"/>
        <v>2400</v>
      </c>
      <c r="AN1345" s="9"/>
      <c r="AO1345" s="9"/>
      <c r="AP1345" s="9"/>
      <c r="AQ1345" s="15" t="s">
        <v>49</v>
      </c>
      <c r="AR1345" t="s">
        <v>6638</v>
      </c>
      <c r="AS1345" s="16"/>
    </row>
    <row r="1346" spans="1:45" ht="14.5">
      <c r="A1346" s="9" t="s">
        <v>6639</v>
      </c>
      <c r="B1346" s="9" t="s">
        <v>6640</v>
      </c>
      <c r="C1346" s="9" t="s">
        <v>6641</v>
      </c>
      <c r="D1346" s="9" t="s">
        <v>5539</v>
      </c>
      <c r="E1346" s="9" t="s">
        <v>49</v>
      </c>
      <c r="F1346" s="9" t="s">
        <v>69</v>
      </c>
      <c r="G1346" s="9" t="s">
        <v>70</v>
      </c>
      <c r="H1346" s="9" t="s">
        <v>5598</v>
      </c>
      <c r="I1346" s="9" t="s">
        <v>72</v>
      </c>
      <c r="J1346" s="29"/>
      <c r="K1346" s="35">
        <v>44466</v>
      </c>
      <c r="L1346" s="10">
        <v>44512</v>
      </c>
      <c r="M1346" s="10">
        <v>44526</v>
      </c>
      <c r="N1346" s="9">
        <v>2021</v>
      </c>
      <c r="O1346" s="9" t="s">
        <v>6506</v>
      </c>
      <c r="P1346" s="9" t="s">
        <v>83</v>
      </c>
      <c r="Q1346" s="9" t="s">
        <v>53</v>
      </c>
      <c r="R1346" s="9" t="s">
        <v>6642</v>
      </c>
      <c r="T1346" s="9"/>
      <c r="V1346" s="9"/>
      <c r="W1346" s="11" t="str">
        <f>IFERROR(VLOOKUP(B1346, PlumX_snapshot!$A:$B, 2, FALSE), " ")</f>
        <v xml:space="preserve"> </v>
      </c>
      <c r="X1346" s="11" t="str">
        <f>IFERROR(VLOOKUP(B1346, PlumX_snapshot!$A:$C, 3, FALSE), " ")</f>
        <v xml:space="preserve"> </v>
      </c>
      <c r="Y1346" s="12" t="str">
        <f>IFERROR(VLOOKUP(B1346, PlumX_snapshot!$A:$D, 4, FALSE), " ")</f>
        <v xml:space="preserve"> </v>
      </c>
      <c r="Z1346" s="12" t="str">
        <f>IFERROR(VLOOKUP(B1346, PlumX_snapshot!$A:$E, 5, FALSE), " ")</f>
        <v xml:space="preserve"> </v>
      </c>
      <c r="AA1346" s="12" t="str">
        <f>IFERROR(VLOOKUP(B1346, PlumX_snapshot!$A:$F, 6, FALSE), " ")</f>
        <v xml:space="preserve"> </v>
      </c>
      <c r="AB1346" s="13"/>
      <c r="AC1346" s="9" t="s">
        <v>6331</v>
      </c>
      <c r="AD1346" s="9" t="s">
        <v>6332</v>
      </c>
      <c r="AE1346" s="9" t="s">
        <v>6333</v>
      </c>
      <c r="AF1346" s="9" t="s">
        <v>6643</v>
      </c>
      <c r="AH1346" s="9">
        <v>3600</v>
      </c>
      <c r="AI1346" s="9" t="s">
        <v>77</v>
      </c>
      <c r="AJ1346" s="9" t="s">
        <v>301</v>
      </c>
      <c r="AK1346" s="11" t="str">
        <f t="shared" si="10"/>
        <v>2021GBP</v>
      </c>
      <c r="AL1346" s="11">
        <f>VLOOKUP(AK1346, Exchange_rates!$C:$D, 2, FALSE)</f>
        <v>1</v>
      </c>
      <c r="AM1346" s="14">
        <f t="shared" si="11"/>
        <v>4320</v>
      </c>
      <c r="AN1346" s="9"/>
      <c r="AO1346" s="9"/>
      <c r="AP1346" s="9"/>
      <c r="AQ1346" s="15" t="s">
        <v>49</v>
      </c>
      <c r="AR1346" t="s">
        <v>6644</v>
      </c>
      <c r="AS1346" s="16"/>
    </row>
    <row r="1347" spans="1:45" ht="14.5">
      <c r="A1347" s="9" t="s">
        <v>6645</v>
      </c>
      <c r="B1347" s="9" t="s">
        <v>6646</v>
      </c>
      <c r="C1347" s="9" t="s">
        <v>6647</v>
      </c>
      <c r="D1347" s="9" t="s">
        <v>5539</v>
      </c>
      <c r="E1347" s="9" t="s">
        <v>49</v>
      </c>
      <c r="F1347" s="9" t="s">
        <v>69</v>
      </c>
      <c r="G1347" s="9" t="s">
        <v>70</v>
      </c>
      <c r="H1347" s="9" t="s">
        <v>5598</v>
      </c>
      <c r="I1347" s="9" t="s">
        <v>72</v>
      </c>
      <c r="J1347" s="29"/>
      <c r="K1347" s="36">
        <v>44501</v>
      </c>
      <c r="L1347" s="10">
        <v>44511</v>
      </c>
      <c r="M1347" s="10">
        <v>44531</v>
      </c>
      <c r="N1347" s="9">
        <v>2021</v>
      </c>
      <c r="O1347" s="9" t="s">
        <v>6506</v>
      </c>
      <c r="P1347" s="9" t="s">
        <v>83</v>
      </c>
      <c r="Q1347" s="9" t="s">
        <v>53</v>
      </c>
      <c r="R1347" s="9" t="s">
        <v>6648</v>
      </c>
      <c r="T1347" s="9"/>
      <c r="V1347" s="9"/>
      <c r="W1347" s="11" t="str">
        <f>IFERROR(VLOOKUP(B1347, PlumX_snapshot!$A:$B, 2, FALSE), " ")</f>
        <v xml:space="preserve"> </v>
      </c>
      <c r="X1347" s="11" t="str">
        <f>IFERROR(VLOOKUP(B1347, PlumX_snapshot!$A:$C, 3, FALSE), " ")</f>
        <v xml:space="preserve"> </v>
      </c>
      <c r="Y1347" s="12" t="str">
        <f>IFERROR(VLOOKUP(B1347, PlumX_snapshot!$A:$D, 4, FALSE), " ")</f>
        <v xml:space="preserve"> </v>
      </c>
      <c r="Z1347" s="12" t="str">
        <f>IFERROR(VLOOKUP(B1347, PlumX_snapshot!$A:$E, 5, FALSE), " ")</f>
        <v xml:space="preserve"> </v>
      </c>
      <c r="AA1347" s="12" t="str">
        <f>IFERROR(VLOOKUP(B1347, PlumX_snapshot!$A:$F, 6, FALSE), " ")</f>
        <v xml:space="preserve"> </v>
      </c>
      <c r="AB1347" s="13"/>
      <c r="AC1347" s="9" t="s">
        <v>5692</v>
      </c>
      <c r="AD1347" s="9" t="s">
        <v>5693</v>
      </c>
      <c r="AE1347" s="9" t="s">
        <v>5694</v>
      </c>
      <c r="AF1347" s="9" t="s">
        <v>6649</v>
      </c>
      <c r="AH1347" s="9">
        <v>2800</v>
      </c>
      <c r="AI1347" s="9" t="s">
        <v>77</v>
      </c>
      <c r="AJ1347" s="9" t="s">
        <v>301</v>
      </c>
      <c r="AK1347" s="11" t="str">
        <f t="shared" si="10"/>
        <v>2021GBP</v>
      </c>
      <c r="AL1347" s="11">
        <f>VLOOKUP(AK1347, Exchange_rates!$C:$D, 2, FALSE)</f>
        <v>1</v>
      </c>
      <c r="AM1347" s="14">
        <f t="shared" si="11"/>
        <v>3360</v>
      </c>
      <c r="AN1347" s="9"/>
      <c r="AO1347" s="9"/>
      <c r="AP1347" s="9"/>
      <c r="AQ1347" s="15" t="s">
        <v>49</v>
      </c>
      <c r="AR1347" t="s">
        <v>6650</v>
      </c>
      <c r="AS1347" s="16"/>
    </row>
    <row r="1348" spans="1:45" ht="14.5">
      <c r="A1348" s="9" t="s">
        <v>6651</v>
      </c>
      <c r="B1348" s="9" t="s">
        <v>6652</v>
      </c>
      <c r="C1348" s="9" t="s">
        <v>6653</v>
      </c>
      <c r="D1348" s="9" t="s">
        <v>5539</v>
      </c>
      <c r="E1348" s="9" t="s">
        <v>49</v>
      </c>
      <c r="F1348" s="9" t="s">
        <v>69</v>
      </c>
      <c r="G1348" s="9" t="s">
        <v>70</v>
      </c>
      <c r="H1348" s="9" t="s">
        <v>5598</v>
      </c>
      <c r="I1348" s="9" t="s">
        <v>72</v>
      </c>
      <c r="J1348" s="29"/>
      <c r="K1348" s="35">
        <v>44479</v>
      </c>
      <c r="L1348" s="10">
        <v>44501</v>
      </c>
      <c r="M1348" s="10">
        <v>44530</v>
      </c>
      <c r="N1348" s="9">
        <v>2021</v>
      </c>
      <c r="O1348" s="9" t="s">
        <v>6506</v>
      </c>
      <c r="P1348" s="9" t="s">
        <v>83</v>
      </c>
      <c r="Q1348" s="9" t="s">
        <v>53</v>
      </c>
      <c r="R1348" s="9" t="s">
        <v>6654</v>
      </c>
      <c r="T1348" s="9"/>
      <c r="V1348" s="9"/>
      <c r="W1348" s="11" t="str">
        <f>IFERROR(VLOOKUP(B1348, PlumX_snapshot!$A:$B, 2, FALSE), " ")</f>
        <v xml:space="preserve"> </v>
      </c>
      <c r="X1348" s="11" t="str">
        <f>IFERROR(VLOOKUP(B1348, PlumX_snapshot!$A:$C, 3, FALSE), " ")</f>
        <v xml:space="preserve"> </v>
      </c>
      <c r="Y1348" s="12" t="str">
        <f>IFERROR(VLOOKUP(B1348, PlumX_snapshot!$A:$D, 4, FALSE), " ")</f>
        <v xml:space="preserve"> </v>
      </c>
      <c r="Z1348" s="12" t="str">
        <f>IFERROR(VLOOKUP(B1348, PlumX_snapshot!$A:$E, 5, FALSE), " ")</f>
        <v xml:space="preserve"> </v>
      </c>
      <c r="AA1348" s="12" t="str">
        <f>IFERROR(VLOOKUP(B1348, PlumX_snapshot!$A:$F, 6, FALSE), " ")</f>
        <v xml:space="preserve"> </v>
      </c>
      <c r="AB1348" s="13"/>
      <c r="AC1348" s="9" t="s">
        <v>6118</v>
      </c>
      <c r="AD1348" s="9" t="s">
        <v>6119</v>
      </c>
      <c r="AE1348" s="9" t="s">
        <v>6120</v>
      </c>
      <c r="AH1348" s="9">
        <v>3000</v>
      </c>
      <c r="AI1348" s="9" t="s">
        <v>77</v>
      </c>
      <c r="AJ1348" s="9" t="s">
        <v>301</v>
      </c>
      <c r="AK1348" s="11" t="str">
        <f t="shared" si="10"/>
        <v>2021GBP</v>
      </c>
      <c r="AL1348" s="11">
        <f>VLOOKUP(AK1348, Exchange_rates!$C:$D, 2, FALSE)</f>
        <v>1</v>
      </c>
      <c r="AM1348" s="14">
        <f t="shared" si="11"/>
        <v>3600</v>
      </c>
      <c r="AN1348" s="9"/>
      <c r="AO1348" s="9"/>
      <c r="AP1348" s="9"/>
      <c r="AQ1348" s="15" t="s">
        <v>49</v>
      </c>
      <c r="AR1348" t="s">
        <v>5558</v>
      </c>
      <c r="AS1348" s="16"/>
    </row>
    <row r="1349" spans="1:45" ht="14.5">
      <c r="A1349" s="9" t="s">
        <v>6655</v>
      </c>
      <c r="B1349" s="9" t="s">
        <v>6656</v>
      </c>
      <c r="C1349" s="9" t="s">
        <v>6657</v>
      </c>
      <c r="D1349" s="9" t="s">
        <v>5539</v>
      </c>
      <c r="E1349" s="9" t="s">
        <v>49</v>
      </c>
      <c r="F1349" s="9" t="s">
        <v>69</v>
      </c>
      <c r="G1349" s="9" t="s">
        <v>70</v>
      </c>
      <c r="H1349" s="9" t="s">
        <v>6505</v>
      </c>
      <c r="I1349" s="9" t="s">
        <v>72</v>
      </c>
      <c r="J1349" s="29"/>
      <c r="K1349" s="35">
        <v>44670</v>
      </c>
      <c r="L1349" s="10">
        <v>44697</v>
      </c>
      <c r="M1349" s="10"/>
      <c r="N1349" s="9">
        <v>2022</v>
      </c>
      <c r="O1349" s="9" t="s">
        <v>6658</v>
      </c>
      <c r="P1349" s="9" t="s">
        <v>53</v>
      </c>
      <c r="Q1349" s="9" t="s">
        <v>53</v>
      </c>
      <c r="R1349" s="9" t="s">
        <v>6659</v>
      </c>
      <c r="T1349" s="9"/>
      <c r="V1349" s="9"/>
      <c r="W1349" s="11" t="str">
        <f>IFERROR(VLOOKUP(B1349, PlumX_snapshot!$A:$B, 2, FALSE), " ")</f>
        <v xml:space="preserve"> </v>
      </c>
      <c r="X1349" s="11" t="str">
        <f>IFERROR(VLOOKUP(B1349, PlumX_snapshot!$A:$C, 3, FALSE), " ")</f>
        <v xml:space="preserve"> </v>
      </c>
      <c r="Y1349" s="12" t="str">
        <f>IFERROR(VLOOKUP(B1349, PlumX_snapshot!$A:$D, 4, FALSE), " ")</f>
        <v xml:space="preserve"> </v>
      </c>
      <c r="Z1349" s="12" t="str">
        <f>IFERROR(VLOOKUP(B1349, PlumX_snapshot!$A:$E, 5, FALSE), " ")</f>
        <v xml:space="preserve"> </v>
      </c>
      <c r="AA1349" s="12" t="str">
        <f>IFERROR(VLOOKUP(B1349, PlumX_snapshot!$A:$F, 6, FALSE), " ")</f>
        <v xml:space="preserve"> </v>
      </c>
      <c r="AB1349" s="13"/>
      <c r="AC1349" s="9" t="s">
        <v>6660</v>
      </c>
      <c r="AD1349" s="9" t="s">
        <v>6661</v>
      </c>
      <c r="AE1349" s="9" t="s">
        <v>6662</v>
      </c>
      <c r="AF1349" s="9" t="s">
        <v>6663</v>
      </c>
      <c r="AH1349" s="9">
        <v>1600</v>
      </c>
      <c r="AI1349" s="9" t="s">
        <v>77</v>
      </c>
      <c r="AJ1349" s="9" t="s">
        <v>301</v>
      </c>
      <c r="AK1349" s="11" t="str">
        <f t="shared" si="10"/>
        <v>2022GBP</v>
      </c>
      <c r="AL1349" s="11">
        <f>VLOOKUP(AK1349, Exchange_rates!$C:$D, 2, FALSE)</f>
        <v>1</v>
      </c>
      <c r="AM1349" s="14">
        <f t="shared" si="11"/>
        <v>1920</v>
      </c>
      <c r="AN1349" s="9"/>
      <c r="AO1349" s="9"/>
      <c r="AP1349" s="9"/>
      <c r="AQ1349" s="15" t="s">
        <v>49</v>
      </c>
      <c r="AR1349" t="s">
        <v>6664</v>
      </c>
      <c r="AS1349" s="16"/>
    </row>
    <row r="1350" spans="1:45" ht="14.5">
      <c r="A1350" s="9" t="s">
        <v>6665</v>
      </c>
      <c r="B1350" s="9" t="s">
        <v>6666</v>
      </c>
      <c r="C1350" s="9" t="s">
        <v>5627</v>
      </c>
      <c r="D1350" s="9" t="s">
        <v>5539</v>
      </c>
      <c r="E1350" s="9" t="s">
        <v>49</v>
      </c>
      <c r="F1350" s="9" t="s">
        <v>69</v>
      </c>
      <c r="G1350" s="9" t="s">
        <v>70</v>
      </c>
      <c r="H1350" s="9" t="s">
        <v>6505</v>
      </c>
      <c r="I1350" s="9" t="s">
        <v>72</v>
      </c>
      <c r="J1350" s="29"/>
      <c r="K1350" s="37">
        <v>44687</v>
      </c>
      <c r="L1350" s="10">
        <v>44697</v>
      </c>
      <c r="M1350" s="10"/>
      <c r="N1350" s="9">
        <v>2022</v>
      </c>
      <c r="O1350" s="9" t="s">
        <v>6658</v>
      </c>
      <c r="P1350" s="9" t="s">
        <v>53</v>
      </c>
      <c r="Q1350" s="9" t="s">
        <v>53</v>
      </c>
      <c r="R1350" s="9" t="s">
        <v>6667</v>
      </c>
      <c r="T1350" s="9"/>
      <c r="V1350" s="9"/>
      <c r="W1350" s="11" t="str">
        <f>IFERROR(VLOOKUP(B1350, PlumX_snapshot!$A:$B, 2, FALSE), " ")</f>
        <v xml:space="preserve"> </v>
      </c>
      <c r="X1350" s="11" t="str">
        <f>IFERROR(VLOOKUP(B1350, PlumX_snapshot!$A:$C, 3, FALSE), " ")</f>
        <v xml:space="preserve"> </v>
      </c>
      <c r="Y1350" s="12" t="str">
        <f>IFERROR(VLOOKUP(B1350, PlumX_snapshot!$A:$D, 4, FALSE), " ")</f>
        <v xml:space="preserve"> </v>
      </c>
      <c r="Z1350" s="12" t="str">
        <f>IFERROR(VLOOKUP(B1350, PlumX_snapshot!$A:$E, 5, FALSE), " ")</f>
        <v xml:space="preserve"> </v>
      </c>
      <c r="AA1350" s="12" t="str">
        <f>IFERROR(VLOOKUP(B1350, PlumX_snapshot!$A:$F, 6, FALSE), " ")</f>
        <v xml:space="preserve"> </v>
      </c>
      <c r="AB1350" s="13"/>
      <c r="AC1350" s="9" t="s">
        <v>6668</v>
      </c>
      <c r="AD1350" s="9" t="s">
        <v>6669</v>
      </c>
      <c r="AE1350" s="9" t="s">
        <v>6670</v>
      </c>
      <c r="AF1350" s="9" t="s">
        <v>6671</v>
      </c>
      <c r="AH1350" s="9">
        <v>3200</v>
      </c>
      <c r="AI1350" s="9" t="s">
        <v>77</v>
      </c>
      <c r="AJ1350" s="9" t="s">
        <v>301</v>
      </c>
      <c r="AK1350" s="11" t="str">
        <f t="shared" si="10"/>
        <v>2022GBP</v>
      </c>
      <c r="AL1350" s="11">
        <f>VLOOKUP(AK1350, Exchange_rates!$C:$D, 2, FALSE)</f>
        <v>1</v>
      </c>
      <c r="AM1350" s="14">
        <f t="shared" si="11"/>
        <v>3840</v>
      </c>
      <c r="AN1350" s="9"/>
      <c r="AO1350" s="9"/>
      <c r="AP1350" s="9"/>
      <c r="AQ1350" s="15" t="s">
        <v>49</v>
      </c>
      <c r="AR1350" t="s">
        <v>5631</v>
      </c>
      <c r="AS1350" s="16"/>
    </row>
    <row r="1351" spans="1:45" ht="14.5">
      <c r="A1351" s="9" t="s">
        <v>6672</v>
      </c>
      <c r="B1351" s="9" t="s">
        <v>6673</v>
      </c>
      <c r="C1351" s="9" t="s">
        <v>6674</v>
      </c>
      <c r="D1351" s="9" t="s">
        <v>5539</v>
      </c>
      <c r="E1351" s="9" t="s">
        <v>49</v>
      </c>
      <c r="F1351" s="9" t="s">
        <v>69</v>
      </c>
      <c r="G1351" s="9" t="s">
        <v>70</v>
      </c>
      <c r="H1351" s="9" t="s">
        <v>6505</v>
      </c>
      <c r="I1351" s="9" t="s">
        <v>72</v>
      </c>
      <c r="J1351" s="29"/>
      <c r="K1351" s="35">
        <v>44581</v>
      </c>
      <c r="L1351" s="10">
        <v>44690</v>
      </c>
      <c r="M1351" s="10">
        <v>44697</v>
      </c>
      <c r="N1351" s="9">
        <v>2022</v>
      </c>
      <c r="O1351" s="9" t="s">
        <v>6658</v>
      </c>
      <c r="P1351" s="9" t="s">
        <v>83</v>
      </c>
      <c r="Q1351" s="9" t="s">
        <v>53</v>
      </c>
      <c r="R1351" s="9" t="s">
        <v>6675</v>
      </c>
      <c r="T1351" s="9"/>
      <c r="V1351" s="9"/>
      <c r="W1351" s="11" t="str">
        <f>IFERROR(VLOOKUP(B1351, PlumX_snapshot!$A:$B, 2, FALSE), " ")</f>
        <v xml:space="preserve"> </v>
      </c>
      <c r="X1351" s="11" t="str">
        <f>IFERROR(VLOOKUP(B1351, PlumX_snapshot!$A:$C, 3, FALSE), " ")</f>
        <v xml:space="preserve"> </v>
      </c>
      <c r="Y1351" s="12" t="str">
        <f>IFERROR(VLOOKUP(B1351, PlumX_snapshot!$A:$D, 4, FALSE), " ")</f>
        <v xml:space="preserve"> </v>
      </c>
      <c r="Z1351" s="12" t="str">
        <f>IFERROR(VLOOKUP(B1351, PlumX_snapshot!$A:$E, 5, FALSE), " ")</f>
        <v xml:space="preserve"> </v>
      </c>
      <c r="AA1351" s="12" t="str">
        <f>IFERROR(VLOOKUP(B1351, PlumX_snapshot!$A:$F, 6, FALSE), " ")</f>
        <v xml:space="preserve"> </v>
      </c>
      <c r="AB1351" s="13"/>
      <c r="AC1351" s="9" t="s">
        <v>6676</v>
      </c>
      <c r="AD1351" s="9" t="s">
        <v>1889</v>
      </c>
      <c r="AE1351" s="9" t="s">
        <v>6677</v>
      </c>
      <c r="AF1351" s="9" t="s">
        <v>6678</v>
      </c>
      <c r="AH1351" s="9">
        <v>1700</v>
      </c>
      <c r="AI1351" s="9" t="s">
        <v>77</v>
      </c>
      <c r="AJ1351" s="9" t="s">
        <v>301</v>
      </c>
      <c r="AK1351" s="11" t="str">
        <f t="shared" si="10"/>
        <v>2022GBP</v>
      </c>
      <c r="AL1351" s="11">
        <f>VLOOKUP(AK1351, Exchange_rates!$C:$D, 2, FALSE)</f>
        <v>1</v>
      </c>
      <c r="AM1351" s="14">
        <f t="shared" si="11"/>
        <v>2040</v>
      </c>
      <c r="AN1351" s="9"/>
      <c r="AO1351" s="9"/>
      <c r="AP1351" s="9"/>
      <c r="AQ1351" s="15" t="s">
        <v>49</v>
      </c>
      <c r="AR1351" t="s">
        <v>6679</v>
      </c>
      <c r="AS1351" s="16"/>
    </row>
    <row r="1352" spans="1:45" ht="14.5">
      <c r="A1352" s="9" t="s">
        <v>6680</v>
      </c>
      <c r="B1352" s="9" t="s">
        <v>6681</v>
      </c>
      <c r="C1352" s="9" t="s">
        <v>6363</v>
      </c>
      <c r="D1352" s="9" t="s">
        <v>5539</v>
      </c>
      <c r="E1352" s="9" t="s">
        <v>49</v>
      </c>
      <c r="F1352" s="9" t="s">
        <v>69</v>
      </c>
      <c r="G1352" s="9" t="s">
        <v>70</v>
      </c>
      <c r="H1352" s="9" t="s">
        <v>6505</v>
      </c>
      <c r="I1352" s="9" t="s">
        <v>72</v>
      </c>
      <c r="J1352" s="29"/>
      <c r="K1352" s="35">
        <v>44497</v>
      </c>
      <c r="L1352" s="10">
        <v>44690</v>
      </c>
      <c r="M1352" s="10">
        <v>44697</v>
      </c>
      <c r="N1352" s="9">
        <v>2022</v>
      </c>
      <c r="O1352" s="9" t="s">
        <v>6658</v>
      </c>
      <c r="P1352" s="9" t="s">
        <v>53</v>
      </c>
      <c r="Q1352" s="9" t="s">
        <v>53</v>
      </c>
      <c r="R1352" s="9" t="s">
        <v>6682</v>
      </c>
      <c r="T1352" s="9"/>
      <c r="V1352" s="9"/>
      <c r="W1352" s="11" t="str">
        <f>IFERROR(VLOOKUP(B1352, PlumX_snapshot!$A:$B, 2, FALSE), " ")</f>
        <v xml:space="preserve"> </v>
      </c>
      <c r="X1352" s="11" t="str">
        <f>IFERROR(VLOOKUP(B1352, PlumX_snapshot!$A:$C, 3, FALSE), " ")</f>
        <v xml:space="preserve"> </v>
      </c>
      <c r="Y1352" s="12" t="str">
        <f>IFERROR(VLOOKUP(B1352, PlumX_snapshot!$A:$D, 4, FALSE), " ")</f>
        <v xml:space="preserve"> </v>
      </c>
      <c r="Z1352" s="12" t="str">
        <f>IFERROR(VLOOKUP(B1352, PlumX_snapshot!$A:$E, 5, FALSE), " ")</f>
        <v xml:space="preserve"> </v>
      </c>
      <c r="AA1352" s="12" t="str">
        <f>IFERROR(VLOOKUP(B1352, PlumX_snapshot!$A:$F, 6, FALSE), " ")</f>
        <v xml:space="preserve"> </v>
      </c>
      <c r="AB1352" s="13"/>
      <c r="AC1352" s="9" t="s">
        <v>6683</v>
      </c>
      <c r="AD1352" s="9" t="s">
        <v>6684</v>
      </c>
      <c r="AF1352" s="9" t="s">
        <v>6685</v>
      </c>
      <c r="AH1352" s="9">
        <v>2400</v>
      </c>
      <c r="AI1352" s="9" t="s">
        <v>77</v>
      </c>
      <c r="AJ1352" s="9" t="s">
        <v>301</v>
      </c>
      <c r="AK1352" s="11" t="str">
        <f t="shared" si="10"/>
        <v>2022GBP</v>
      </c>
      <c r="AL1352" s="11">
        <f>VLOOKUP(AK1352, Exchange_rates!$C:$D, 2, FALSE)</f>
        <v>1</v>
      </c>
      <c r="AM1352" s="14">
        <f t="shared" si="11"/>
        <v>2880</v>
      </c>
      <c r="AN1352" s="9"/>
      <c r="AO1352" s="9"/>
      <c r="AP1352" s="9"/>
      <c r="AQ1352" s="15" t="s">
        <v>49</v>
      </c>
      <c r="AR1352" t="s">
        <v>6367</v>
      </c>
      <c r="AS1352" s="16"/>
    </row>
    <row r="1353" spans="1:45" ht="14.5">
      <c r="A1353" s="9" t="s">
        <v>6686</v>
      </c>
      <c r="B1353" s="9" t="s">
        <v>6687</v>
      </c>
      <c r="C1353" s="9" t="s">
        <v>6688</v>
      </c>
      <c r="D1353" s="9" t="s">
        <v>5539</v>
      </c>
      <c r="E1353" s="9" t="s">
        <v>49</v>
      </c>
      <c r="F1353" s="9" t="s">
        <v>69</v>
      </c>
      <c r="G1353" s="9" t="s">
        <v>70</v>
      </c>
      <c r="H1353" s="9" t="s">
        <v>6505</v>
      </c>
      <c r="I1353" s="9" t="s">
        <v>72</v>
      </c>
      <c r="J1353" s="29"/>
      <c r="K1353" s="37">
        <v>44687</v>
      </c>
      <c r="L1353" s="10">
        <v>44687</v>
      </c>
      <c r="M1353" s="10">
        <v>44687</v>
      </c>
      <c r="N1353" s="9">
        <v>2022</v>
      </c>
      <c r="O1353" s="9" t="s">
        <v>6658</v>
      </c>
      <c r="P1353" s="9" t="s">
        <v>83</v>
      </c>
      <c r="Q1353" s="9" t="s">
        <v>53</v>
      </c>
      <c r="R1353" s="9" t="s">
        <v>6689</v>
      </c>
      <c r="T1353" s="9"/>
      <c r="V1353" s="9"/>
      <c r="W1353" s="11" t="str">
        <f>IFERROR(VLOOKUP(B1353, PlumX_snapshot!$A:$B, 2, FALSE), " ")</f>
        <v xml:space="preserve"> </v>
      </c>
      <c r="X1353" s="11" t="str">
        <f>IFERROR(VLOOKUP(B1353, PlumX_snapshot!$A:$C, 3, FALSE), " ")</f>
        <v xml:space="preserve"> </v>
      </c>
      <c r="Y1353" s="12" t="str">
        <f>IFERROR(VLOOKUP(B1353, PlumX_snapshot!$A:$D, 4, FALSE), " ")</f>
        <v xml:space="preserve"> </v>
      </c>
      <c r="Z1353" s="12" t="str">
        <f>IFERROR(VLOOKUP(B1353, PlumX_snapshot!$A:$E, 5, FALSE), " ")</f>
        <v xml:space="preserve"> </v>
      </c>
      <c r="AA1353" s="12" t="str">
        <f>IFERROR(VLOOKUP(B1353, PlumX_snapshot!$A:$F, 6, FALSE), " ")</f>
        <v xml:space="preserve"> </v>
      </c>
      <c r="AB1353" s="13"/>
      <c r="AC1353" s="9" t="s">
        <v>5548</v>
      </c>
      <c r="AD1353" s="9" t="s">
        <v>174</v>
      </c>
      <c r="AE1353" s="9" t="s">
        <v>5549</v>
      </c>
      <c r="AF1353" s="9" t="s">
        <v>6690</v>
      </c>
      <c r="AH1353" s="9">
        <v>2550</v>
      </c>
      <c r="AI1353" s="9" t="s">
        <v>77</v>
      </c>
      <c r="AJ1353" s="9" t="s">
        <v>301</v>
      </c>
      <c r="AK1353" s="11" t="str">
        <f t="shared" si="10"/>
        <v>2022GBP</v>
      </c>
      <c r="AL1353" s="11">
        <f>VLOOKUP(AK1353, Exchange_rates!$C:$D, 2, FALSE)</f>
        <v>1</v>
      </c>
      <c r="AM1353" s="14">
        <f t="shared" si="11"/>
        <v>3060</v>
      </c>
      <c r="AN1353" s="9"/>
      <c r="AO1353" s="9"/>
      <c r="AP1353" s="9"/>
      <c r="AQ1353" s="15" t="s">
        <v>49</v>
      </c>
      <c r="AR1353" t="s">
        <v>6691</v>
      </c>
      <c r="AS1353" s="16"/>
    </row>
    <row r="1354" spans="1:45" ht="14.5">
      <c r="A1354" s="9" t="s">
        <v>6692</v>
      </c>
      <c r="B1354" s="9" t="s">
        <v>6693</v>
      </c>
      <c r="C1354" s="9" t="s">
        <v>6139</v>
      </c>
      <c r="D1354" s="9" t="s">
        <v>5539</v>
      </c>
      <c r="E1354" s="9" t="s">
        <v>49</v>
      </c>
      <c r="F1354" s="9" t="s">
        <v>69</v>
      </c>
      <c r="G1354" s="9" t="s">
        <v>70</v>
      </c>
      <c r="H1354" s="9" t="s">
        <v>6505</v>
      </c>
      <c r="I1354" s="9" t="s">
        <v>238</v>
      </c>
      <c r="J1354" s="29"/>
      <c r="K1354" s="35">
        <v>44677</v>
      </c>
      <c r="L1354" s="10">
        <v>44685</v>
      </c>
      <c r="M1354" s="10"/>
      <c r="N1354" s="9">
        <v>2022</v>
      </c>
      <c r="O1354" s="9" t="s">
        <v>6658</v>
      </c>
      <c r="P1354" s="9" t="s">
        <v>53</v>
      </c>
      <c r="Q1354" s="9" t="s">
        <v>53</v>
      </c>
      <c r="T1354" s="9"/>
      <c r="V1354" s="9"/>
      <c r="W1354" s="11" t="str">
        <f>IFERROR(VLOOKUP(B1354, PlumX_snapshot!$A:$B, 2, FALSE), " ")</f>
        <v xml:space="preserve"> </v>
      </c>
      <c r="X1354" s="11" t="str">
        <f>IFERROR(VLOOKUP(B1354, PlumX_snapshot!$A:$C, 3, FALSE), " ")</f>
        <v xml:space="preserve"> </v>
      </c>
      <c r="Y1354" s="12" t="str">
        <f>IFERROR(VLOOKUP(B1354, PlumX_snapshot!$A:$D, 4, FALSE), " ")</f>
        <v xml:space="preserve"> </v>
      </c>
      <c r="Z1354" s="12" t="str">
        <f>IFERROR(VLOOKUP(B1354, PlumX_snapshot!$A:$E, 5, FALSE), " ")</f>
        <v xml:space="preserve"> </v>
      </c>
      <c r="AA1354" s="12" t="str">
        <f>IFERROR(VLOOKUP(B1354, PlumX_snapshot!$A:$F, 6, FALSE), " ")</f>
        <v xml:space="preserve"> </v>
      </c>
      <c r="AB1354" s="13"/>
      <c r="AC1354" s="9" t="s">
        <v>6694</v>
      </c>
      <c r="AD1354" s="9" t="s">
        <v>6695</v>
      </c>
      <c r="AE1354" s="9" t="s">
        <v>6696</v>
      </c>
      <c r="AF1354" s="9" t="s">
        <v>6697</v>
      </c>
      <c r="AH1354" s="9">
        <v>2200</v>
      </c>
      <c r="AI1354" s="9" t="s">
        <v>77</v>
      </c>
      <c r="AJ1354" s="9" t="s">
        <v>301</v>
      </c>
      <c r="AK1354" s="11" t="str">
        <f t="shared" si="10"/>
        <v>2022GBP</v>
      </c>
      <c r="AL1354" s="11">
        <f>VLOOKUP(AK1354, Exchange_rates!$C:$D, 2, FALSE)</f>
        <v>1</v>
      </c>
      <c r="AM1354" s="14">
        <f t="shared" si="11"/>
        <v>2640</v>
      </c>
      <c r="AN1354" s="9"/>
      <c r="AO1354" s="9"/>
      <c r="AP1354" s="9"/>
      <c r="AQ1354" s="15" t="s">
        <v>49</v>
      </c>
      <c r="AR1354" t="s">
        <v>6143</v>
      </c>
      <c r="AS1354" s="16"/>
    </row>
    <row r="1355" spans="1:45" ht="14.5">
      <c r="A1355" s="9" t="s">
        <v>6698</v>
      </c>
      <c r="B1355" s="9" t="s">
        <v>6699</v>
      </c>
      <c r="C1355" s="9" t="s">
        <v>6700</v>
      </c>
      <c r="D1355" s="9" t="s">
        <v>5539</v>
      </c>
      <c r="E1355" s="9" t="s">
        <v>49</v>
      </c>
      <c r="F1355" s="9" t="s">
        <v>69</v>
      </c>
      <c r="G1355" s="9" t="s">
        <v>51</v>
      </c>
      <c r="H1355" s="9"/>
      <c r="I1355" s="9" t="s">
        <v>291</v>
      </c>
      <c r="J1355" s="29"/>
      <c r="K1355" s="29"/>
      <c r="L1355" s="10"/>
      <c r="M1355" s="10">
        <v>44713</v>
      </c>
      <c r="N1355" s="9">
        <v>2022</v>
      </c>
      <c r="O1355" s="9" t="s">
        <v>6658</v>
      </c>
      <c r="P1355" s="9" t="s">
        <v>53</v>
      </c>
      <c r="Q1355" s="9" t="s">
        <v>53</v>
      </c>
      <c r="T1355" s="9" t="s">
        <v>55</v>
      </c>
      <c r="U1355" s="9" t="s">
        <v>6701</v>
      </c>
      <c r="V1355" s="9"/>
      <c r="W1355" s="11" t="str">
        <f>IFERROR(VLOOKUP(B1355, PlumX_snapshot!$A:$B, 2, FALSE), " ")</f>
        <v xml:space="preserve"> </v>
      </c>
      <c r="X1355" s="11" t="str">
        <f>IFERROR(VLOOKUP(B1355, PlumX_snapshot!$A:$C, 3, FALSE), " ")</f>
        <v xml:space="preserve"> </v>
      </c>
      <c r="Y1355" s="12" t="str">
        <f>IFERROR(VLOOKUP(B1355, PlumX_snapshot!$A:$D, 4, FALSE), " ")</f>
        <v xml:space="preserve"> </v>
      </c>
      <c r="Z1355" s="12" t="str">
        <f>IFERROR(VLOOKUP(B1355, PlumX_snapshot!$A:$E, 5, FALSE), " ")</f>
        <v xml:space="preserve"> </v>
      </c>
      <c r="AA1355" s="12" t="str">
        <f>IFERROR(VLOOKUP(B1355, PlumX_snapshot!$A:$F, 6, FALSE), " ")</f>
        <v xml:space="preserve"> </v>
      </c>
      <c r="AB1355" s="13"/>
      <c r="AC1355" s="9" t="s">
        <v>6702</v>
      </c>
      <c r="AD1355" s="9" t="s">
        <v>6703</v>
      </c>
      <c r="AG1355" s="9" t="s">
        <v>70</v>
      </c>
      <c r="AH1355" s="9">
        <v>1700</v>
      </c>
      <c r="AI1355" s="9" t="s">
        <v>77</v>
      </c>
      <c r="AJ1355" s="9" t="s">
        <v>301</v>
      </c>
      <c r="AK1355" s="11" t="str">
        <f t="shared" si="10"/>
        <v>2022GBP</v>
      </c>
      <c r="AL1355" s="11">
        <f>VLOOKUP(AK1355, Exchange_rates!$C:$D, 2, FALSE)</f>
        <v>1</v>
      </c>
      <c r="AM1355" s="14">
        <f t="shared" si="11"/>
        <v>2040</v>
      </c>
      <c r="AN1355" s="9"/>
      <c r="AO1355" s="9"/>
      <c r="AP1355" s="9"/>
      <c r="AQ1355" s="15" t="s">
        <v>49</v>
      </c>
      <c r="AR1355" t="s">
        <v>6704</v>
      </c>
      <c r="AS1355" s="16"/>
    </row>
    <row r="1356" spans="1:45" ht="14.5">
      <c r="A1356" s="9" t="s">
        <v>6705</v>
      </c>
      <c r="B1356" s="9" t="s">
        <v>6706</v>
      </c>
      <c r="C1356" s="9" t="s">
        <v>6139</v>
      </c>
      <c r="D1356" s="9" t="s">
        <v>5539</v>
      </c>
      <c r="E1356" s="9" t="s">
        <v>49</v>
      </c>
      <c r="F1356" s="9" t="s">
        <v>69</v>
      </c>
      <c r="G1356" s="9" t="s">
        <v>51</v>
      </c>
      <c r="H1356" s="9"/>
      <c r="I1356" s="9" t="s">
        <v>72</v>
      </c>
      <c r="J1356" s="29"/>
      <c r="K1356" s="35">
        <v>44669</v>
      </c>
      <c r="L1356" s="10"/>
      <c r="M1356" s="10"/>
      <c r="N1356" s="9">
        <v>2022</v>
      </c>
      <c r="O1356" s="9" t="s">
        <v>6658</v>
      </c>
      <c r="P1356" s="9" t="s">
        <v>53</v>
      </c>
      <c r="Q1356" s="9" t="s">
        <v>53</v>
      </c>
      <c r="R1356" s="9" t="s">
        <v>6707</v>
      </c>
      <c r="T1356" s="9" t="s">
        <v>55</v>
      </c>
      <c r="U1356" s="9" t="s">
        <v>6708</v>
      </c>
      <c r="V1356" s="9"/>
      <c r="W1356" s="11" t="str">
        <f>IFERROR(VLOOKUP(B1356, PlumX_snapshot!$A:$B, 2, FALSE), " ")</f>
        <v xml:space="preserve"> </v>
      </c>
      <c r="X1356" s="11" t="str">
        <f>IFERROR(VLOOKUP(B1356, PlumX_snapshot!$A:$C, 3, FALSE), " ")</f>
        <v xml:space="preserve"> </v>
      </c>
      <c r="Y1356" s="12" t="str">
        <f>IFERROR(VLOOKUP(B1356, PlumX_snapshot!$A:$D, 4, FALSE), " ")</f>
        <v xml:space="preserve"> </v>
      </c>
      <c r="Z1356" s="12" t="str">
        <f>IFERROR(VLOOKUP(B1356, PlumX_snapshot!$A:$E, 5, FALSE), " ")</f>
        <v xml:space="preserve"> </v>
      </c>
      <c r="AA1356" s="12" t="str">
        <f>IFERROR(VLOOKUP(B1356, PlumX_snapshot!$A:$F, 6, FALSE), " ")</f>
        <v xml:space="preserve"> </v>
      </c>
      <c r="AB1356" s="13"/>
      <c r="AC1356" s="9" t="s">
        <v>6140</v>
      </c>
      <c r="AD1356" s="9" t="s">
        <v>6141</v>
      </c>
      <c r="AF1356" s="9" t="s">
        <v>6709</v>
      </c>
      <c r="AG1356" s="9" t="s">
        <v>70</v>
      </c>
      <c r="AH1356" s="9">
        <v>2200</v>
      </c>
      <c r="AI1356" s="9" t="s">
        <v>77</v>
      </c>
      <c r="AJ1356" s="9" t="s">
        <v>301</v>
      </c>
      <c r="AK1356" s="11" t="str">
        <f t="shared" si="10"/>
        <v>2022GBP</v>
      </c>
      <c r="AL1356" s="11">
        <f>VLOOKUP(AK1356, Exchange_rates!$C:$D, 2, FALSE)</f>
        <v>1</v>
      </c>
      <c r="AM1356" s="14">
        <f t="shared" si="11"/>
        <v>2640</v>
      </c>
      <c r="AN1356" s="9"/>
      <c r="AO1356" s="9"/>
      <c r="AP1356" s="9"/>
      <c r="AQ1356" s="15" t="s">
        <v>49</v>
      </c>
      <c r="AR1356" t="s">
        <v>6143</v>
      </c>
      <c r="AS1356" s="16"/>
    </row>
    <row r="1357" spans="1:45" ht="14.5">
      <c r="A1357" s="9" t="s">
        <v>6710</v>
      </c>
      <c r="B1357" s="9" t="s">
        <v>6711</v>
      </c>
      <c r="C1357" s="9" t="s">
        <v>6712</v>
      </c>
      <c r="D1357" s="9" t="s">
        <v>5539</v>
      </c>
      <c r="E1357" s="9" t="s">
        <v>49</v>
      </c>
      <c r="F1357" s="9" t="s">
        <v>69</v>
      </c>
      <c r="G1357" s="9" t="s">
        <v>70</v>
      </c>
      <c r="H1357" s="9" t="s">
        <v>6505</v>
      </c>
      <c r="I1357" s="9" t="s">
        <v>291</v>
      </c>
      <c r="J1357" s="29"/>
      <c r="K1357" s="36">
        <v>44660</v>
      </c>
      <c r="L1357" s="10">
        <v>44673</v>
      </c>
      <c r="M1357" s="10">
        <v>44679</v>
      </c>
      <c r="N1357" s="9">
        <v>2022</v>
      </c>
      <c r="O1357" s="9" t="s">
        <v>6658</v>
      </c>
      <c r="P1357" s="9" t="s">
        <v>53</v>
      </c>
      <c r="Q1357" s="9" t="s">
        <v>53</v>
      </c>
      <c r="T1357" s="9"/>
      <c r="V1357" s="9"/>
      <c r="W1357" s="11" t="str">
        <f>IFERROR(VLOOKUP(B1357, PlumX_snapshot!$A:$B, 2, FALSE), " ")</f>
        <v xml:space="preserve"> </v>
      </c>
      <c r="X1357" s="11" t="str">
        <f>IFERROR(VLOOKUP(B1357, PlumX_snapshot!$A:$C, 3, FALSE), " ")</f>
        <v xml:space="preserve"> </v>
      </c>
      <c r="Y1357" s="12" t="str">
        <f>IFERROR(VLOOKUP(B1357, PlumX_snapshot!$A:$D, 4, FALSE), " ")</f>
        <v xml:space="preserve"> </v>
      </c>
      <c r="Z1357" s="12" t="str">
        <f>IFERROR(VLOOKUP(B1357, PlumX_snapshot!$A:$E, 5, FALSE), " ")</f>
        <v xml:space="preserve"> </v>
      </c>
      <c r="AA1357" s="12" t="str">
        <f>IFERROR(VLOOKUP(B1357, PlumX_snapshot!$A:$F, 6, FALSE), " ")</f>
        <v xml:space="preserve"> </v>
      </c>
      <c r="AB1357" s="13"/>
      <c r="AC1357" s="9" t="s">
        <v>6713</v>
      </c>
      <c r="AD1357" s="9" t="s">
        <v>6714</v>
      </c>
      <c r="AE1357" s="9" t="s">
        <v>6715</v>
      </c>
      <c r="AF1357" s="9" t="s">
        <v>6716</v>
      </c>
      <c r="AH1357" s="9">
        <v>1700</v>
      </c>
      <c r="AI1357" s="9" t="s">
        <v>77</v>
      </c>
      <c r="AJ1357" s="9" t="s">
        <v>301</v>
      </c>
      <c r="AK1357" s="11" t="str">
        <f t="shared" si="10"/>
        <v>2022GBP</v>
      </c>
      <c r="AL1357" s="11">
        <f>VLOOKUP(AK1357, Exchange_rates!$C:$D, 2, FALSE)</f>
        <v>1</v>
      </c>
      <c r="AM1357" s="14">
        <f t="shared" si="11"/>
        <v>2040</v>
      </c>
      <c r="AN1357" s="9"/>
      <c r="AO1357" s="9"/>
      <c r="AP1357" s="9"/>
      <c r="AQ1357" s="15" t="s">
        <v>49</v>
      </c>
      <c r="AR1357" t="s">
        <v>6717</v>
      </c>
      <c r="AS1357" s="16"/>
    </row>
    <row r="1358" spans="1:45" ht="14.5">
      <c r="A1358" s="9" t="s">
        <v>6718</v>
      </c>
      <c r="B1358" s="9" t="s">
        <v>6719</v>
      </c>
      <c r="C1358" s="9" t="s">
        <v>6720</v>
      </c>
      <c r="D1358" s="9" t="s">
        <v>5539</v>
      </c>
      <c r="E1358" s="9" t="s">
        <v>125</v>
      </c>
      <c r="F1358" s="9" t="s">
        <v>69</v>
      </c>
      <c r="G1358" s="9" t="s">
        <v>70</v>
      </c>
      <c r="H1358" s="9" t="s">
        <v>6505</v>
      </c>
      <c r="I1358" s="9" t="s">
        <v>72</v>
      </c>
      <c r="J1358" s="29"/>
      <c r="K1358" s="29"/>
      <c r="L1358" s="10">
        <v>44664</v>
      </c>
      <c r="M1358" s="10">
        <v>44906</v>
      </c>
      <c r="N1358" s="9">
        <v>2022</v>
      </c>
      <c r="O1358" s="9" t="s">
        <v>6658</v>
      </c>
      <c r="P1358" s="9" t="s">
        <v>53</v>
      </c>
      <c r="Q1358" s="9" t="s">
        <v>53</v>
      </c>
      <c r="T1358" s="9"/>
      <c r="V1358" s="9"/>
      <c r="W1358" s="11" t="str">
        <f>IFERROR(VLOOKUP(B1358, PlumX_snapshot!$A:$B, 2, FALSE), " ")</f>
        <v xml:space="preserve"> </v>
      </c>
      <c r="X1358" s="11" t="str">
        <f>IFERROR(VLOOKUP(B1358, PlumX_snapshot!$A:$C, 3, FALSE), " ")</f>
        <v xml:space="preserve"> </v>
      </c>
      <c r="Y1358" s="12" t="str">
        <f>IFERROR(VLOOKUP(B1358, PlumX_snapshot!$A:$D, 4, FALSE), " ")</f>
        <v xml:space="preserve"> </v>
      </c>
      <c r="Z1358" s="12" t="str">
        <f>IFERROR(VLOOKUP(B1358, PlumX_snapshot!$A:$E, 5, FALSE), " ")</f>
        <v xml:space="preserve"> </v>
      </c>
      <c r="AA1358" s="12" t="str">
        <f>IFERROR(VLOOKUP(B1358, PlumX_snapshot!$A:$F, 6, FALSE), " ")</f>
        <v xml:space="preserve"> </v>
      </c>
      <c r="AB1358" s="13"/>
      <c r="AC1358" s="9" t="s">
        <v>709</v>
      </c>
      <c r="AD1358" s="9" t="s">
        <v>6721</v>
      </c>
      <c r="AE1358" s="9" t="s">
        <v>6722</v>
      </c>
      <c r="AF1358" s="9" t="s">
        <v>6723</v>
      </c>
      <c r="AH1358" s="9">
        <v>1825</v>
      </c>
      <c r="AI1358" s="9" t="s">
        <v>77</v>
      </c>
      <c r="AJ1358" s="9" t="s">
        <v>301</v>
      </c>
      <c r="AK1358" s="11" t="str">
        <f t="shared" si="10"/>
        <v>2022GBP</v>
      </c>
      <c r="AL1358" s="11">
        <f>VLOOKUP(AK1358, Exchange_rates!$C:$D, 2, FALSE)</f>
        <v>1</v>
      </c>
      <c r="AM1358" s="14">
        <f t="shared" si="11"/>
        <v>2190</v>
      </c>
      <c r="AN1358" s="9"/>
      <c r="AO1358" s="9"/>
      <c r="AP1358" s="9"/>
      <c r="AQ1358" s="15" t="s">
        <v>125</v>
      </c>
      <c r="AR1358" t="s">
        <v>6724</v>
      </c>
      <c r="AS1358" s="16"/>
    </row>
    <row r="1359" spans="1:45" ht="14.5">
      <c r="A1359" s="9" t="s">
        <v>6725</v>
      </c>
      <c r="B1359" s="9" t="s">
        <v>6095</v>
      </c>
      <c r="C1359" s="9" t="s">
        <v>6259</v>
      </c>
      <c r="D1359" s="9" t="s">
        <v>5539</v>
      </c>
      <c r="E1359" s="9" t="s">
        <v>125</v>
      </c>
      <c r="F1359" s="9" t="s">
        <v>6095</v>
      </c>
      <c r="G1359" s="9" t="s">
        <v>51</v>
      </c>
      <c r="H1359" s="9"/>
      <c r="J1359" s="29"/>
      <c r="K1359" s="29"/>
      <c r="L1359" s="10">
        <v>44664</v>
      </c>
      <c r="M1359" s="10" t="s">
        <v>6095</v>
      </c>
      <c r="N1359" s="9">
        <v>2022</v>
      </c>
      <c r="O1359" s="9" t="s">
        <v>6658</v>
      </c>
      <c r="P1359" s="9" t="s">
        <v>53</v>
      </c>
      <c r="Q1359" s="9" t="s">
        <v>53</v>
      </c>
      <c r="T1359" s="9" t="s">
        <v>6095</v>
      </c>
      <c r="U1359" s="9" t="s">
        <v>6095</v>
      </c>
      <c r="V1359" s="9"/>
      <c r="W1359" s="11" t="str">
        <f>IFERROR(VLOOKUP(B1359, PlumX_snapshot!$A:$B, 2, FALSE), " ")</f>
        <v xml:space="preserve"> </v>
      </c>
      <c r="X1359" s="11" t="str">
        <f>IFERROR(VLOOKUP(B1359, PlumX_snapshot!$A:$C, 3, FALSE), " ")</f>
        <v xml:space="preserve"> </v>
      </c>
      <c r="Y1359" s="12" t="str">
        <f>IFERROR(VLOOKUP(B1359, PlumX_snapshot!$A:$D, 4, FALSE), " ")</f>
        <v xml:space="preserve"> </v>
      </c>
      <c r="Z1359" s="12" t="str">
        <f>IFERROR(VLOOKUP(B1359, PlumX_snapshot!$A:$E, 5, FALSE), " ")</f>
        <v xml:space="preserve"> </v>
      </c>
      <c r="AA1359" s="12" t="str">
        <f>IFERROR(VLOOKUP(B1359, PlumX_snapshot!$A:$F, 6, FALSE), " ")</f>
        <v xml:space="preserve"> </v>
      </c>
      <c r="AB1359" s="13"/>
      <c r="AC1359" s="9"/>
      <c r="AD1359" s="9"/>
      <c r="AE1359" s="9"/>
      <c r="AF1359" s="9"/>
      <c r="AH1359" s="9"/>
      <c r="AI1359" s="9"/>
      <c r="AJ1359" s="9"/>
      <c r="AK1359" s="11" t="str">
        <f t="shared" si="10"/>
        <v>2022</v>
      </c>
      <c r="AL1359" s="11" t="e">
        <f>VLOOKUP(AK1359, Exchange_rates!$C:$D, 2, FALSE)</f>
        <v>#N/A</v>
      </c>
      <c r="AM1359" s="14" t="str">
        <f t="shared" si="11"/>
        <v/>
      </c>
      <c r="AN1359" s="9"/>
      <c r="AO1359" s="9"/>
      <c r="AP1359" s="9"/>
      <c r="AQ1359" s="15" t="s">
        <v>125</v>
      </c>
      <c r="AR1359" t="s">
        <v>6264</v>
      </c>
      <c r="AS1359" s="16"/>
    </row>
    <row r="1360" spans="1:45" ht="14.5">
      <c r="A1360" s="9" t="s">
        <v>6726</v>
      </c>
      <c r="B1360" s="9" t="s">
        <v>6727</v>
      </c>
      <c r="C1360" s="9" t="s">
        <v>5801</v>
      </c>
      <c r="D1360" s="9" t="s">
        <v>5539</v>
      </c>
      <c r="E1360" s="9" t="s">
        <v>49</v>
      </c>
      <c r="F1360" s="9" t="s">
        <v>69</v>
      </c>
      <c r="G1360" s="9" t="s">
        <v>70</v>
      </c>
      <c r="H1360" s="9" t="s">
        <v>6505</v>
      </c>
      <c r="I1360" s="9" t="s">
        <v>291</v>
      </c>
      <c r="J1360" s="29"/>
      <c r="K1360" s="35">
        <v>44649</v>
      </c>
      <c r="L1360" s="10">
        <v>44655</v>
      </c>
      <c r="M1360" s="10">
        <v>44660</v>
      </c>
      <c r="N1360" s="9">
        <v>2022</v>
      </c>
      <c r="O1360" s="9" t="s">
        <v>6658</v>
      </c>
      <c r="P1360" s="9" t="s">
        <v>53</v>
      </c>
      <c r="Q1360" s="9" t="s">
        <v>53</v>
      </c>
      <c r="R1360" s="9" t="s">
        <v>6728</v>
      </c>
      <c r="T1360" s="9"/>
      <c r="V1360" s="9"/>
      <c r="W1360" s="11" t="str">
        <f>IFERROR(VLOOKUP(B1360, PlumX_snapshot!$A:$B, 2, FALSE), " ")</f>
        <v xml:space="preserve"> </v>
      </c>
      <c r="X1360" s="11" t="str">
        <f>IFERROR(VLOOKUP(B1360, PlumX_snapshot!$A:$C, 3, FALSE), " ")</f>
        <v xml:space="preserve"> </v>
      </c>
      <c r="Y1360" s="12" t="str">
        <f>IFERROR(VLOOKUP(B1360, PlumX_snapshot!$A:$D, 4, FALSE), " ")</f>
        <v xml:space="preserve"> </v>
      </c>
      <c r="Z1360" s="12" t="str">
        <f>IFERROR(VLOOKUP(B1360, PlumX_snapshot!$A:$E, 5, FALSE), " ")</f>
        <v xml:space="preserve"> </v>
      </c>
      <c r="AA1360" s="12" t="str">
        <f>IFERROR(VLOOKUP(B1360, PlumX_snapshot!$A:$F, 6, FALSE), " ")</f>
        <v xml:space="preserve"> </v>
      </c>
      <c r="AB1360" s="13"/>
      <c r="AC1360" s="9" t="s">
        <v>4490</v>
      </c>
      <c r="AD1360" s="9" t="s">
        <v>4491</v>
      </c>
      <c r="AE1360" s="9" t="s">
        <v>4492</v>
      </c>
      <c r="AH1360" s="9">
        <v>3150</v>
      </c>
      <c r="AI1360" s="9" t="s">
        <v>77</v>
      </c>
      <c r="AJ1360" s="9" t="s">
        <v>301</v>
      </c>
      <c r="AK1360" s="11" t="str">
        <f t="shared" si="10"/>
        <v>2022GBP</v>
      </c>
      <c r="AL1360" s="11">
        <f>VLOOKUP(AK1360, Exchange_rates!$C:$D, 2, FALSE)</f>
        <v>1</v>
      </c>
      <c r="AM1360" s="14">
        <f t="shared" si="11"/>
        <v>3780</v>
      </c>
      <c r="AN1360" s="9"/>
      <c r="AO1360" s="9"/>
      <c r="AP1360" s="9"/>
      <c r="AQ1360" s="15" t="s">
        <v>49</v>
      </c>
      <c r="AR1360" t="s">
        <v>5806</v>
      </c>
      <c r="AS1360" s="16"/>
    </row>
    <row r="1361" spans="1:45" ht="14.5">
      <c r="A1361" s="9" t="s">
        <v>6729</v>
      </c>
      <c r="B1361" s="9" t="s">
        <v>6730</v>
      </c>
      <c r="C1361" s="9" t="s">
        <v>6085</v>
      </c>
      <c r="D1361" s="9" t="s">
        <v>5539</v>
      </c>
      <c r="E1361" s="9" t="s">
        <v>49</v>
      </c>
      <c r="F1361" s="9" t="s">
        <v>69</v>
      </c>
      <c r="G1361" s="9" t="s">
        <v>70</v>
      </c>
      <c r="H1361" s="9" t="s">
        <v>6505</v>
      </c>
      <c r="I1361" s="9" t="s">
        <v>72</v>
      </c>
      <c r="J1361" s="29"/>
      <c r="K1361" s="35">
        <v>44648</v>
      </c>
      <c r="L1361" s="10">
        <v>44649</v>
      </c>
      <c r="M1361" s="10">
        <v>44658</v>
      </c>
      <c r="N1361" s="9">
        <v>2022</v>
      </c>
      <c r="O1361" s="9" t="s">
        <v>6658</v>
      </c>
      <c r="P1361" s="9" t="s">
        <v>53</v>
      </c>
      <c r="Q1361" s="9" t="s">
        <v>53</v>
      </c>
      <c r="T1361" s="9"/>
      <c r="V1361" s="9"/>
      <c r="W1361" s="11" t="str">
        <f>IFERROR(VLOOKUP(B1361, PlumX_snapshot!$A:$B, 2, FALSE), " ")</f>
        <v xml:space="preserve"> </v>
      </c>
      <c r="X1361" s="11" t="str">
        <f>IFERROR(VLOOKUP(B1361, PlumX_snapshot!$A:$C, 3, FALSE), " ")</f>
        <v xml:space="preserve"> </v>
      </c>
      <c r="Y1361" s="12" t="str">
        <f>IFERROR(VLOOKUP(B1361, PlumX_snapshot!$A:$D, 4, FALSE), " ")</f>
        <v xml:space="preserve"> </v>
      </c>
      <c r="Z1361" s="12" t="str">
        <f>IFERROR(VLOOKUP(B1361, PlumX_snapshot!$A:$E, 5, FALSE), " ")</f>
        <v xml:space="preserve"> </v>
      </c>
      <c r="AA1361" s="12" t="str">
        <f>IFERROR(VLOOKUP(B1361, PlumX_snapshot!$A:$F, 6, FALSE), " ")</f>
        <v xml:space="preserve"> </v>
      </c>
      <c r="AB1361" s="13"/>
      <c r="AC1361" s="9" t="s">
        <v>6731</v>
      </c>
      <c r="AD1361" s="9" t="s">
        <v>6732</v>
      </c>
      <c r="AE1361" s="9" t="s">
        <v>6733</v>
      </c>
      <c r="AF1361" s="9" t="s">
        <v>6734</v>
      </c>
      <c r="AH1361" s="9">
        <v>2650</v>
      </c>
      <c r="AI1361" s="9" t="s">
        <v>77</v>
      </c>
      <c r="AJ1361" s="9" t="s">
        <v>301</v>
      </c>
      <c r="AK1361" s="11" t="str">
        <f t="shared" si="10"/>
        <v>2022GBP</v>
      </c>
      <c r="AL1361" s="11">
        <f>VLOOKUP(AK1361, Exchange_rates!$C:$D, 2, FALSE)</f>
        <v>1</v>
      </c>
      <c r="AM1361" s="14">
        <f t="shared" si="11"/>
        <v>3180</v>
      </c>
      <c r="AN1361" s="9"/>
      <c r="AO1361" s="9"/>
      <c r="AP1361" s="9"/>
      <c r="AQ1361" s="15" t="s">
        <v>49</v>
      </c>
      <c r="AR1361" t="s">
        <v>6090</v>
      </c>
      <c r="AS1361" s="16"/>
    </row>
    <row r="1362" spans="1:45" ht="14.5">
      <c r="A1362" s="9" t="s">
        <v>6735</v>
      </c>
      <c r="B1362" s="9" t="s">
        <v>6736</v>
      </c>
      <c r="C1362" s="9" t="s">
        <v>5627</v>
      </c>
      <c r="D1362" s="9" t="s">
        <v>5539</v>
      </c>
      <c r="E1362" s="9" t="s">
        <v>49</v>
      </c>
      <c r="F1362" s="9" t="s">
        <v>69</v>
      </c>
      <c r="G1362" s="9" t="s">
        <v>70</v>
      </c>
      <c r="H1362" s="9" t="s">
        <v>6505</v>
      </c>
      <c r="I1362" s="9" t="s">
        <v>72</v>
      </c>
      <c r="J1362" s="29"/>
      <c r="K1362" s="35">
        <v>44630</v>
      </c>
      <c r="L1362" s="10">
        <v>44638</v>
      </c>
      <c r="M1362" s="10"/>
      <c r="N1362" s="9">
        <v>2022</v>
      </c>
      <c r="O1362" s="9" t="s">
        <v>6658</v>
      </c>
      <c r="P1362" s="9" t="s">
        <v>53</v>
      </c>
      <c r="Q1362" s="9" t="s">
        <v>53</v>
      </c>
      <c r="R1362" s="9" t="s">
        <v>6737</v>
      </c>
      <c r="T1362" s="9"/>
      <c r="V1362" s="9"/>
      <c r="W1362" s="11" t="str">
        <f>IFERROR(VLOOKUP(B1362, PlumX_snapshot!$A:$B, 2, FALSE), " ")</f>
        <v xml:space="preserve"> </v>
      </c>
      <c r="X1362" s="11" t="str">
        <f>IFERROR(VLOOKUP(B1362, PlumX_snapshot!$A:$C, 3, FALSE), " ")</f>
        <v xml:space="preserve"> </v>
      </c>
      <c r="Y1362" s="12" t="str">
        <f>IFERROR(VLOOKUP(B1362, PlumX_snapshot!$A:$D, 4, FALSE), " ")</f>
        <v xml:space="preserve"> </v>
      </c>
      <c r="Z1362" s="12" t="str">
        <f>IFERROR(VLOOKUP(B1362, PlumX_snapshot!$A:$E, 5, FALSE), " ")</f>
        <v xml:space="preserve"> </v>
      </c>
      <c r="AA1362" s="12" t="str">
        <f>IFERROR(VLOOKUP(B1362, PlumX_snapshot!$A:$F, 6, FALSE), " ")</f>
        <v xml:space="preserve"> </v>
      </c>
      <c r="AB1362" s="13"/>
      <c r="AC1362" s="9" t="s">
        <v>6668</v>
      </c>
      <c r="AD1362" s="9" t="s">
        <v>6669</v>
      </c>
      <c r="AE1362" s="9" t="s">
        <v>6670</v>
      </c>
      <c r="AF1362" s="9" t="s">
        <v>6738</v>
      </c>
      <c r="AH1362" s="9">
        <v>3200</v>
      </c>
      <c r="AI1362" s="9" t="s">
        <v>77</v>
      </c>
      <c r="AJ1362" s="9" t="s">
        <v>301</v>
      </c>
      <c r="AK1362" s="11" t="str">
        <f t="shared" si="10"/>
        <v>2022GBP</v>
      </c>
      <c r="AL1362" s="11">
        <f>VLOOKUP(AK1362, Exchange_rates!$C:$D, 2, FALSE)</f>
        <v>1</v>
      </c>
      <c r="AM1362" s="14">
        <f t="shared" si="11"/>
        <v>3840</v>
      </c>
      <c r="AN1362" s="9"/>
      <c r="AO1362" s="9"/>
      <c r="AP1362" s="9"/>
      <c r="AQ1362" s="15" t="s">
        <v>49</v>
      </c>
      <c r="AR1362" t="s">
        <v>5631</v>
      </c>
      <c r="AS1362" s="16"/>
    </row>
    <row r="1363" spans="1:45" ht="14.5">
      <c r="A1363" s="9" t="s">
        <v>6739</v>
      </c>
      <c r="B1363" s="9" t="s">
        <v>6740</v>
      </c>
      <c r="C1363" s="9" t="s">
        <v>6741</v>
      </c>
      <c r="D1363" s="9" t="s">
        <v>5539</v>
      </c>
      <c r="E1363" s="9" t="s">
        <v>49</v>
      </c>
      <c r="F1363" s="9" t="s">
        <v>69</v>
      </c>
      <c r="G1363" s="9" t="s">
        <v>70</v>
      </c>
      <c r="H1363" s="9" t="s">
        <v>6505</v>
      </c>
      <c r="I1363" s="9" t="s">
        <v>72</v>
      </c>
      <c r="J1363" s="29"/>
      <c r="K1363" s="35">
        <v>44618</v>
      </c>
      <c r="L1363" s="10">
        <v>44634</v>
      </c>
      <c r="M1363" s="10">
        <v>44635</v>
      </c>
      <c r="N1363" s="9">
        <v>2022</v>
      </c>
      <c r="O1363" s="9" t="s">
        <v>6658</v>
      </c>
      <c r="P1363" s="9" t="s">
        <v>53</v>
      </c>
      <c r="Q1363" s="9" t="s">
        <v>53</v>
      </c>
      <c r="T1363" s="9"/>
      <c r="V1363" s="9"/>
      <c r="W1363" s="11" t="str">
        <f>IFERROR(VLOOKUP(B1363, PlumX_snapshot!$A:$B, 2, FALSE), " ")</f>
        <v xml:space="preserve"> </v>
      </c>
      <c r="X1363" s="11" t="str">
        <f>IFERROR(VLOOKUP(B1363, PlumX_snapshot!$A:$C, 3, FALSE), " ")</f>
        <v xml:space="preserve"> </v>
      </c>
      <c r="Y1363" s="12" t="str">
        <f>IFERROR(VLOOKUP(B1363, PlumX_snapshot!$A:$D, 4, FALSE), " ")</f>
        <v xml:space="preserve"> </v>
      </c>
      <c r="Z1363" s="12" t="str">
        <f>IFERROR(VLOOKUP(B1363, PlumX_snapshot!$A:$E, 5, FALSE), " ")</f>
        <v xml:space="preserve"> </v>
      </c>
      <c r="AA1363" s="12" t="str">
        <f>IFERROR(VLOOKUP(B1363, PlumX_snapshot!$A:$F, 6, FALSE), " ")</f>
        <v xml:space="preserve"> </v>
      </c>
      <c r="AB1363" s="13"/>
      <c r="AC1363" s="9" t="s">
        <v>6742</v>
      </c>
      <c r="AD1363" s="9" t="s">
        <v>6743</v>
      </c>
      <c r="AE1363" s="9" t="s">
        <v>6744</v>
      </c>
      <c r="AH1363" s="9">
        <v>1900</v>
      </c>
      <c r="AI1363" s="9" t="s">
        <v>77</v>
      </c>
      <c r="AJ1363" s="9" t="s">
        <v>301</v>
      </c>
      <c r="AK1363" s="11" t="str">
        <f t="shared" si="10"/>
        <v>2022GBP</v>
      </c>
      <c r="AL1363" s="11">
        <f>VLOOKUP(AK1363, Exchange_rates!$C:$D, 2, FALSE)</f>
        <v>1</v>
      </c>
      <c r="AM1363" s="14">
        <f t="shared" si="11"/>
        <v>2280</v>
      </c>
      <c r="AN1363" s="9"/>
      <c r="AO1363" s="9"/>
      <c r="AP1363" s="9"/>
      <c r="AQ1363" s="15" t="s">
        <v>49</v>
      </c>
      <c r="AR1363" t="s">
        <v>6745</v>
      </c>
      <c r="AS1363" s="16"/>
    </row>
    <row r="1364" spans="1:45" ht="14.5">
      <c r="A1364" s="9" t="s">
        <v>6746</v>
      </c>
      <c r="B1364" s="9" t="s">
        <v>6095</v>
      </c>
      <c r="C1364" s="9" t="s">
        <v>6026</v>
      </c>
      <c r="D1364" s="9" t="s">
        <v>5539</v>
      </c>
      <c r="E1364" s="9" t="s">
        <v>125</v>
      </c>
      <c r="F1364" s="9" t="s">
        <v>6095</v>
      </c>
      <c r="G1364" s="9" t="s">
        <v>51</v>
      </c>
      <c r="H1364" s="9"/>
      <c r="J1364" s="29"/>
      <c r="K1364" s="29"/>
      <c r="L1364" s="10">
        <v>44638</v>
      </c>
      <c r="M1364" s="10" t="s">
        <v>6095</v>
      </c>
      <c r="N1364" s="9">
        <v>2022</v>
      </c>
      <c r="O1364" s="9" t="s">
        <v>6658</v>
      </c>
      <c r="P1364" s="9" t="s">
        <v>53</v>
      </c>
      <c r="Q1364" s="9" t="s">
        <v>53</v>
      </c>
      <c r="T1364" s="9" t="s">
        <v>6095</v>
      </c>
      <c r="U1364" s="9" t="s">
        <v>6095</v>
      </c>
      <c r="V1364" s="9"/>
      <c r="W1364" s="11" t="str">
        <f>IFERROR(VLOOKUP(B1364, PlumX_snapshot!$A:$B, 2, FALSE), " ")</f>
        <v xml:space="preserve"> </v>
      </c>
      <c r="X1364" s="11" t="str">
        <f>IFERROR(VLOOKUP(B1364, PlumX_snapshot!$A:$C, 3, FALSE), " ")</f>
        <v xml:space="preserve"> </v>
      </c>
      <c r="Y1364" s="12" t="str">
        <f>IFERROR(VLOOKUP(B1364, PlumX_snapshot!$A:$D, 4, FALSE), " ")</f>
        <v xml:space="preserve"> </v>
      </c>
      <c r="Z1364" s="12" t="str">
        <f>IFERROR(VLOOKUP(B1364, PlumX_snapshot!$A:$E, 5, FALSE), " ")</f>
        <v xml:space="preserve"> </v>
      </c>
      <c r="AA1364" s="12" t="str">
        <f>IFERROR(VLOOKUP(B1364, PlumX_snapshot!$A:$F, 6, FALSE), " ")</f>
        <v xml:space="preserve"> </v>
      </c>
      <c r="AB1364" s="13"/>
      <c r="AC1364" s="9"/>
      <c r="AD1364" s="9"/>
      <c r="AE1364" s="9"/>
      <c r="AF1364" s="9"/>
      <c r="AH1364" s="9"/>
      <c r="AI1364" s="9"/>
      <c r="AJ1364" s="9"/>
      <c r="AK1364" s="11" t="str">
        <f t="shared" si="10"/>
        <v>2022</v>
      </c>
      <c r="AL1364" s="11" t="e">
        <f>VLOOKUP(AK1364, Exchange_rates!$C:$D, 2, FALSE)</f>
        <v>#N/A</v>
      </c>
      <c r="AM1364" s="14" t="str">
        <f t="shared" si="11"/>
        <v/>
      </c>
      <c r="AN1364" s="9"/>
      <c r="AO1364" s="9"/>
      <c r="AP1364" s="9"/>
      <c r="AQ1364" s="15" t="s">
        <v>125</v>
      </c>
      <c r="AR1364" t="s">
        <v>6031</v>
      </c>
      <c r="AS1364" s="16"/>
    </row>
    <row r="1365" spans="1:45" ht="14.5">
      <c r="A1365" s="9" t="s">
        <v>6747</v>
      </c>
      <c r="B1365" s="9" t="s">
        <v>6748</v>
      </c>
      <c r="C1365" s="9" t="s">
        <v>6221</v>
      </c>
      <c r="D1365" s="9" t="s">
        <v>5539</v>
      </c>
      <c r="E1365" s="9" t="s">
        <v>49</v>
      </c>
      <c r="F1365" s="9" t="s">
        <v>69</v>
      </c>
      <c r="G1365" s="9" t="s">
        <v>70</v>
      </c>
      <c r="H1365" s="9" t="s">
        <v>6505</v>
      </c>
      <c r="I1365" s="9" t="s">
        <v>291</v>
      </c>
      <c r="J1365" s="29"/>
      <c r="K1365" s="36">
        <v>44629</v>
      </c>
      <c r="L1365" s="10">
        <v>44634</v>
      </c>
      <c r="M1365" s="10">
        <v>44638</v>
      </c>
      <c r="N1365" s="9">
        <v>2022</v>
      </c>
      <c r="O1365" s="9" t="s">
        <v>6658</v>
      </c>
      <c r="P1365" s="9" t="s">
        <v>53</v>
      </c>
      <c r="Q1365" s="9" t="s">
        <v>53</v>
      </c>
      <c r="R1365" s="9" t="s">
        <v>6749</v>
      </c>
      <c r="T1365" s="9"/>
      <c r="V1365" s="9"/>
      <c r="W1365" s="11" t="str">
        <f>IFERROR(VLOOKUP(B1365, PlumX_snapshot!$A:$B, 2, FALSE), " ")</f>
        <v xml:space="preserve"> </v>
      </c>
      <c r="X1365" s="11" t="str">
        <f>IFERROR(VLOOKUP(B1365, PlumX_snapshot!$A:$C, 3, FALSE), " ")</f>
        <v xml:space="preserve"> </v>
      </c>
      <c r="Y1365" s="12" t="str">
        <f>IFERROR(VLOOKUP(B1365, PlumX_snapshot!$A:$D, 4, FALSE), " ")</f>
        <v xml:space="preserve"> </v>
      </c>
      <c r="Z1365" s="12" t="str">
        <f>IFERROR(VLOOKUP(B1365, PlumX_snapshot!$A:$E, 5, FALSE), " ")</f>
        <v xml:space="preserve"> </v>
      </c>
      <c r="AA1365" s="12" t="str">
        <f>IFERROR(VLOOKUP(B1365, PlumX_snapshot!$A:$F, 6, FALSE), " ")</f>
        <v xml:space="preserve"> </v>
      </c>
      <c r="AB1365" s="13"/>
      <c r="AC1365" s="9" t="s">
        <v>4710</v>
      </c>
      <c r="AD1365" s="9" t="s">
        <v>4711</v>
      </c>
      <c r="AE1365" s="9" t="s">
        <v>4712</v>
      </c>
      <c r="AF1365" s="9" t="s">
        <v>6750</v>
      </c>
      <c r="AH1365" s="9">
        <v>3250</v>
      </c>
      <c r="AI1365" s="9" t="s">
        <v>77</v>
      </c>
      <c r="AJ1365" s="9" t="s">
        <v>301</v>
      </c>
      <c r="AK1365" s="11" t="str">
        <f t="shared" si="10"/>
        <v>2022GBP</v>
      </c>
      <c r="AL1365" s="11">
        <f>VLOOKUP(AK1365, Exchange_rates!$C:$D, 2, FALSE)</f>
        <v>1</v>
      </c>
      <c r="AM1365" s="14">
        <f t="shared" si="11"/>
        <v>3900</v>
      </c>
      <c r="AN1365" s="9"/>
      <c r="AO1365" s="9"/>
      <c r="AP1365" s="9"/>
      <c r="AQ1365" s="15" t="s">
        <v>49</v>
      </c>
      <c r="AR1365" t="s">
        <v>6226</v>
      </c>
      <c r="AS1365" s="16"/>
    </row>
    <row r="1366" spans="1:45" ht="14.5">
      <c r="A1366" s="9" t="s">
        <v>6751</v>
      </c>
      <c r="B1366" s="9" t="s">
        <v>6752</v>
      </c>
      <c r="C1366" s="9" t="s">
        <v>6753</v>
      </c>
      <c r="D1366" s="9" t="s">
        <v>5539</v>
      </c>
      <c r="E1366" s="9" t="s">
        <v>49</v>
      </c>
      <c r="F1366" s="9" t="s">
        <v>69</v>
      </c>
      <c r="G1366" s="9" t="s">
        <v>51</v>
      </c>
      <c r="H1366" s="9"/>
      <c r="I1366" s="9" t="s">
        <v>238</v>
      </c>
      <c r="J1366" s="29"/>
      <c r="K1366" s="35">
        <v>44615</v>
      </c>
      <c r="L1366" s="10"/>
      <c r="M1366" s="10">
        <v>44638</v>
      </c>
      <c r="N1366" s="9">
        <v>2022</v>
      </c>
      <c r="O1366" s="9" t="s">
        <v>6658</v>
      </c>
      <c r="P1366" s="9" t="s">
        <v>53</v>
      </c>
      <c r="Q1366" s="9" t="s">
        <v>53</v>
      </c>
      <c r="R1366" s="9" t="s">
        <v>6754</v>
      </c>
      <c r="T1366" s="9" t="s">
        <v>55</v>
      </c>
      <c r="U1366" s="9" t="s">
        <v>6755</v>
      </c>
      <c r="V1366" s="9"/>
      <c r="W1366" s="11" t="str">
        <f>IFERROR(VLOOKUP(B1366, PlumX_snapshot!$A:$B, 2, FALSE), " ")</f>
        <v xml:space="preserve"> </v>
      </c>
      <c r="X1366" s="11" t="str">
        <f>IFERROR(VLOOKUP(B1366, PlumX_snapshot!$A:$C, 3, FALSE), " ")</f>
        <v xml:space="preserve"> </v>
      </c>
      <c r="Y1366" s="12" t="str">
        <f>IFERROR(VLOOKUP(B1366, PlumX_snapshot!$A:$D, 4, FALSE), " ")</f>
        <v xml:space="preserve"> </v>
      </c>
      <c r="Z1366" s="12" t="str">
        <f>IFERROR(VLOOKUP(B1366, PlumX_snapshot!$A:$E, 5, FALSE), " ")</f>
        <v xml:space="preserve"> </v>
      </c>
      <c r="AA1366" s="12" t="str">
        <f>IFERROR(VLOOKUP(B1366, PlumX_snapshot!$A:$F, 6, FALSE), " ")</f>
        <v xml:space="preserve"> </v>
      </c>
      <c r="AB1366" s="13"/>
      <c r="AC1366" s="9" t="s">
        <v>6756</v>
      </c>
      <c r="AD1366" s="9" t="s">
        <v>6757</v>
      </c>
      <c r="AE1366" s="9" t="s">
        <v>6758</v>
      </c>
      <c r="AF1366" s="9" t="s">
        <v>6759</v>
      </c>
      <c r="AH1366" s="9">
        <v>2900</v>
      </c>
      <c r="AI1366" s="9" t="s">
        <v>77</v>
      </c>
      <c r="AJ1366" s="9" t="s">
        <v>301</v>
      </c>
      <c r="AK1366" s="11" t="str">
        <f t="shared" si="10"/>
        <v>2022GBP</v>
      </c>
      <c r="AL1366" s="11">
        <f>VLOOKUP(AK1366, Exchange_rates!$C:$D, 2, FALSE)</f>
        <v>1</v>
      </c>
      <c r="AM1366" s="14">
        <f t="shared" si="11"/>
        <v>3480</v>
      </c>
      <c r="AN1366" s="9"/>
      <c r="AO1366" s="9"/>
      <c r="AP1366" s="9"/>
      <c r="AQ1366" s="15" t="s">
        <v>49</v>
      </c>
      <c r="AR1366" t="s">
        <v>6760</v>
      </c>
      <c r="AS1366" s="16"/>
    </row>
    <row r="1367" spans="1:45" ht="14.5">
      <c r="A1367" s="9" t="s">
        <v>6761</v>
      </c>
      <c r="B1367" s="9" t="s">
        <v>6762</v>
      </c>
      <c r="C1367" s="9" t="s">
        <v>6763</v>
      </c>
      <c r="D1367" s="9" t="s">
        <v>5539</v>
      </c>
      <c r="E1367" s="9" t="s">
        <v>49</v>
      </c>
      <c r="F1367" s="9" t="s">
        <v>69</v>
      </c>
      <c r="G1367" s="9" t="s">
        <v>70</v>
      </c>
      <c r="H1367" s="9" t="s">
        <v>6505</v>
      </c>
      <c r="I1367" s="9" t="s">
        <v>238</v>
      </c>
      <c r="J1367" s="29"/>
      <c r="K1367" s="35">
        <v>44834</v>
      </c>
      <c r="L1367" s="10">
        <v>44851</v>
      </c>
      <c r="M1367" s="10"/>
      <c r="N1367" s="9">
        <v>2022</v>
      </c>
      <c r="O1367" s="9" t="s">
        <v>6764</v>
      </c>
      <c r="P1367" s="9" t="s">
        <v>53</v>
      </c>
      <c r="Q1367" s="9" t="s">
        <v>53</v>
      </c>
      <c r="R1367" s="9" t="s">
        <v>6765</v>
      </c>
      <c r="T1367" s="9"/>
      <c r="V1367" s="9"/>
      <c r="W1367" s="11" t="str">
        <f>IFERROR(VLOOKUP(B1367, PlumX_snapshot!$A:$B, 2, FALSE), " ")</f>
        <v xml:space="preserve"> </v>
      </c>
      <c r="X1367" s="11" t="str">
        <f>IFERROR(VLOOKUP(B1367, PlumX_snapshot!$A:$C, 3, FALSE), " ")</f>
        <v xml:space="preserve"> </v>
      </c>
      <c r="Y1367" s="12" t="str">
        <f>IFERROR(VLOOKUP(B1367, PlumX_snapshot!$A:$D, 4, FALSE), " ")</f>
        <v xml:space="preserve"> </v>
      </c>
      <c r="Z1367" s="12" t="str">
        <f>IFERROR(VLOOKUP(B1367, PlumX_snapshot!$A:$E, 5, FALSE), " ")</f>
        <v xml:space="preserve"> </v>
      </c>
      <c r="AA1367" s="12" t="str">
        <f>IFERROR(VLOOKUP(B1367, PlumX_snapshot!$A:$F, 6, FALSE), " ")</f>
        <v xml:space="preserve"> </v>
      </c>
      <c r="AB1367" s="13"/>
      <c r="AC1367" s="9" t="s">
        <v>6766</v>
      </c>
      <c r="AD1367" s="9" t="s">
        <v>6767</v>
      </c>
      <c r="AF1367" s="9" t="s">
        <v>6768</v>
      </c>
      <c r="AH1367" s="9">
        <v>3150</v>
      </c>
      <c r="AI1367" s="9" t="s">
        <v>77</v>
      </c>
      <c r="AJ1367" s="9" t="s">
        <v>301</v>
      </c>
      <c r="AK1367" s="11" t="str">
        <f t="shared" si="10"/>
        <v>2022GBP</v>
      </c>
      <c r="AL1367" s="11">
        <f>VLOOKUP(AK1367, Exchange_rates!$C:$D, 2, FALSE)</f>
        <v>1</v>
      </c>
      <c r="AM1367" s="14">
        <f t="shared" si="11"/>
        <v>3780</v>
      </c>
      <c r="AN1367" s="9"/>
      <c r="AO1367" s="9"/>
      <c r="AP1367" s="9"/>
      <c r="AQ1367" s="15" t="s">
        <v>49</v>
      </c>
      <c r="AR1367" t="s">
        <v>5806</v>
      </c>
      <c r="AS1367" s="16"/>
    </row>
    <row r="1368" spans="1:45" ht="14.5">
      <c r="A1368" s="9" t="s">
        <v>6769</v>
      </c>
      <c r="B1368" s="9" t="s">
        <v>5848</v>
      </c>
      <c r="C1368" s="9" t="s">
        <v>6240</v>
      </c>
      <c r="D1368" s="9" t="s">
        <v>5539</v>
      </c>
      <c r="E1368" s="9" t="s">
        <v>125</v>
      </c>
      <c r="F1368" s="9"/>
      <c r="G1368" s="9" t="s">
        <v>51</v>
      </c>
      <c r="H1368" s="9"/>
      <c r="J1368" s="29"/>
      <c r="K1368" s="29"/>
      <c r="L1368" s="10">
        <v>44851</v>
      </c>
      <c r="M1368" s="10"/>
      <c r="N1368" s="9">
        <v>2022</v>
      </c>
      <c r="O1368" s="9" t="s">
        <v>6764</v>
      </c>
      <c r="P1368" s="9" t="s">
        <v>53</v>
      </c>
      <c r="Q1368" s="9" t="s">
        <v>53</v>
      </c>
      <c r="T1368" s="9" t="s">
        <v>6095</v>
      </c>
      <c r="V1368" s="9"/>
      <c r="W1368" s="11" t="str">
        <f>IFERROR(VLOOKUP(B1368, PlumX_snapshot!$A:$B, 2, FALSE), " ")</f>
        <v xml:space="preserve"> </v>
      </c>
      <c r="X1368" s="11" t="str">
        <f>IFERROR(VLOOKUP(B1368, PlumX_snapshot!$A:$C, 3, FALSE), " ")</f>
        <v xml:space="preserve"> </v>
      </c>
      <c r="Y1368" s="12" t="str">
        <f>IFERROR(VLOOKUP(B1368, PlumX_snapshot!$A:$D, 4, FALSE), " ")</f>
        <v xml:space="preserve"> </v>
      </c>
      <c r="Z1368" s="12" t="str">
        <f>IFERROR(VLOOKUP(B1368, PlumX_snapshot!$A:$E, 5, FALSE), " ")</f>
        <v xml:space="preserve"> </v>
      </c>
      <c r="AA1368" s="12" t="str">
        <f>IFERROR(VLOOKUP(B1368, PlumX_snapshot!$A:$F, 6, FALSE), " ")</f>
        <v xml:space="preserve"> </v>
      </c>
      <c r="AB1368" s="13"/>
      <c r="AC1368" s="9"/>
      <c r="AD1368" s="9"/>
      <c r="AE1368" s="9"/>
      <c r="AF1368" s="9"/>
      <c r="AH1368" s="9"/>
      <c r="AI1368" s="9"/>
      <c r="AJ1368" s="9"/>
      <c r="AK1368" s="11" t="str">
        <f t="shared" si="10"/>
        <v>2022</v>
      </c>
      <c r="AL1368" s="11" t="e">
        <f>VLOOKUP(AK1368, Exchange_rates!$C:$D, 2, FALSE)</f>
        <v>#N/A</v>
      </c>
      <c r="AM1368" s="14" t="str">
        <f t="shared" si="11"/>
        <v/>
      </c>
      <c r="AN1368" s="9"/>
      <c r="AO1368" s="9"/>
      <c r="AP1368" s="9"/>
      <c r="AQ1368" s="15" t="s">
        <v>125</v>
      </c>
      <c r="AR1368" t="s">
        <v>6245</v>
      </c>
      <c r="AS1368" s="16"/>
    </row>
    <row r="1369" spans="1:45" ht="14.5">
      <c r="A1369" s="9" t="s">
        <v>6770</v>
      </c>
      <c r="B1369" s="9" t="s">
        <v>6771</v>
      </c>
      <c r="C1369" s="9" t="s">
        <v>6772</v>
      </c>
      <c r="D1369" s="9" t="s">
        <v>5539</v>
      </c>
      <c r="E1369" s="9" t="s">
        <v>49</v>
      </c>
      <c r="F1369" s="9" t="s">
        <v>69</v>
      </c>
      <c r="G1369" s="9" t="s">
        <v>70</v>
      </c>
      <c r="H1369" s="9" t="s">
        <v>6505</v>
      </c>
      <c r="I1369" s="9" t="s">
        <v>238</v>
      </c>
      <c r="J1369" s="29"/>
      <c r="K1369" s="35">
        <v>44840</v>
      </c>
      <c r="L1369" s="10">
        <v>44844</v>
      </c>
      <c r="M1369" s="10"/>
      <c r="N1369" s="9">
        <v>2022</v>
      </c>
      <c r="O1369" s="9" t="s">
        <v>6764</v>
      </c>
      <c r="P1369" s="9" t="s">
        <v>53</v>
      </c>
      <c r="Q1369" s="9" t="s">
        <v>53</v>
      </c>
      <c r="R1369" s="9" t="s">
        <v>6773</v>
      </c>
      <c r="T1369" s="9"/>
      <c r="V1369" s="9"/>
      <c r="W1369" s="11" t="str">
        <f>IFERROR(VLOOKUP(B1369, PlumX_snapshot!$A:$B, 2, FALSE), " ")</f>
        <v xml:space="preserve"> </v>
      </c>
      <c r="X1369" s="11" t="str">
        <f>IFERROR(VLOOKUP(B1369, PlumX_snapshot!$A:$C, 3, FALSE), " ")</f>
        <v xml:space="preserve"> </v>
      </c>
      <c r="Y1369" s="12" t="str">
        <f>IFERROR(VLOOKUP(B1369, PlumX_snapshot!$A:$D, 4, FALSE), " ")</f>
        <v xml:space="preserve"> </v>
      </c>
      <c r="Z1369" s="12" t="str">
        <f>IFERROR(VLOOKUP(B1369, PlumX_snapshot!$A:$E, 5, FALSE), " ")</f>
        <v xml:space="preserve"> </v>
      </c>
      <c r="AA1369" s="12" t="str">
        <f>IFERROR(VLOOKUP(B1369, PlumX_snapshot!$A:$F, 6, FALSE), " ")</f>
        <v xml:space="preserve"> </v>
      </c>
      <c r="AB1369" s="13"/>
      <c r="AC1369" s="9" t="s">
        <v>6774</v>
      </c>
      <c r="AD1369" s="9" t="s">
        <v>6775</v>
      </c>
      <c r="AE1369" s="9" t="s">
        <v>6776</v>
      </c>
      <c r="AF1369" s="9" t="s">
        <v>6777</v>
      </c>
      <c r="AH1369" s="9">
        <v>3400</v>
      </c>
      <c r="AI1369" s="9" t="s">
        <v>77</v>
      </c>
      <c r="AJ1369" s="9" t="s">
        <v>301</v>
      </c>
      <c r="AK1369" s="11" t="str">
        <f t="shared" si="10"/>
        <v>2022GBP</v>
      </c>
      <c r="AL1369" s="11">
        <f>VLOOKUP(AK1369, Exchange_rates!$C:$D, 2, FALSE)</f>
        <v>1</v>
      </c>
      <c r="AM1369" s="14">
        <f t="shared" si="11"/>
        <v>4080</v>
      </c>
      <c r="AN1369" s="9"/>
      <c r="AO1369" s="9"/>
      <c r="AP1369" s="9"/>
      <c r="AQ1369" s="15" t="s">
        <v>49</v>
      </c>
      <c r="AR1369" t="s">
        <v>6778</v>
      </c>
      <c r="AS1369" s="16"/>
    </row>
    <row r="1370" spans="1:45" ht="14.5">
      <c r="A1370" s="9" t="s">
        <v>6779</v>
      </c>
      <c r="B1370" s="9" t="s">
        <v>6780</v>
      </c>
      <c r="C1370" s="9" t="s">
        <v>5728</v>
      </c>
      <c r="D1370" s="9" t="s">
        <v>5539</v>
      </c>
      <c r="E1370" s="9" t="s">
        <v>49</v>
      </c>
      <c r="F1370" s="9" t="s">
        <v>69</v>
      </c>
      <c r="G1370" s="9" t="s">
        <v>70</v>
      </c>
      <c r="H1370" s="9" t="s">
        <v>6505</v>
      </c>
      <c r="I1370" s="9" t="s">
        <v>72</v>
      </c>
      <c r="J1370" s="29"/>
      <c r="K1370" s="35">
        <v>44806</v>
      </c>
      <c r="L1370" s="10">
        <v>44847</v>
      </c>
      <c r="M1370" s="10"/>
      <c r="N1370" s="9">
        <v>2022</v>
      </c>
      <c r="O1370" s="9" t="s">
        <v>6764</v>
      </c>
      <c r="P1370" s="9" t="s">
        <v>83</v>
      </c>
      <c r="Q1370" s="9" t="s">
        <v>53</v>
      </c>
      <c r="R1370" s="9" t="s">
        <v>6781</v>
      </c>
      <c r="T1370" s="9"/>
      <c r="V1370" s="9"/>
      <c r="W1370" s="11" t="str">
        <f>IFERROR(VLOOKUP(B1370, PlumX_snapshot!$A:$B, 2, FALSE), " ")</f>
        <v xml:space="preserve"> </v>
      </c>
      <c r="X1370" s="11" t="str">
        <f>IFERROR(VLOOKUP(B1370, PlumX_snapshot!$A:$C, 3, FALSE), " ")</f>
        <v xml:space="preserve"> </v>
      </c>
      <c r="Y1370" s="12" t="str">
        <f>IFERROR(VLOOKUP(B1370, PlumX_snapshot!$A:$D, 4, FALSE), " ")</f>
        <v xml:space="preserve"> </v>
      </c>
      <c r="Z1370" s="12" t="str">
        <f>IFERROR(VLOOKUP(B1370, PlumX_snapshot!$A:$E, 5, FALSE), " ")</f>
        <v xml:space="preserve"> </v>
      </c>
      <c r="AA1370" s="12" t="str">
        <f>IFERROR(VLOOKUP(B1370, PlumX_snapshot!$A:$F, 6, FALSE), " ")</f>
        <v xml:space="preserve"> </v>
      </c>
      <c r="AB1370" s="13"/>
      <c r="AC1370" s="9" t="s">
        <v>6782</v>
      </c>
      <c r="AD1370" s="9" t="s">
        <v>6783</v>
      </c>
      <c r="AE1370" s="9" t="s">
        <v>6784</v>
      </c>
      <c r="AF1370" s="9" t="s">
        <v>6785</v>
      </c>
      <c r="AH1370" s="9">
        <v>2250</v>
      </c>
      <c r="AI1370" s="9" t="s">
        <v>77</v>
      </c>
      <c r="AJ1370" s="9" t="s">
        <v>301</v>
      </c>
      <c r="AK1370" s="11" t="str">
        <f t="shared" si="10"/>
        <v>2022GBP</v>
      </c>
      <c r="AL1370" s="11">
        <f>VLOOKUP(AK1370, Exchange_rates!$C:$D, 2, FALSE)</f>
        <v>1</v>
      </c>
      <c r="AM1370" s="14">
        <f t="shared" si="11"/>
        <v>2700</v>
      </c>
      <c r="AN1370" s="9"/>
      <c r="AO1370" s="9"/>
      <c r="AP1370" s="9"/>
      <c r="AQ1370" s="15" t="s">
        <v>49</v>
      </c>
      <c r="AR1370" t="s">
        <v>5732</v>
      </c>
      <c r="AS1370" s="16"/>
    </row>
    <row r="1371" spans="1:45" ht="14.5">
      <c r="A1371" s="9" t="s">
        <v>6786</v>
      </c>
      <c r="B1371" s="9" t="s">
        <v>6787</v>
      </c>
      <c r="C1371" s="9" t="s">
        <v>6139</v>
      </c>
      <c r="D1371" s="9" t="s">
        <v>5539</v>
      </c>
      <c r="E1371" s="9" t="s">
        <v>49</v>
      </c>
      <c r="F1371" s="9" t="s">
        <v>69</v>
      </c>
      <c r="G1371" s="9" t="s">
        <v>70</v>
      </c>
      <c r="H1371" s="9" t="s">
        <v>6505</v>
      </c>
      <c r="I1371" s="9" t="s">
        <v>72</v>
      </c>
      <c r="J1371" s="29"/>
      <c r="K1371" s="35">
        <v>44831</v>
      </c>
      <c r="L1371" s="10">
        <v>44841</v>
      </c>
      <c r="M1371" s="10"/>
      <c r="N1371" s="9">
        <v>2022</v>
      </c>
      <c r="O1371" s="9" t="s">
        <v>6764</v>
      </c>
      <c r="P1371" s="9" t="s">
        <v>83</v>
      </c>
      <c r="Q1371" s="9" t="s">
        <v>53</v>
      </c>
      <c r="R1371" s="9" t="s">
        <v>6788</v>
      </c>
      <c r="T1371" s="9"/>
      <c r="V1371" s="9"/>
      <c r="W1371" s="11" t="str">
        <f>IFERROR(VLOOKUP(B1371, PlumX_snapshot!$A:$B, 2, FALSE), " ")</f>
        <v xml:space="preserve"> </v>
      </c>
      <c r="X1371" s="11" t="str">
        <f>IFERROR(VLOOKUP(B1371, PlumX_snapshot!$A:$C, 3, FALSE), " ")</f>
        <v xml:space="preserve"> </v>
      </c>
      <c r="Y1371" s="12" t="str">
        <f>IFERROR(VLOOKUP(B1371, PlumX_snapshot!$A:$D, 4, FALSE), " ")</f>
        <v xml:space="preserve"> </v>
      </c>
      <c r="Z1371" s="12" t="str">
        <f>IFERROR(VLOOKUP(B1371, PlumX_snapshot!$A:$E, 5, FALSE), " ")</f>
        <v xml:space="preserve"> </v>
      </c>
      <c r="AA1371" s="12" t="str">
        <f>IFERROR(VLOOKUP(B1371, PlumX_snapshot!$A:$F, 6, FALSE), " ")</f>
        <v xml:space="preserve"> </v>
      </c>
      <c r="AB1371" s="13"/>
      <c r="AC1371" s="9" t="s">
        <v>6789</v>
      </c>
      <c r="AD1371" s="9" t="s">
        <v>6790</v>
      </c>
      <c r="AF1371" s="9" t="s">
        <v>6791</v>
      </c>
      <c r="AH1371" s="9">
        <v>2200</v>
      </c>
      <c r="AI1371" s="9" t="s">
        <v>77</v>
      </c>
      <c r="AJ1371" s="9" t="s">
        <v>301</v>
      </c>
      <c r="AK1371" s="11" t="str">
        <f t="shared" si="10"/>
        <v>2022GBP</v>
      </c>
      <c r="AL1371" s="11">
        <f>VLOOKUP(AK1371, Exchange_rates!$C:$D, 2, FALSE)</f>
        <v>1</v>
      </c>
      <c r="AM1371" s="14">
        <f t="shared" si="11"/>
        <v>2640</v>
      </c>
      <c r="AN1371" s="9"/>
      <c r="AO1371" s="9"/>
      <c r="AP1371" s="9"/>
      <c r="AQ1371" s="15" t="s">
        <v>49</v>
      </c>
      <c r="AR1371" t="s">
        <v>6143</v>
      </c>
      <c r="AS1371" s="16"/>
    </row>
    <row r="1372" spans="1:45" ht="14.5">
      <c r="A1372" s="9" t="s">
        <v>6792</v>
      </c>
      <c r="B1372" s="9" t="s">
        <v>6793</v>
      </c>
      <c r="C1372" s="9" t="s">
        <v>6794</v>
      </c>
      <c r="D1372" s="9" t="s">
        <v>5539</v>
      </c>
      <c r="E1372" s="9" t="s">
        <v>49</v>
      </c>
      <c r="F1372" s="9" t="s">
        <v>69</v>
      </c>
      <c r="G1372" s="9" t="s">
        <v>70</v>
      </c>
      <c r="H1372" s="9" t="s">
        <v>6505</v>
      </c>
      <c r="I1372" s="9" t="s">
        <v>238</v>
      </c>
      <c r="J1372" s="29"/>
      <c r="K1372" s="35">
        <v>44836</v>
      </c>
      <c r="L1372" s="10">
        <v>44840</v>
      </c>
      <c r="M1372" s="10"/>
      <c r="N1372" s="9">
        <v>2022</v>
      </c>
      <c r="O1372" s="9" t="s">
        <v>6764</v>
      </c>
      <c r="P1372" s="9" t="s">
        <v>53</v>
      </c>
      <c r="Q1372" s="9" t="s">
        <v>53</v>
      </c>
      <c r="T1372" s="9"/>
      <c r="V1372" s="9"/>
      <c r="W1372" s="11" t="str">
        <f>IFERROR(VLOOKUP(B1372, PlumX_snapshot!$A:$B, 2, FALSE), " ")</f>
        <v xml:space="preserve"> </v>
      </c>
      <c r="X1372" s="11" t="str">
        <f>IFERROR(VLOOKUP(B1372, PlumX_snapshot!$A:$C, 3, FALSE), " ")</f>
        <v xml:space="preserve"> </v>
      </c>
      <c r="Y1372" s="12" t="str">
        <f>IFERROR(VLOOKUP(B1372, PlumX_snapshot!$A:$D, 4, FALSE), " ")</f>
        <v xml:space="preserve"> </v>
      </c>
      <c r="Z1372" s="12" t="str">
        <f>IFERROR(VLOOKUP(B1372, PlumX_snapshot!$A:$E, 5, FALSE), " ")</f>
        <v xml:space="preserve"> </v>
      </c>
      <c r="AA1372" s="12" t="str">
        <f>IFERROR(VLOOKUP(B1372, PlumX_snapshot!$A:$F, 6, FALSE), " ")</f>
        <v xml:space="preserve"> </v>
      </c>
      <c r="AB1372" s="13"/>
      <c r="AC1372" s="9" t="s">
        <v>6490</v>
      </c>
      <c r="AD1372" s="9" t="s">
        <v>6491</v>
      </c>
      <c r="AE1372" s="9" t="s">
        <v>6492</v>
      </c>
      <c r="AF1372" s="9" t="s">
        <v>6795</v>
      </c>
      <c r="AH1372" s="9">
        <v>2680</v>
      </c>
      <c r="AI1372" s="9" t="s">
        <v>77</v>
      </c>
      <c r="AJ1372" s="9" t="s">
        <v>301</v>
      </c>
      <c r="AK1372" s="11" t="str">
        <f t="shared" si="10"/>
        <v>2022GBP</v>
      </c>
      <c r="AL1372" s="11">
        <f>VLOOKUP(AK1372, Exchange_rates!$C:$D, 2, FALSE)</f>
        <v>1</v>
      </c>
      <c r="AM1372" s="14">
        <f t="shared" si="11"/>
        <v>3216</v>
      </c>
      <c r="AN1372" s="9"/>
      <c r="AO1372" s="9"/>
      <c r="AP1372" s="9"/>
      <c r="AQ1372" s="15" t="s">
        <v>49</v>
      </c>
      <c r="AR1372" t="s">
        <v>6796</v>
      </c>
      <c r="AS1372" s="16"/>
    </row>
    <row r="1373" spans="1:45" ht="14.5">
      <c r="A1373" s="9" t="s">
        <v>6797</v>
      </c>
      <c r="B1373" s="9" t="s">
        <v>6798</v>
      </c>
      <c r="C1373" s="9" t="s">
        <v>5764</v>
      </c>
      <c r="D1373" s="9" t="s">
        <v>5539</v>
      </c>
      <c r="E1373" s="9" t="s">
        <v>49</v>
      </c>
      <c r="F1373" s="9" t="s">
        <v>69</v>
      </c>
      <c r="G1373" s="9" t="s">
        <v>70</v>
      </c>
      <c r="H1373" s="9" t="s">
        <v>6505</v>
      </c>
      <c r="I1373" s="9" t="s">
        <v>72</v>
      </c>
      <c r="J1373" s="29"/>
      <c r="K1373" s="35">
        <v>44808</v>
      </c>
      <c r="L1373" s="10">
        <v>44840</v>
      </c>
      <c r="M1373" s="10">
        <v>44858</v>
      </c>
      <c r="N1373" s="9">
        <v>2022</v>
      </c>
      <c r="O1373" s="9" t="s">
        <v>6764</v>
      </c>
      <c r="P1373" s="9" t="s">
        <v>53</v>
      </c>
      <c r="Q1373" s="9" t="s">
        <v>83</v>
      </c>
      <c r="R1373" s="9" t="s">
        <v>6799</v>
      </c>
      <c r="T1373" s="9"/>
      <c r="V1373" s="9"/>
      <c r="W1373" s="11" t="str">
        <f>IFERROR(VLOOKUP(B1373, PlumX_snapshot!$A:$B, 2, FALSE), " ")</f>
        <v xml:space="preserve"> </v>
      </c>
      <c r="X1373" s="11" t="str">
        <f>IFERROR(VLOOKUP(B1373, PlumX_snapshot!$A:$C, 3, FALSE), " ")</f>
        <v xml:space="preserve"> </v>
      </c>
      <c r="Y1373" s="12" t="str">
        <f>IFERROR(VLOOKUP(B1373, PlumX_snapshot!$A:$D, 4, FALSE), " ")</f>
        <v xml:space="preserve"> </v>
      </c>
      <c r="Z1373" s="12" t="str">
        <f>IFERROR(VLOOKUP(B1373, PlumX_snapshot!$A:$E, 5, FALSE), " ")</f>
        <v xml:space="preserve"> </v>
      </c>
      <c r="AA1373" s="12" t="str">
        <f>IFERROR(VLOOKUP(B1373, PlumX_snapshot!$A:$F, 6, FALSE), " ")</f>
        <v xml:space="preserve"> </v>
      </c>
      <c r="AB1373" s="13"/>
      <c r="AC1373" s="9" t="s">
        <v>5765</v>
      </c>
      <c r="AD1373" s="9" t="s">
        <v>5766</v>
      </c>
      <c r="AE1373" s="9" t="s">
        <v>5767</v>
      </c>
      <c r="AF1373" s="9" t="s">
        <v>6800</v>
      </c>
      <c r="AH1373" s="9">
        <v>2800</v>
      </c>
      <c r="AI1373" s="9" t="s">
        <v>77</v>
      </c>
      <c r="AJ1373" s="9" t="s">
        <v>301</v>
      </c>
      <c r="AK1373" s="11" t="str">
        <f t="shared" si="10"/>
        <v>2022GBP</v>
      </c>
      <c r="AL1373" s="11">
        <f>VLOOKUP(AK1373, Exchange_rates!$C:$D, 2, FALSE)</f>
        <v>1</v>
      </c>
      <c r="AM1373" s="14">
        <f t="shared" si="11"/>
        <v>3360</v>
      </c>
      <c r="AN1373" s="9"/>
      <c r="AO1373" s="9"/>
      <c r="AP1373" s="9"/>
      <c r="AQ1373" s="15" t="s">
        <v>49</v>
      </c>
      <c r="AR1373" t="s">
        <v>5595</v>
      </c>
      <c r="AS1373" s="16"/>
    </row>
    <row r="1374" spans="1:45" ht="14.5">
      <c r="A1374" s="9" t="s">
        <v>6801</v>
      </c>
      <c r="B1374" s="9" t="s">
        <v>6802</v>
      </c>
      <c r="C1374" s="9" t="s">
        <v>5956</v>
      </c>
      <c r="D1374" s="9" t="s">
        <v>5539</v>
      </c>
      <c r="E1374" s="9" t="s">
        <v>49</v>
      </c>
      <c r="F1374" s="9" t="s">
        <v>69</v>
      </c>
      <c r="G1374" s="9" t="s">
        <v>70</v>
      </c>
      <c r="H1374" s="9" t="s">
        <v>6505</v>
      </c>
      <c r="I1374" s="9" t="s">
        <v>72</v>
      </c>
      <c r="J1374" s="29"/>
      <c r="K1374" s="35">
        <v>44755</v>
      </c>
      <c r="L1374" s="10">
        <v>44837</v>
      </c>
      <c r="M1374" s="10"/>
      <c r="N1374" s="9">
        <v>2022</v>
      </c>
      <c r="O1374" s="9" t="s">
        <v>6764</v>
      </c>
      <c r="P1374" s="9" t="s">
        <v>83</v>
      </c>
      <c r="Q1374" s="9" t="s">
        <v>53</v>
      </c>
      <c r="R1374" s="9" t="s">
        <v>4005</v>
      </c>
      <c r="T1374" s="9"/>
      <c r="V1374" s="9"/>
      <c r="W1374" s="11" t="str">
        <f>IFERROR(VLOOKUP(B1374, PlumX_snapshot!$A:$B, 2, FALSE), " ")</f>
        <v xml:space="preserve"> </v>
      </c>
      <c r="X1374" s="11" t="str">
        <f>IFERROR(VLOOKUP(B1374, PlumX_snapshot!$A:$C, 3, FALSE), " ")</f>
        <v xml:space="preserve"> </v>
      </c>
      <c r="Y1374" s="12" t="str">
        <f>IFERROR(VLOOKUP(B1374, PlumX_snapshot!$A:$D, 4, FALSE), " ")</f>
        <v xml:space="preserve"> </v>
      </c>
      <c r="Z1374" s="12" t="str">
        <f>IFERROR(VLOOKUP(B1374, PlumX_snapshot!$A:$E, 5, FALSE), " ")</f>
        <v xml:space="preserve"> </v>
      </c>
      <c r="AA1374" s="12" t="str">
        <f>IFERROR(VLOOKUP(B1374, PlumX_snapshot!$A:$F, 6, FALSE), " ")</f>
        <v xml:space="preserve"> </v>
      </c>
      <c r="AB1374" s="13"/>
      <c r="AC1374" s="9" t="s">
        <v>6803</v>
      </c>
      <c r="AD1374" s="9" t="s">
        <v>6804</v>
      </c>
      <c r="AE1374" s="9" t="s">
        <v>6805</v>
      </c>
      <c r="AH1374" s="9">
        <v>2000</v>
      </c>
      <c r="AI1374" s="9" t="s">
        <v>77</v>
      </c>
      <c r="AJ1374" s="9" t="s">
        <v>301</v>
      </c>
      <c r="AK1374" s="11" t="str">
        <f t="shared" si="10"/>
        <v>2022GBP</v>
      </c>
      <c r="AL1374" s="11">
        <f>VLOOKUP(AK1374, Exchange_rates!$C:$D, 2, FALSE)</f>
        <v>1</v>
      </c>
      <c r="AM1374" s="14">
        <f t="shared" si="11"/>
        <v>2400</v>
      </c>
      <c r="AN1374" s="9"/>
      <c r="AO1374" s="9"/>
      <c r="AP1374" s="9"/>
      <c r="AQ1374" s="15" t="s">
        <v>49</v>
      </c>
      <c r="AR1374" t="s">
        <v>5960</v>
      </c>
      <c r="AS1374" s="16"/>
    </row>
    <row r="1375" spans="1:45" ht="14.5">
      <c r="A1375" s="9" t="s">
        <v>6806</v>
      </c>
      <c r="B1375" s="9" t="s">
        <v>6807</v>
      </c>
      <c r="C1375" s="9" t="s">
        <v>6808</v>
      </c>
      <c r="D1375" s="9" t="s">
        <v>5539</v>
      </c>
      <c r="E1375" s="9" t="s">
        <v>49</v>
      </c>
      <c r="F1375" s="9" t="s">
        <v>69</v>
      </c>
      <c r="G1375" s="9" t="s">
        <v>70</v>
      </c>
      <c r="H1375" s="9" t="s">
        <v>6505</v>
      </c>
      <c r="I1375" s="9" t="s">
        <v>72</v>
      </c>
      <c r="J1375" s="29"/>
      <c r="K1375" s="35">
        <v>44783</v>
      </c>
      <c r="L1375" s="10">
        <v>44833</v>
      </c>
      <c r="M1375" s="10"/>
      <c r="N1375" s="9">
        <v>2022</v>
      </c>
      <c r="O1375" s="9" t="s">
        <v>6764</v>
      </c>
      <c r="P1375" s="9" t="s">
        <v>53</v>
      </c>
      <c r="Q1375" s="9" t="s">
        <v>53</v>
      </c>
      <c r="R1375" s="9" t="s">
        <v>6809</v>
      </c>
      <c r="T1375" s="9"/>
      <c r="V1375" s="9"/>
      <c r="W1375" s="11" t="str">
        <f>IFERROR(VLOOKUP(B1375, PlumX_snapshot!$A:$B, 2, FALSE), " ")</f>
        <v xml:space="preserve"> </v>
      </c>
      <c r="X1375" s="11" t="str">
        <f>IFERROR(VLOOKUP(B1375, PlumX_snapshot!$A:$C, 3, FALSE), " ")</f>
        <v xml:space="preserve"> </v>
      </c>
      <c r="Y1375" s="12" t="str">
        <f>IFERROR(VLOOKUP(B1375, PlumX_snapshot!$A:$D, 4, FALSE), " ")</f>
        <v xml:space="preserve"> </v>
      </c>
      <c r="Z1375" s="12" t="str">
        <f>IFERROR(VLOOKUP(B1375, PlumX_snapshot!$A:$E, 5, FALSE), " ")</f>
        <v xml:space="preserve"> </v>
      </c>
      <c r="AA1375" s="12" t="str">
        <f>IFERROR(VLOOKUP(B1375, PlumX_snapshot!$A:$F, 6, FALSE), " ")</f>
        <v xml:space="preserve"> </v>
      </c>
      <c r="AB1375" s="13"/>
      <c r="AC1375" s="9" t="s">
        <v>6810</v>
      </c>
      <c r="AD1375" s="9" t="s">
        <v>6811</v>
      </c>
      <c r="AE1375" s="9" t="s">
        <v>6812</v>
      </c>
      <c r="AF1375" s="9" t="s">
        <v>6813</v>
      </c>
      <c r="AH1375" s="9">
        <v>3200</v>
      </c>
      <c r="AI1375" s="9" t="s">
        <v>77</v>
      </c>
      <c r="AJ1375" s="9" t="s">
        <v>301</v>
      </c>
      <c r="AK1375" s="11" t="str">
        <f t="shared" si="10"/>
        <v>2022GBP</v>
      </c>
      <c r="AL1375" s="11">
        <f>VLOOKUP(AK1375, Exchange_rates!$C:$D, 2, FALSE)</f>
        <v>1</v>
      </c>
      <c r="AM1375" s="14">
        <f t="shared" si="11"/>
        <v>3840</v>
      </c>
      <c r="AN1375" s="9"/>
      <c r="AO1375" s="9"/>
      <c r="AP1375" s="9"/>
      <c r="AQ1375" s="15" t="s">
        <v>49</v>
      </c>
      <c r="AR1375" t="s">
        <v>6814</v>
      </c>
      <c r="AS1375" s="16"/>
    </row>
    <row r="1376" spans="1:45" ht="14.5">
      <c r="A1376" s="9" t="s">
        <v>6815</v>
      </c>
      <c r="B1376" s="9" t="s">
        <v>6816</v>
      </c>
      <c r="C1376" s="9" t="s">
        <v>6817</v>
      </c>
      <c r="D1376" s="9" t="s">
        <v>5539</v>
      </c>
      <c r="E1376" s="9" t="s">
        <v>49</v>
      </c>
      <c r="F1376" s="9" t="s">
        <v>69</v>
      </c>
      <c r="G1376" s="9" t="s">
        <v>70</v>
      </c>
      <c r="H1376" s="9" t="s">
        <v>6505</v>
      </c>
      <c r="I1376" s="9" t="s">
        <v>72</v>
      </c>
      <c r="J1376" s="29"/>
      <c r="K1376" s="35">
        <v>44819</v>
      </c>
      <c r="L1376" s="10">
        <v>44832</v>
      </c>
      <c r="M1376" s="10"/>
      <c r="N1376" s="9">
        <v>2022</v>
      </c>
      <c r="O1376" s="9" t="s">
        <v>6764</v>
      </c>
      <c r="P1376" s="9" t="s">
        <v>53</v>
      </c>
      <c r="Q1376" s="9" t="s">
        <v>53</v>
      </c>
      <c r="R1376" s="9" t="s">
        <v>6818</v>
      </c>
      <c r="T1376" s="9"/>
      <c r="V1376" s="9"/>
      <c r="W1376" s="11" t="str">
        <f>IFERROR(VLOOKUP(B1376, PlumX_snapshot!$A:$B, 2, FALSE), " ")</f>
        <v xml:space="preserve"> </v>
      </c>
      <c r="X1376" s="11" t="str">
        <f>IFERROR(VLOOKUP(B1376, PlumX_snapshot!$A:$C, 3, FALSE), " ")</f>
        <v xml:space="preserve"> </v>
      </c>
      <c r="Y1376" s="12" t="str">
        <f>IFERROR(VLOOKUP(B1376, PlumX_snapshot!$A:$D, 4, FALSE), " ")</f>
        <v xml:space="preserve"> </v>
      </c>
      <c r="Z1376" s="12" t="str">
        <f>IFERROR(VLOOKUP(B1376, PlumX_snapshot!$A:$E, 5, FALSE), " ")</f>
        <v xml:space="preserve"> </v>
      </c>
      <c r="AA1376" s="12" t="str">
        <f>IFERROR(VLOOKUP(B1376, PlumX_snapshot!$A:$F, 6, FALSE), " ")</f>
        <v xml:space="preserve"> </v>
      </c>
      <c r="AB1376" s="13"/>
      <c r="AC1376" s="9" t="s">
        <v>6819</v>
      </c>
      <c r="AD1376" s="9" t="s">
        <v>6820</v>
      </c>
      <c r="AE1376" s="9" t="s">
        <v>6821</v>
      </c>
      <c r="AF1376" s="9" t="s">
        <v>6822</v>
      </c>
      <c r="AH1376" s="9">
        <v>1650</v>
      </c>
      <c r="AI1376" s="9" t="s">
        <v>77</v>
      </c>
      <c r="AJ1376" s="9" t="s">
        <v>301</v>
      </c>
      <c r="AK1376" s="11" t="str">
        <f t="shared" si="10"/>
        <v>2022GBP</v>
      </c>
      <c r="AL1376" s="11">
        <f>VLOOKUP(AK1376, Exchange_rates!$C:$D, 2, FALSE)</f>
        <v>1</v>
      </c>
      <c r="AM1376" s="14">
        <f t="shared" si="11"/>
        <v>1980</v>
      </c>
      <c r="AN1376" s="9"/>
      <c r="AO1376" s="9"/>
      <c r="AP1376" s="9"/>
      <c r="AQ1376" s="15" t="s">
        <v>49</v>
      </c>
      <c r="AR1376" t="s">
        <v>6823</v>
      </c>
      <c r="AS1376" s="16"/>
    </row>
    <row r="1377" spans="1:45" ht="14.5">
      <c r="A1377" s="9" t="s">
        <v>6824</v>
      </c>
      <c r="B1377" s="9" t="s">
        <v>6825</v>
      </c>
      <c r="C1377" s="9" t="s">
        <v>6826</v>
      </c>
      <c r="D1377" s="9" t="s">
        <v>5539</v>
      </c>
      <c r="E1377" s="9" t="s">
        <v>49</v>
      </c>
      <c r="F1377" s="9" t="s">
        <v>69</v>
      </c>
      <c r="G1377" s="9" t="s">
        <v>70</v>
      </c>
      <c r="H1377" s="9" t="s">
        <v>6505</v>
      </c>
      <c r="I1377" s="9" t="s">
        <v>72</v>
      </c>
      <c r="J1377" s="29"/>
      <c r="K1377" s="35">
        <v>44798</v>
      </c>
      <c r="L1377" s="10">
        <v>44812</v>
      </c>
      <c r="M1377" s="10">
        <v>44831</v>
      </c>
      <c r="N1377" s="9">
        <v>2022</v>
      </c>
      <c r="O1377" s="9" t="s">
        <v>6764</v>
      </c>
      <c r="P1377" s="9" t="s">
        <v>53</v>
      </c>
      <c r="Q1377" s="9" t="s">
        <v>53</v>
      </c>
      <c r="R1377" s="9" t="s">
        <v>6827</v>
      </c>
      <c r="T1377" s="9"/>
      <c r="V1377" s="9"/>
      <c r="W1377" s="11" t="str">
        <f>IFERROR(VLOOKUP(B1377, PlumX_snapshot!$A:$B, 2, FALSE), " ")</f>
        <v xml:space="preserve"> </v>
      </c>
      <c r="X1377" s="11" t="str">
        <f>IFERROR(VLOOKUP(B1377, PlumX_snapshot!$A:$C, 3, FALSE), " ")</f>
        <v xml:space="preserve"> </v>
      </c>
      <c r="Y1377" s="12" t="str">
        <f>IFERROR(VLOOKUP(B1377, PlumX_snapshot!$A:$D, 4, FALSE), " ")</f>
        <v xml:space="preserve"> </v>
      </c>
      <c r="Z1377" s="12" t="str">
        <f>IFERROR(VLOOKUP(B1377, PlumX_snapshot!$A:$E, 5, FALSE), " ")</f>
        <v xml:space="preserve"> </v>
      </c>
      <c r="AA1377" s="12" t="str">
        <f>IFERROR(VLOOKUP(B1377, PlumX_snapshot!$A:$F, 6, FALSE), " ")</f>
        <v xml:space="preserve"> </v>
      </c>
      <c r="AB1377" s="13"/>
      <c r="AC1377" s="9" t="s">
        <v>6828</v>
      </c>
      <c r="AD1377" s="9" t="s">
        <v>6829</v>
      </c>
      <c r="AE1377" s="9" t="s">
        <v>6830</v>
      </c>
      <c r="AF1377" s="9" t="s">
        <v>6831</v>
      </c>
      <c r="AH1377" s="9">
        <v>3150</v>
      </c>
      <c r="AI1377" s="9" t="s">
        <v>77</v>
      </c>
      <c r="AJ1377" s="9" t="s">
        <v>301</v>
      </c>
      <c r="AK1377" s="11" t="str">
        <f t="shared" si="10"/>
        <v>2022GBP</v>
      </c>
      <c r="AL1377" s="11">
        <f>VLOOKUP(AK1377, Exchange_rates!$C:$D, 2, FALSE)</f>
        <v>1</v>
      </c>
      <c r="AM1377" s="14">
        <f t="shared" si="11"/>
        <v>3780</v>
      </c>
      <c r="AN1377" s="9"/>
      <c r="AO1377" s="9"/>
      <c r="AP1377" s="9"/>
      <c r="AQ1377" s="15" t="s">
        <v>49</v>
      </c>
      <c r="AR1377" t="s">
        <v>6832</v>
      </c>
      <c r="AS1377" s="16"/>
    </row>
    <row r="1378" spans="1:45" ht="14.5">
      <c r="A1378" s="9" t="s">
        <v>6833</v>
      </c>
      <c r="B1378" s="9" t="s">
        <v>6834</v>
      </c>
      <c r="C1378" s="9" t="s">
        <v>5801</v>
      </c>
      <c r="D1378" s="9" t="s">
        <v>5539</v>
      </c>
      <c r="E1378" s="9" t="s">
        <v>49</v>
      </c>
      <c r="F1378" s="9" t="s">
        <v>69</v>
      </c>
      <c r="G1378" s="9" t="s">
        <v>70</v>
      </c>
      <c r="H1378" s="9" t="s">
        <v>6505</v>
      </c>
      <c r="I1378" s="9" t="s">
        <v>72</v>
      </c>
      <c r="J1378" s="29"/>
      <c r="K1378" s="35">
        <v>44792</v>
      </c>
      <c r="L1378" s="10">
        <v>44798</v>
      </c>
      <c r="M1378" s="10">
        <v>44826</v>
      </c>
      <c r="N1378" s="9">
        <v>2022</v>
      </c>
      <c r="O1378" s="9" t="s">
        <v>6764</v>
      </c>
      <c r="P1378" s="9" t="s">
        <v>53</v>
      </c>
      <c r="Q1378" s="9" t="s">
        <v>53</v>
      </c>
      <c r="R1378" s="9" t="s">
        <v>6835</v>
      </c>
      <c r="T1378" s="9"/>
      <c r="V1378" s="9"/>
      <c r="W1378" s="11" t="str">
        <f>IFERROR(VLOOKUP(B1378, PlumX_snapshot!$A:$B, 2, FALSE), " ")</f>
        <v xml:space="preserve"> </v>
      </c>
      <c r="X1378" s="11" t="str">
        <f>IFERROR(VLOOKUP(B1378, PlumX_snapshot!$A:$C, 3, FALSE), " ")</f>
        <v xml:space="preserve"> </v>
      </c>
      <c r="Y1378" s="12" t="str">
        <f>IFERROR(VLOOKUP(B1378, PlumX_snapshot!$A:$D, 4, FALSE), " ")</f>
        <v xml:space="preserve"> </v>
      </c>
      <c r="Z1378" s="12" t="str">
        <f>IFERROR(VLOOKUP(B1378, PlumX_snapshot!$A:$E, 5, FALSE), " ")</f>
        <v xml:space="preserve"> </v>
      </c>
      <c r="AA1378" s="12" t="str">
        <f>IFERROR(VLOOKUP(B1378, PlumX_snapshot!$A:$F, 6, FALSE), " ")</f>
        <v xml:space="preserve"> </v>
      </c>
      <c r="AB1378" s="13"/>
      <c r="AC1378" s="9" t="s">
        <v>6836</v>
      </c>
      <c r="AD1378" s="9" t="s">
        <v>6837</v>
      </c>
      <c r="AF1378" s="9" t="s">
        <v>6838</v>
      </c>
      <c r="AH1378" s="9">
        <v>3150</v>
      </c>
      <c r="AI1378" s="9" t="s">
        <v>77</v>
      </c>
      <c r="AJ1378" s="9" t="s">
        <v>301</v>
      </c>
      <c r="AK1378" s="11" t="str">
        <f t="shared" si="10"/>
        <v>2022GBP</v>
      </c>
      <c r="AL1378" s="11">
        <f>VLOOKUP(AK1378, Exchange_rates!$C:$D, 2, FALSE)</f>
        <v>1</v>
      </c>
      <c r="AM1378" s="14">
        <f t="shared" si="11"/>
        <v>3780</v>
      </c>
      <c r="AN1378" s="9"/>
      <c r="AO1378" s="9"/>
      <c r="AP1378" s="9"/>
      <c r="AQ1378" s="15" t="s">
        <v>49</v>
      </c>
      <c r="AR1378" t="s">
        <v>5806</v>
      </c>
      <c r="AS1378" s="16"/>
    </row>
    <row r="1379" spans="1:45" ht="14.5">
      <c r="A1379" s="9" t="s">
        <v>6839</v>
      </c>
      <c r="B1379" s="9" t="s">
        <v>6840</v>
      </c>
      <c r="C1379" s="9" t="s">
        <v>6841</v>
      </c>
      <c r="D1379" s="9" t="s">
        <v>5539</v>
      </c>
      <c r="E1379" s="9" t="s">
        <v>125</v>
      </c>
      <c r="F1379" s="9" t="s">
        <v>69</v>
      </c>
      <c r="G1379" s="9" t="s">
        <v>70</v>
      </c>
      <c r="H1379" s="9" t="s">
        <v>6505</v>
      </c>
      <c r="I1379" s="9" t="s">
        <v>291</v>
      </c>
      <c r="J1379" s="29"/>
      <c r="K1379" s="29"/>
      <c r="L1379" s="10">
        <v>44799</v>
      </c>
      <c r="M1379" s="10"/>
      <c r="N1379" s="9">
        <v>2022</v>
      </c>
      <c r="O1379" s="9" t="s">
        <v>6764</v>
      </c>
      <c r="P1379" s="9" t="s">
        <v>53</v>
      </c>
      <c r="Q1379" s="9" t="s">
        <v>53</v>
      </c>
      <c r="T1379" s="9"/>
      <c r="V1379" s="9"/>
      <c r="W1379" s="11" t="str">
        <f>IFERROR(VLOOKUP(B1379, PlumX_snapshot!$A:$B, 2, FALSE), " ")</f>
        <v xml:space="preserve"> </v>
      </c>
      <c r="X1379" s="11" t="str">
        <f>IFERROR(VLOOKUP(B1379, PlumX_snapshot!$A:$C, 3, FALSE), " ")</f>
        <v xml:space="preserve"> </v>
      </c>
      <c r="Y1379" s="12" t="str">
        <f>IFERROR(VLOOKUP(B1379, PlumX_snapshot!$A:$D, 4, FALSE), " ")</f>
        <v xml:space="preserve"> </v>
      </c>
      <c r="Z1379" s="12" t="str">
        <f>IFERROR(VLOOKUP(B1379, PlumX_snapshot!$A:$E, 5, FALSE), " ")</f>
        <v xml:space="preserve"> </v>
      </c>
      <c r="AA1379" s="12" t="str">
        <f>IFERROR(VLOOKUP(B1379, PlumX_snapshot!$A:$F, 6, FALSE), " ")</f>
        <v xml:space="preserve"> </v>
      </c>
      <c r="AB1379" s="13"/>
      <c r="AC1379" s="9" t="s">
        <v>6842</v>
      </c>
      <c r="AD1379" s="9" t="s">
        <v>6843</v>
      </c>
      <c r="AF1379" s="9" t="s">
        <v>6844</v>
      </c>
      <c r="AH1379" s="9">
        <v>1751</v>
      </c>
      <c r="AI1379" s="9" t="s">
        <v>77</v>
      </c>
      <c r="AJ1379" s="9" t="s">
        <v>301</v>
      </c>
      <c r="AK1379" s="11" t="str">
        <f t="shared" si="10"/>
        <v>2022GBP</v>
      </c>
      <c r="AL1379" s="11">
        <f>VLOOKUP(AK1379, Exchange_rates!$C:$D, 2, FALSE)</f>
        <v>1</v>
      </c>
      <c r="AM1379" s="14">
        <f t="shared" si="11"/>
        <v>2101.1999999999998</v>
      </c>
      <c r="AN1379" s="9"/>
      <c r="AO1379" s="9"/>
      <c r="AP1379" s="9"/>
      <c r="AQ1379" s="15" t="s">
        <v>125</v>
      </c>
      <c r="AR1379" t="s">
        <v>6845</v>
      </c>
      <c r="AS1379" s="16"/>
    </row>
    <row r="1380" spans="1:45" ht="14.5">
      <c r="A1380" s="9" t="s">
        <v>6846</v>
      </c>
      <c r="B1380" s="9" t="s">
        <v>6847</v>
      </c>
      <c r="C1380" s="9" t="s">
        <v>5786</v>
      </c>
      <c r="D1380" s="9" t="s">
        <v>5539</v>
      </c>
      <c r="E1380" s="9" t="s">
        <v>49</v>
      </c>
      <c r="F1380" s="9" t="s">
        <v>69</v>
      </c>
      <c r="G1380" s="9" t="s">
        <v>70</v>
      </c>
      <c r="H1380" s="9" t="s">
        <v>6505</v>
      </c>
      <c r="I1380" s="9" t="s">
        <v>72</v>
      </c>
      <c r="J1380" s="29"/>
      <c r="K1380" s="35">
        <v>44773</v>
      </c>
      <c r="L1380" s="10">
        <v>44790</v>
      </c>
      <c r="M1380" s="10">
        <v>44797</v>
      </c>
      <c r="N1380" s="9">
        <v>2022</v>
      </c>
      <c r="O1380" s="9" t="s">
        <v>6764</v>
      </c>
      <c r="P1380" s="9" t="s">
        <v>83</v>
      </c>
      <c r="Q1380" s="9" t="s">
        <v>53</v>
      </c>
      <c r="R1380" s="9" t="s">
        <v>6848</v>
      </c>
      <c r="T1380" s="9"/>
      <c r="V1380" s="9"/>
      <c r="W1380" s="11" t="str">
        <f>IFERROR(VLOOKUP(B1380, PlumX_snapshot!$A:$B, 2, FALSE), " ")</f>
        <v xml:space="preserve"> </v>
      </c>
      <c r="X1380" s="11" t="str">
        <f>IFERROR(VLOOKUP(B1380, PlumX_snapshot!$A:$C, 3, FALSE), " ")</f>
        <v xml:space="preserve"> </v>
      </c>
      <c r="Y1380" s="12" t="str">
        <f>IFERROR(VLOOKUP(B1380, PlumX_snapshot!$A:$D, 4, FALSE), " ")</f>
        <v xml:space="preserve"> </v>
      </c>
      <c r="Z1380" s="12" t="str">
        <f>IFERROR(VLOOKUP(B1380, PlumX_snapshot!$A:$E, 5, FALSE), " ")</f>
        <v xml:space="preserve"> </v>
      </c>
      <c r="AA1380" s="12" t="str">
        <f>IFERROR(VLOOKUP(B1380, PlumX_snapshot!$A:$F, 6, FALSE), " ")</f>
        <v xml:space="preserve"> </v>
      </c>
      <c r="AB1380" s="13"/>
      <c r="AC1380" s="9" t="s">
        <v>6170</v>
      </c>
      <c r="AD1380" s="9" t="s">
        <v>6171</v>
      </c>
      <c r="AH1380" s="9">
        <v>3550</v>
      </c>
      <c r="AI1380" s="9" t="s">
        <v>77</v>
      </c>
      <c r="AJ1380" s="9" t="s">
        <v>301</v>
      </c>
      <c r="AK1380" s="11" t="str">
        <f t="shared" si="10"/>
        <v>2022GBP</v>
      </c>
      <c r="AL1380" s="11">
        <f>VLOOKUP(AK1380, Exchange_rates!$C:$D, 2, FALSE)</f>
        <v>1</v>
      </c>
      <c r="AM1380" s="14">
        <f t="shared" si="11"/>
        <v>4260</v>
      </c>
      <c r="AN1380" s="9"/>
      <c r="AO1380" s="9"/>
      <c r="AP1380" s="9"/>
      <c r="AQ1380" s="15" t="s">
        <v>49</v>
      </c>
      <c r="AR1380" t="s">
        <v>5558</v>
      </c>
      <c r="AS1380" s="16"/>
    </row>
    <row r="1381" spans="1:45" ht="14.5">
      <c r="A1381" s="9" t="s">
        <v>6849</v>
      </c>
      <c r="B1381" s="9" t="s">
        <v>6850</v>
      </c>
      <c r="C1381" s="9" t="s">
        <v>5834</v>
      </c>
      <c r="D1381" s="9" t="s">
        <v>5539</v>
      </c>
      <c r="E1381" s="9" t="s">
        <v>125</v>
      </c>
      <c r="F1381" s="9" t="s">
        <v>69</v>
      </c>
      <c r="G1381" s="9" t="s">
        <v>70</v>
      </c>
      <c r="H1381" s="9" t="s">
        <v>6505</v>
      </c>
      <c r="I1381" s="9" t="s">
        <v>72</v>
      </c>
      <c r="J1381" s="29"/>
      <c r="K1381" s="29"/>
      <c r="L1381" s="10">
        <v>44790</v>
      </c>
      <c r="M1381" s="10"/>
      <c r="N1381" s="9">
        <v>2022</v>
      </c>
      <c r="O1381" s="9" t="s">
        <v>6764</v>
      </c>
      <c r="P1381" s="9" t="s">
        <v>83</v>
      </c>
      <c r="Q1381" s="9" t="s">
        <v>53</v>
      </c>
      <c r="R1381" s="9" t="s">
        <v>6851</v>
      </c>
      <c r="S1381" s="9" t="s">
        <v>6852</v>
      </c>
      <c r="T1381" s="9"/>
      <c r="V1381" s="9"/>
      <c r="W1381" s="11" t="str">
        <f>IFERROR(VLOOKUP(B1381, PlumX_snapshot!$A:$B, 2, FALSE), " ")</f>
        <v xml:space="preserve"> </v>
      </c>
      <c r="X1381" s="11" t="str">
        <f>IFERROR(VLOOKUP(B1381, PlumX_snapshot!$A:$C, 3, FALSE), " ")</f>
        <v xml:space="preserve"> </v>
      </c>
      <c r="Y1381" s="12" t="str">
        <f>IFERROR(VLOOKUP(B1381, PlumX_snapshot!$A:$D, 4, FALSE), " ")</f>
        <v xml:space="preserve"> </v>
      </c>
      <c r="Z1381" s="12" t="str">
        <f>IFERROR(VLOOKUP(B1381, PlumX_snapshot!$A:$E, 5, FALSE), " ")</f>
        <v xml:space="preserve"> </v>
      </c>
      <c r="AA1381" s="12" t="str">
        <f>IFERROR(VLOOKUP(B1381, PlumX_snapshot!$A:$F, 6, FALSE), " ")</f>
        <v xml:space="preserve"> </v>
      </c>
      <c r="AB1381" s="13"/>
      <c r="AC1381" s="9"/>
      <c r="AD1381" s="9"/>
      <c r="AE1381" s="9"/>
      <c r="AF1381" s="9"/>
      <c r="AH1381" s="9">
        <v>1651</v>
      </c>
      <c r="AI1381" s="9" t="s">
        <v>77</v>
      </c>
      <c r="AJ1381" s="9" t="s">
        <v>301</v>
      </c>
      <c r="AK1381" s="11" t="str">
        <f t="shared" si="10"/>
        <v>2022GBP</v>
      </c>
      <c r="AL1381" s="11">
        <f>VLOOKUP(AK1381, Exchange_rates!$C:$D, 2, FALSE)</f>
        <v>1</v>
      </c>
      <c r="AM1381" s="14">
        <f t="shared" si="11"/>
        <v>1981.1999999999998</v>
      </c>
      <c r="AN1381" s="9"/>
      <c r="AO1381" s="9"/>
      <c r="AP1381" s="9"/>
      <c r="AQ1381" s="15" t="s">
        <v>125</v>
      </c>
      <c r="AR1381" t="s">
        <v>5839</v>
      </c>
      <c r="AS1381" s="16"/>
    </row>
    <row r="1382" spans="1:45" ht="14.5">
      <c r="A1382" s="9" t="s">
        <v>6853</v>
      </c>
      <c r="B1382" s="9" t="s">
        <v>6854</v>
      </c>
      <c r="C1382" s="9" t="s">
        <v>6855</v>
      </c>
      <c r="D1382" s="9" t="s">
        <v>5539</v>
      </c>
      <c r="E1382" s="9" t="s">
        <v>125</v>
      </c>
      <c r="F1382" s="9" t="s">
        <v>69</v>
      </c>
      <c r="G1382" s="9" t="s">
        <v>70</v>
      </c>
      <c r="H1382" s="9" t="s">
        <v>6505</v>
      </c>
      <c r="I1382" s="9" t="s">
        <v>72</v>
      </c>
      <c r="J1382" s="29"/>
      <c r="K1382" s="29"/>
      <c r="L1382" s="10">
        <v>44788</v>
      </c>
      <c r="M1382" s="10">
        <v>45021</v>
      </c>
      <c r="N1382" s="9">
        <v>2022</v>
      </c>
      <c r="O1382" s="9" t="s">
        <v>6764</v>
      </c>
      <c r="P1382" s="9" t="s">
        <v>83</v>
      </c>
      <c r="Q1382" s="9" t="s">
        <v>53</v>
      </c>
      <c r="R1382" s="9" t="s">
        <v>6856</v>
      </c>
      <c r="T1382" s="20"/>
      <c r="V1382" s="9"/>
      <c r="W1382" s="11" t="str">
        <f>IFERROR(VLOOKUP(B1382, PlumX_snapshot!$A:$B, 2, FALSE), " ")</f>
        <v xml:space="preserve"> </v>
      </c>
      <c r="X1382" s="11" t="str">
        <f>IFERROR(VLOOKUP(B1382, PlumX_snapshot!$A:$C, 3, FALSE), " ")</f>
        <v xml:space="preserve"> </v>
      </c>
      <c r="Y1382" s="12" t="str">
        <f>IFERROR(VLOOKUP(B1382, PlumX_snapshot!$A:$D, 4, FALSE), " ")</f>
        <v xml:space="preserve"> </v>
      </c>
      <c r="Z1382" s="12" t="str">
        <f>IFERROR(VLOOKUP(B1382, PlumX_snapshot!$A:$E, 5, FALSE), " ")</f>
        <v xml:space="preserve"> </v>
      </c>
      <c r="AA1382" s="12" t="str">
        <f>IFERROR(VLOOKUP(B1382, PlumX_snapshot!$A:$F, 6, FALSE), " ")</f>
        <v xml:space="preserve"> </v>
      </c>
      <c r="AB1382" s="13"/>
      <c r="AC1382" s="9"/>
      <c r="AD1382" s="9"/>
      <c r="AE1382" s="9"/>
      <c r="AF1382" s="9"/>
      <c r="AH1382" s="9">
        <v>1260</v>
      </c>
      <c r="AI1382" s="9" t="s">
        <v>875</v>
      </c>
      <c r="AJ1382" s="9" t="s">
        <v>301</v>
      </c>
      <c r="AK1382" s="11" t="str">
        <f t="shared" si="10"/>
        <v>2022GBP</v>
      </c>
      <c r="AL1382" s="11">
        <f>VLOOKUP(AK1382, Exchange_rates!$C:$D, 2, FALSE)</f>
        <v>1</v>
      </c>
      <c r="AM1382" s="14">
        <f t="shared" si="11"/>
        <v>1512</v>
      </c>
      <c r="AN1382" s="9"/>
      <c r="AO1382" s="9"/>
      <c r="AP1382" s="9"/>
      <c r="AQ1382" s="15" t="s">
        <v>125</v>
      </c>
      <c r="AR1382" t="s">
        <v>6857</v>
      </c>
      <c r="AS1382" s="16"/>
    </row>
    <row r="1383" spans="1:45" ht="14.5">
      <c r="A1383" s="9" t="s">
        <v>6858</v>
      </c>
      <c r="B1383" s="9" t="s">
        <v>6859</v>
      </c>
      <c r="C1383" s="9" t="s">
        <v>6341</v>
      </c>
      <c r="D1383" s="9" t="s">
        <v>5539</v>
      </c>
      <c r="E1383" s="9" t="s">
        <v>49</v>
      </c>
      <c r="F1383" s="9" t="s">
        <v>69</v>
      </c>
      <c r="G1383" s="9" t="s">
        <v>70</v>
      </c>
      <c r="H1383" s="9" t="s">
        <v>6505</v>
      </c>
      <c r="I1383" s="9" t="s">
        <v>291</v>
      </c>
      <c r="J1383" s="29"/>
      <c r="K1383" s="35">
        <v>44740</v>
      </c>
      <c r="L1383" s="10">
        <v>44781</v>
      </c>
      <c r="M1383" s="10">
        <v>44813</v>
      </c>
      <c r="N1383" s="9">
        <v>2022</v>
      </c>
      <c r="O1383" s="9" t="s">
        <v>6764</v>
      </c>
      <c r="P1383" s="9" t="s">
        <v>53</v>
      </c>
      <c r="Q1383" s="9" t="s">
        <v>53</v>
      </c>
      <c r="T1383" s="9"/>
      <c r="V1383" s="9"/>
      <c r="W1383" s="11" t="str">
        <f>IFERROR(VLOOKUP(B1383, PlumX_snapshot!$A:$B, 2, FALSE), " ")</f>
        <v xml:space="preserve"> </v>
      </c>
      <c r="X1383" s="11" t="str">
        <f>IFERROR(VLOOKUP(B1383, PlumX_snapshot!$A:$C, 3, FALSE), " ")</f>
        <v xml:space="preserve"> </v>
      </c>
      <c r="Y1383" s="12" t="str">
        <f>IFERROR(VLOOKUP(B1383, PlumX_snapshot!$A:$D, 4, FALSE), " ")</f>
        <v xml:space="preserve"> </v>
      </c>
      <c r="Z1383" s="12" t="str">
        <f>IFERROR(VLOOKUP(B1383, PlumX_snapshot!$A:$E, 5, FALSE), " ")</f>
        <v xml:space="preserve"> </v>
      </c>
      <c r="AA1383" s="12" t="str">
        <f>IFERROR(VLOOKUP(B1383, PlumX_snapshot!$A:$F, 6, FALSE), " ")</f>
        <v xml:space="preserve"> </v>
      </c>
      <c r="AB1383" s="13"/>
      <c r="AC1383" s="9" t="s">
        <v>6860</v>
      </c>
      <c r="AD1383" s="9" t="s">
        <v>6861</v>
      </c>
      <c r="AE1383" s="9" t="s">
        <v>6862</v>
      </c>
      <c r="AF1383" s="9" t="s">
        <v>6863</v>
      </c>
      <c r="AH1383" s="9">
        <v>2500</v>
      </c>
      <c r="AI1383" s="9" t="s">
        <v>77</v>
      </c>
      <c r="AJ1383" s="9" t="s">
        <v>301</v>
      </c>
      <c r="AK1383" s="11" t="str">
        <f t="shared" si="10"/>
        <v>2022GBP</v>
      </c>
      <c r="AL1383" s="11">
        <f>VLOOKUP(AK1383, Exchange_rates!$C:$D, 2, FALSE)</f>
        <v>1</v>
      </c>
      <c r="AM1383" s="14">
        <f t="shared" si="11"/>
        <v>3000</v>
      </c>
      <c r="AN1383" s="9"/>
      <c r="AO1383" s="9"/>
      <c r="AP1383" s="9"/>
      <c r="AQ1383" s="15" t="s">
        <v>49</v>
      </c>
      <c r="AR1383" t="s">
        <v>6343</v>
      </c>
      <c r="AS1383" s="16"/>
    </row>
    <row r="1384" spans="1:45" ht="14.5">
      <c r="A1384" s="9" t="s">
        <v>6864</v>
      </c>
      <c r="B1384" s="9" t="s">
        <v>6865</v>
      </c>
      <c r="C1384" s="9" t="s">
        <v>6866</v>
      </c>
      <c r="D1384" s="9" t="s">
        <v>5539</v>
      </c>
      <c r="E1384" s="9" t="s">
        <v>49</v>
      </c>
      <c r="F1384" s="9" t="s">
        <v>69</v>
      </c>
      <c r="G1384" s="9" t="s">
        <v>70</v>
      </c>
      <c r="H1384" s="9" t="s">
        <v>6505</v>
      </c>
      <c r="I1384" s="9" t="s">
        <v>72</v>
      </c>
      <c r="J1384" s="29"/>
      <c r="K1384" s="35">
        <v>44763</v>
      </c>
      <c r="L1384" s="10">
        <v>44781</v>
      </c>
      <c r="M1384" s="10">
        <v>44796</v>
      </c>
      <c r="N1384" s="9">
        <v>2022</v>
      </c>
      <c r="O1384" s="9" t="s">
        <v>6764</v>
      </c>
      <c r="P1384" s="9" t="s">
        <v>53</v>
      </c>
      <c r="Q1384" s="9" t="s">
        <v>53</v>
      </c>
      <c r="R1384" s="9" t="s">
        <v>6867</v>
      </c>
      <c r="T1384" s="9"/>
      <c r="V1384" s="9"/>
      <c r="W1384" s="11" t="str">
        <f>IFERROR(VLOOKUP(B1384, PlumX_snapshot!$A:$B, 2, FALSE), " ")</f>
        <v xml:space="preserve"> </v>
      </c>
      <c r="X1384" s="11" t="str">
        <f>IFERROR(VLOOKUP(B1384, PlumX_snapshot!$A:$C, 3, FALSE), " ")</f>
        <v xml:space="preserve"> </v>
      </c>
      <c r="Y1384" s="12" t="str">
        <f>IFERROR(VLOOKUP(B1384, PlumX_snapshot!$A:$D, 4, FALSE), " ")</f>
        <v xml:space="preserve"> </v>
      </c>
      <c r="Z1384" s="12" t="str">
        <f>IFERROR(VLOOKUP(B1384, PlumX_snapshot!$A:$E, 5, FALSE), " ")</f>
        <v xml:space="preserve"> </v>
      </c>
      <c r="AA1384" s="12" t="str">
        <f>IFERROR(VLOOKUP(B1384, PlumX_snapshot!$A:$F, 6, FALSE), " ")</f>
        <v xml:space="preserve"> </v>
      </c>
      <c r="AB1384" s="13"/>
      <c r="AC1384" s="9" t="s">
        <v>5135</v>
      </c>
      <c r="AD1384" s="9" t="s">
        <v>5061</v>
      </c>
      <c r="AE1384" s="9" t="s">
        <v>6868</v>
      </c>
      <c r="AH1384" s="9">
        <v>1950</v>
      </c>
      <c r="AI1384" s="9" t="s">
        <v>77</v>
      </c>
      <c r="AJ1384" s="9" t="s">
        <v>301</v>
      </c>
      <c r="AK1384" s="11" t="str">
        <f t="shared" si="10"/>
        <v>2022GBP</v>
      </c>
      <c r="AL1384" s="11">
        <f>VLOOKUP(AK1384, Exchange_rates!$C:$D, 2, FALSE)</f>
        <v>1</v>
      </c>
      <c r="AM1384" s="14">
        <f t="shared" si="11"/>
        <v>2340</v>
      </c>
      <c r="AN1384" s="9"/>
      <c r="AO1384" s="9"/>
      <c r="AP1384" s="9"/>
      <c r="AQ1384" s="15" t="s">
        <v>49</v>
      </c>
      <c r="AR1384" t="s">
        <v>6869</v>
      </c>
      <c r="AS1384" s="16"/>
    </row>
    <row r="1385" spans="1:45" ht="14.5">
      <c r="A1385" s="9" t="s">
        <v>6870</v>
      </c>
      <c r="B1385" s="9" t="s">
        <v>6871</v>
      </c>
      <c r="C1385" s="9" t="s">
        <v>6872</v>
      </c>
      <c r="D1385" s="9" t="s">
        <v>5539</v>
      </c>
      <c r="E1385" s="9" t="s">
        <v>49</v>
      </c>
      <c r="F1385" s="9" t="s">
        <v>69</v>
      </c>
      <c r="G1385" s="9" t="s">
        <v>70</v>
      </c>
      <c r="H1385" s="9" t="s">
        <v>6505</v>
      </c>
      <c r="I1385" s="9" t="s">
        <v>291</v>
      </c>
      <c r="J1385" s="29"/>
      <c r="K1385" s="35">
        <v>44771</v>
      </c>
      <c r="L1385" s="10">
        <v>44776</v>
      </c>
      <c r="M1385" s="10">
        <v>44798</v>
      </c>
      <c r="N1385" s="9">
        <v>2022</v>
      </c>
      <c r="O1385" s="9" t="s">
        <v>6764</v>
      </c>
      <c r="P1385" s="9" t="s">
        <v>53</v>
      </c>
      <c r="Q1385" s="9" t="s">
        <v>53</v>
      </c>
      <c r="R1385" s="9" t="s">
        <v>6873</v>
      </c>
      <c r="T1385" s="9"/>
      <c r="V1385" s="9"/>
      <c r="W1385" s="11" t="str">
        <f>IFERROR(VLOOKUP(B1385, PlumX_snapshot!$A:$B, 2, FALSE), " ")</f>
        <v xml:space="preserve"> </v>
      </c>
      <c r="X1385" s="11" t="str">
        <f>IFERROR(VLOOKUP(B1385, PlumX_snapshot!$A:$C, 3, FALSE), " ")</f>
        <v xml:space="preserve"> </v>
      </c>
      <c r="Y1385" s="12" t="str">
        <f>IFERROR(VLOOKUP(B1385, PlumX_snapshot!$A:$D, 4, FALSE), " ")</f>
        <v xml:space="preserve"> </v>
      </c>
      <c r="Z1385" s="12" t="str">
        <f>IFERROR(VLOOKUP(B1385, PlumX_snapshot!$A:$E, 5, FALSE), " ")</f>
        <v xml:space="preserve"> </v>
      </c>
      <c r="AA1385" s="12" t="str">
        <f>IFERROR(VLOOKUP(B1385, PlumX_snapshot!$A:$F, 6, FALSE), " ")</f>
        <v xml:space="preserve"> </v>
      </c>
      <c r="AB1385" s="13"/>
      <c r="AC1385" s="9" t="s">
        <v>4665</v>
      </c>
      <c r="AD1385" s="9" t="s">
        <v>4666</v>
      </c>
      <c r="AE1385" s="9" t="s">
        <v>4667</v>
      </c>
      <c r="AF1385" s="9" t="s">
        <v>6874</v>
      </c>
      <c r="AH1385" s="9">
        <v>2400</v>
      </c>
      <c r="AI1385" s="9" t="s">
        <v>77</v>
      </c>
      <c r="AJ1385" s="9" t="s">
        <v>301</v>
      </c>
      <c r="AK1385" s="11" t="str">
        <f t="shared" si="10"/>
        <v>2022GBP</v>
      </c>
      <c r="AL1385" s="11">
        <f>VLOOKUP(AK1385, Exchange_rates!$C:$D, 2, FALSE)</f>
        <v>1</v>
      </c>
      <c r="AM1385" s="14">
        <f t="shared" si="11"/>
        <v>2880</v>
      </c>
      <c r="AN1385" s="9"/>
      <c r="AO1385" s="9"/>
      <c r="AP1385" s="9"/>
      <c r="AQ1385" s="15" t="s">
        <v>49</v>
      </c>
      <c r="AR1385" t="s">
        <v>6875</v>
      </c>
      <c r="AS1385" s="16"/>
    </row>
    <row r="1386" spans="1:45" ht="14.5">
      <c r="A1386" s="9" t="s">
        <v>6876</v>
      </c>
      <c r="B1386" s="9" t="s">
        <v>6877</v>
      </c>
      <c r="C1386" s="9" t="s">
        <v>6094</v>
      </c>
      <c r="D1386" s="9" t="s">
        <v>5539</v>
      </c>
      <c r="E1386" s="9" t="s">
        <v>125</v>
      </c>
      <c r="F1386" s="9" t="s">
        <v>69</v>
      </c>
      <c r="G1386" s="9" t="s">
        <v>70</v>
      </c>
      <c r="H1386" s="9" t="s">
        <v>6505</v>
      </c>
      <c r="I1386" s="9" t="s">
        <v>72</v>
      </c>
      <c r="J1386" s="29"/>
      <c r="K1386" s="29"/>
      <c r="L1386" s="10">
        <v>44777</v>
      </c>
      <c r="M1386" s="10"/>
      <c r="N1386" s="9">
        <v>2022</v>
      </c>
      <c r="O1386" s="9" t="s">
        <v>6764</v>
      </c>
      <c r="P1386" s="9" t="s">
        <v>53</v>
      </c>
      <c r="Q1386" s="9" t="s">
        <v>53</v>
      </c>
      <c r="R1386" s="9" t="s">
        <v>6878</v>
      </c>
      <c r="T1386" s="9"/>
      <c r="V1386" s="9"/>
      <c r="W1386" s="11" t="str">
        <f>IFERROR(VLOOKUP(B1386, PlumX_snapshot!$A:$B, 2, FALSE), " ")</f>
        <v xml:space="preserve"> </v>
      </c>
      <c r="X1386" s="11" t="str">
        <f>IFERROR(VLOOKUP(B1386, PlumX_snapshot!$A:$C, 3, FALSE), " ")</f>
        <v xml:space="preserve"> </v>
      </c>
      <c r="Y1386" s="12" t="str">
        <f>IFERROR(VLOOKUP(B1386, PlumX_snapshot!$A:$D, 4, FALSE), " ")</f>
        <v xml:space="preserve"> </v>
      </c>
      <c r="Z1386" s="12" t="str">
        <f>IFERROR(VLOOKUP(B1386, PlumX_snapshot!$A:$E, 5, FALSE), " ")</f>
        <v xml:space="preserve"> </v>
      </c>
      <c r="AA1386" s="12" t="str">
        <f>IFERROR(VLOOKUP(B1386, PlumX_snapshot!$A:$F, 6, FALSE), " ")</f>
        <v xml:space="preserve"> </v>
      </c>
      <c r="AB1386" s="13"/>
      <c r="AC1386" s="9" t="s">
        <v>6879</v>
      </c>
      <c r="AD1386" s="9" t="s">
        <v>6880</v>
      </c>
      <c r="AE1386" s="9" t="s">
        <v>6881</v>
      </c>
      <c r="AF1386" s="9" t="s">
        <v>6882</v>
      </c>
      <c r="AH1386" s="9">
        <v>2100</v>
      </c>
      <c r="AI1386" s="9" t="s">
        <v>77</v>
      </c>
      <c r="AJ1386" s="9" t="s">
        <v>301</v>
      </c>
      <c r="AK1386" s="11" t="str">
        <f t="shared" si="10"/>
        <v>2022GBP</v>
      </c>
      <c r="AL1386" s="11">
        <f>VLOOKUP(AK1386, Exchange_rates!$C:$D, 2, FALSE)</f>
        <v>1</v>
      </c>
      <c r="AM1386" s="14">
        <f t="shared" si="11"/>
        <v>2520</v>
      </c>
      <c r="AN1386" s="9"/>
      <c r="AO1386" s="9"/>
      <c r="AP1386" s="9"/>
      <c r="AQ1386" s="15" t="s">
        <v>125</v>
      </c>
      <c r="AR1386" t="s">
        <v>6096</v>
      </c>
      <c r="AS1386" s="16"/>
    </row>
    <row r="1387" spans="1:45" ht="14.5">
      <c r="A1387" s="9" t="s">
        <v>6883</v>
      </c>
      <c r="B1387" s="9" t="s">
        <v>6884</v>
      </c>
      <c r="C1387" s="9" t="s">
        <v>6885</v>
      </c>
      <c r="D1387" s="9" t="s">
        <v>5539</v>
      </c>
      <c r="E1387" s="9" t="s">
        <v>49</v>
      </c>
      <c r="F1387" s="9" t="s">
        <v>69</v>
      </c>
      <c r="G1387" s="9" t="s">
        <v>70</v>
      </c>
      <c r="H1387" s="9" t="s">
        <v>6505</v>
      </c>
      <c r="I1387" s="9" t="s">
        <v>72</v>
      </c>
      <c r="J1387" s="29"/>
      <c r="K1387" s="35">
        <v>44753</v>
      </c>
      <c r="L1387" s="10">
        <v>44790</v>
      </c>
      <c r="M1387" s="10">
        <v>44776</v>
      </c>
      <c r="N1387" s="9">
        <v>2022</v>
      </c>
      <c r="O1387" s="9" t="s">
        <v>6764</v>
      </c>
      <c r="P1387" s="9" t="s">
        <v>53</v>
      </c>
      <c r="Q1387" s="9" t="s">
        <v>53</v>
      </c>
      <c r="R1387" s="9" t="s">
        <v>6886</v>
      </c>
      <c r="T1387" s="9"/>
      <c r="V1387" s="9"/>
      <c r="W1387" s="11" t="str">
        <f>IFERROR(VLOOKUP(B1387, PlumX_snapshot!$A:$B, 2, FALSE), " ")</f>
        <v xml:space="preserve"> </v>
      </c>
      <c r="X1387" s="11" t="str">
        <f>IFERROR(VLOOKUP(B1387, PlumX_snapshot!$A:$C, 3, FALSE), " ")</f>
        <v xml:space="preserve"> </v>
      </c>
      <c r="Y1387" s="12" t="str">
        <f>IFERROR(VLOOKUP(B1387, PlumX_snapshot!$A:$D, 4, FALSE), " ")</f>
        <v xml:space="preserve"> </v>
      </c>
      <c r="Z1387" s="12" t="str">
        <f>IFERROR(VLOOKUP(B1387, PlumX_snapshot!$A:$E, 5, FALSE), " ")</f>
        <v xml:space="preserve"> </v>
      </c>
      <c r="AA1387" s="12" t="str">
        <f>IFERROR(VLOOKUP(B1387, PlumX_snapshot!$A:$F, 6, FALSE), " ")</f>
        <v xml:space="preserve"> </v>
      </c>
      <c r="AB1387" s="13"/>
      <c r="AC1387" s="9" t="s">
        <v>6887</v>
      </c>
      <c r="AD1387" s="9" t="s">
        <v>6888</v>
      </c>
      <c r="AE1387" s="9" t="s">
        <v>6889</v>
      </c>
      <c r="AF1387" s="9" t="s">
        <v>6890</v>
      </c>
      <c r="AH1387" s="9">
        <v>2600</v>
      </c>
      <c r="AI1387" s="9" t="s">
        <v>77</v>
      </c>
      <c r="AJ1387" s="9" t="s">
        <v>301</v>
      </c>
      <c r="AK1387" s="11" t="str">
        <f t="shared" si="10"/>
        <v>2022GBP</v>
      </c>
      <c r="AL1387" s="11">
        <f>VLOOKUP(AK1387, Exchange_rates!$C:$D, 2, FALSE)</f>
        <v>1</v>
      </c>
      <c r="AM1387" s="14">
        <f t="shared" si="11"/>
        <v>3120</v>
      </c>
      <c r="AN1387" s="9"/>
      <c r="AO1387" s="9"/>
      <c r="AP1387" s="9"/>
      <c r="AQ1387" s="15" t="s">
        <v>49</v>
      </c>
      <c r="AR1387" t="s">
        <v>6891</v>
      </c>
      <c r="AS1387" s="16"/>
    </row>
    <row r="1388" spans="1:45" ht="14.5">
      <c r="A1388" s="9" t="s">
        <v>6892</v>
      </c>
      <c r="B1388" s="9" t="s">
        <v>6893</v>
      </c>
      <c r="C1388" s="9" t="s">
        <v>6894</v>
      </c>
      <c r="D1388" s="9" t="s">
        <v>5539</v>
      </c>
      <c r="E1388" s="9" t="s">
        <v>49</v>
      </c>
      <c r="F1388" s="9" t="s">
        <v>69</v>
      </c>
      <c r="G1388" s="9" t="s">
        <v>70</v>
      </c>
      <c r="H1388" s="9" t="s">
        <v>6505</v>
      </c>
      <c r="I1388" s="9" t="s">
        <v>72</v>
      </c>
      <c r="J1388" s="29"/>
      <c r="K1388" s="35">
        <v>44768</v>
      </c>
      <c r="L1388" s="10">
        <v>44770</v>
      </c>
      <c r="M1388" s="10">
        <v>44789</v>
      </c>
      <c r="N1388" s="9">
        <v>2022</v>
      </c>
      <c r="O1388" s="9" t="s">
        <v>6764</v>
      </c>
      <c r="P1388" s="9" t="s">
        <v>83</v>
      </c>
      <c r="Q1388" s="9" t="s">
        <v>83</v>
      </c>
      <c r="R1388" s="9" t="s">
        <v>6895</v>
      </c>
      <c r="T1388" s="9"/>
      <c r="V1388" s="9"/>
      <c r="W1388" s="11" t="str">
        <f>IFERROR(VLOOKUP(B1388, PlumX_snapshot!$A:$B, 2, FALSE), " ")</f>
        <v xml:space="preserve"> </v>
      </c>
      <c r="X1388" s="11" t="str">
        <f>IFERROR(VLOOKUP(B1388, PlumX_snapshot!$A:$C, 3, FALSE), " ")</f>
        <v xml:space="preserve"> </v>
      </c>
      <c r="Y1388" s="12" t="str">
        <f>IFERROR(VLOOKUP(B1388, PlumX_snapshot!$A:$D, 4, FALSE), " ")</f>
        <v xml:space="preserve"> </v>
      </c>
      <c r="Z1388" s="12" t="str">
        <f>IFERROR(VLOOKUP(B1388, PlumX_snapshot!$A:$E, 5, FALSE), " ")</f>
        <v xml:space="preserve"> </v>
      </c>
      <c r="AA1388" s="12" t="str">
        <f>IFERROR(VLOOKUP(B1388, PlumX_snapshot!$A:$F, 6, FALSE), " ")</f>
        <v xml:space="preserve"> </v>
      </c>
      <c r="AB1388" s="13"/>
      <c r="AC1388" s="9" t="s">
        <v>1553</v>
      </c>
      <c r="AD1388" s="9" t="s">
        <v>1554</v>
      </c>
      <c r="AE1388" s="9" t="s">
        <v>6896</v>
      </c>
      <c r="AF1388" s="9" t="s">
        <v>6897</v>
      </c>
      <c r="AH1388" s="9">
        <v>4950</v>
      </c>
      <c r="AI1388" s="9" t="s">
        <v>77</v>
      </c>
      <c r="AJ1388" s="9" t="s">
        <v>301</v>
      </c>
      <c r="AK1388" s="11" t="str">
        <f t="shared" si="10"/>
        <v>2022GBP</v>
      </c>
      <c r="AL1388" s="11">
        <f>VLOOKUP(AK1388, Exchange_rates!$C:$D, 2, FALSE)</f>
        <v>1</v>
      </c>
      <c r="AM1388" s="14">
        <f t="shared" si="11"/>
        <v>5940</v>
      </c>
      <c r="AN1388" s="9"/>
      <c r="AO1388" s="9"/>
      <c r="AP1388" s="9"/>
      <c r="AQ1388" s="15" t="s">
        <v>49</v>
      </c>
      <c r="AR1388" t="s">
        <v>6898</v>
      </c>
      <c r="AS1388" s="16" t="s">
        <v>6899</v>
      </c>
    </row>
    <row r="1389" spans="1:45" ht="14.5">
      <c r="A1389" s="9" t="s">
        <v>6900</v>
      </c>
      <c r="B1389" s="9" t="s">
        <v>6901</v>
      </c>
      <c r="C1389" s="9" t="s">
        <v>6902</v>
      </c>
      <c r="D1389" s="9" t="s">
        <v>5539</v>
      </c>
      <c r="E1389" s="9" t="s">
        <v>49</v>
      </c>
      <c r="F1389" s="9" t="s">
        <v>69</v>
      </c>
      <c r="G1389" s="9" t="s">
        <v>70</v>
      </c>
      <c r="H1389" s="9" t="s">
        <v>6505</v>
      </c>
      <c r="I1389" s="9" t="s">
        <v>291</v>
      </c>
      <c r="J1389" s="29"/>
      <c r="K1389" s="35">
        <v>44761</v>
      </c>
      <c r="L1389" s="10">
        <v>44770</v>
      </c>
      <c r="M1389" s="10">
        <v>44794</v>
      </c>
      <c r="N1389" s="9">
        <v>2022</v>
      </c>
      <c r="O1389" s="9" t="s">
        <v>6764</v>
      </c>
      <c r="P1389" s="9" t="s">
        <v>53</v>
      </c>
      <c r="Q1389" s="9" t="s">
        <v>53</v>
      </c>
      <c r="R1389" s="9" t="s">
        <v>6903</v>
      </c>
      <c r="T1389" s="9"/>
      <c r="V1389" s="9"/>
      <c r="W1389" s="11" t="str">
        <f>IFERROR(VLOOKUP(B1389, PlumX_snapshot!$A:$B, 2, FALSE), " ")</f>
        <v xml:space="preserve"> </v>
      </c>
      <c r="X1389" s="11" t="str">
        <f>IFERROR(VLOOKUP(B1389, PlumX_snapshot!$A:$C, 3, FALSE), " ")</f>
        <v xml:space="preserve"> </v>
      </c>
      <c r="Y1389" s="12" t="str">
        <f>IFERROR(VLOOKUP(B1389, PlumX_snapshot!$A:$D, 4, FALSE), " ")</f>
        <v xml:space="preserve"> </v>
      </c>
      <c r="Z1389" s="12" t="str">
        <f>IFERROR(VLOOKUP(B1389, PlumX_snapshot!$A:$E, 5, FALSE), " ")</f>
        <v xml:space="preserve"> </v>
      </c>
      <c r="AA1389" s="12" t="str">
        <f>IFERROR(VLOOKUP(B1389, PlumX_snapshot!$A:$F, 6, FALSE), " ")</f>
        <v xml:space="preserve"> </v>
      </c>
      <c r="AB1389" s="13"/>
      <c r="AC1389" s="9" t="s">
        <v>4665</v>
      </c>
      <c r="AD1389" s="9" t="s">
        <v>4666</v>
      </c>
      <c r="AE1389" s="9" t="s">
        <v>4667</v>
      </c>
      <c r="AF1389" s="9" t="s">
        <v>6904</v>
      </c>
      <c r="AH1389" s="9">
        <v>2150</v>
      </c>
      <c r="AI1389" s="9" t="s">
        <v>77</v>
      </c>
      <c r="AJ1389" s="9" t="s">
        <v>301</v>
      </c>
      <c r="AK1389" s="11" t="str">
        <f t="shared" si="10"/>
        <v>2022GBP</v>
      </c>
      <c r="AL1389" s="11">
        <f>VLOOKUP(AK1389, Exchange_rates!$C:$D, 2, FALSE)</f>
        <v>1</v>
      </c>
      <c r="AM1389" s="14">
        <f t="shared" si="11"/>
        <v>2580</v>
      </c>
      <c r="AN1389" s="9"/>
      <c r="AO1389" s="9"/>
      <c r="AP1389" s="9"/>
      <c r="AQ1389" s="15" t="s">
        <v>49</v>
      </c>
      <c r="AR1389" t="s">
        <v>6905</v>
      </c>
      <c r="AS1389" s="16"/>
    </row>
    <row r="1390" spans="1:45" ht="14.5">
      <c r="A1390" s="9" t="s">
        <v>6906</v>
      </c>
      <c r="B1390" s="9" t="s">
        <v>6907</v>
      </c>
      <c r="C1390" s="9" t="s">
        <v>6908</v>
      </c>
      <c r="D1390" s="9" t="s">
        <v>5539</v>
      </c>
      <c r="E1390" s="9" t="s">
        <v>49</v>
      </c>
      <c r="F1390" s="9" t="s">
        <v>69</v>
      </c>
      <c r="G1390" s="9" t="s">
        <v>70</v>
      </c>
      <c r="H1390" s="9" t="s">
        <v>6505</v>
      </c>
      <c r="I1390" s="9" t="s">
        <v>72</v>
      </c>
      <c r="J1390" s="29"/>
      <c r="K1390" s="35">
        <v>44752</v>
      </c>
      <c r="L1390" s="10">
        <v>44761</v>
      </c>
      <c r="M1390" s="10">
        <v>44780</v>
      </c>
      <c r="N1390" s="9">
        <v>2022</v>
      </c>
      <c r="O1390" s="9" t="s">
        <v>6764</v>
      </c>
      <c r="P1390" s="9" t="s">
        <v>83</v>
      </c>
      <c r="Q1390" s="9" t="s">
        <v>53</v>
      </c>
      <c r="R1390" s="9" t="s">
        <v>6909</v>
      </c>
      <c r="T1390" s="9"/>
      <c r="V1390" s="9"/>
      <c r="W1390" s="11" t="str">
        <f>IFERROR(VLOOKUP(B1390, PlumX_snapshot!$A:$B, 2, FALSE), " ")</f>
        <v xml:space="preserve"> </v>
      </c>
      <c r="X1390" s="11" t="str">
        <f>IFERROR(VLOOKUP(B1390, PlumX_snapshot!$A:$C, 3, FALSE), " ")</f>
        <v xml:space="preserve"> </v>
      </c>
      <c r="Y1390" s="12" t="str">
        <f>IFERROR(VLOOKUP(B1390, PlumX_snapshot!$A:$D, 4, FALSE), " ")</f>
        <v xml:space="preserve"> </v>
      </c>
      <c r="Z1390" s="12" t="str">
        <f>IFERROR(VLOOKUP(B1390, PlumX_snapshot!$A:$E, 5, FALSE), " ")</f>
        <v xml:space="preserve"> </v>
      </c>
      <c r="AA1390" s="12" t="str">
        <f>IFERROR(VLOOKUP(B1390, PlumX_snapshot!$A:$F, 6, FALSE), " ")</f>
        <v xml:space="preserve"> </v>
      </c>
      <c r="AB1390" s="13"/>
      <c r="AC1390" s="9" t="s">
        <v>100</v>
      </c>
      <c r="AD1390" s="9" t="s">
        <v>101</v>
      </c>
      <c r="AE1390" s="9" t="s">
        <v>6910</v>
      </c>
      <c r="AF1390" s="9" t="s">
        <v>6911</v>
      </c>
      <c r="AH1390" s="9">
        <v>2750</v>
      </c>
      <c r="AI1390" s="9" t="s">
        <v>77</v>
      </c>
      <c r="AJ1390" s="9" t="s">
        <v>301</v>
      </c>
      <c r="AK1390" s="11" t="str">
        <f t="shared" si="10"/>
        <v>2022GBP</v>
      </c>
      <c r="AL1390" s="11">
        <f>VLOOKUP(AK1390, Exchange_rates!$C:$D, 2, FALSE)</f>
        <v>1</v>
      </c>
      <c r="AM1390" s="14">
        <f t="shared" si="11"/>
        <v>3300</v>
      </c>
      <c r="AN1390" s="9"/>
      <c r="AO1390" s="9"/>
      <c r="AP1390" s="9"/>
      <c r="AQ1390" s="15" t="s">
        <v>49</v>
      </c>
      <c r="AR1390" t="s">
        <v>6912</v>
      </c>
      <c r="AS1390" s="16"/>
    </row>
    <row r="1391" spans="1:45" ht="14.5">
      <c r="A1391" s="9" t="s">
        <v>6913</v>
      </c>
      <c r="B1391" s="9" t="s">
        <v>6914</v>
      </c>
      <c r="C1391" s="9" t="s">
        <v>6915</v>
      </c>
      <c r="D1391" s="9" t="s">
        <v>5539</v>
      </c>
      <c r="E1391" s="9" t="s">
        <v>125</v>
      </c>
      <c r="F1391" s="9" t="s">
        <v>69</v>
      </c>
      <c r="G1391" s="9" t="s">
        <v>70</v>
      </c>
      <c r="H1391" s="9" t="s">
        <v>6505</v>
      </c>
      <c r="I1391" s="9" t="s">
        <v>238</v>
      </c>
      <c r="J1391" s="29"/>
      <c r="K1391" s="29"/>
      <c r="L1391" s="10">
        <v>44761</v>
      </c>
      <c r="M1391" s="10">
        <v>44898</v>
      </c>
      <c r="N1391" s="9">
        <v>2022</v>
      </c>
      <c r="O1391" s="9" t="s">
        <v>6764</v>
      </c>
      <c r="P1391" s="9" t="s">
        <v>53</v>
      </c>
      <c r="Q1391" s="9" t="s">
        <v>53</v>
      </c>
      <c r="R1391" s="9" t="s">
        <v>6916</v>
      </c>
      <c r="T1391" s="9"/>
      <c r="V1391" s="9"/>
      <c r="W1391" s="11" t="str">
        <f>IFERROR(VLOOKUP(B1391, PlumX_snapshot!$A:$B, 2, FALSE), " ")</f>
        <v xml:space="preserve"> </v>
      </c>
      <c r="X1391" s="11" t="str">
        <f>IFERROR(VLOOKUP(B1391, PlumX_snapshot!$A:$C, 3, FALSE), " ")</f>
        <v xml:space="preserve"> </v>
      </c>
      <c r="Y1391" s="12" t="str">
        <f>IFERROR(VLOOKUP(B1391, PlumX_snapshot!$A:$D, 4, FALSE), " ")</f>
        <v xml:space="preserve"> </v>
      </c>
      <c r="Z1391" s="12" t="str">
        <f>IFERROR(VLOOKUP(B1391, PlumX_snapshot!$A:$E, 5, FALSE), " ")</f>
        <v xml:space="preserve"> </v>
      </c>
      <c r="AA1391" s="12" t="str">
        <f>IFERROR(VLOOKUP(B1391, PlumX_snapshot!$A:$F, 6, FALSE), " ")</f>
        <v xml:space="preserve"> </v>
      </c>
      <c r="AB1391" s="13"/>
      <c r="AC1391" s="9" t="s">
        <v>6917</v>
      </c>
      <c r="AD1391" s="9" t="s">
        <v>6918</v>
      </c>
      <c r="AF1391" s="9" t="s">
        <v>6919</v>
      </c>
      <c r="AH1391" s="9">
        <v>2351</v>
      </c>
      <c r="AI1391" s="9" t="s">
        <v>77</v>
      </c>
      <c r="AJ1391" s="9" t="s">
        <v>301</v>
      </c>
      <c r="AK1391" s="11" t="str">
        <f t="shared" si="10"/>
        <v>2022GBP</v>
      </c>
      <c r="AL1391" s="11">
        <f>VLOOKUP(AK1391, Exchange_rates!$C:$D, 2, FALSE)</f>
        <v>1</v>
      </c>
      <c r="AM1391" s="14">
        <f t="shared" si="11"/>
        <v>2821.2</v>
      </c>
      <c r="AN1391" s="9"/>
      <c r="AO1391" s="9"/>
      <c r="AP1391" s="9"/>
      <c r="AQ1391" s="15" t="s">
        <v>125</v>
      </c>
      <c r="AR1391" t="s">
        <v>5543</v>
      </c>
      <c r="AS1391" s="16"/>
    </row>
    <row r="1392" spans="1:45" ht="14.5">
      <c r="A1392" s="9" t="s">
        <v>6920</v>
      </c>
      <c r="B1392" s="9" t="s">
        <v>6921</v>
      </c>
      <c r="C1392" s="20" t="s">
        <v>6922</v>
      </c>
      <c r="D1392" s="20" t="s">
        <v>5539</v>
      </c>
      <c r="E1392" s="20" t="s">
        <v>49</v>
      </c>
      <c r="F1392" s="9" t="s">
        <v>69</v>
      </c>
      <c r="G1392" s="9" t="s">
        <v>51</v>
      </c>
      <c r="H1392" s="9"/>
      <c r="I1392" s="9" t="s">
        <v>72</v>
      </c>
      <c r="J1392" s="29"/>
      <c r="K1392" s="35">
        <v>44740</v>
      </c>
      <c r="L1392" s="10"/>
      <c r="M1392" s="10">
        <v>44764</v>
      </c>
      <c r="N1392" s="9">
        <v>2022</v>
      </c>
      <c r="O1392" s="9" t="s">
        <v>6764</v>
      </c>
      <c r="P1392" s="9" t="s">
        <v>53</v>
      </c>
      <c r="Q1392" s="9" t="s">
        <v>53</v>
      </c>
      <c r="R1392" s="9" t="s">
        <v>6923</v>
      </c>
      <c r="T1392" s="9" t="s">
        <v>55</v>
      </c>
      <c r="U1392" s="9" t="s">
        <v>6755</v>
      </c>
      <c r="V1392" s="9"/>
      <c r="W1392" s="11" t="str">
        <f>IFERROR(VLOOKUP(B1392, PlumX_snapshot!$A:$B, 2, FALSE), " ")</f>
        <v xml:space="preserve"> </v>
      </c>
      <c r="X1392" s="11" t="str">
        <f>IFERROR(VLOOKUP(B1392, PlumX_snapshot!$A:$C, 3, FALSE), " ")</f>
        <v xml:space="preserve"> </v>
      </c>
      <c r="Y1392" s="12" t="str">
        <f>IFERROR(VLOOKUP(B1392, PlumX_snapshot!$A:$D, 4, FALSE), " ")</f>
        <v xml:space="preserve"> </v>
      </c>
      <c r="Z1392" s="12" t="str">
        <f>IFERROR(VLOOKUP(B1392, PlumX_snapshot!$A:$E, 5, FALSE), " ")</f>
        <v xml:space="preserve"> </v>
      </c>
      <c r="AA1392" s="12" t="str">
        <f>IFERROR(VLOOKUP(B1392, PlumX_snapshot!$A:$F, 6, FALSE), " ")</f>
        <v xml:space="preserve"> </v>
      </c>
      <c r="AB1392" s="13"/>
      <c r="AC1392" s="9" t="s">
        <v>6924</v>
      </c>
      <c r="AD1392" s="9" t="s">
        <v>6925</v>
      </c>
      <c r="AE1392" s="9" t="s">
        <v>6926</v>
      </c>
      <c r="AF1392" s="9" t="s">
        <v>6927</v>
      </c>
      <c r="AH1392" s="9">
        <v>2800</v>
      </c>
      <c r="AI1392" s="9" t="s">
        <v>77</v>
      </c>
      <c r="AJ1392" s="9" t="s">
        <v>301</v>
      </c>
      <c r="AK1392" s="11" t="str">
        <f t="shared" si="10"/>
        <v>2022GBP</v>
      </c>
      <c r="AL1392" s="11">
        <f>VLOOKUP(AK1392, Exchange_rates!$C:$D, 2, FALSE)</f>
        <v>1</v>
      </c>
      <c r="AM1392" s="14">
        <f t="shared" si="11"/>
        <v>3360</v>
      </c>
      <c r="AN1392" s="9"/>
      <c r="AO1392" s="9"/>
      <c r="AP1392" s="20"/>
      <c r="AQ1392" s="27" t="s">
        <v>49</v>
      </c>
      <c r="AR1392" t="s">
        <v>6928</v>
      </c>
      <c r="AS1392" s="16"/>
    </row>
    <row r="1393" spans="1:45" ht="14.5">
      <c r="A1393" s="9" t="s">
        <v>6929</v>
      </c>
      <c r="B1393" s="9" t="s">
        <v>6930</v>
      </c>
      <c r="C1393" s="9" t="s">
        <v>6763</v>
      </c>
      <c r="D1393" s="9" t="s">
        <v>5539</v>
      </c>
      <c r="E1393" s="9" t="s">
        <v>49</v>
      </c>
      <c r="F1393" s="9" t="s">
        <v>69</v>
      </c>
      <c r="G1393" s="9" t="s">
        <v>70</v>
      </c>
      <c r="H1393" s="9" t="s">
        <v>6505</v>
      </c>
      <c r="I1393" s="9" t="s">
        <v>72</v>
      </c>
      <c r="J1393" s="29"/>
      <c r="K1393" s="35">
        <v>44745</v>
      </c>
      <c r="L1393" s="10">
        <v>44755</v>
      </c>
      <c r="M1393" s="10">
        <v>44758</v>
      </c>
      <c r="N1393" s="9">
        <v>2022</v>
      </c>
      <c r="O1393" s="9" t="s">
        <v>6764</v>
      </c>
      <c r="P1393" s="9" t="s">
        <v>53</v>
      </c>
      <c r="Q1393" s="9" t="s">
        <v>53</v>
      </c>
      <c r="R1393" s="9" t="s">
        <v>6931</v>
      </c>
      <c r="T1393" s="9"/>
      <c r="V1393" s="9"/>
      <c r="W1393" s="11" t="str">
        <f>IFERROR(VLOOKUP(B1393, PlumX_snapshot!$A:$B, 2, FALSE), " ")</f>
        <v xml:space="preserve"> </v>
      </c>
      <c r="X1393" s="11" t="str">
        <f>IFERROR(VLOOKUP(B1393, PlumX_snapshot!$A:$C, 3, FALSE), " ")</f>
        <v xml:space="preserve"> </v>
      </c>
      <c r="Y1393" s="12" t="str">
        <f>IFERROR(VLOOKUP(B1393, PlumX_snapshot!$A:$D, 4, FALSE), " ")</f>
        <v xml:space="preserve"> </v>
      </c>
      <c r="Z1393" s="12" t="str">
        <f>IFERROR(VLOOKUP(B1393, PlumX_snapshot!$A:$E, 5, FALSE), " ")</f>
        <v xml:space="preserve"> </v>
      </c>
      <c r="AA1393" s="12" t="str">
        <f>IFERROR(VLOOKUP(B1393, PlumX_snapshot!$A:$F, 6, FALSE), " ")</f>
        <v xml:space="preserve"> </v>
      </c>
      <c r="AB1393" s="13"/>
      <c r="AC1393" s="9" t="s">
        <v>5802</v>
      </c>
      <c r="AD1393" s="9" t="s">
        <v>5803</v>
      </c>
      <c r="AE1393" s="9" t="s">
        <v>5804</v>
      </c>
      <c r="AF1393" s="9" t="s">
        <v>6932</v>
      </c>
      <c r="AH1393" s="9">
        <v>3150</v>
      </c>
      <c r="AI1393" s="9" t="s">
        <v>77</v>
      </c>
      <c r="AJ1393" s="9" t="s">
        <v>301</v>
      </c>
      <c r="AK1393" s="11" t="str">
        <f t="shared" si="10"/>
        <v>2022GBP</v>
      </c>
      <c r="AL1393" s="11">
        <f>VLOOKUP(AK1393, Exchange_rates!$C:$D, 2, FALSE)</f>
        <v>1</v>
      </c>
      <c r="AM1393" s="14">
        <f t="shared" si="11"/>
        <v>3780</v>
      </c>
      <c r="AN1393" s="9"/>
      <c r="AO1393" s="9"/>
      <c r="AP1393" s="9"/>
      <c r="AQ1393" s="15" t="s">
        <v>49</v>
      </c>
      <c r="AR1393" t="s">
        <v>5806</v>
      </c>
      <c r="AS1393" s="16"/>
    </row>
    <row r="1394" spans="1:45" ht="14.5">
      <c r="A1394" s="9" t="s">
        <v>6933</v>
      </c>
      <c r="B1394" s="9" t="s">
        <v>6934</v>
      </c>
      <c r="C1394" s="9" t="s">
        <v>6935</v>
      </c>
      <c r="D1394" s="9" t="s">
        <v>5539</v>
      </c>
      <c r="E1394" s="9" t="s">
        <v>49</v>
      </c>
      <c r="F1394" s="9" t="s">
        <v>69</v>
      </c>
      <c r="G1394" s="9" t="s">
        <v>70</v>
      </c>
      <c r="H1394" s="9" t="s">
        <v>6505</v>
      </c>
      <c r="I1394" s="9" t="s">
        <v>72</v>
      </c>
      <c r="J1394" s="29"/>
      <c r="K1394" s="35">
        <v>44744</v>
      </c>
      <c r="L1394" s="10">
        <v>44753</v>
      </c>
      <c r="M1394" s="10">
        <v>44776</v>
      </c>
      <c r="N1394" s="9">
        <v>2022</v>
      </c>
      <c r="O1394" s="9" t="s">
        <v>6764</v>
      </c>
      <c r="P1394" s="9" t="s">
        <v>53</v>
      </c>
      <c r="Q1394" s="9" t="s">
        <v>53</v>
      </c>
      <c r="T1394" s="9"/>
      <c r="V1394" s="9"/>
      <c r="W1394" s="11" t="str">
        <f>IFERROR(VLOOKUP(B1394, PlumX_snapshot!$A:$B, 2, FALSE), " ")</f>
        <v xml:space="preserve"> </v>
      </c>
      <c r="X1394" s="11" t="str">
        <f>IFERROR(VLOOKUP(B1394, PlumX_snapshot!$A:$C, 3, FALSE), " ")</f>
        <v xml:space="preserve"> </v>
      </c>
      <c r="Y1394" s="12" t="str">
        <f>IFERROR(VLOOKUP(B1394, PlumX_snapshot!$A:$D, 4, FALSE), " ")</f>
        <v xml:space="preserve"> </v>
      </c>
      <c r="Z1394" s="12" t="str">
        <f>IFERROR(VLOOKUP(B1394, PlumX_snapshot!$A:$E, 5, FALSE), " ")</f>
        <v xml:space="preserve"> </v>
      </c>
      <c r="AA1394" s="12" t="str">
        <f>IFERROR(VLOOKUP(B1394, PlumX_snapshot!$A:$F, 6, FALSE), " ")</f>
        <v xml:space="preserve"> </v>
      </c>
      <c r="AB1394" s="13"/>
      <c r="AC1394" s="9" t="s">
        <v>6936</v>
      </c>
      <c r="AD1394" s="9" t="s">
        <v>6937</v>
      </c>
      <c r="AE1394" s="9" t="s">
        <v>6938</v>
      </c>
      <c r="AF1394" s="9" t="s">
        <v>6939</v>
      </c>
      <c r="AH1394" s="9">
        <v>2571</v>
      </c>
      <c r="AI1394" s="9" t="s">
        <v>77</v>
      </c>
      <c r="AJ1394" s="9" t="s">
        <v>301</v>
      </c>
      <c r="AK1394" s="11" t="str">
        <f t="shared" si="10"/>
        <v>2022GBP</v>
      </c>
      <c r="AL1394" s="11">
        <f>VLOOKUP(AK1394, Exchange_rates!$C:$D, 2, FALSE)</f>
        <v>1</v>
      </c>
      <c r="AM1394" s="14">
        <f t="shared" si="11"/>
        <v>3085.2</v>
      </c>
      <c r="AN1394" s="9"/>
      <c r="AO1394" s="9"/>
      <c r="AP1394" s="9"/>
      <c r="AQ1394" s="15" t="s">
        <v>49</v>
      </c>
      <c r="AR1394" t="s">
        <v>6940</v>
      </c>
      <c r="AS1394" s="16"/>
    </row>
    <row r="1395" spans="1:45" ht="14.5">
      <c r="A1395" s="9" t="s">
        <v>6941</v>
      </c>
      <c r="B1395" s="9" t="s">
        <v>6942</v>
      </c>
      <c r="C1395" s="9" t="s">
        <v>6943</v>
      </c>
      <c r="D1395" s="9" t="s">
        <v>5539</v>
      </c>
      <c r="E1395" s="9" t="s">
        <v>49</v>
      </c>
      <c r="F1395" s="9" t="s">
        <v>69</v>
      </c>
      <c r="G1395" s="9" t="s">
        <v>70</v>
      </c>
      <c r="H1395" s="9" t="s">
        <v>6505</v>
      </c>
      <c r="I1395" s="9" t="s">
        <v>72</v>
      </c>
      <c r="J1395" s="29"/>
      <c r="K1395" s="35">
        <v>44733</v>
      </c>
      <c r="L1395" s="10">
        <v>44749</v>
      </c>
      <c r="M1395" s="10">
        <v>44768</v>
      </c>
      <c r="N1395" s="9">
        <v>2022</v>
      </c>
      <c r="O1395" s="9" t="s">
        <v>6764</v>
      </c>
      <c r="P1395" s="9" t="s">
        <v>53</v>
      </c>
      <c r="Q1395" s="9" t="s">
        <v>83</v>
      </c>
      <c r="R1395" s="9" t="s">
        <v>6944</v>
      </c>
      <c r="T1395" s="9"/>
      <c r="V1395" s="9"/>
      <c r="W1395" s="11" t="str">
        <f>IFERROR(VLOOKUP(B1395, PlumX_snapshot!$A:$B, 2, FALSE), " ")</f>
        <v xml:space="preserve"> </v>
      </c>
      <c r="X1395" s="11" t="str">
        <f>IFERROR(VLOOKUP(B1395, PlumX_snapshot!$A:$C, 3, FALSE), " ")</f>
        <v xml:space="preserve"> </v>
      </c>
      <c r="Y1395" s="12" t="str">
        <f>IFERROR(VLOOKUP(B1395, PlumX_snapshot!$A:$D, 4, FALSE), " ")</f>
        <v xml:space="preserve"> </v>
      </c>
      <c r="Z1395" s="12" t="str">
        <f>IFERROR(VLOOKUP(B1395, PlumX_snapshot!$A:$E, 5, FALSE), " ")</f>
        <v xml:space="preserve"> </v>
      </c>
      <c r="AA1395" s="12" t="str">
        <f>IFERROR(VLOOKUP(B1395, PlumX_snapshot!$A:$F, 6, FALSE), " ")</f>
        <v xml:space="preserve"> </v>
      </c>
      <c r="AB1395" s="13"/>
      <c r="AC1395" s="9" t="s">
        <v>6249</v>
      </c>
      <c r="AD1395" s="9" t="s">
        <v>6250</v>
      </c>
      <c r="AF1395" s="9" t="s">
        <v>6945</v>
      </c>
      <c r="AH1395" s="9">
        <v>2000</v>
      </c>
      <c r="AI1395" s="9" t="s">
        <v>77</v>
      </c>
      <c r="AJ1395" s="9" t="s">
        <v>301</v>
      </c>
      <c r="AK1395" s="11" t="str">
        <f t="shared" si="10"/>
        <v>2022GBP</v>
      </c>
      <c r="AL1395" s="11">
        <f>VLOOKUP(AK1395, Exchange_rates!$C:$D, 2, FALSE)</f>
        <v>1</v>
      </c>
      <c r="AM1395" s="14">
        <f t="shared" si="11"/>
        <v>2400</v>
      </c>
      <c r="AN1395" s="9"/>
      <c r="AO1395" s="9"/>
      <c r="AP1395" s="9"/>
      <c r="AQ1395" s="15" t="s">
        <v>49</v>
      </c>
      <c r="AR1395" t="s">
        <v>6946</v>
      </c>
      <c r="AS1395" s="16"/>
    </row>
    <row r="1396" spans="1:45" ht="14.5">
      <c r="A1396" s="9" t="s">
        <v>6947</v>
      </c>
      <c r="B1396" s="9" t="s">
        <v>6948</v>
      </c>
      <c r="C1396" s="9" t="s">
        <v>5912</v>
      </c>
      <c r="D1396" s="9" t="s">
        <v>5539</v>
      </c>
      <c r="E1396" s="9" t="s">
        <v>49</v>
      </c>
      <c r="F1396" s="9" t="s">
        <v>69</v>
      </c>
      <c r="G1396" s="9" t="s">
        <v>70</v>
      </c>
      <c r="H1396" s="9" t="s">
        <v>6505</v>
      </c>
      <c r="I1396" s="9" t="s">
        <v>291</v>
      </c>
      <c r="J1396" s="29"/>
      <c r="K1396" s="35">
        <v>44732</v>
      </c>
      <c r="L1396" s="10">
        <v>44747</v>
      </c>
      <c r="M1396" s="10">
        <v>44762</v>
      </c>
      <c r="N1396" s="9">
        <v>2022</v>
      </c>
      <c r="O1396" s="9" t="s">
        <v>6764</v>
      </c>
      <c r="P1396" s="9" t="s">
        <v>53</v>
      </c>
      <c r="Q1396" s="9" t="s">
        <v>53</v>
      </c>
      <c r="T1396" s="9"/>
      <c r="V1396" s="9"/>
      <c r="W1396" s="11" t="str">
        <f>IFERROR(VLOOKUP(B1396, PlumX_snapshot!$A:$B, 2, FALSE), " ")</f>
        <v xml:space="preserve"> </v>
      </c>
      <c r="X1396" s="11" t="str">
        <f>IFERROR(VLOOKUP(B1396, PlumX_snapshot!$A:$C, 3, FALSE), " ")</f>
        <v xml:space="preserve"> </v>
      </c>
      <c r="Y1396" s="12" t="str">
        <f>IFERROR(VLOOKUP(B1396, PlumX_snapshot!$A:$D, 4, FALSE), " ")</f>
        <v xml:space="preserve"> </v>
      </c>
      <c r="Z1396" s="12" t="str">
        <f>IFERROR(VLOOKUP(B1396, PlumX_snapshot!$A:$E, 5, FALSE), " ")</f>
        <v xml:space="preserve"> </v>
      </c>
      <c r="AA1396" s="12" t="str">
        <f>IFERROR(VLOOKUP(B1396, PlumX_snapshot!$A:$F, 6, FALSE), " ")</f>
        <v xml:space="preserve"> </v>
      </c>
      <c r="AB1396" s="13"/>
      <c r="AC1396" s="9" t="s">
        <v>6949</v>
      </c>
      <c r="AD1396" s="9" t="s">
        <v>6950</v>
      </c>
      <c r="AE1396" s="9" t="s">
        <v>6951</v>
      </c>
      <c r="AH1396" s="9">
        <v>1700</v>
      </c>
      <c r="AI1396" s="9" t="s">
        <v>77</v>
      </c>
      <c r="AJ1396" s="9" t="s">
        <v>301</v>
      </c>
      <c r="AK1396" s="11" t="str">
        <f t="shared" si="10"/>
        <v>2022GBP</v>
      </c>
      <c r="AL1396" s="11">
        <f>VLOOKUP(AK1396, Exchange_rates!$C:$D, 2, FALSE)</f>
        <v>1</v>
      </c>
      <c r="AM1396" s="14">
        <f t="shared" si="11"/>
        <v>2040</v>
      </c>
      <c r="AN1396" s="9"/>
      <c r="AO1396" s="9"/>
      <c r="AP1396" s="9"/>
      <c r="AQ1396" s="15" t="s">
        <v>49</v>
      </c>
      <c r="AR1396" t="s">
        <v>5916</v>
      </c>
      <c r="AS1396" s="16"/>
    </row>
    <row r="1397" spans="1:45" ht="14.5">
      <c r="A1397" s="9" t="s">
        <v>6952</v>
      </c>
      <c r="B1397" s="9" t="s">
        <v>6953</v>
      </c>
      <c r="C1397" s="9" t="s">
        <v>6632</v>
      </c>
      <c r="D1397" s="9" t="s">
        <v>5539</v>
      </c>
      <c r="E1397" s="9" t="s">
        <v>49</v>
      </c>
      <c r="F1397" s="9" t="s">
        <v>69</v>
      </c>
      <c r="G1397" s="9" t="s">
        <v>70</v>
      </c>
      <c r="H1397" s="9" t="s">
        <v>6505</v>
      </c>
      <c r="I1397" s="9" t="s">
        <v>238</v>
      </c>
      <c r="J1397" s="29"/>
      <c r="K1397" s="35">
        <v>44732</v>
      </c>
      <c r="L1397" s="10">
        <v>44739</v>
      </c>
      <c r="M1397" s="10">
        <v>44753</v>
      </c>
      <c r="N1397" s="9">
        <v>2022</v>
      </c>
      <c r="O1397" s="9" t="s">
        <v>6764</v>
      </c>
      <c r="P1397" s="9" t="s">
        <v>53</v>
      </c>
      <c r="Q1397" s="9" t="s">
        <v>53</v>
      </c>
      <c r="T1397" s="9"/>
      <c r="V1397" s="9"/>
      <c r="W1397" s="11" t="str">
        <f>IFERROR(VLOOKUP(B1397, PlumX_snapshot!$A:$B, 2, FALSE), " ")</f>
        <v xml:space="preserve"> </v>
      </c>
      <c r="X1397" s="11" t="str">
        <f>IFERROR(VLOOKUP(B1397, PlumX_snapshot!$A:$C, 3, FALSE), " ")</f>
        <v xml:space="preserve"> </v>
      </c>
      <c r="Y1397" s="12" t="str">
        <f>IFERROR(VLOOKUP(B1397, PlumX_snapshot!$A:$D, 4, FALSE), " ")</f>
        <v xml:space="preserve"> </v>
      </c>
      <c r="Z1397" s="12" t="str">
        <f>IFERROR(VLOOKUP(B1397, PlumX_snapshot!$A:$E, 5, FALSE), " ")</f>
        <v xml:space="preserve"> </v>
      </c>
      <c r="AA1397" s="12" t="str">
        <f>IFERROR(VLOOKUP(B1397, PlumX_snapshot!$A:$F, 6, FALSE), " ")</f>
        <v xml:space="preserve"> </v>
      </c>
      <c r="AB1397" s="13"/>
      <c r="AC1397" s="9" t="s">
        <v>709</v>
      </c>
      <c r="AD1397" s="9" t="s">
        <v>6721</v>
      </c>
      <c r="AE1397" s="9" t="s">
        <v>6722</v>
      </c>
      <c r="AF1397" s="9" t="s">
        <v>6954</v>
      </c>
      <c r="AH1397" s="9">
        <v>2000</v>
      </c>
      <c r="AI1397" s="9" t="s">
        <v>77</v>
      </c>
      <c r="AJ1397" s="9" t="s">
        <v>301</v>
      </c>
      <c r="AK1397" s="11" t="str">
        <f t="shared" si="10"/>
        <v>2022GBP</v>
      </c>
      <c r="AL1397" s="11">
        <f>VLOOKUP(AK1397, Exchange_rates!$C:$D, 2, FALSE)</f>
        <v>1</v>
      </c>
      <c r="AM1397" s="14">
        <f t="shared" si="11"/>
        <v>2400</v>
      </c>
      <c r="AN1397" s="9"/>
      <c r="AO1397" s="9"/>
      <c r="AP1397" s="9"/>
      <c r="AQ1397" s="15" t="s">
        <v>49</v>
      </c>
      <c r="AR1397" t="s">
        <v>6638</v>
      </c>
      <c r="AS1397" s="16"/>
    </row>
    <row r="1398" spans="1:45" ht="14.5">
      <c r="A1398" s="9" t="s">
        <v>6955</v>
      </c>
      <c r="B1398" s="9" t="s">
        <v>6956</v>
      </c>
      <c r="C1398" s="9" t="s">
        <v>5956</v>
      </c>
      <c r="D1398" s="9" t="s">
        <v>5539</v>
      </c>
      <c r="E1398" s="9" t="s">
        <v>49</v>
      </c>
      <c r="F1398" s="9" t="s">
        <v>69</v>
      </c>
      <c r="G1398" s="9" t="s">
        <v>70</v>
      </c>
      <c r="H1398" s="9" t="s">
        <v>6505</v>
      </c>
      <c r="I1398" s="9" t="s">
        <v>291</v>
      </c>
      <c r="J1398" s="29"/>
      <c r="K1398" s="35">
        <v>44721</v>
      </c>
      <c r="L1398" s="10">
        <v>44739</v>
      </c>
      <c r="M1398" s="10">
        <v>44746</v>
      </c>
      <c r="N1398" s="9">
        <v>2022</v>
      </c>
      <c r="O1398" s="9" t="s">
        <v>6764</v>
      </c>
      <c r="P1398" s="9" t="s">
        <v>53</v>
      </c>
      <c r="Q1398" s="9" t="s">
        <v>53</v>
      </c>
      <c r="R1398" s="9" t="s">
        <v>6957</v>
      </c>
      <c r="T1398" s="9"/>
      <c r="V1398" s="9"/>
      <c r="W1398" s="11" t="str">
        <f>IFERROR(VLOOKUP(B1398, PlumX_snapshot!$A:$B, 2, FALSE), " ")</f>
        <v xml:space="preserve"> </v>
      </c>
      <c r="X1398" s="11" t="str">
        <f>IFERROR(VLOOKUP(B1398, PlumX_snapshot!$A:$C, 3, FALSE), " ")</f>
        <v xml:space="preserve"> </v>
      </c>
      <c r="Y1398" s="12" t="str">
        <f>IFERROR(VLOOKUP(B1398, PlumX_snapshot!$A:$D, 4, FALSE), " ")</f>
        <v xml:space="preserve"> </v>
      </c>
      <c r="Z1398" s="12" t="str">
        <f>IFERROR(VLOOKUP(B1398, PlumX_snapshot!$A:$E, 5, FALSE), " ")</f>
        <v xml:space="preserve"> </v>
      </c>
      <c r="AA1398" s="12" t="str">
        <f>IFERROR(VLOOKUP(B1398, PlumX_snapshot!$A:$F, 6, FALSE), " ")</f>
        <v xml:space="preserve"> </v>
      </c>
      <c r="AB1398" s="13"/>
      <c r="AC1398" s="9" t="s">
        <v>5454</v>
      </c>
      <c r="AD1398" s="9" t="s">
        <v>5455</v>
      </c>
      <c r="AE1398" s="9" t="s">
        <v>6958</v>
      </c>
      <c r="AF1398" s="9" t="s">
        <v>6959</v>
      </c>
      <c r="AH1398" s="9">
        <v>2000</v>
      </c>
      <c r="AI1398" s="9" t="s">
        <v>77</v>
      </c>
      <c r="AJ1398" s="9" t="s">
        <v>301</v>
      </c>
      <c r="AK1398" s="11" t="str">
        <f t="shared" si="10"/>
        <v>2022GBP</v>
      </c>
      <c r="AL1398" s="11">
        <f>VLOOKUP(AK1398, Exchange_rates!$C:$D, 2, FALSE)</f>
        <v>1</v>
      </c>
      <c r="AM1398" s="14">
        <f t="shared" si="11"/>
        <v>2400</v>
      </c>
      <c r="AN1398" s="9"/>
      <c r="AO1398" s="9"/>
      <c r="AP1398" s="9"/>
      <c r="AQ1398" s="15" t="s">
        <v>49</v>
      </c>
      <c r="AR1398" t="s">
        <v>5960</v>
      </c>
      <c r="AS1398" s="16"/>
    </row>
    <row r="1399" spans="1:45" ht="14.5">
      <c r="A1399" s="9" t="s">
        <v>6960</v>
      </c>
      <c r="B1399" s="9" t="s">
        <v>6961</v>
      </c>
      <c r="C1399" s="9" t="s">
        <v>6962</v>
      </c>
      <c r="D1399" s="9" t="s">
        <v>5539</v>
      </c>
      <c r="E1399" s="9" t="s">
        <v>49</v>
      </c>
      <c r="F1399" s="9" t="s">
        <v>69</v>
      </c>
      <c r="G1399" s="9" t="s">
        <v>70</v>
      </c>
      <c r="H1399" s="9" t="s">
        <v>6505</v>
      </c>
      <c r="I1399" s="9" t="s">
        <v>72</v>
      </c>
      <c r="J1399" s="29"/>
      <c r="K1399" s="35">
        <v>44731</v>
      </c>
      <c r="L1399" s="10">
        <v>44736</v>
      </c>
      <c r="M1399" s="10">
        <v>44752</v>
      </c>
      <c r="N1399" s="9">
        <v>2022</v>
      </c>
      <c r="O1399" s="9" t="s">
        <v>6764</v>
      </c>
      <c r="P1399" s="9" t="s">
        <v>83</v>
      </c>
      <c r="Q1399" s="9" t="s">
        <v>53</v>
      </c>
      <c r="R1399" s="9" t="s">
        <v>6963</v>
      </c>
      <c r="T1399" s="9"/>
      <c r="V1399" s="9"/>
      <c r="W1399" s="11" t="str">
        <f>IFERROR(VLOOKUP(B1399, PlumX_snapshot!$A:$B, 2, FALSE), " ")</f>
        <v xml:space="preserve"> </v>
      </c>
      <c r="X1399" s="11" t="str">
        <f>IFERROR(VLOOKUP(B1399, PlumX_snapshot!$A:$C, 3, FALSE), " ")</f>
        <v xml:space="preserve"> </v>
      </c>
      <c r="Y1399" s="12" t="str">
        <f>IFERROR(VLOOKUP(B1399, PlumX_snapshot!$A:$D, 4, FALSE), " ")</f>
        <v xml:space="preserve"> </v>
      </c>
      <c r="Z1399" s="12" t="str">
        <f>IFERROR(VLOOKUP(B1399, PlumX_snapshot!$A:$E, 5, FALSE), " ")</f>
        <v xml:space="preserve"> </v>
      </c>
      <c r="AA1399" s="12" t="str">
        <f>IFERROR(VLOOKUP(B1399, PlumX_snapshot!$A:$F, 6, FALSE), " ")</f>
        <v xml:space="preserve"> </v>
      </c>
      <c r="AB1399" s="13"/>
      <c r="AC1399" s="9" t="s">
        <v>6964</v>
      </c>
      <c r="AD1399" s="9" t="s">
        <v>6965</v>
      </c>
      <c r="AE1399" s="9" t="s">
        <v>6966</v>
      </c>
      <c r="AF1399" s="9" t="s">
        <v>6967</v>
      </c>
      <c r="AH1399" s="9">
        <v>2750</v>
      </c>
      <c r="AI1399" s="9" t="s">
        <v>77</v>
      </c>
      <c r="AJ1399" s="9" t="s">
        <v>301</v>
      </c>
      <c r="AK1399" s="11" t="str">
        <f t="shared" si="10"/>
        <v>2022GBP</v>
      </c>
      <c r="AL1399" s="11">
        <f>VLOOKUP(AK1399, Exchange_rates!$C:$D, 2, FALSE)</f>
        <v>1</v>
      </c>
      <c r="AM1399" s="14">
        <f t="shared" si="11"/>
        <v>3300</v>
      </c>
      <c r="AN1399" s="9"/>
      <c r="AO1399" s="9"/>
      <c r="AP1399" s="9"/>
      <c r="AQ1399" s="15" t="s">
        <v>49</v>
      </c>
      <c r="AR1399" t="s">
        <v>6968</v>
      </c>
      <c r="AS1399" s="16"/>
    </row>
    <row r="1400" spans="1:45" ht="14.5">
      <c r="A1400" s="9" t="s">
        <v>6969</v>
      </c>
      <c r="B1400" s="9" t="s">
        <v>6970</v>
      </c>
      <c r="C1400" s="9" t="s">
        <v>5801</v>
      </c>
      <c r="D1400" s="9" t="s">
        <v>5539</v>
      </c>
      <c r="E1400" s="9" t="s">
        <v>49</v>
      </c>
      <c r="F1400" s="9" t="s">
        <v>69</v>
      </c>
      <c r="G1400" s="9" t="s">
        <v>70</v>
      </c>
      <c r="H1400" s="9" t="s">
        <v>6505</v>
      </c>
      <c r="I1400" s="9" t="s">
        <v>72</v>
      </c>
      <c r="J1400" s="29"/>
      <c r="K1400" s="35">
        <v>44729</v>
      </c>
      <c r="L1400" s="10">
        <v>44736</v>
      </c>
      <c r="M1400" s="10">
        <v>44747</v>
      </c>
      <c r="N1400" s="9">
        <v>2022</v>
      </c>
      <c r="O1400" s="9" t="s">
        <v>6764</v>
      </c>
      <c r="P1400" s="9" t="s">
        <v>53</v>
      </c>
      <c r="Q1400" s="9" t="s">
        <v>53</v>
      </c>
      <c r="R1400" s="9" t="s">
        <v>6971</v>
      </c>
      <c r="T1400" s="9"/>
      <c r="V1400" s="9"/>
      <c r="W1400" s="11" t="str">
        <f>IFERROR(VLOOKUP(B1400, PlumX_snapshot!$A:$B, 2, FALSE), " ")</f>
        <v xml:space="preserve"> </v>
      </c>
      <c r="X1400" s="11" t="str">
        <f>IFERROR(VLOOKUP(B1400, PlumX_snapshot!$A:$C, 3, FALSE), " ")</f>
        <v xml:space="preserve"> </v>
      </c>
      <c r="Y1400" s="12" t="str">
        <f>IFERROR(VLOOKUP(B1400, PlumX_snapshot!$A:$D, 4, FALSE), " ")</f>
        <v xml:space="preserve"> </v>
      </c>
      <c r="Z1400" s="12" t="str">
        <f>IFERROR(VLOOKUP(B1400, PlumX_snapshot!$A:$E, 5, FALSE), " ")</f>
        <v xml:space="preserve"> </v>
      </c>
      <c r="AA1400" s="12" t="str">
        <f>IFERROR(VLOOKUP(B1400, PlumX_snapshot!$A:$F, 6, FALSE), " ")</f>
        <v xml:space="preserve"> </v>
      </c>
      <c r="AB1400" s="13"/>
      <c r="AC1400" s="9" t="s">
        <v>6972</v>
      </c>
      <c r="AD1400" s="9" t="s">
        <v>6973</v>
      </c>
      <c r="AE1400" s="9" t="s">
        <v>6974</v>
      </c>
      <c r="AF1400" s="9" t="s">
        <v>6975</v>
      </c>
      <c r="AH1400" s="9">
        <v>3150</v>
      </c>
      <c r="AI1400" s="9" t="s">
        <v>77</v>
      </c>
      <c r="AJ1400" s="9" t="s">
        <v>301</v>
      </c>
      <c r="AK1400" s="11" t="str">
        <f t="shared" si="10"/>
        <v>2022GBP</v>
      </c>
      <c r="AL1400" s="11">
        <f>VLOOKUP(AK1400, Exchange_rates!$C:$D, 2, FALSE)</f>
        <v>1</v>
      </c>
      <c r="AM1400" s="14">
        <f t="shared" si="11"/>
        <v>3780</v>
      </c>
      <c r="AN1400" s="9"/>
      <c r="AO1400" s="9"/>
      <c r="AP1400" s="9"/>
      <c r="AQ1400" s="15" t="s">
        <v>49</v>
      </c>
      <c r="AR1400" t="s">
        <v>5806</v>
      </c>
      <c r="AS1400" s="16"/>
    </row>
    <row r="1401" spans="1:45" ht="14.5">
      <c r="A1401" s="9" t="s">
        <v>6976</v>
      </c>
      <c r="B1401" s="9" t="s">
        <v>6977</v>
      </c>
      <c r="C1401" s="9" t="s">
        <v>5834</v>
      </c>
      <c r="D1401" s="9" t="s">
        <v>5539</v>
      </c>
      <c r="E1401" s="9" t="s">
        <v>125</v>
      </c>
      <c r="F1401" s="9" t="s">
        <v>69</v>
      </c>
      <c r="G1401" s="9" t="s">
        <v>70</v>
      </c>
      <c r="H1401" s="9" t="s">
        <v>6505</v>
      </c>
      <c r="I1401" s="9" t="s">
        <v>72</v>
      </c>
      <c r="J1401" s="29"/>
      <c r="K1401" s="29"/>
      <c r="L1401" s="10">
        <v>44739</v>
      </c>
      <c r="M1401" s="10"/>
      <c r="N1401" s="9">
        <v>2022</v>
      </c>
      <c r="O1401" s="9" t="s">
        <v>6764</v>
      </c>
      <c r="P1401" s="9" t="s">
        <v>53</v>
      </c>
      <c r="Q1401" s="9" t="s">
        <v>53</v>
      </c>
      <c r="R1401" s="9" t="s">
        <v>6978</v>
      </c>
      <c r="T1401" s="9"/>
      <c r="V1401" s="9"/>
      <c r="W1401" s="11" t="str">
        <f>IFERROR(VLOOKUP(B1401, PlumX_snapshot!$A:$B, 2, FALSE), " ")</f>
        <v xml:space="preserve"> </v>
      </c>
      <c r="X1401" s="11" t="str">
        <f>IFERROR(VLOOKUP(B1401, PlumX_snapshot!$A:$C, 3, FALSE), " ")</f>
        <v xml:space="preserve"> </v>
      </c>
      <c r="Y1401" s="12" t="str">
        <f>IFERROR(VLOOKUP(B1401, PlumX_snapshot!$A:$D, 4, FALSE), " ")</f>
        <v xml:space="preserve"> </v>
      </c>
      <c r="Z1401" s="12" t="str">
        <f>IFERROR(VLOOKUP(B1401, PlumX_snapshot!$A:$E, 5, FALSE), " ")</f>
        <v xml:space="preserve"> </v>
      </c>
      <c r="AA1401" s="12" t="str">
        <f>IFERROR(VLOOKUP(B1401, PlumX_snapshot!$A:$F, 6, FALSE), " ")</f>
        <v xml:space="preserve"> </v>
      </c>
      <c r="AB1401" s="13"/>
      <c r="AC1401" s="9" t="s">
        <v>5717</v>
      </c>
      <c r="AD1401" s="9" t="s">
        <v>4752</v>
      </c>
      <c r="AE1401" s="9" t="s">
        <v>4753</v>
      </c>
      <c r="AF1401" s="9" t="s">
        <v>6979</v>
      </c>
      <c r="AH1401" s="9">
        <v>1651</v>
      </c>
      <c r="AI1401" s="9" t="s">
        <v>77</v>
      </c>
      <c r="AJ1401" s="9" t="s">
        <v>301</v>
      </c>
      <c r="AK1401" s="11" t="str">
        <f t="shared" si="10"/>
        <v>2022GBP</v>
      </c>
      <c r="AL1401" s="11">
        <f>VLOOKUP(AK1401, Exchange_rates!$C:$D, 2, FALSE)</f>
        <v>1</v>
      </c>
      <c r="AM1401" s="14">
        <f t="shared" si="11"/>
        <v>1981.1999999999998</v>
      </c>
      <c r="AN1401" s="9"/>
      <c r="AO1401" s="9"/>
      <c r="AP1401" s="9"/>
      <c r="AQ1401" s="15" t="s">
        <v>125</v>
      </c>
      <c r="AR1401" t="s">
        <v>5839</v>
      </c>
      <c r="AS1401" s="16"/>
    </row>
    <row r="1402" spans="1:45" ht="14.5">
      <c r="A1402" s="9" t="s">
        <v>6980</v>
      </c>
      <c r="B1402" s="9" t="s">
        <v>6981</v>
      </c>
      <c r="C1402" s="9" t="s">
        <v>6922</v>
      </c>
      <c r="D1402" s="9" t="s">
        <v>5539</v>
      </c>
      <c r="E1402" s="9" t="s">
        <v>49</v>
      </c>
      <c r="F1402" s="9" t="s">
        <v>69</v>
      </c>
      <c r="G1402" s="9" t="s">
        <v>70</v>
      </c>
      <c r="H1402" s="9" t="s">
        <v>6505</v>
      </c>
      <c r="I1402" s="9" t="s">
        <v>72</v>
      </c>
      <c r="J1402" s="29"/>
      <c r="K1402" s="35">
        <v>44728</v>
      </c>
      <c r="L1402" s="10">
        <v>44736</v>
      </c>
      <c r="M1402" s="10">
        <v>44749</v>
      </c>
      <c r="N1402" s="9">
        <v>2022</v>
      </c>
      <c r="O1402" s="9" t="s">
        <v>6764</v>
      </c>
      <c r="P1402" s="9" t="s">
        <v>53</v>
      </c>
      <c r="Q1402" s="9" t="s">
        <v>53</v>
      </c>
      <c r="R1402" s="9" t="s">
        <v>6982</v>
      </c>
      <c r="T1402" s="9"/>
      <c r="V1402" s="9"/>
      <c r="W1402" s="11" t="str">
        <f>IFERROR(VLOOKUP(B1402, PlumX_snapshot!$A:$B, 2, FALSE), " ")</f>
        <v xml:space="preserve"> </v>
      </c>
      <c r="X1402" s="11" t="str">
        <f>IFERROR(VLOOKUP(B1402, PlumX_snapshot!$A:$C, 3, FALSE), " ")</f>
        <v xml:space="preserve"> </v>
      </c>
      <c r="Y1402" s="12" t="str">
        <f>IFERROR(VLOOKUP(B1402, PlumX_snapshot!$A:$D, 4, FALSE), " ")</f>
        <v xml:space="preserve"> </v>
      </c>
      <c r="Z1402" s="12" t="str">
        <f>IFERROR(VLOOKUP(B1402, PlumX_snapshot!$A:$E, 5, FALSE), " ")</f>
        <v xml:space="preserve"> </v>
      </c>
      <c r="AA1402" s="12" t="str">
        <f>IFERROR(VLOOKUP(B1402, PlumX_snapshot!$A:$F, 6, FALSE), " ")</f>
        <v xml:space="preserve"> </v>
      </c>
      <c r="AB1402" s="13"/>
      <c r="AC1402" s="9" t="s">
        <v>6983</v>
      </c>
      <c r="AD1402" s="9" t="s">
        <v>6984</v>
      </c>
      <c r="AE1402" s="9" t="s">
        <v>6985</v>
      </c>
      <c r="AF1402" s="9" t="s">
        <v>6986</v>
      </c>
      <c r="AH1402" s="9">
        <v>2800</v>
      </c>
      <c r="AI1402" s="9" t="s">
        <v>77</v>
      </c>
      <c r="AJ1402" s="9" t="s">
        <v>301</v>
      </c>
      <c r="AK1402" s="11" t="str">
        <f t="shared" si="10"/>
        <v>2022GBP</v>
      </c>
      <c r="AL1402" s="11">
        <f>VLOOKUP(AK1402, Exchange_rates!$C:$D, 2, FALSE)</f>
        <v>1</v>
      </c>
      <c r="AM1402" s="14">
        <f t="shared" si="11"/>
        <v>3360</v>
      </c>
      <c r="AN1402" s="9"/>
      <c r="AO1402" s="9"/>
      <c r="AP1402" s="9"/>
      <c r="AQ1402" s="15" t="s">
        <v>49</v>
      </c>
      <c r="AR1402" t="s">
        <v>6928</v>
      </c>
      <c r="AS1402" s="16"/>
    </row>
    <row r="1403" spans="1:45" ht="14.5">
      <c r="A1403" s="9" t="s">
        <v>6987</v>
      </c>
      <c r="B1403" s="9" t="s">
        <v>6988</v>
      </c>
      <c r="C1403" s="9" t="s">
        <v>5756</v>
      </c>
      <c r="D1403" s="9" t="s">
        <v>5539</v>
      </c>
      <c r="E1403" s="9" t="s">
        <v>49</v>
      </c>
      <c r="F1403" s="9" t="s">
        <v>69</v>
      </c>
      <c r="G1403" s="9" t="s">
        <v>70</v>
      </c>
      <c r="H1403" s="9" t="s">
        <v>6505</v>
      </c>
      <c r="I1403" s="9" t="s">
        <v>72</v>
      </c>
      <c r="J1403" s="29"/>
      <c r="K1403" s="35">
        <v>44733</v>
      </c>
      <c r="L1403" s="10">
        <v>44735</v>
      </c>
      <c r="M1403" s="10">
        <v>44752</v>
      </c>
      <c r="N1403" s="9">
        <v>2022</v>
      </c>
      <c r="O1403" s="9" t="s">
        <v>6764</v>
      </c>
      <c r="P1403" s="9" t="s">
        <v>53</v>
      </c>
      <c r="Q1403" s="9" t="s">
        <v>53</v>
      </c>
      <c r="T1403" s="9"/>
      <c r="V1403" s="9"/>
      <c r="W1403" s="11" t="str">
        <f>IFERROR(VLOOKUP(B1403, PlumX_snapshot!$A:$B, 2, FALSE), " ")</f>
        <v xml:space="preserve"> </v>
      </c>
      <c r="X1403" s="11" t="str">
        <f>IFERROR(VLOOKUP(B1403, PlumX_snapshot!$A:$C, 3, FALSE), " ")</f>
        <v xml:space="preserve"> </v>
      </c>
      <c r="Y1403" s="12" t="str">
        <f>IFERROR(VLOOKUP(B1403, PlumX_snapshot!$A:$D, 4, FALSE), " ")</f>
        <v xml:space="preserve"> </v>
      </c>
      <c r="Z1403" s="12" t="str">
        <f>IFERROR(VLOOKUP(B1403, PlumX_snapshot!$A:$E, 5, FALSE), " ")</f>
        <v xml:space="preserve"> </v>
      </c>
      <c r="AA1403" s="12" t="str">
        <f>IFERROR(VLOOKUP(B1403, PlumX_snapshot!$A:$F, 6, FALSE), " ")</f>
        <v xml:space="preserve"> </v>
      </c>
      <c r="AB1403" s="13"/>
      <c r="AC1403" s="9" t="s">
        <v>6989</v>
      </c>
      <c r="AD1403" s="9" t="s">
        <v>6990</v>
      </c>
      <c r="AE1403" s="9" t="s">
        <v>6991</v>
      </c>
      <c r="AF1403" s="9" t="s">
        <v>6992</v>
      </c>
      <c r="AH1403" s="9">
        <v>2650</v>
      </c>
      <c r="AI1403" s="9" t="s">
        <v>77</v>
      </c>
      <c r="AJ1403" s="9" t="s">
        <v>301</v>
      </c>
      <c r="AK1403" s="11" t="str">
        <f t="shared" si="10"/>
        <v>2022GBP</v>
      </c>
      <c r="AL1403" s="11">
        <f>VLOOKUP(AK1403, Exchange_rates!$C:$D, 2, FALSE)</f>
        <v>1</v>
      </c>
      <c r="AM1403" s="14">
        <f t="shared" si="11"/>
        <v>3180</v>
      </c>
      <c r="AN1403" s="9"/>
      <c r="AO1403" s="9"/>
      <c r="AP1403" s="9"/>
      <c r="AQ1403" s="15" t="s">
        <v>49</v>
      </c>
      <c r="AR1403" t="s">
        <v>5761</v>
      </c>
      <c r="AS1403" s="16"/>
    </row>
    <row r="1404" spans="1:45" ht="14.5">
      <c r="A1404" s="9" t="s">
        <v>6993</v>
      </c>
      <c r="B1404" s="9" t="s">
        <v>6994</v>
      </c>
      <c r="C1404" s="9" t="s">
        <v>6418</v>
      </c>
      <c r="D1404" s="9" t="s">
        <v>5539</v>
      </c>
      <c r="E1404" s="9" t="s">
        <v>49</v>
      </c>
      <c r="F1404" s="9" t="s">
        <v>69</v>
      </c>
      <c r="G1404" s="9" t="s">
        <v>70</v>
      </c>
      <c r="H1404" s="9" t="s">
        <v>6505</v>
      </c>
      <c r="I1404" s="9" t="s">
        <v>291</v>
      </c>
      <c r="J1404" s="29"/>
      <c r="K1404" s="35">
        <v>44716</v>
      </c>
      <c r="L1404" s="10">
        <v>44733</v>
      </c>
      <c r="M1404" s="10">
        <v>44851</v>
      </c>
      <c r="N1404" s="9">
        <v>2022</v>
      </c>
      <c r="O1404" s="9" t="s">
        <v>6764</v>
      </c>
      <c r="P1404" s="9" t="s">
        <v>53</v>
      </c>
      <c r="Q1404" s="9" t="s">
        <v>53</v>
      </c>
      <c r="T1404" s="9"/>
      <c r="V1404" s="9"/>
      <c r="W1404" s="11" t="str">
        <f>IFERROR(VLOOKUP(B1404, PlumX_snapshot!$A:$B, 2, FALSE), " ")</f>
        <v xml:space="preserve"> </v>
      </c>
      <c r="X1404" s="11" t="str">
        <f>IFERROR(VLOOKUP(B1404, PlumX_snapshot!$A:$C, 3, FALSE), " ")</f>
        <v xml:space="preserve"> </v>
      </c>
      <c r="Y1404" s="12" t="str">
        <f>IFERROR(VLOOKUP(B1404, PlumX_snapshot!$A:$D, 4, FALSE), " ")</f>
        <v xml:space="preserve"> </v>
      </c>
      <c r="Z1404" s="12" t="str">
        <f>IFERROR(VLOOKUP(B1404, PlumX_snapshot!$A:$E, 5, FALSE), " ")</f>
        <v xml:space="preserve"> </v>
      </c>
      <c r="AA1404" s="12" t="str">
        <f>IFERROR(VLOOKUP(B1404, PlumX_snapshot!$A:$F, 6, FALSE), " ")</f>
        <v xml:space="preserve"> </v>
      </c>
      <c r="AB1404" s="13"/>
      <c r="AC1404" s="9" t="s">
        <v>6995</v>
      </c>
      <c r="AD1404" s="9" t="s">
        <v>6996</v>
      </c>
      <c r="AE1404" s="9" t="s">
        <v>6997</v>
      </c>
      <c r="AF1404" s="9" t="s">
        <v>6998</v>
      </c>
      <c r="AH1404" s="9">
        <v>2450</v>
      </c>
      <c r="AI1404" s="9" t="s">
        <v>77</v>
      </c>
      <c r="AJ1404" s="9" t="s">
        <v>301</v>
      </c>
      <c r="AK1404" s="11" t="str">
        <f t="shared" si="10"/>
        <v>2022GBP</v>
      </c>
      <c r="AL1404" s="11">
        <f>VLOOKUP(AK1404, Exchange_rates!$C:$D, 2, FALSE)</f>
        <v>1</v>
      </c>
      <c r="AM1404" s="14">
        <f t="shared" si="11"/>
        <v>2940</v>
      </c>
      <c r="AN1404" s="9"/>
      <c r="AO1404" s="9"/>
      <c r="AP1404" s="9"/>
      <c r="AQ1404" s="15" t="s">
        <v>49</v>
      </c>
      <c r="AR1404" t="s">
        <v>6422</v>
      </c>
      <c r="AS1404" s="16"/>
    </row>
    <row r="1405" spans="1:45" ht="14.5">
      <c r="A1405" s="9" t="s">
        <v>6999</v>
      </c>
      <c r="B1405" s="9" t="s">
        <v>7000</v>
      </c>
      <c r="C1405" s="9" t="s">
        <v>6576</v>
      </c>
      <c r="D1405" s="9" t="s">
        <v>5539</v>
      </c>
      <c r="E1405" s="9" t="s">
        <v>49</v>
      </c>
      <c r="F1405" s="9" t="s">
        <v>69</v>
      </c>
      <c r="G1405" s="9" t="s">
        <v>70</v>
      </c>
      <c r="H1405" s="9" t="s">
        <v>6505</v>
      </c>
      <c r="I1405" s="9" t="s">
        <v>72</v>
      </c>
      <c r="J1405" s="29"/>
      <c r="K1405" s="29">
        <v>44712</v>
      </c>
      <c r="L1405" s="10">
        <v>44728</v>
      </c>
      <c r="M1405" s="10">
        <v>44732</v>
      </c>
      <c r="N1405" s="9">
        <v>2022</v>
      </c>
      <c r="O1405" s="9" t="s">
        <v>6764</v>
      </c>
      <c r="P1405" s="9" t="s">
        <v>53</v>
      </c>
      <c r="Q1405" s="9" t="s">
        <v>53</v>
      </c>
      <c r="T1405" s="9"/>
      <c r="V1405" s="9"/>
      <c r="W1405" s="11" t="str">
        <f>IFERROR(VLOOKUP(B1405, PlumX_snapshot!$A:$B, 2, FALSE), " ")</f>
        <v xml:space="preserve"> </v>
      </c>
      <c r="X1405" s="11" t="str">
        <f>IFERROR(VLOOKUP(B1405, PlumX_snapshot!$A:$C, 3, FALSE), " ")</f>
        <v xml:space="preserve"> </v>
      </c>
      <c r="Y1405" s="12" t="str">
        <f>IFERROR(VLOOKUP(B1405, PlumX_snapshot!$A:$D, 4, FALSE), " ")</f>
        <v xml:space="preserve"> </v>
      </c>
      <c r="Z1405" s="12" t="str">
        <f>IFERROR(VLOOKUP(B1405, PlumX_snapshot!$A:$E, 5, FALSE), " ")</f>
        <v xml:space="preserve"> </v>
      </c>
      <c r="AA1405" s="12" t="str">
        <f>IFERROR(VLOOKUP(B1405, PlumX_snapshot!$A:$F, 6, FALSE), " ")</f>
        <v xml:space="preserve"> </v>
      </c>
      <c r="AB1405" s="13"/>
      <c r="AC1405" s="9" t="s">
        <v>7001</v>
      </c>
      <c r="AD1405" s="9" t="s">
        <v>7002</v>
      </c>
      <c r="AE1405" s="9" t="s">
        <v>7003</v>
      </c>
      <c r="AF1405" s="9" t="s">
        <v>7004</v>
      </c>
      <c r="AH1405" s="9">
        <v>2000</v>
      </c>
      <c r="AI1405" s="9" t="s">
        <v>77</v>
      </c>
      <c r="AJ1405" s="9" t="s">
        <v>301</v>
      </c>
      <c r="AK1405" s="11" t="str">
        <f t="shared" si="10"/>
        <v>2022GBP</v>
      </c>
      <c r="AL1405" s="11">
        <f>VLOOKUP(AK1405, Exchange_rates!$C:$D, 2, FALSE)</f>
        <v>1</v>
      </c>
      <c r="AM1405" s="14">
        <f t="shared" si="11"/>
        <v>2400</v>
      </c>
      <c r="AN1405" s="9"/>
      <c r="AO1405" s="9"/>
      <c r="AP1405" s="9"/>
      <c r="AQ1405" s="15" t="s">
        <v>49</v>
      </c>
      <c r="AR1405" t="s">
        <v>6582</v>
      </c>
      <c r="AS1405" s="16"/>
    </row>
    <row r="1406" spans="1:45" ht="14.5">
      <c r="A1406" s="9" t="s">
        <v>7005</v>
      </c>
      <c r="B1406" s="9" t="s">
        <v>7006</v>
      </c>
      <c r="C1406" s="9" t="s">
        <v>7007</v>
      </c>
      <c r="D1406" s="9" t="s">
        <v>5539</v>
      </c>
      <c r="E1406" s="9" t="s">
        <v>49</v>
      </c>
      <c r="F1406" s="9" t="s">
        <v>69</v>
      </c>
      <c r="G1406" s="9" t="s">
        <v>70</v>
      </c>
      <c r="H1406" s="9" t="s">
        <v>6505</v>
      </c>
      <c r="I1406" s="9" t="s">
        <v>72</v>
      </c>
      <c r="J1406" s="29"/>
      <c r="K1406" s="29">
        <v>44683</v>
      </c>
      <c r="L1406" s="10">
        <v>44721</v>
      </c>
      <c r="M1406" s="10">
        <v>44742</v>
      </c>
      <c r="N1406" s="9">
        <v>2022</v>
      </c>
      <c r="O1406" s="9" t="s">
        <v>6764</v>
      </c>
      <c r="P1406" s="9" t="s">
        <v>83</v>
      </c>
      <c r="Q1406" s="9" t="s">
        <v>53</v>
      </c>
      <c r="R1406" s="9" t="s">
        <v>7008</v>
      </c>
      <c r="T1406" s="9"/>
      <c r="V1406" s="9"/>
      <c r="W1406" s="11" t="str">
        <f>IFERROR(VLOOKUP(B1406, PlumX_snapshot!$A:$B, 2, FALSE), " ")</f>
        <v xml:space="preserve"> </v>
      </c>
      <c r="X1406" s="11" t="str">
        <f>IFERROR(VLOOKUP(B1406, PlumX_snapshot!$A:$C, 3, FALSE), " ")</f>
        <v xml:space="preserve"> </v>
      </c>
      <c r="Y1406" s="12" t="str">
        <f>IFERROR(VLOOKUP(B1406, PlumX_snapshot!$A:$D, 4, FALSE), " ")</f>
        <v xml:space="preserve"> </v>
      </c>
      <c r="Z1406" s="12" t="str">
        <f>IFERROR(VLOOKUP(B1406, PlumX_snapshot!$A:$E, 5, FALSE), " ")</f>
        <v xml:space="preserve"> </v>
      </c>
      <c r="AA1406" s="12" t="str">
        <f>IFERROR(VLOOKUP(B1406, PlumX_snapshot!$A:$F, 6, FALSE), " ")</f>
        <v xml:space="preserve"> </v>
      </c>
      <c r="AB1406" s="13"/>
      <c r="AC1406" s="9" t="s">
        <v>7009</v>
      </c>
      <c r="AD1406" s="9" t="s">
        <v>7010</v>
      </c>
      <c r="AE1406" s="9" t="s">
        <v>7011</v>
      </c>
      <c r="AF1406" s="9" t="s">
        <v>7012</v>
      </c>
      <c r="AH1406" s="9">
        <v>3500</v>
      </c>
      <c r="AI1406" s="9" t="s">
        <v>77</v>
      </c>
      <c r="AJ1406" s="9" t="s">
        <v>301</v>
      </c>
      <c r="AK1406" s="11" t="str">
        <f t="shared" si="10"/>
        <v>2022GBP</v>
      </c>
      <c r="AL1406" s="11">
        <f>VLOOKUP(AK1406, Exchange_rates!$C:$D, 2, FALSE)</f>
        <v>1</v>
      </c>
      <c r="AM1406" s="14">
        <f t="shared" si="11"/>
        <v>4200</v>
      </c>
      <c r="AN1406" s="9"/>
      <c r="AO1406" s="9"/>
      <c r="AP1406" s="9"/>
      <c r="AQ1406" s="15" t="s">
        <v>49</v>
      </c>
      <c r="AR1406" t="s">
        <v>5581</v>
      </c>
      <c r="AS1406" s="16"/>
    </row>
    <row r="1407" spans="1:45" ht="14.5">
      <c r="A1407" s="9" t="s">
        <v>7013</v>
      </c>
      <c r="B1407" s="9" t="s">
        <v>7014</v>
      </c>
      <c r="C1407" s="9" t="s">
        <v>7015</v>
      </c>
      <c r="D1407" s="9" t="s">
        <v>5539</v>
      </c>
      <c r="E1407" s="9" t="s">
        <v>49</v>
      </c>
      <c r="F1407" s="9" t="s">
        <v>69</v>
      </c>
      <c r="G1407" s="9" t="s">
        <v>70</v>
      </c>
      <c r="H1407" s="9" t="s">
        <v>6505</v>
      </c>
      <c r="I1407" s="9" t="s">
        <v>291</v>
      </c>
      <c r="J1407" s="29"/>
      <c r="K1407" s="29">
        <v>44711</v>
      </c>
      <c r="L1407" s="10">
        <v>44718</v>
      </c>
      <c r="M1407" s="10">
        <v>44746</v>
      </c>
      <c r="N1407" s="9">
        <v>2022</v>
      </c>
      <c r="O1407" s="9" t="s">
        <v>6764</v>
      </c>
      <c r="P1407" s="9" t="s">
        <v>53</v>
      </c>
      <c r="Q1407" s="9" t="s">
        <v>53</v>
      </c>
      <c r="R1407" s="9" t="s">
        <v>7016</v>
      </c>
      <c r="T1407" s="9"/>
      <c r="V1407" s="9"/>
      <c r="W1407" s="11" t="str">
        <f>IFERROR(VLOOKUP(B1407, PlumX_snapshot!$A:$B, 2, FALSE), " ")</f>
        <v xml:space="preserve"> </v>
      </c>
      <c r="X1407" s="11" t="str">
        <f>IFERROR(VLOOKUP(B1407, PlumX_snapshot!$A:$C, 3, FALSE), " ")</f>
        <v xml:space="preserve"> </v>
      </c>
      <c r="Y1407" s="12" t="str">
        <f>IFERROR(VLOOKUP(B1407, PlumX_snapshot!$A:$D, 4, FALSE), " ")</f>
        <v xml:space="preserve"> </v>
      </c>
      <c r="Z1407" s="12" t="str">
        <f>IFERROR(VLOOKUP(B1407, PlumX_snapshot!$A:$E, 5, FALSE), " ")</f>
        <v xml:space="preserve"> </v>
      </c>
      <c r="AA1407" s="12" t="str">
        <f>IFERROR(VLOOKUP(B1407, PlumX_snapshot!$A:$F, 6, FALSE), " ")</f>
        <v xml:space="preserve"> </v>
      </c>
      <c r="AB1407" s="13"/>
      <c r="AC1407" s="9" t="s">
        <v>7017</v>
      </c>
      <c r="AD1407" s="9" t="s">
        <v>7018</v>
      </c>
      <c r="AE1407" s="9" t="s">
        <v>7019</v>
      </c>
      <c r="AF1407" s="9" t="s">
        <v>7020</v>
      </c>
      <c r="AH1407" s="9">
        <v>3150</v>
      </c>
      <c r="AI1407" s="9" t="s">
        <v>77</v>
      </c>
      <c r="AJ1407" s="9" t="s">
        <v>301</v>
      </c>
      <c r="AK1407" s="11" t="str">
        <f t="shared" si="10"/>
        <v>2022GBP</v>
      </c>
      <c r="AL1407" s="11">
        <f>VLOOKUP(AK1407, Exchange_rates!$C:$D, 2, FALSE)</f>
        <v>1</v>
      </c>
      <c r="AM1407" s="14">
        <f t="shared" si="11"/>
        <v>3780</v>
      </c>
      <c r="AN1407" s="9"/>
      <c r="AO1407" s="9"/>
      <c r="AP1407" s="9"/>
      <c r="AQ1407" s="15" t="s">
        <v>49</v>
      </c>
      <c r="AR1407" t="s">
        <v>7021</v>
      </c>
      <c r="AS1407" s="16"/>
    </row>
    <row r="1408" spans="1:45" ht="14.5">
      <c r="A1408" s="9" t="s">
        <v>7022</v>
      </c>
      <c r="B1408" s="9" t="s">
        <v>7023</v>
      </c>
      <c r="C1408" s="9" t="s">
        <v>7024</v>
      </c>
      <c r="D1408" s="9" t="s">
        <v>5539</v>
      </c>
      <c r="E1408" s="9" t="s">
        <v>49</v>
      </c>
      <c r="F1408" s="9" t="s">
        <v>69</v>
      </c>
      <c r="G1408" s="9" t="s">
        <v>70</v>
      </c>
      <c r="H1408" s="9" t="s">
        <v>6505</v>
      </c>
      <c r="I1408" s="9" t="s">
        <v>72</v>
      </c>
      <c r="J1408" s="29"/>
      <c r="K1408" s="29">
        <v>44704</v>
      </c>
      <c r="L1408" s="10">
        <v>44711</v>
      </c>
      <c r="M1408" s="10">
        <v>44729</v>
      </c>
      <c r="N1408" s="9">
        <v>2022</v>
      </c>
      <c r="O1408" s="9" t="s">
        <v>6764</v>
      </c>
      <c r="P1408" s="9" t="s">
        <v>53</v>
      </c>
      <c r="Q1408" s="9" t="s">
        <v>53</v>
      </c>
      <c r="T1408" s="9"/>
      <c r="V1408" s="9"/>
      <c r="W1408" s="11" t="str">
        <f>IFERROR(VLOOKUP(B1408, PlumX_snapshot!$A:$B, 2, FALSE), " ")</f>
        <v xml:space="preserve"> </v>
      </c>
      <c r="X1408" s="11" t="str">
        <f>IFERROR(VLOOKUP(B1408, PlumX_snapshot!$A:$C, 3, FALSE), " ")</f>
        <v xml:space="preserve"> </v>
      </c>
      <c r="Y1408" s="12" t="str">
        <f>IFERROR(VLOOKUP(B1408, PlumX_snapshot!$A:$D, 4, FALSE), " ")</f>
        <v xml:space="preserve"> </v>
      </c>
      <c r="Z1408" s="12" t="str">
        <f>IFERROR(VLOOKUP(B1408, PlumX_snapshot!$A:$E, 5, FALSE), " ")</f>
        <v xml:space="preserve"> </v>
      </c>
      <c r="AA1408" s="12" t="str">
        <f>IFERROR(VLOOKUP(B1408, PlumX_snapshot!$A:$F, 6, FALSE), " ")</f>
        <v xml:space="preserve"> </v>
      </c>
      <c r="AB1408" s="13"/>
      <c r="AC1408" s="9" t="s">
        <v>7025</v>
      </c>
      <c r="AD1408" s="9" t="s">
        <v>7026</v>
      </c>
      <c r="AF1408" s="9" t="s">
        <v>6052</v>
      </c>
      <c r="AH1408" s="9">
        <v>2050</v>
      </c>
      <c r="AI1408" s="9" t="s">
        <v>77</v>
      </c>
      <c r="AJ1408" s="9" t="s">
        <v>301</v>
      </c>
      <c r="AK1408" s="11" t="str">
        <f t="shared" si="10"/>
        <v>2022GBP</v>
      </c>
      <c r="AL1408" s="11">
        <f>VLOOKUP(AK1408, Exchange_rates!$C:$D, 2, FALSE)</f>
        <v>1</v>
      </c>
      <c r="AM1408" s="14">
        <f t="shared" si="11"/>
        <v>2460</v>
      </c>
      <c r="AN1408" s="9"/>
      <c r="AO1408" s="9"/>
      <c r="AP1408" s="9"/>
      <c r="AQ1408" s="15" t="s">
        <v>49</v>
      </c>
      <c r="AR1408" t="s">
        <v>7027</v>
      </c>
      <c r="AS1408" s="16"/>
    </row>
    <row r="1409" spans="1:45" ht="14.5">
      <c r="A1409" s="9" t="s">
        <v>7028</v>
      </c>
      <c r="B1409" s="9" t="s">
        <v>7029</v>
      </c>
      <c r="C1409" s="9" t="s">
        <v>7030</v>
      </c>
      <c r="D1409" s="9" t="s">
        <v>5539</v>
      </c>
      <c r="E1409" s="9" t="s">
        <v>49</v>
      </c>
      <c r="F1409" s="9" t="s">
        <v>69</v>
      </c>
      <c r="G1409" s="9" t="s">
        <v>70</v>
      </c>
      <c r="H1409" s="9" t="s">
        <v>6505</v>
      </c>
      <c r="I1409" s="9" t="s">
        <v>72</v>
      </c>
      <c r="J1409" s="29"/>
      <c r="K1409" s="29">
        <v>44698</v>
      </c>
      <c r="L1409" s="10">
        <v>44706</v>
      </c>
      <c r="M1409" s="10">
        <v>44721</v>
      </c>
      <c r="N1409" s="9">
        <v>2022</v>
      </c>
      <c r="O1409" s="9" t="s">
        <v>6764</v>
      </c>
      <c r="P1409" s="9" t="s">
        <v>53</v>
      </c>
      <c r="Q1409" s="9" t="s">
        <v>53</v>
      </c>
      <c r="T1409" s="9"/>
      <c r="V1409" s="9"/>
      <c r="W1409" s="11" t="str">
        <f>IFERROR(VLOOKUP(B1409, PlumX_snapshot!$A:$B, 2, FALSE), " ")</f>
        <v xml:space="preserve"> </v>
      </c>
      <c r="X1409" s="11" t="str">
        <f>IFERROR(VLOOKUP(B1409, PlumX_snapshot!$A:$C, 3, FALSE), " ")</f>
        <v xml:space="preserve"> </v>
      </c>
      <c r="Y1409" s="12" t="str">
        <f>IFERROR(VLOOKUP(B1409, PlumX_snapshot!$A:$D, 4, FALSE), " ")</f>
        <v xml:space="preserve"> </v>
      </c>
      <c r="Z1409" s="12" t="str">
        <f>IFERROR(VLOOKUP(B1409, PlumX_snapshot!$A:$E, 5, FALSE), " ")</f>
        <v xml:space="preserve"> </v>
      </c>
      <c r="AA1409" s="12" t="str">
        <f>IFERROR(VLOOKUP(B1409, PlumX_snapshot!$A:$F, 6, FALSE), " ")</f>
        <v xml:space="preserve"> </v>
      </c>
      <c r="AB1409" s="13"/>
      <c r="AC1409" s="9" t="s">
        <v>7031</v>
      </c>
      <c r="AD1409" s="9" t="s">
        <v>7032</v>
      </c>
      <c r="AE1409" s="9" t="s">
        <v>7033</v>
      </c>
      <c r="AF1409" s="9" t="s">
        <v>7034</v>
      </c>
      <c r="AH1409" s="9">
        <v>2050</v>
      </c>
      <c r="AI1409" s="9" t="s">
        <v>77</v>
      </c>
      <c r="AJ1409" s="9" t="s">
        <v>301</v>
      </c>
      <c r="AK1409" s="11" t="str">
        <f t="shared" si="10"/>
        <v>2022GBP</v>
      </c>
      <c r="AL1409" s="11">
        <f>VLOOKUP(AK1409, Exchange_rates!$C:$D, 2, FALSE)</f>
        <v>1</v>
      </c>
      <c r="AM1409" s="14">
        <f t="shared" si="11"/>
        <v>2460</v>
      </c>
      <c r="AN1409" s="9"/>
      <c r="AO1409" s="9"/>
      <c r="AP1409" s="9"/>
      <c r="AQ1409" s="15" t="s">
        <v>49</v>
      </c>
      <c r="AR1409" t="s">
        <v>7035</v>
      </c>
      <c r="AS1409" s="16"/>
    </row>
    <row r="1410" spans="1:45" ht="14.5">
      <c r="A1410" s="9" t="s">
        <v>7036</v>
      </c>
      <c r="B1410" s="9" t="s">
        <v>7037</v>
      </c>
      <c r="C1410" s="9" t="s">
        <v>5854</v>
      </c>
      <c r="D1410" s="9" t="s">
        <v>5539</v>
      </c>
      <c r="E1410" s="9" t="s">
        <v>49</v>
      </c>
      <c r="F1410" s="9" t="s">
        <v>69</v>
      </c>
      <c r="G1410" s="9" t="s">
        <v>70</v>
      </c>
      <c r="H1410" s="9" t="s">
        <v>6505</v>
      </c>
      <c r="I1410" s="9" t="s">
        <v>291</v>
      </c>
      <c r="J1410" s="29"/>
      <c r="K1410" s="29"/>
      <c r="L1410" s="10">
        <v>44706</v>
      </c>
      <c r="M1410" s="10"/>
      <c r="N1410" s="9">
        <v>2022</v>
      </c>
      <c r="O1410" s="9" t="s">
        <v>6764</v>
      </c>
      <c r="P1410" s="9" t="s">
        <v>53</v>
      </c>
      <c r="Q1410" s="9" t="s">
        <v>53</v>
      </c>
      <c r="T1410" s="9"/>
      <c r="V1410" s="9"/>
      <c r="W1410" s="11" t="str">
        <f>IFERROR(VLOOKUP(B1410, PlumX_snapshot!$A:$B, 2, FALSE), " ")</f>
        <v xml:space="preserve"> </v>
      </c>
      <c r="X1410" s="11" t="str">
        <f>IFERROR(VLOOKUP(B1410, PlumX_snapshot!$A:$C, 3, FALSE), " ")</f>
        <v xml:space="preserve"> </v>
      </c>
      <c r="Y1410" s="12" t="str">
        <f>IFERROR(VLOOKUP(B1410, PlumX_snapshot!$A:$D, 4, FALSE), " ")</f>
        <v xml:space="preserve"> </v>
      </c>
      <c r="Z1410" s="12" t="str">
        <f>IFERROR(VLOOKUP(B1410, PlumX_snapshot!$A:$E, 5, FALSE), " ")</f>
        <v xml:space="preserve"> </v>
      </c>
      <c r="AA1410" s="12" t="str">
        <f>IFERROR(VLOOKUP(B1410, PlumX_snapshot!$A:$F, 6, FALSE), " ")</f>
        <v xml:space="preserve"> </v>
      </c>
      <c r="AB1410" s="13"/>
      <c r="AC1410" s="9" t="s">
        <v>7038</v>
      </c>
      <c r="AD1410" s="9" t="s">
        <v>7039</v>
      </c>
      <c r="AH1410" s="9">
        <v>2300</v>
      </c>
      <c r="AI1410" s="9" t="s">
        <v>77</v>
      </c>
      <c r="AJ1410" s="9" t="s">
        <v>301</v>
      </c>
      <c r="AK1410" s="11" t="str">
        <f t="shared" si="10"/>
        <v>2022GBP</v>
      </c>
      <c r="AL1410" s="11">
        <f>VLOOKUP(AK1410, Exchange_rates!$C:$D, 2, FALSE)</f>
        <v>1</v>
      </c>
      <c r="AM1410" s="14">
        <f t="shared" si="11"/>
        <v>2760</v>
      </c>
      <c r="AN1410" s="9"/>
      <c r="AO1410" s="9"/>
      <c r="AP1410" s="9"/>
      <c r="AQ1410" s="15" t="s">
        <v>49</v>
      </c>
      <c r="AS1410" s="16" t="s">
        <v>5858</v>
      </c>
    </row>
    <row r="1411" spans="1:45" ht="14.5">
      <c r="A1411" s="9" t="s">
        <v>7040</v>
      </c>
      <c r="B1411" s="9" t="s">
        <v>7041</v>
      </c>
      <c r="C1411" s="9" t="s">
        <v>7042</v>
      </c>
      <c r="D1411" s="9" t="s">
        <v>5539</v>
      </c>
      <c r="E1411" s="9" t="s">
        <v>49</v>
      </c>
      <c r="F1411" s="9" t="s">
        <v>69</v>
      </c>
      <c r="G1411" s="9" t="s">
        <v>70</v>
      </c>
      <c r="H1411" s="9" t="s">
        <v>6505</v>
      </c>
      <c r="I1411" s="9" t="s">
        <v>238</v>
      </c>
      <c r="J1411" s="29"/>
      <c r="K1411" s="29">
        <v>44699</v>
      </c>
      <c r="L1411" s="10">
        <v>44705</v>
      </c>
      <c r="M1411" s="10">
        <v>44719</v>
      </c>
      <c r="N1411" s="9">
        <v>2022</v>
      </c>
      <c r="O1411" s="9" t="s">
        <v>6764</v>
      </c>
      <c r="P1411" s="9" t="s">
        <v>53</v>
      </c>
      <c r="Q1411" s="9" t="s">
        <v>53</v>
      </c>
      <c r="T1411" s="9"/>
      <c r="V1411" s="9"/>
      <c r="W1411" s="11" t="str">
        <f>IFERROR(VLOOKUP(B1411, PlumX_snapshot!$A:$B, 2, FALSE), " ")</f>
        <v xml:space="preserve"> </v>
      </c>
      <c r="X1411" s="11" t="str">
        <f>IFERROR(VLOOKUP(B1411, PlumX_snapshot!$A:$C, 3, FALSE), " ")</f>
        <v xml:space="preserve"> </v>
      </c>
      <c r="Y1411" s="12" t="str">
        <f>IFERROR(VLOOKUP(B1411, PlumX_snapshot!$A:$D, 4, FALSE), " ")</f>
        <v xml:space="preserve"> </v>
      </c>
      <c r="Z1411" s="12" t="str">
        <f>IFERROR(VLOOKUP(B1411, PlumX_snapshot!$A:$E, 5, FALSE), " ")</f>
        <v xml:space="preserve"> </v>
      </c>
      <c r="AA1411" s="12" t="str">
        <f>IFERROR(VLOOKUP(B1411, PlumX_snapshot!$A:$F, 6, FALSE), " ")</f>
        <v xml:space="preserve"> </v>
      </c>
      <c r="AB1411" s="13"/>
      <c r="AC1411" s="9" t="s">
        <v>7043</v>
      </c>
      <c r="AD1411" s="9" t="s">
        <v>7044</v>
      </c>
      <c r="AE1411" s="9" t="s">
        <v>7045</v>
      </c>
      <c r="AF1411" s="9" t="s">
        <v>7046</v>
      </c>
      <c r="AH1411" s="9">
        <v>1900</v>
      </c>
      <c r="AI1411" s="9" t="s">
        <v>77</v>
      </c>
      <c r="AJ1411" s="9" t="s">
        <v>301</v>
      </c>
      <c r="AK1411" s="11" t="str">
        <f t="shared" si="10"/>
        <v>2022GBP</v>
      </c>
      <c r="AL1411" s="11">
        <f>VLOOKUP(AK1411, Exchange_rates!$C:$D, 2, FALSE)</f>
        <v>1</v>
      </c>
      <c r="AM1411" s="14">
        <f t="shared" si="11"/>
        <v>2280</v>
      </c>
      <c r="AN1411" s="9"/>
      <c r="AO1411" s="9"/>
      <c r="AP1411" s="9"/>
      <c r="AQ1411" s="15" t="s">
        <v>49</v>
      </c>
      <c r="AR1411" t="s">
        <v>7047</v>
      </c>
      <c r="AS1411" s="16"/>
    </row>
    <row r="1412" spans="1:45" ht="14.5">
      <c r="A1412" s="9" t="s">
        <v>7048</v>
      </c>
      <c r="B1412" s="9" t="s">
        <v>6095</v>
      </c>
      <c r="C1412" s="9" t="s">
        <v>6404</v>
      </c>
      <c r="D1412" s="9" t="s">
        <v>5539</v>
      </c>
      <c r="E1412" s="9" t="s">
        <v>125</v>
      </c>
      <c r="F1412" s="9" t="s">
        <v>6095</v>
      </c>
      <c r="G1412" s="9" t="s">
        <v>51</v>
      </c>
      <c r="H1412" s="9"/>
      <c r="J1412" s="29"/>
      <c r="K1412" s="9" t="s">
        <v>6095</v>
      </c>
      <c r="L1412" s="10" t="s">
        <v>6095</v>
      </c>
      <c r="M1412" s="10" t="s">
        <v>6095</v>
      </c>
      <c r="N1412" s="9">
        <v>2022</v>
      </c>
      <c r="O1412" s="9" t="s">
        <v>6764</v>
      </c>
      <c r="P1412" s="9" t="s">
        <v>53</v>
      </c>
      <c r="Q1412" s="9" t="s">
        <v>53</v>
      </c>
      <c r="T1412" s="9" t="s">
        <v>6095</v>
      </c>
      <c r="U1412" s="9" t="s">
        <v>6095</v>
      </c>
      <c r="V1412" s="9"/>
      <c r="W1412" s="11" t="str">
        <f>IFERROR(VLOOKUP(B1412, PlumX_snapshot!$A:$B, 2, FALSE), " ")</f>
        <v xml:space="preserve"> </v>
      </c>
      <c r="X1412" s="11" t="str">
        <f>IFERROR(VLOOKUP(B1412, PlumX_snapshot!$A:$C, 3, FALSE), " ")</f>
        <v xml:space="preserve"> </v>
      </c>
      <c r="Y1412" s="12" t="str">
        <f>IFERROR(VLOOKUP(B1412, PlumX_snapshot!$A:$D, 4, FALSE), " ")</f>
        <v xml:space="preserve"> </v>
      </c>
      <c r="Z1412" s="12" t="str">
        <f>IFERROR(VLOOKUP(B1412, PlumX_snapshot!$A:$E, 5, FALSE), " ")</f>
        <v xml:space="preserve"> </v>
      </c>
      <c r="AA1412" s="12" t="str">
        <f>IFERROR(VLOOKUP(B1412, PlumX_snapshot!$A:$F, 6, FALSE), " ")</f>
        <v xml:space="preserve"> </v>
      </c>
      <c r="AB1412" s="13"/>
      <c r="AC1412" s="9"/>
      <c r="AD1412" s="9"/>
      <c r="AE1412" s="9"/>
      <c r="AF1412" s="9"/>
      <c r="AH1412" s="9"/>
      <c r="AI1412" s="9"/>
      <c r="AJ1412" s="9"/>
      <c r="AK1412" s="11" t="str">
        <f t="shared" si="10"/>
        <v>2022</v>
      </c>
      <c r="AL1412" s="11" t="e">
        <f>VLOOKUP(AK1412, Exchange_rates!$C:$D, 2, FALSE)</f>
        <v>#N/A</v>
      </c>
      <c r="AM1412" s="14" t="str">
        <f t="shared" si="11"/>
        <v/>
      </c>
      <c r="AN1412" s="9"/>
      <c r="AO1412" s="9"/>
      <c r="AP1412" s="9"/>
      <c r="AQ1412" s="15" t="s">
        <v>125</v>
      </c>
      <c r="AR1412" t="s">
        <v>6409</v>
      </c>
      <c r="AS1412" s="16"/>
    </row>
    <row r="1413" spans="1:45" ht="14.5">
      <c r="A1413" s="9" t="s">
        <v>7049</v>
      </c>
      <c r="B1413" s="9" t="s">
        <v>7050</v>
      </c>
      <c r="C1413" s="9" t="s">
        <v>7051</v>
      </c>
      <c r="D1413" s="9" t="s">
        <v>5539</v>
      </c>
      <c r="E1413" s="9" t="s">
        <v>49</v>
      </c>
      <c r="F1413" s="9" t="s">
        <v>69</v>
      </c>
      <c r="G1413" s="9" t="s">
        <v>70</v>
      </c>
      <c r="H1413" s="9" t="s">
        <v>6505</v>
      </c>
      <c r="I1413" s="9" t="s">
        <v>72</v>
      </c>
      <c r="J1413" s="29"/>
      <c r="K1413" s="35">
        <v>44454</v>
      </c>
      <c r="L1413" s="10">
        <v>44704</v>
      </c>
      <c r="M1413" s="10">
        <v>44745</v>
      </c>
      <c r="N1413" s="9">
        <v>2022</v>
      </c>
      <c r="O1413" s="9" t="s">
        <v>6764</v>
      </c>
      <c r="P1413" s="9" t="s">
        <v>83</v>
      </c>
      <c r="Q1413" s="9" t="s">
        <v>53</v>
      </c>
      <c r="R1413" s="9" t="s">
        <v>7052</v>
      </c>
      <c r="T1413" s="9"/>
      <c r="V1413" s="9"/>
      <c r="W1413" s="11" t="str">
        <f>IFERROR(VLOOKUP(B1413, PlumX_snapshot!$A:$B, 2, FALSE), " ")</f>
        <v xml:space="preserve"> </v>
      </c>
      <c r="X1413" s="11" t="str">
        <f>IFERROR(VLOOKUP(B1413, PlumX_snapshot!$A:$C, 3, FALSE), " ")</f>
        <v xml:space="preserve"> </v>
      </c>
      <c r="Y1413" s="12" t="str">
        <f>IFERROR(VLOOKUP(B1413, PlumX_snapshot!$A:$D, 4, FALSE), " ")</f>
        <v xml:space="preserve"> </v>
      </c>
      <c r="Z1413" s="12" t="str">
        <f>IFERROR(VLOOKUP(B1413, PlumX_snapshot!$A:$E, 5, FALSE), " ")</f>
        <v xml:space="preserve"> </v>
      </c>
      <c r="AA1413" s="12" t="str">
        <f>IFERROR(VLOOKUP(B1413, PlumX_snapshot!$A:$F, 6, FALSE), " ")</f>
        <v xml:space="preserve"> </v>
      </c>
      <c r="AB1413" s="13"/>
      <c r="AC1413" s="9" t="s">
        <v>7053</v>
      </c>
      <c r="AD1413" s="9" t="s">
        <v>7054</v>
      </c>
      <c r="AE1413" s="9" t="s">
        <v>7055</v>
      </c>
      <c r="AH1413" s="9">
        <v>1700</v>
      </c>
      <c r="AI1413" s="9" t="s">
        <v>77</v>
      </c>
      <c r="AJ1413" s="9" t="s">
        <v>301</v>
      </c>
      <c r="AK1413" s="11" t="str">
        <f t="shared" si="10"/>
        <v>2022GBP</v>
      </c>
      <c r="AL1413" s="11">
        <f>VLOOKUP(AK1413, Exchange_rates!$C:$D, 2, FALSE)</f>
        <v>1</v>
      </c>
      <c r="AM1413" s="14">
        <f t="shared" si="11"/>
        <v>2040</v>
      </c>
      <c r="AN1413" s="9"/>
      <c r="AO1413" s="9"/>
      <c r="AP1413" s="9"/>
      <c r="AQ1413" s="15" t="s">
        <v>49</v>
      </c>
      <c r="AR1413" t="s">
        <v>7056</v>
      </c>
      <c r="AS1413" s="16"/>
    </row>
    <row r="1414" spans="1:45" ht="14.5">
      <c r="A1414" s="9" t="s">
        <v>7057</v>
      </c>
      <c r="B1414" s="9" t="s">
        <v>7058</v>
      </c>
      <c r="C1414" s="9" t="s">
        <v>7059</v>
      </c>
      <c r="D1414" s="9" t="s">
        <v>5539</v>
      </c>
      <c r="E1414" s="9" t="s">
        <v>49</v>
      </c>
      <c r="F1414" s="9" t="s">
        <v>69</v>
      </c>
      <c r="G1414" s="9" t="s">
        <v>70</v>
      </c>
      <c r="H1414" s="9" t="s">
        <v>6505</v>
      </c>
      <c r="I1414" s="9" t="s">
        <v>72</v>
      </c>
      <c r="J1414" s="29"/>
      <c r="K1414" s="29">
        <v>44687</v>
      </c>
      <c r="L1414" s="10">
        <v>44699</v>
      </c>
      <c r="M1414" s="10">
        <v>44708</v>
      </c>
      <c r="N1414" s="9">
        <v>2022</v>
      </c>
      <c r="O1414" s="9" t="s">
        <v>6764</v>
      </c>
      <c r="P1414" s="9" t="s">
        <v>53</v>
      </c>
      <c r="Q1414" s="9" t="s">
        <v>53</v>
      </c>
      <c r="R1414" s="9" t="s">
        <v>7060</v>
      </c>
      <c r="T1414" s="9"/>
      <c r="V1414" s="9"/>
      <c r="W1414" s="11" t="str">
        <f>IFERROR(VLOOKUP(B1414, PlumX_snapshot!$A:$B, 2, FALSE), " ")</f>
        <v xml:space="preserve"> </v>
      </c>
      <c r="X1414" s="11" t="str">
        <f>IFERROR(VLOOKUP(B1414, PlumX_snapshot!$A:$C, 3, FALSE), " ")</f>
        <v xml:space="preserve"> </v>
      </c>
      <c r="Y1414" s="12" t="str">
        <f>IFERROR(VLOOKUP(B1414, PlumX_snapshot!$A:$D, 4, FALSE), " ")</f>
        <v xml:space="preserve"> </v>
      </c>
      <c r="Z1414" s="12" t="str">
        <f>IFERROR(VLOOKUP(B1414, PlumX_snapshot!$A:$E, 5, FALSE), " ")</f>
        <v xml:space="preserve"> </v>
      </c>
      <c r="AA1414" s="12" t="str">
        <f>IFERROR(VLOOKUP(B1414, PlumX_snapshot!$A:$F, 6, FALSE), " ")</f>
        <v xml:space="preserve"> </v>
      </c>
      <c r="AB1414" s="13"/>
      <c r="AC1414" s="9" t="s">
        <v>7061</v>
      </c>
      <c r="AD1414" s="9" t="s">
        <v>7062</v>
      </c>
      <c r="AE1414" s="9" t="s">
        <v>7063</v>
      </c>
      <c r="AF1414" s="9" t="s">
        <v>7064</v>
      </c>
      <c r="AH1414" s="9">
        <v>3200</v>
      </c>
      <c r="AI1414" s="9" t="s">
        <v>77</v>
      </c>
      <c r="AJ1414" s="9" t="s">
        <v>301</v>
      </c>
      <c r="AK1414" s="11" t="str">
        <f t="shared" si="10"/>
        <v>2022GBP</v>
      </c>
      <c r="AL1414" s="11">
        <f>VLOOKUP(AK1414, Exchange_rates!$C:$D, 2, FALSE)</f>
        <v>1</v>
      </c>
      <c r="AM1414" s="14">
        <f t="shared" si="11"/>
        <v>3840</v>
      </c>
      <c r="AN1414" s="9"/>
      <c r="AO1414" s="9"/>
      <c r="AP1414" s="9"/>
      <c r="AQ1414" s="15" t="s">
        <v>49</v>
      </c>
      <c r="AR1414" t="s">
        <v>7065</v>
      </c>
      <c r="AS1414" s="16"/>
    </row>
    <row r="1415" spans="1:45" ht="14.5">
      <c r="A1415" s="9" t="s">
        <v>7066</v>
      </c>
      <c r="B1415" s="9" t="s">
        <v>7067</v>
      </c>
      <c r="C1415" s="9" t="s">
        <v>5834</v>
      </c>
      <c r="D1415" s="9" t="s">
        <v>5539</v>
      </c>
      <c r="E1415" s="9" t="s">
        <v>125</v>
      </c>
      <c r="F1415" s="9" t="s">
        <v>69</v>
      </c>
      <c r="G1415" s="9" t="s">
        <v>70</v>
      </c>
      <c r="H1415" s="9" t="s">
        <v>6505</v>
      </c>
      <c r="I1415" s="9" t="s">
        <v>72</v>
      </c>
      <c r="J1415" s="29"/>
      <c r="K1415" s="29"/>
      <c r="L1415" s="10">
        <v>44706</v>
      </c>
      <c r="M1415" s="10">
        <v>44966</v>
      </c>
      <c r="N1415" s="9">
        <v>2022</v>
      </c>
      <c r="O1415" s="9" t="s">
        <v>6764</v>
      </c>
      <c r="P1415" s="9" t="s">
        <v>83</v>
      </c>
      <c r="Q1415" s="9" t="s">
        <v>53</v>
      </c>
      <c r="R1415" s="9" t="s">
        <v>7068</v>
      </c>
      <c r="T1415" s="9"/>
      <c r="V1415" s="9"/>
      <c r="W1415" s="11" t="str">
        <f>IFERROR(VLOOKUP(B1415, PlumX_snapshot!$A:$B, 2, FALSE), " ")</f>
        <v xml:space="preserve"> </v>
      </c>
      <c r="X1415" s="11" t="str">
        <f>IFERROR(VLOOKUP(B1415, PlumX_snapshot!$A:$C, 3, FALSE), " ")</f>
        <v xml:space="preserve"> </v>
      </c>
      <c r="Y1415" s="12" t="str">
        <f>IFERROR(VLOOKUP(B1415, PlumX_snapshot!$A:$D, 4, FALSE), " ")</f>
        <v xml:space="preserve"> </v>
      </c>
      <c r="Z1415" s="12" t="str">
        <f>IFERROR(VLOOKUP(B1415, PlumX_snapshot!$A:$E, 5, FALSE), " ")</f>
        <v xml:space="preserve"> </v>
      </c>
      <c r="AA1415" s="12" t="str">
        <f>IFERROR(VLOOKUP(B1415, PlumX_snapshot!$A:$F, 6, FALSE), " ")</f>
        <v xml:space="preserve"> </v>
      </c>
      <c r="AB1415" s="13"/>
      <c r="AC1415" s="9"/>
      <c r="AD1415" s="9"/>
      <c r="AE1415" s="9"/>
      <c r="AF1415" s="9"/>
      <c r="AH1415" s="9">
        <v>1651</v>
      </c>
      <c r="AI1415" s="9" t="s">
        <v>77</v>
      </c>
      <c r="AJ1415" s="9" t="s">
        <v>301</v>
      </c>
      <c r="AK1415" s="11" t="str">
        <f t="shared" si="10"/>
        <v>2022GBP</v>
      </c>
      <c r="AL1415" s="11">
        <f>VLOOKUP(AK1415, Exchange_rates!$C:$D, 2, FALSE)</f>
        <v>1</v>
      </c>
      <c r="AM1415" s="14">
        <f t="shared" si="11"/>
        <v>1981.1999999999998</v>
      </c>
      <c r="AN1415" s="9"/>
      <c r="AO1415" s="9"/>
      <c r="AP1415" s="9"/>
      <c r="AQ1415" s="15" t="s">
        <v>125</v>
      </c>
      <c r="AR1415" t="s">
        <v>5839</v>
      </c>
      <c r="AS1415" s="16"/>
    </row>
    <row r="1416" spans="1:45" ht="14.5">
      <c r="A1416" s="9" t="s">
        <v>7069</v>
      </c>
      <c r="B1416" s="9" t="s">
        <v>7070</v>
      </c>
      <c r="C1416" s="9" t="s">
        <v>6915</v>
      </c>
      <c r="D1416" s="9" t="s">
        <v>5539</v>
      </c>
      <c r="E1416" s="9" t="s">
        <v>125</v>
      </c>
      <c r="F1416" s="9" t="s">
        <v>69</v>
      </c>
      <c r="G1416" s="9" t="s">
        <v>70</v>
      </c>
      <c r="H1416" s="9" t="s">
        <v>6505</v>
      </c>
      <c r="I1416" s="9" t="s">
        <v>238</v>
      </c>
      <c r="J1416" s="29"/>
      <c r="K1416" s="35">
        <v>44768</v>
      </c>
      <c r="L1416" s="10">
        <v>44659</v>
      </c>
      <c r="M1416" s="10">
        <v>44811</v>
      </c>
      <c r="N1416" s="9">
        <v>2022</v>
      </c>
      <c r="O1416" s="9" t="s">
        <v>6764</v>
      </c>
      <c r="P1416" s="9" t="s">
        <v>53</v>
      </c>
      <c r="Q1416" s="9" t="s">
        <v>53</v>
      </c>
      <c r="R1416" s="9" t="s">
        <v>7071</v>
      </c>
      <c r="T1416" s="9"/>
      <c r="V1416" s="9"/>
      <c r="W1416" s="11" t="str">
        <f>IFERROR(VLOOKUP(B1416, PlumX_snapshot!$A:$B, 2, FALSE), " ")</f>
        <v xml:space="preserve"> </v>
      </c>
      <c r="X1416" s="11" t="str">
        <f>IFERROR(VLOOKUP(B1416, PlumX_snapshot!$A:$C, 3, FALSE), " ")</f>
        <v xml:space="preserve"> </v>
      </c>
      <c r="Y1416" s="12" t="str">
        <f>IFERROR(VLOOKUP(B1416, PlumX_snapshot!$A:$D, 4, FALSE), " ")</f>
        <v xml:space="preserve"> </v>
      </c>
      <c r="Z1416" s="12" t="str">
        <f>IFERROR(VLOOKUP(B1416, PlumX_snapshot!$A:$E, 5, FALSE), " ")</f>
        <v xml:space="preserve"> </v>
      </c>
      <c r="AA1416" s="12" t="str">
        <f>IFERROR(VLOOKUP(B1416, PlumX_snapshot!$A:$F, 6, FALSE), " ")</f>
        <v xml:space="preserve"> </v>
      </c>
      <c r="AB1416" s="13"/>
      <c r="AC1416" s="9" t="s">
        <v>572</v>
      </c>
      <c r="AD1416" s="9" t="s">
        <v>573</v>
      </c>
      <c r="AE1416" s="9" t="s">
        <v>7072</v>
      </c>
      <c r="AF1416" s="9" t="s">
        <v>7073</v>
      </c>
      <c r="AH1416" s="9">
        <v>2351</v>
      </c>
      <c r="AI1416" s="9" t="s">
        <v>77</v>
      </c>
      <c r="AJ1416" s="9" t="s">
        <v>301</v>
      </c>
      <c r="AK1416" s="11" t="str">
        <f t="shared" si="10"/>
        <v>2022GBP</v>
      </c>
      <c r="AL1416" s="11">
        <f>VLOOKUP(AK1416, Exchange_rates!$C:$D, 2, FALSE)</f>
        <v>1</v>
      </c>
      <c r="AM1416" s="14">
        <f t="shared" si="11"/>
        <v>2821.2</v>
      </c>
      <c r="AN1416" s="9"/>
      <c r="AO1416" s="9"/>
      <c r="AP1416" s="9"/>
      <c r="AQ1416" s="15" t="s">
        <v>125</v>
      </c>
      <c r="AR1416" t="s">
        <v>5543</v>
      </c>
      <c r="AS1416" s="16"/>
    </row>
    <row r="1417" spans="1:45" ht="14.5">
      <c r="A1417" s="9" t="s">
        <v>7074</v>
      </c>
      <c r="B1417" s="9" t="s">
        <v>5848</v>
      </c>
      <c r="C1417" s="9" t="s">
        <v>7075</v>
      </c>
      <c r="D1417" s="9" t="s">
        <v>5539</v>
      </c>
      <c r="E1417" s="9" t="s">
        <v>125</v>
      </c>
      <c r="F1417" s="9" t="s">
        <v>6095</v>
      </c>
      <c r="G1417" s="9" t="s">
        <v>51</v>
      </c>
      <c r="H1417" s="9"/>
      <c r="J1417" s="29"/>
      <c r="K1417" s="29"/>
      <c r="L1417" s="10"/>
      <c r="M1417" s="10" t="s">
        <v>6095</v>
      </c>
      <c r="N1417" s="9">
        <v>2022</v>
      </c>
      <c r="O1417" s="9" t="s">
        <v>6764</v>
      </c>
      <c r="P1417" s="9" t="s">
        <v>53</v>
      </c>
      <c r="Q1417" s="9" t="s">
        <v>53</v>
      </c>
      <c r="T1417" s="9" t="s">
        <v>6095</v>
      </c>
      <c r="U1417" s="9" t="s">
        <v>6095</v>
      </c>
      <c r="V1417" s="9"/>
      <c r="W1417" s="11" t="str">
        <f>IFERROR(VLOOKUP(B1417, PlumX_snapshot!$A:$B, 2, FALSE), " ")</f>
        <v xml:space="preserve"> </v>
      </c>
      <c r="X1417" s="11" t="str">
        <f>IFERROR(VLOOKUP(B1417, PlumX_snapshot!$A:$C, 3, FALSE), " ")</f>
        <v xml:space="preserve"> </v>
      </c>
      <c r="Y1417" s="12" t="str">
        <f>IFERROR(VLOOKUP(B1417, PlumX_snapshot!$A:$D, 4, FALSE), " ")</f>
        <v xml:space="preserve"> </v>
      </c>
      <c r="Z1417" s="12" t="str">
        <f>IFERROR(VLOOKUP(B1417, PlumX_snapshot!$A:$E, 5, FALSE), " ")</f>
        <v xml:space="preserve"> </v>
      </c>
      <c r="AA1417" s="12" t="str">
        <f>IFERROR(VLOOKUP(B1417, PlumX_snapshot!$A:$F, 6, FALSE), " ")</f>
        <v xml:space="preserve"> </v>
      </c>
      <c r="AB1417" s="13"/>
      <c r="AC1417" s="9"/>
      <c r="AD1417" s="9"/>
      <c r="AE1417" s="9"/>
      <c r="AF1417" s="9"/>
      <c r="AH1417" s="9"/>
      <c r="AI1417" s="9"/>
      <c r="AJ1417" s="9"/>
      <c r="AK1417" s="11" t="str">
        <f t="shared" si="10"/>
        <v>2022</v>
      </c>
      <c r="AL1417" s="11" t="e">
        <f>VLOOKUP(AK1417, Exchange_rates!$C:$D, 2, FALSE)</f>
        <v>#N/A</v>
      </c>
      <c r="AM1417" s="14" t="str">
        <f t="shared" si="11"/>
        <v/>
      </c>
      <c r="AN1417" s="9"/>
      <c r="AO1417" s="9"/>
      <c r="AP1417" s="9"/>
      <c r="AQ1417" s="15" t="s">
        <v>125</v>
      </c>
      <c r="AR1417" t="s">
        <v>7076</v>
      </c>
      <c r="AS1417" s="16"/>
    </row>
    <row r="1418" spans="1:45" ht="14.5">
      <c r="A1418" s="9" t="s">
        <v>7077</v>
      </c>
      <c r="B1418" s="9" t="s">
        <v>7078</v>
      </c>
      <c r="C1418" s="9" t="s">
        <v>7079</v>
      </c>
      <c r="D1418" s="9" t="s">
        <v>5539</v>
      </c>
      <c r="E1418" s="9" t="s">
        <v>125</v>
      </c>
      <c r="F1418" s="9" t="s">
        <v>69</v>
      </c>
      <c r="G1418" s="9" t="s">
        <v>70</v>
      </c>
      <c r="H1418" s="9" t="s">
        <v>6505</v>
      </c>
      <c r="I1418" s="9" t="s">
        <v>72</v>
      </c>
      <c r="J1418" s="29"/>
      <c r="K1418" s="29"/>
      <c r="L1418" s="10">
        <v>44630</v>
      </c>
      <c r="M1418" s="10">
        <v>44644</v>
      </c>
      <c r="N1418" s="9">
        <v>2022</v>
      </c>
      <c r="O1418" s="9" t="s">
        <v>5540</v>
      </c>
      <c r="P1418" s="9" t="s">
        <v>83</v>
      </c>
      <c r="Q1418" s="9" t="s">
        <v>53</v>
      </c>
      <c r="R1418" s="9" t="s">
        <v>7080</v>
      </c>
      <c r="T1418" s="9"/>
      <c r="V1418" s="9"/>
      <c r="W1418" s="11" t="str">
        <f>IFERROR(VLOOKUP(B1418, PlumX_snapshot!$A:$B, 2, FALSE), " ")</f>
        <v xml:space="preserve"> </v>
      </c>
      <c r="X1418" s="11" t="str">
        <f>IFERROR(VLOOKUP(B1418, PlumX_snapshot!$A:$C, 3, FALSE), " ")</f>
        <v xml:space="preserve"> </v>
      </c>
      <c r="Y1418" s="12" t="str">
        <f>IFERROR(VLOOKUP(B1418, PlumX_snapshot!$A:$D, 4, FALSE), " ")</f>
        <v xml:space="preserve"> </v>
      </c>
      <c r="Z1418" s="12" t="str">
        <f>IFERROR(VLOOKUP(B1418, PlumX_snapshot!$A:$E, 5, FALSE), " ")</f>
        <v xml:space="preserve"> </v>
      </c>
      <c r="AA1418" s="12" t="str">
        <f>IFERROR(VLOOKUP(B1418, PlumX_snapshot!$A:$F, 6, FALSE), " ")</f>
        <v xml:space="preserve"> </v>
      </c>
      <c r="AB1418" s="13"/>
      <c r="AC1418" s="9" t="s">
        <v>7081</v>
      </c>
      <c r="AD1418" s="9" t="s">
        <v>7082</v>
      </c>
      <c r="AE1418" s="9" t="s">
        <v>7083</v>
      </c>
      <c r="AF1418" s="9" t="s">
        <v>7084</v>
      </c>
      <c r="AH1418" s="9">
        <v>3300</v>
      </c>
      <c r="AI1418" s="9" t="s">
        <v>77</v>
      </c>
      <c r="AJ1418" s="9" t="s">
        <v>301</v>
      </c>
      <c r="AK1418" s="11" t="str">
        <f t="shared" si="10"/>
        <v>2022GBP</v>
      </c>
      <c r="AL1418" s="11">
        <f>VLOOKUP(AK1418, Exchange_rates!$C:$D, 2, FALSE)</f>
        <v>1</v>
      </c>
      <c r="AM1418" s="14">
        <f t="shared" si="11"/>
        <v>3960</v>
      </c>
      <c r="AN1418" s="9"/>
      <c r="AO1418" s="9"/>
      <c r="AP1418" s="9"/>
      <c r="AQ1418" s="15" t="s">
        <v>125</v>
      </c>
      <c r="AR1418" t="s">
        <v>7085</v>
      </c>
      <c r="AS1418" s="16"/>
    </row>
    <row r="1419" spans="1:45" ht="14.5">
      <c r="A1419" s="9" t="s">
        <v>7086</v>
      </c>
      <c r="B1419" s="9" t="s">
        <v>7087</v>
      </c>
      <c r="C1419" s="9" t="s">
        <v>7088</v>
      </c>
      <c r="D1419" s="9" t="s">
        <v>5539</v>
      </c>
      <c r="E1419" s="9" t="s">
        <v>125</v>
      </c>
      <c r="F1419" s="9" t="s">
        <v>69</v>
      </c>
      <c r="G1419" s="9" t="s">
        <v>70</v>
      </c>
      <c r="H1419" s="9" t="s">
        <v>6505</v>
      </c>
      <c r="I1419" s="9" t="s">
        <v>72</v>
      </c>
      <c r="J1419" s="29"/>
      <c r="K1419" s="29"/>
      <c r="L1419" s="10">
        <v>44622</v>
      </c>
      <c r="M1419" s="10">
        <v>44616</v>
      </c>
      <c r="N1419" s="9">
        <v>2022</v>
      </c>
      <c r="O1419" s="9" t="s">
        <v>5540</v>
      </c>
      <c r="P1419" s="9" t="s">
        <v>53</v>
      </c>
      <c r="Q1419" s="9" t="s">
        <v>53</v>
      </c>
      <c r="R1419" s="9" t="s">
        <v>7089</v>
      </c>
      <c r="T1419" s="9"/>
      <c r="V1419" s="9"/>
      <c r="W1419" s="11" t="str">
        <f>IFERROR(VLOOKUP(B1419, PlumX_snapshot!$A:$B, 2, FALSE), " ")</f>
        <v xml:space="preserve"> </v>
      </c>
      <c r="X1419" s="11" t="str">
        <f>IFERROR(VLOOKUP(B1419, PlumX_snapshot!$A:$C, 3, FALSE), " ")</f>
        <v xml:space="preserve"> </v>
      </c>
      <c r="Y1419" s="12" t="str">
        <f>IFERROR(VLOOKUP(B1419, PlumX_snapshot!$A:$D, 4, FALSE), " ")</f>
        <v xml:space="preserve"> </v>
      </c>
      <c r="Z1419" s="12" t="str">
        <f>IFERROR(VLOOKUP(B1419, PlumX_snapshot!$A:$E, 5, FALSE), " ")</f>
        <v xml:space="preserve"> </v>
      </c>
      <c r="AA1419" s="12" t="str">
        <f>IFERROR(VLOOKUP(B1419, PlumX_snapshot!$A:$F, 6, FALSE), " ")</f>
        <v xml:space="preserve"> </v>
      </c>
      <c r="AB1419" s="13"/>
      <c r="AC1419" s="9" t="s">
        <v>7090</v>
      </c>
      <c r="AD1419" s="9" t="s">
        <v>7091</v>
      </c>
      <c r="AE1419" s="9" t="s">
        <v>7092</v>
      </c>
      <c r="AF1419" s="9" t="s">
        <v>7093</v>
      </c>
      <c r="AH1419" s="9">
        <v>2251</v>
      </c>
      <c r="AI1419" s="9" t="s">
        <v>77</v>
      </c>
      <c r="AJ1419" s="9" t="s">
        <v>301</v>
      </c>
      <c r="AK1419" s="11" t="str">
        <f t="shared" si="10"/>
        <v>2022GBP</v>
      </c>
      <c r="AL1419" s="11">
        <f>VLOOKUP(AK1419, Exchange_rates!$C:$D, 2, FALSE)</f>
        <v>1</v>
      </c>
      <c r="AM1419" s="14">
        <f t="shared" si="11"/>
        <v>2701.2</v>
      </c>
      <c r="AN1419" s="9"/>
      <c r="AO1419" s="9"/>
      <c r="AP1419" s="9"/>
      <c r="AQ1419" s="15" t="s">
        <v>125</v>
      </c>
      <c r="AR1419" t="s">
        <v>7094</v>
      </c>
      <c r="AS1419" s="16"/>
    </row>
    <row r="1420" spans="1:45" ht="14.5">
      <c r="A1420" s="9" t="s">
        <v>7095</v>
      </c>
      <c r="B1420" s="9" t="s">
        <v>7096</v>
      </c>
      <c r="C1420" s="9" t="s">
        <v>7097</v>
      </c>
      <c r="D1420" s="9" t="s">
        <v>5539</v>
      </c>
      <c r="E1420" s="9" t="s">
        <v>49</v>
      </c>
      <c r="F1420" s="9" t="s">
        <v>69</v>
      </c>
      <c r="G1420" s="9" t="s">
        <v>70</v>
      </c>
      <c r="H1420" s="9" t="s">
        <v>6505</v>
      </c>
      <c r="I1420" s="9" t="s">
        <v>72</v>
      </c>
      <c r="J1420" s="29"/>
      <c r="K1420" s="29"/>
      <c r="L1420" s="10">
        <v>44622</v>
      </c>
      <c r="M1420" s="10"/>
      <c r="N1420" s="9">
        <v>2022</v>
      </c>
      <c r="O1420" s="9" t="s">
        <v>5540</v>
      </c>
      <c r="P1420" s="9" t="s">
        <v>53</v>
      </c>
      <c r="Q1420" s="9" t="s">
        <v>53</v>
      </c>
      <c r="T1420" s="9"/>
      <c r="V1420" s="9"/>
      <c r="W1420" s="11" t="str">
        <f>IFERROR(VLOOKUP(B1420, PlumX_snapshot!$A:$B, 2, FALSE), " ")</f>
        <v xml:space="preserve"> </v>
      </c>
      <c r="X1420" s="11" t="str">
        <f>IFERROR(VLOOKUP(B1420, PlumX_snapshot!$A:$C, 3, FALSE), " ")</f>
        <v xml:space="preserve"> </v>
      </c>
      <c r="Y1420" s="12" t="str">
        <f>IFERROR(VLOOKUP(B1420, PlumX_snapshot!$A:$D, 4, FALSE), " ")</f>
        <v xml:space="preserve"> </v>
      </c>
      <c r="Z1420" s="12" t="str">
        <f>IFERROR(VLOOKUP(B1420, PlumX_snapshot!$A:$E, 5, FALSE), " ")</f>
        <v xml:space="preserve"> </v>
      </c>
      <c r="AA1420" s="12" t="str">
        <f>IFERROR(VLOOKUP(B1420, PlumX_snapshot!$A:$F, 6, FALSE), " ")</f>
        <v xml:space="preserve"> </v>
      </c>
      <c r="AB1420" s="13"/>
      <c r="AC1420" s="9" t="s">
        <v>7098</v>
      </c>
      <c r="AD1420" s="9" t="s">
        <v>7099</v>
      </c>
      <c r="AF1420" s="9" t="s">
        <v>7100</v>
      </c>
      <c r="AH1420" s="9">
        <v>2400</v>
      </c>
      <c r="AI1420" s="9" t="s">
        <v>77</v>
      </c>
      <c r="AJ1420" s="9" t="s">
        <v>301</v>
      </c>
      <c r="AK1420" s="11" t="str">
        <f t="shared" si="10"/>
        <v>2022GBP</v>
      </c>
      <c r="AL1420" s="11">
        <f>VLOOKUP(AK1420, Exchange_rates!$C:$D, 2, FALSE)</f>
        <v>1</v>
      </c>
      <c r="AM1420" s="14">
        <f t="shared" si="11"/>
        <v>2880</v>
      </c>
      <c r="AN1420" s="9"/>
      <c r="AO1420" s="9"/>
      <c r="AP1420" s="9"/>
      <c r="AQ1420" s="15" t="s">
        <v>49</v>
      </c>
      <c r="AR1420" t="s">
        <v>7101</v>
      </c>
      <c r="AS1420" s="16"/>
    </row>
    <row r="1421" spans="1:45" ht="14.5">
      <c r="A1421" s="9" t="s">
        <v>7102</v>
      </c>
      <c r="B1421" s="9" t="s">
        <v>7103</v>
      </c>
      <c r="C1421" s="9" t="s">
        <v>7104</v>
      </c>
      <c r="D1421" s="9" t="s">
        <v>5539</v>
      </c>
      <c r="E1421" s="9" t="s">
        <v>49</v>
      </c>
      <c r="F1421" s="9" t="s">
        <v>69</v>
      </c>
      <c r="G1421" s="9" t="s">
        <v>70</v>
      </c>
      <c r="H1421" s="9" t="s">
        <v>6505</v>
      </c>
      <c r="I1421" s="9" t="s">
        <v>72</v>
      </c>
      <c r="J1421" s="29"/>
      <c r="K1421" s="29"/>
      <c r="L1421" s="10">
        <v>44616</v>
      </c>
      <c r="M1421" s="10"/>
      <c r="N1421" s="9">
        <v>2022</v>
      </c>
      <c r="O1421" s="9" t="s">
        <v>5540</v>
      </c>
      <c r="P1421" s="9" t="s">
        <v>53</v>
      </c>
      <c r="Q1421" s="9" t="s">
        <v>53</v>
      </c>
      <c r="T1421" s="9"/>
      <c r="V1421" s="9"/>
      <c r="W1421" s="11" t="str">
        <f>IFERROR(VLOOKUP(B1421, PlumX_snapshot!$A:$B, 2, FALSE), " ")</f>
        <v xml:space="preserve"> </v>
      </c>
      <c r="X1421" s="11" t="str">
        <f>IFERROR(VLOOKUP(B1421, PlumX_snapshot!$A:$C, 3, FALSE), " ")</f>
        <v xml:space="preserve"> </v>
      </c>
      <c r="Y1421" s="12" t="str">
        <f>IFERROR(VLOOKUP(B1421, PlumX_snapshot!$A:$D, 4, FALSE), " ")</f>
        <v xml:space="preserve"> </v>
      </c>
      <c r="Z1421" s="12" t="str">
        <f>IFERROR(VLOOKUP(B1421, PlumX_snapshot!$A:$E, 5, FALSE), " ")</f>
        <v xml:space="preserve"> </v>
      </c>
      <c r="AA1421" s="12" t="str">
        <f>IFERROR(VLOOKUP(B1421, PlumX_snapshot!$A:$F, 6, FALSE), " ")</f>
        <v xml:space="preserve"> </v>
      </c>
      <c r="AB1421" s="13"/>
      <c r="AC1421" s="9" t="s">
        <v>7105</v>
      </c>
      <c r="AD1421" s="9" t="s">
        <v>7106</v>
      </c>
      <c r="AE1421" s="9" t="s">
        <v>7107</v>
      </c>
      <c r="AH1421" s="9">
        <v>1900</v>
      </c>
      <c r="AI1421" s="9" t="s">
        <v>77</v>
      </c>
      <c r="AJ1421" s="9" t="s">
        <v>301</v>
      </c>
      <c r="AK1421" s="11" t="str">
        <f t="shared" si="10"/>
        <v>2022GBP</v>
      </c>
      <c r="AL1421" s="11">
        <f>VLOOKUP(AK1421, Exchange_rates!$C:$D, 2, FALSE)</f>
        <v>1</v>
      </c>
      <c r="AM1421" s="14">
        <f t="shared" si="11"/>
        <v>2280</v>
      </c>
      <c r="AN1421" s="9"/>
      <c r="AO1421" s="9"/>
      <c r="AP1421" s="9"/>
      <c r="AQ1421" s="15" t="s">
        <v>49</v>
      </c>
      <c r="AR1421" t="s">
        <v>6745</v>
      </c>
      <c r="AS1421" s="16"/>
    </row>
    <row r="1422" spans="1:45" ht="14.5">
      <c r="A1422" s="9" t="s">
        <v>7108</v>
      </c>
      <c r="B1422" s="9" t="s">
        <v>7109</v>
      </c>
      <c r="C1422" s="9" t="s">
        <v>7110</v>
      </c>
      <c r="D1422" s="9" t="s">
        <v>2830</v>
      </c>
      <c r="E1422" s="9" t="s">
        <v>49</v>
      </c>
      <c r="F1422" s="9" t="s">
        <v>69</v>
      </c>
      <c r="G1422" s="9" t="s">
        <v>70</v>
      </c>
      <c r="H1422" s="9" t="s">
        <v>4168</v>
      </c>
      <c r="I1422" s="9" t="s">
        <v>72</v>
      </c>
      <c r="J1422" s="10">
        <v>44749</v>
      </c>
      <c r="K1422" s="10">
        <v>44901</v>
      </c>
      <c r="L1422" s="10">
        <v>44908.281655092593</v>
      </c>
      <c r="M1422" s="28">
        <v>44911</v>
      </c>
      <c r="N1422" s="9">
        <v>2022</v>
      </c>
      <c r="O1422" s="9" t="s">
        <v>7111</v>
      </c>
      <c r="P1422" s="9" t="s">
        <v>53</v>
      </c>
      <c r="Q1422" s="9" t="s">
        <v>53</v>
      </c>
      <c r="R1422" s="9" t="s">
        <v>7112</v>
      </c>
      <c r="T1422" s="9"/>
      <c r="V1422" s="9"/>
      <c r="W1422" s="11" t="str">
        <f>IFERROR(VLOOKUP(B1422, PlumX_snapshot!$A:$B, 2, FALSE), " ")</f>
        <v xml:space="preserve"> </v>
      </c>
      <c r="X1422" s="11" t="str">
        <f>IFERROR(VLOOKUP(B1422, PlumX_snapshot!$A:$C, 3, FALSE), " ")</f>
        <v xml:space="preserve"> </v>
      </c>
      <c r="Y1422" s="12" t="str">
        <f>IFERROR(VLOOKUP(B1422, PlumX_snapshot!$A:$D, 4, FALSE), " ")</f>
        <v xml:space="preserve"> </v>
      </c>
      <c r="Z1422" s="12" t="str">
        <f>IFERROR(VLOOKUP(B1422, PlumX_snapshot!$A:$E, 5, FALSE), " ")</f>
        <v xml:space="preserve"> </v>
      </c>
      <c r="AA1422" s="12" t="str">
        <f>IFERROR(VLOOKUP(B1422, PlumX_snapshot!$A:$F, 6, FALSE), " ")</f>
        <v xml:space="preserve"> </v>
      </c>
      <c r="AB1422" s="13"/>
      <c r="AH1422" s="9">
        <v>2428</v>
      </c>
      <c r="AI1422" s="9" t="s">
        <v>77</v>
      </c>
      <c r="AJ1422" s="9" t="s">
        <v>1823</v>
      </c>
      <c r="AK1422" s="11" t="str">
        <f t="shared" si="10"/>
        <v>2022EUR</v>
      </c>
      <c r="AL1422" s="11">
        <f>VLOOKUP(AK1422, Exchange_rates!$C:$D, 2, FALSE)</f>
        <v>0.8528</v>
      </c>
      <c r="AM1422" s="14">
        <f t="shared" si="11"/>
        <v>2484.7180799999996</v>
      </c>
      <c r="AN1422" s="9"/>
      <c r="AO1422" s="9"/>
      <c r="AP1422" s="9"/>
      <c r="AQ1422" s="15" t="s">
        <v>49</v>
      </c>
      <c r="AR1422" t="s">
        <v>7113</v>
      </c>
      <c r="AS1422" s="16"/>
    </row>
    <row r="1423" spans="1:45" ht="14.5">
      <c r="A1423" s="9" t="s">
        <v>7114</v>
      </c>
      <c r="B1423" s="9" t="s">
        <v>7115</v>
      </c>
      <c r="C1423" s="9" t="s">
        <v>3640</v>
      </c>
      <c r="D1423" s="9" t="s">
        <v>2830</v>
      </c>
      <c r="E1423" s="9" t="s">
        <v>49</v>
      </c>
      <c r="F1423" s="9" t="s">
        <v>69</v>
      </c>
      <c r="G1423" s="9" t="s">
        <v>70</v>
      </c>
      <c r="H1423" s="9" t="s">
        <v>7116</v>
      </c>
      <c r="I1423" s="9" t="s">
        <v>72</v>
      </c>
      <c r="J1423" s="10"/>
      <c r="K1423" s="10">
        <v>44939</v>
      </c>
      <c r="L1423" s="10">
        <v>44944.586909722224</v>
      </c>
      <c r="M1423" s="10">
        <v>44946</v>
      </c>
      <c r="N1423" s="9">
        <v>2023</v>
      </c>
      <c r="O1423" s="9" t="s">
        <v>7111</v>
      </c>
      <c r="P1423" s="9" t="s">
        <v>83</v>
      </c>
      <c r="Q1423" s="9" t="s">
        <v>53</v>
      </c>
      <c r="R1423" s="9" t="s">
        <v>1847</v>
      </c>
      <c r="S1423" s="9" t="s">
        <v>7117</v>
      </c>
      <c r="T1423" s="9"/>
      <c r="V1423" s="9"/>
      <c r="W1423" s="11" t="str">
        <f>IFERROR(VLOOKUP(B1423, PlumX_snapshot!$A:$B, 2, FALSE), " ")</f>
        <v xml:space="preserve"> </v>
      </c>
      <c r="X1423" s="11" t="str">
        <f>IFERROR(VLOOKUP(B1423, PlumX_snapshot!$A:$C, 3, FALSE), " ")</f>
        <v xml:space="preserve"> </v>
      </c>
      <c r="Y1423" s="12" t="str">
        <f>IFERROR(VLOOKUP(B1423, PlumX_snapshot!$A:$D, 4, FALSE), " ")</f>
        <v xml:space="preserve"> </v>
      </c>
      <c r="Z1423" s="12" t="str">
        <f>IFERROR(VLOOKUP(B1423, PlumX_snapshot!$A:$E, 5, FALSE), " ")</f>
        <v xml:space="preserve"> </v>
      </c>
      <c r="AA1423" s="12" t="str">
        <f>IFERROR(VLOOKUP(B1423, PlumX_snapshot!$A:$F, 6, FALSE), " ")</f>
        <v xml:space="preserve"> </v>
      </c>
      <c r="AB1423" s="13"/>
      <c r="AH1423" s="9">
        <v>2428</v>
      </c>
      <c r="AI1423" s="9" t="s">
        <v>77</v>
      </c>
      <c r="AJ1423" s="9" t="s">
        <v>1823</v>
      </c>
      <c r="AK1423" s="11" t="str">
        <f t="shared" si="10"/>
        <v>2023EUR</v>
      </c>
      <c r="AL1423" s="11">
        <f>VLOOKUP(AK1423, Exchange_rates!$C:$D, 2, FALSE)</f>
        <v>0.87029999999999996</v>
      </c>
      <c r="AM1423" s="14">
        <f t="shared" si="11"/>
        <v>2535.7060799999999</v>
      </c>
      <c r="AN1423" s="9"/>
      <c r="AO1423" s="9"/>
      <c r="AP1423" s="9"/>
      <c r="AQ1423" s="15" t="s">
        <v>49</v>
      </c>
      <c r="AR1423" t="s">
        <v>3642</v>
      </c>
      <c r="AS1423" s="16"/>
    </row>
    <row r="1424" spans="1:45" ht="14.5">
      <c r="A1424" s="9" t="s">
        <v>7118</v>
      </c>
      <c r="B1424" s="9" t="s">
        <v>7119</v>
      </c>
      <c r="C1424" s="9" t="s">
        <v>3640</v>
      </c>
      <c r="D1424" s="9" t="s">
        <v>2830</v>
      </c>
      <c r="E1424" s="9" t="s">
        <v>49</v>
      </c>
      <c r="F1424" s="9" t="s">
        <v>69</v>
      </c>
      <c r="G1424" s="9" t="s">
        <v>70</v>
      </c>
      <c r="H1424" s="9" t="s">
        <v>4168</v>
      </c>
      <c r="I1424" s="9" t="s">
        <v>72</v>
      </c>
      <c r="J1424" s="10"/>
      <c r="K1424" s="10">
        <v>44896</v>
      </c>
      <c r="L1424" s="10">
        <v>44915.414212962962</v>
      </c>
      <c r="M1424" s="28">
        <v>44916</v>
      </c>
      <c r="N1424" s="9">
        <v>2022</v>
      </c>
      <c r="O1424" s="9" t="s">
        <v>7111</v>
      </c>
      <c r="P1424" s="9" t="s">
        <v>83</v>
      </c>
      <c r="Q1424" s="9" t="s">
        <v>53</v>
      </c>
      <c r="R1424" s="9" t="s">
        <v>1847</v>
      </c>
      <c r="T1424" s="9"/>
      <c r="V1424" s="9"/>
      <c r="W1424" s="11" t="str">
        <f>IFERROR(VLOOKUP(B1424, PlumX_snapshot!$A:$B, 2, FALSE), " ")</f>
        <v xml:space="preserve"> </v>
      </c>
      <c r="X1424" s="11" t="str">
        <f>IFERROR(VLOOKUP(B1424, PlumX_snapshot!$A:$C, 3, FALSE), " ")</f>
        <v xml:space="preserve"> </v>
      </c>
      <c r="Y1424" s="12" t="str">
        <f>IFERROR(VLOOKUP(B1424, PlumX_snapshot!$A:$D, 4, FALSE), " ")</f>
        <v xml:space="preserve"> </v>
      </c>
      <c r="Z1424" s="12" t="str">
        <f>IFERROR(VLOOKUP(B1424, PlumX_snapshot!$A:$E, 5, FALSE), " ")</f>
        <v xml:space="preserve"> </v>
      </c>
      <c r="AA1424" s="12" t="str">
        <f>IFERROR(VLOOKUP(B1424, PlumX_snapshot!$A:$F, 6, FALSE), " ")</f>
        <v xml:space="preserve"> </v>
      </c>
      <c r="AB1424" s="13"/>
      <c r="AH1424" s="9">
        <v>2428</v>
      </c>
      <c r="AI1424" s="9" t="s">
        <v>77</v>
      </c>
      <c r="AJ1424" s="9" t="s">
        <v>1823</v>
      </c>
      <c r="AK1424" s="11" t="str">
        <f t="shared" si="10"/>
        <v>2022EUR</v>
      </c>
      <c r="AL1424" s="11">
        <f>VLOOKUP(AK1424, Exchange_rates!$C:$D, 2, FALSE)</f>
        <v>0.8528</v>
      </c>
      <c r="AM1424" s="14">
        <f t="shared" si="11"/>
        <v>2484.7180799999996</v>
      </c>
      <c r="AN1424" s="9"/>
      <c r="AO1424" s="9"/>
      <c r="AP1424" s="9"/>
      <c r="AQ1424" s="15" t="s">
        <v>49</v>
      </c>
      <c r="AR1424" t="s">
        <v>3642</v>
      </c>
      <c r="AS1424" s="16"/>
    </row>
    <row r="1425" spans="1:45" ht="14.5">
      <c r="A1425" s="9" t="s">
        <v>7120</v>
      </c>
      <c r="B1425" s="9" t="s">
        <v>7121</v>
      </c>
      <c r="C1425" s="9" t="s">
        <v>2983</v>
      </c>
      <c r="D1425" s="9" t="s">
        <v>2830</v>
      </c>
      <c r="E1425" s="9" t="s">
        <v>49</v>
      </c>
      <c r="F1425" s="9" t="s">
        <v>69</v>
      </c>
      <c r="G1425" s="9" t="s">
        <v>70</v>
      </c>
      <c r="H1425" s="9" t="s">
        <v>7116</v>
      </c>
      <c r="I1425" s="9" t="s">
        <v>72</v>
      </c>
      <c r="J1425" s="10"/>
      <c r="K1425" s="10">
        <v>44925</v>
      </c>
      <c r="L1425" s="10">
        <v>44930.405787037038</v>
      </c>
      <c r="M1425" s="10">
        <v>44933</v>
      </c>
      <c r="N1425" s="9">
        <v>2023</v>
      </c>
      <c r="O1425" s="9" t="s">
        <v>7111</v>
      </c>
      <c r="P1425" s="9" t="s">
        <v>53</v>
      </c>
      <c r="Q1425" s="9" t="s">
        <v>53</v>
      </c>
      <c r="S1425" s="9" t="s">
        <v>7117</v>
      </c>
      <c r="T1425" s="9"/>
      <c r="V1425" s="9"/>
      <c r="W1425" s="11" t="str">
        <f>IFERROR(VLOOKUP(B1425, PlumX_snapshot!$A:$B, 2, FALSE), " ")</f>
        <v xml:space="preserve"> </v>
      </c>
      <c r="X1425" s="11" t="str">
        <f>IFERROR(VLOOKUP(B1425, PlumX_snapshot!$A:$C, 3, FALSE), " ")</f>
        <v xml:space="preserve"> </v>
      </c>
      <c r="Y1425" s="12" t="str">
        <f>IFERROR(VLOOKUP(B1425, PlumX_snapshot!$A:$D, 4, FALSE), " ")</f>
        <v xml:space="preserve"> </v>
      </c>
      <c r="Z1425" s="12" t="str">
        <f>IFERROR(VLOOKUP(B1425, PlumX_snapshot!$A:$E, 5, FALSE), " ")</f>
        <v xml:space="preserve"> </v>
      </c>
      <c r="AA1425" s="12" t="str">
        <f>IFERROR(VLOOKUP(B1425, PlumX_snapshot!$A:$F, 6, FALSE), " ")</f>
        <v xml:space="preserve"> </v>
      </c>
      <c r="AB1425" s="13"/>
      <c r="AH1425" s="9">
        <v>2428</v>
      </c>
      <c r="AI1425" s="9" t="s">
        <v>77</v>
      </c>
      <c r="AJ1425" s="9" t="s">
        <v>1823</v>
      </c>
      <c r="AK1425" s="11" t="str">
        <f t="shared" si="10"/>
        <v>2023EUR</v>
      </c>
      <c r="AL1425" s="11">
        <f>VLOOKUP(AK1425, Exchange_rates!$C:$D, 2, FALSE)</f>
        <v>0.87029999999999996</v>
      </c>
      <c r="AM1425" s="14">
        <f t="shared" si="11"/>
        <v>2535.7060799999999</v>
      </c>
      <c r="AN1425" s="9"/>
      <c r="AO1425" s="9"/>
      <c r="AP1425" s="9"/>
      <c r="AQ1425" s="15" t="s">
        <v>49</v>
      </c>
      <c r="AR1425" t="s">
        <v>2984</v>
      </c>
      <c r="AS1425" s="16"/>
    </row>
    <row r="1426" spans="1:45" ht="14.5">
      <c r="A1426" s="9" t="s">
        <v>7122</v>
      </c>
      <c r="B1426" s="9" t="s">
        <v>7123</v>
      </c>
      <c r="C1426" s="9" t="s">
        <v>2894</v>
      </c>
      <c r="D1426" s="9" t="s">
        <v>2830</v>
      </c>
      <c r="E1426" s="9" t="s">
        <v>49</v>
      </c>
      <c r="F1426" s="9" t="s">
        <v>69</v>
      </c>
      <c r="G1426" s="9" t="s">
        <v>70</v>
      </c>
      <c r="H1426" s="9" t="s">
        <v>4168</v>
      </c>
      <c r="I1426" s="9" t="s">
        <v>72</v>
      </c>
      <c r="J1426" s="10">
        <v>44719</v>
      </c>
      <c r="K1426" s="10">
        <v>44903</v>
      </c>
      <c r="L1426" s="10">
        <v>44924.788912037038</v>
      </c>
      <c r="M1426" s="10">
        <v>44933</v>
      </c>
      <c r="N1426" s="9">
        <v>2022</v>
      </c>
      <c r="O1426" s="9" t="s">
        <v>7111</v>
      </c>
      <c r="P1426" s="9" t="s">
        <v>53</v>
      </c>
      <c r="Q1426" s="9" t="s">
        <v>53</v>
      </c>
      <c r="T1426" s="9"/>
      <c r="V1426" s="9"/>
      <c r="W1426" s="11" t="str">
        <f>IFERROR(VLOOKUP(B1426, PlumX_snapshot!$A:$B, 2, FALSE), " ")</f>
        <v xml:space="preserve"> </v>
      </c>
      <c r="X1426" s="11" t="str">
        <f>IFERROR(VLOOKUP(B1426, PlumX_snapshot!$A:$C, 3, FALSE), " ")</f>
        <v xml:space="preserve"> </v>
      </c>
      <c r="Y1426" s="12" t="str">
        <f>IFERROR(VLOOKUP(B1426, PlumX_snapshot!$A:$D, 4, FALSE), " ")</f>
        <v xml:space="preserve"> </v>
      </c>
      <c r="Z1426" s="12" t="str">
        <f>IFERROR(VLOOKUP(B1426, PlumX_snapshot!$A:$E, 5, FALSE), " ")</f>
        <v xml:space="preserve"> </v>
      </c>
      <c r="AA1426" s="12" t="str">
        <f>IFERROR(VLOOKUP(B1426, PlumX_snapshot!$A:$F, 6, FALSE), " ")</f>
        <v xml:space="preserve"> </v>
      </c>
      <c r="AB1426" s="13"/>
      <c r="AH1426" s="9">
        <v>2428</v>
      </c>
      <c r="AI1426" s="9" t="s">
        <v>77</v>
      </c>
      <c r="AJ1426" s="9" t="s">
        <v>1823</v>
      </c>
      <c r="AK1426" s="11" t="str">
        <f t="shared" si="10"/>
        <v>2022EUR</v>
      </c>
      <c r="AL1426" s="11">
        <f>VLOOKUP(AK1426, Exchange_rates!$C:$D, 2, FALSE)</f>
        <v>0.8528</v>
      </c>
      <c r="AM1426" s="14">
        <f t="shared" si="11"/>
        <v>2484.7180799999996</v>
      </c>
      <c r="AN1426" s="9"/>
      <c r="AO1426" s="9"/>
      <c r="AP1426" s="9"/>
      <c r="AQ1426" s="15" t="s">
        <v>49</v>
      </c>
      <c r="AR1426" t="s">
        <v>2895</v>
      </c>
      <c r="AS1426" s="16"/>
    </row>
    <row r="1427" spans="1:45" ht="14.5">
      <c r="A1427" s="9" t="s">
        <v>7124</v>
      </c>
      <c r="B1427" s="9" t="s">
        <v>7125</v>
      </c>
      <c r="C1427" s="9" t="s">
        <v>2949</v>
      </c>
      <c r="D1427" s="9" t="s">
        <v>2830</v>
      </c>
      <c r="E1427" s="9" t="s">
        <v>49</v>
      </c>
      <c r="F1427" s="9" t="s">
        <v>69</v>
      </c>
      <c r="G1427" s="9" t="s">
        <v>70</v>
      </c>
      <c r="H1427" s="9" t="s">
        <v>7116</v>
      </c>
      <c r="I1427" s="9" t="s">
        <v>72</v>
      </c>
      <c r="J1427" s="10"/>
      <c r="K1427" s="10"/>
      <c r="L1427" s="10">
        <v>44935.444513888891</v>
      </c>
      <c r="N1427" s="9">
        <v>2023</v>
      </c>
      <c r="O1427" s="9" t="s">
        <v>7111</v>
      </c>
      <c r="P1427" s="9" t="s">
        <v>53</v>
      </c>
      <c r="Q1427" s="9" t="s">
        <v>53</v>
      </c>
      <c r="R1427" s="9" t="s">
        <v>2842</v>
      </c>
      <c r="S1427" s="9" t="s">
        <v>7117</v>
      </c>
      <c r="T1427" s="9"/>
      <c r="V1427" s="9"/>
      <c r="W1427" s="11" t="str">
        <f>IFERROR(VLOOKUP(B1427, PlumX_snapshot!$A:$B, 2, FALSE), " ")</f>
        <v xml:space="preserve"> </v>
      </c>
      <c r="X1427" s="11" t="str">
        <f>IFERROR(VLOOKUP(B1427, PlumX_snapshot!$A:$C, 3, FALSE), " ")</f>
        <v xml:space="preserve"> </v>
      </c>
      <c r="Y1427" s="12" t="str">
        <f>IFERROR(VLOOKUP(B1427, PlumX_snapshot!$A:$D, 4, FALSE), " ")</f>
        <v xml:space="preserve"> </v>
      </c>
      <c r="Z1427" s="12" t="str">
        <f>IFERROR(VLOOKUP(B1427, PlumX_snapshot!$A:$E, 5, FALSE), " ")</f>
        <v xml:space="preserve"> </v>
      </c>
      <c r="AA1427" s="12" t="str">
        <f>IFERROR(VLOOKUP(B1427, PlumX_snapshot!$A:$F, 6, FALSE), " ")</f>
        <v xml:space="preserve"> </v>
      </c>
      <c r="AB1427" s="13"/>
      <c r="AH1427" s="9">
        <v>2428</v>
      </c>
      <c r="AI1427" s="9" t="s">
        <v>77</v>
      </c>
      <c r="AJ1427" s="9" t="s">
        <v>1823</v>
      </c>
      <c r="AK1427" s="11" t="str">
        <f t="shared" si="10"/>
        <v>2023EUR</v>
      </c>
      <c r="AL1427" s="11">
        <f>VLOOKUP(AK1427, Exchange_rates!$C:$D, 2, FALSE)</f>
        <v>0.87029999999999996</v>
      </c>
      <c r="AM1427" s="14">
        <f t="shared" si="11"/>
        <v>2535.7060799999999</v>
      </c>
      <c r="AN1427" s="9"/>
      <c r="AO1427" s="9"/>
      <c r="AP1427" s="9"/>
      <c r="AQ1427" s="15" t="s">
        <v>49</v>
      </c>
      <c r="AR1427" t="s">
        <v>2950</v>
      </c>
      <c r="AS1427" s="16"/>
    </row>
    <row r="1428" spans="1:45" ht="14.5">
      <c r="A1428" s="9" t="s">
        <v>7126</v>
      </c>
      <c r="B1428" s="9" t="s">
        <v>7127</v>
      </c>
      <c r="C1428" s="9" t="s">
        <v>2998</v>
      </c>
      <c r="D1428" s="9" t="s">
        <v>2830</v>
      </c>
      <c r="E1428" s="9" t="s">
        <v>49</v>
      </c>
      <c r="F1428" s="9" t="s">
        <v>69</v>
      </c>
      <c r="G1428" s="9" t="s">
        <v>70</v>
      </c>
      <c r="H1428" s="9" t="s">
        <v>4168</v>
      </c>
      <c r="I1428" s="9" t="s">
        <v>72</v>
      </c>
      <c r="J1428" s="10">
        <v>44279</v>
      </c>
      <c r="K1428" s="10">
        <v>44873</v>
      </c>
      <c r="L1428" s="10">
        <v>44881.726006944446</v>
      </c>
      <c r="M1428" s="28">
        <v>44924</v>
      </c>
      <c r="N1428" s="9">
        <v>2022</v>
      </c>
      <c r="O1428" s="9" t="s">
        <v>7111</v>
      </c>
      <c r="P1428" s="9" t="s">
        <v>53</v>
      </c>
      <c r="Q1428" s="9" t="s">
        <v>53</v>
      </c>
      <c r="T1428" s="9"/>
      <c r="V1428" s="9"/>
      <c r="W1428" s="11" t="str">
        <f>IFERROR(VLOOKUP(B1428, PlumX_snapshot!$A:$B, 2, FALSE), " ")</f>
        <v xml:space="preserve"> </v>
      </c>
      <c r="X1428" s="11" t="str">
        <f>IFERROR(VLOOKUP(B1428, PlumX_snapshot!$A:$C, 3, FALSE), " ")</f>
        <v xml:space="preserve"> </v>
      </c>
      <c r="Y1428" s="12" t="str">
        <f>IFERROR(VLOOKUP(B1428, PlumX_snapshot!$A:$D, 4, FALSE), " ")</f>
        <v xml:space="preserve"> </v>
      </c>
      <c r="Z1428" s="12" t="str">
        <f>IFERROR(VLOOKUP(B1428, PlumX_snapshot!$A:$E, 5, FALSE), " ")</f>
        <v xml:space="preserve"> </v>
      </c>
      <c r="AA1428" s="12" t="str">
        <f>IFERROR(VLOOKUP(B1428, PlumX_snapshot!$A:$F, 6, FALSE), " ")</f>
        <v xml:space="preserve"> </v>
      </c>
      <c r="AB1428" s="13"/>
      <c r="AH1428" s="9">
        <v>2428</v>
      </c>
      <c r="AI1428" s="9" t="s">
        <v>77</v>
      </c>
      <c r="AJ1428" s="9" t="s">
        <v>1823</v>
      </c>
      <c r="AK1428" s="11" t="str">
        <f t="shared" si="10"/>
        <v>2022EUR</v>
      </c>
      <c r="AL1428" s="11">
        <f>VLOOKUP(AK1428, Exchange_rates!$C:$D, 2, FALSE)</f>
        <v>0.8528</v>
      </c>
      <c r="AM1428" s="14">
        <f t="shared" si="11"/>
        <v>2484.7180799999996</v>
      </c>
      <c r="AN1428" s="9"/>
      <c r="AO1428" s="9"/>
      <c r="AP1428" s="9"/>
      <c r="AQ1428" s="15" t="s">
        <v>49</v>
      </c>
      <c r="AR1428" t="s">
        <v>2999</v>
      </c>
      <c r="AS1428" s="16"/>
    </row>
    <row r="1429" spans="1:45" ht="14.5">
      <c r="A1429" s="9" t="s">
        <v>7128</v>
      </c>
      <c r="B1429" s="9" t="s">
        <v>7129</v>
      </c>
      <c r="C1429" s="9" t="s">
        <v>3237</v>
      </c>
      <c r="D1429" s="9" t="s">
        <v>2830</v>
      </c>
      <c r="E1429" s="9" t="s">
        <v>49</v>
      </c>
      <c r="F1429" s="9" t="s">
        <v>69</v>
      </c>
      <c r="G1429" s="9" t="s">
        <v>70</v>
      </c>
      <c r="H1429" s="9" t="s">
        <v>4168</v>
      </c>
      <c r="I1429" s="9" t="s">
        <v>72</v>
      </c>
      <c r="J1429" s="10">
        <v>44616</v>
      </c>
      <c r="K1429" s="10">
        <v>44718</v>
      </c>
      <c r="L1429" s="10">
        <v>44869.38385416667</v>
      </c>
      <c r="M1429" s="28">
        <v>44876</v>
      </c>
      <c r="N1429" s="9">
        <v>2022</v>
      </c>
      <c r="O1429" s="9" t="s">
        <v>7111</v>
      </c>
      <c r="P1429" s="9" t="s">
        <v>53</v>
      </c>
      <c r="Q1429" s="9" t="s">
        <v>53</v>
      </c>
      <c r="T1429" s="9"/>
      <c r="V1429" s="9"/>
      <c r="W1429" s="11" t="str">
        <f>IFERROR(VLOOKUP(B1429, PlumX_snapshot!$A:$B, 2, FALSE), " ")</f>
        <v xml:space="preserve"> </v>
      </c>
      <c r="X1429" s="11" t="str">
        <f>IFERROR(VLOOKUP(B1429, PlumX_snapshot!$A:$C, 3, FALSE), " ")</f>
        <v xml:space="preserve"> </v>
      </c>
      <c r="Y1429" s="12" t="str">
        <f>IFERROR(VLOOKUP(B1429, PlumX_snapshot!$A:$D, 4, FALSE), " ")</f>
        <v xml:space="preserve"> </v>
      </c>
      <c r="Z1429" s="12" t="str">
        <f>IFERROR(VLOOKUP(B1429, PlumX_snapshot!$A:$E, 5, FALSE), " ")</f>
        <v xml:space="preserve"> </v>
      </c>
      <c r="AA1429" s="12" t="str">
        <f>IFERROR(VLOOKUP(B1429, PlumX_snapshot!$A:$F, 6, FALSE), " ")</f>
        <v xml:space="preserve"> </v>
      </c>
      <c r="AB1429" s="13"/>
      <c r="AH1429" s="9">
        <v>2428</v>
      </c>
      <c r="AI1429" s="9" t="s">
        <v>77</v>
      </c>
      <c r="AJ1429" s="9" t="s">
        <v>1823</v>
      </c>
      <c r="AK1429" s="11" t="str">
        <f t="shared" si="10"/>
        <v>2022EUR</v>
      </c>
      <c r="AL1429" s="11">
        <f>VLOOKUP(AK1429, Exchange_rates!$C:$D, 2, FALSE)</f>
        <v>0.8528</v>
      </c>
      <c r="AM1429" s="14">
        <f t="shared" si="11"/>
        <v>2484.7180799999996</v>
      </c>
      <c r="AN1429" s="9"/>
      <c r="AO1429" s="9"/>
      <c r="AP1429" s="9"/>
      <c r="AQ1429" s="15" t="s">
        <v>49</v>
      </c>
      <c r="AR1429" t="s">
        <v>3239</v>
      </c>
      <c r="AS1429" s="16"/>
    </row>
    <row r="1430" spans="1:45" ht="14.5">
      <c r="A1430" s="9" t="s">
        <v>7130</v>
      </c>
      <c r="B1430" s="9" t="s">
        <v>7131</v>
      </c>
      <c r="C1430" s="9" t="s">
        <v>7132</v>
      </c>
      <c r="D1430" s="9" t="s">
        <v>2830</v>
      </c>
      <c r="E1430" s="9" t="s">
        <v>49</v>
      </c>
      <c r="F1430" s="9" t="s">
        <v>69</v>
      </c>
      <c r="G1430" s="9" t="s">
        <v>70</v>
      </c>
      <c r="H1430" s="9" t="s">
        <v>7116</v>
      </c>
      <c r="I1430" s="9" t="s">
        <v>72</v>
      </c>
      <c r="J1430" s="10">
        <v>44692</v>
      </c>
      <c r="K1430" s="10">
        <v>44930</v>
      </c>
      <c r="L1430" s="10">
        <v>44935.719884259262</v>
      </c>
      <c r="M1430" s="10">
        <v>44945</v>
      </c>
      <c r="N1430" s="9">
        <v>2023</v>
      </c>
      <c r="O1430" s="9" t="s">
        <v>7111</v>
      </c>
      <c r="P1430" s="9" t="s">
        <v>53</v>
      </c>
      <c r="Q1430" s="9" t="s">
        <v>53</v>
      </c>
      <c r="R1430" s="9" t="s">
        <v>7133</v>
      </c>
      <c r="S1430" s="9" t="s">
        <v>7117</v>
      </c>
      <c r="T1430" s="9"/>
      <c r="V1430" s="9"/>
      <c r="W1430" s="11" t="str">
        <f>IFERROR(VLOOKUP(B1430, PlumX_snapshot!$A:$B, 2, FALSE), " ")</f>
        <v xml:space="preserve"> </v>
      </c>
      <c r="X1430" s="11" t="str">
        <f>IFERROR(VLOOKUP(B1430, PlumX_snapshot!$A:$C, 3, FALSE), " ")</f>
        <v xml:space="preserve"> </v>
      </c>
      <c r="Y1430" s="12" t="str">
        <f>IFERROR(VLOOKUP(B1430, PlumX_snapshot!$A:$D, 4, FALSE), " ")</f>
        <v xml:space="preserve"> </v>
      </c>
      <c r="Z1430" s="12" t="str">
        <f>IFERROR(VLOOKUP(B1430, PlumX_snapshot!$A:$E, 5, FALSE), " ")</f>
        <v xml:space="preserve"> </v>
      </c>
      <c r="AA1430" s="12" t="str">
        <f>IFERROR(VLOOKUP(B1430, PlumX_snapshot!$A:$F, 6, FALSE), " ")</f>
        <v xml:space="preserve"> </v>
      </c>
      <c r="AB1430" s="13"/>
      <c r="AH1430" s="9">
        <v>2428</v>
      </c>
      <c r="AI1430" s="9" t="s">
        <v>77</v>
      </c>
      <c r="AJ1430" s="9" t="s">
        <v>1823</v>
      </c>
      <c r="AK1430" s="11" t="str">
        <f t="shared" si="10"/>
        <v>2023EUR</v>
      </c>
      <c r="AL1430" s="11">
        <f>VLOOKUP(AK1430, Exchange_rates!$C:$D, 2, FALSE)</f>
        <v>0.87029999999999996</v>
      </c>
      <c r="AM1430" s="14">
        <f t="shared" si="11"/>
        <v>2535.7060799999999</v>
      </c>
      <c r="AN1430" s="9"/>
      <c r="AO1430" s="9"/>
      <c r="AP1430" s="9"/>
      <c r="AQ1430" s="15" t="s">
        <v>49</v>
      </c>
      <c r="AR1430" t="s">
        <v>7134</v>
      </c>
      <c r="AS1430" s="16"/>
    </row>
    <row r="1431" spans="1:45" ht="14.5">
      <c r="A1431" s="9" t="s">
        <v>7135</v>
      </c>
      <c r="B1431" s="9" t="s">
        <v>7136</v>
      </c>
      <c r="C1431" s="9" t="s">
        <v>7137</v>
      </c>
      <c r="D1431" s="9" t="s">
        <v>2830</v>
      </c>
      <c r="E1431" s="9" t="s">
        <v>49</v>
      </c>
      <c r="F1431" s="9" t="s">
        <v>69</v>
      </c>
      <c r="G1431" s="9" t="s">
        <v>70</v>
      </c>
      <c r="H1431" s="9" t="s">
        <v>4168</v>
      </c>
      <c r="I1431" s="9" t="s">
        <v>72</v>
      </c>
      <c r="J1431" s="10"/>
      <c r="K1431" s="10">
        <v>44874</v>
      </c>
      <c r="L1431" s="10">
        <v>44877.866620370369</v>
      </c>
      <c r="M1431" s="28">
        <v>44893</v>
      </c>
      <c r="N1431" s="9">
        <v>2022</v>
      </c>
      <c r="O1431" s="9" t="s">
        <v>7111</v>
      </c>
      <c r="P1431" s="9" t="s">
        <v>53</v>
      </c>
      <c r="Q1431" s="9" t="s">
        <v>53</v>
      </c>
      <c r="T1431" s="9"/>
      <c r="V1431" s="9"/>
      <c r="W1431" s="11" t="str">
        <f>IFERROR(VLOOKUP(B1431, PlumX_snapshot!$A:$B, 2, FALSE), " ")</f>
        <v xml:space="preserve"> </v>
      </c>
      <c r="X1431" s="11" t="str">
        <f>IFERROR(VLOOKUP(B1431, PlumX_snapshot!$A:$C, 3, FALSE), " ")</f>
        <v xml:space="preserve"> </v>
      </c>
      <c r="Y1431" s="12" t="str">
        <f>IFERROR(VLOOKUP(B1431, PlumX_snapshot!$A:$D, 4, FALSE), " ")</f>
        <v xml:space="preserve"> </v>
      </c>
      <c r="Z1431" s="12" t="str">
        <f>IFERROR(VLOOKUP(B1431, PlumX_snapshot!$A:$E, 5, FALSE), " ")</f>
        <v xml:space="preserve"> </v>
      </c>
      <c r="AA1431" s="12" t="str">
        <f>IFERROR(VLOOKUP(B1431, PlumX_snapshot!$A:$F, 6, FALSE), " ")</f>
        <v xml:space="preserve"> </v>
      </c>
      <c r="AB1431" s="13"/>
      <c r="AH1431" s="9">
        <v>2428</v>
      </c>
      <c r="AI1431" s="9" t="s">
        <v>77</v>
      </c>
      <c r="AJ1431" s="9" t="s">
        <v>1823</v>
      </c>
      <c r="AK1431" s="11" t="str">
        <f t="shared" si="10"/>
        <v>2022EUR</v>
      </c>
      <c r="AL1431" s="11">
        <f>VLOOKUP(AK1431, Exchange_rates!$C:$D, 2, FALSE)</f>
        <v>0.8528</v>
      </c>
      <c r="AM1431" s="14">
        <f t="shared" si="11"/>
        <v>2484.7180799999996</v>
      </c>
      <c r="AN1431" s="9"/>
      <c r="AO1431" s="9"/>
      <c r="AP1431" s="9"/>
      <c r="AQ1431" s="15" t="s">
        <v>49</v>
      </c>
      <c r="AR1431" t="s">
        <v>7138</v>
      </c>
      <c r="AS1431" s="16"/>
    </row>
    <row r="1432" spans="1:45" ht="14.5">
      <c r="A1432" s="9" t="s">
        <v>7139</v>
      </c>
      <c r="B1432" s="9" t="s">
        <v>7140</v>
      </c>
      <c r="C1432" s="9" t="s">
        <v>7141</v>
      </c>
      <c r="D1432" s="9" t="s">
        <v>2830</v>
      </c>
      <c r="E1432" s="9" t="s">
        <v>49</v>
      </c>
      <c r="F1432" s="9" t="s">
        <v>69</v>
      </c>
      <c r="G1432" s="9" t="s">
        <v>70</v>
      </c>
      <c r="H1432" s="9" t="s">
        <v>4168</v>
      </c>
      <c r="I1432" s="9" t="s">
        <v>72</v>
      </c>
      <c r="J1432" s="10">
        <v>44803</v>
      </c>
      <c r="K1432" s="10">
        <v>44853</v>
      </c>
      <c r="L1432" s="10">
        <v>44867.440486111111</v>
      </c>
      <c r="M1432" s="10">
        <v>44871</v>
      </c>
      <c r="N1432" s="9">
        <v>2022</v>
      </c>
      <c r="O1432" s="9" t="s">
        <v>7111</v>
      </c>
      <c r="P1432" s="9" t="s">
        <v>53</v>
      </c>
      <c r="Q1432" s="9" t="s">
        <v>53</v>
      </c>
      <c r="R1432" s="9" t="s">
        <v>7142</v>
      </c>
      <c r="T1432" s="9"/>
      <c r="V1432" s="9"/>
      <c r="W1432" s="11" t="str">
        <f>IFERROR(VLOOKUP(B1432, PlumX_snapshot!$A:$B, 2, FALSE), " ")</f>
        <v xml:space="preserve"> </v>
      </c>
      <c r="X1432" s="11" t="str">
        <f>IFERROR(VLOOKUP(B1432, PlumX_snapshot!$A:$C, 3, FALSE), " ")</f>
        <v xml:space="preserve"> </v>
      </c>
      <c r="Y1432" s="12" t="str">
        <f>IFERROR(VLOOKUP(B1432, PlumX_snapshot!$A:$D, 4, FALSE), " ")</f>
        <v xml:space="preserve"> </v>
      </c>
      <c r="Z1432" s="12" t="str">
        <f>IFERROR(VLOOKUP(B1432, PlumX_snapshot!$A:$E, 5, FALSE), " ")</f>
        <v xml:space="preserve"> </v>
      </c>
      <c r="AA1432" s="12" t="str">
        <f>IFERROR(VLOOKUP(B1432, PlumX_snapshot!$A:$F, 6, FALSE), " ")</f>
        <v xml:space="preserve"> </v>
      </c>
      <c r="AB1432" s="13"/>
      <c r="AH1432" s="9">
        <v>2428</v>
      </c>
      <c r="AI1432" s="9" t="s">
        <v>77</v>
      </c>
      <c r="AJ1432" s="9" t="s">
        <v>1823</v>
      </c>
      <c r="AK1432" s="11" t="str">
        <f t="shared" si="10"/>
        <v>2022EUR</v>
      </c>
      <c r="AL1432" s="11">
        <f>VLOOKUP(AK1432, Exchange_rates!$C:$D, 2, FALSE)</f>
        <v>0.8528</v>
      </c>
      <c r="AM1432" s="14">
        <f t="shared" si="11"/>
        <v>2484.7180799999996</v>
      </c>
      <c r="AN1432" s="9"/>
      <c r="AO1432" s="9"/>
      <c r="AP1432" s="9"/>
      <c r="AQ1432" s="15" t="s">
        <v>49</v>
      </c>
      <c r="AR1432" t="s">
        <v>7143</v>
      </c>
      <c r="AS1432" s="16"/>
    </row>
    <row r="1433" spans="1:45" ht="14.5">
      <c r="A1433" s="9" t="s">
        <v>7144</v>
      </c>
      <c r="B1433" s="9" t="s">
        <v>7145</v>
      </c>
      <c r="C1433" s="9" t="s">
        <v>7146</v>
      </c>
      <c r="D1433" s="9" t="s">
        <v>2830</v>
      </c>
      <c r="E1433" s="9" t="s">
        <v>49</v>
      </c>
      <c r="F1433" s="9" t="s">
        <v>69</v>
      </c>
      <c r="G1433" s="9" t="s">
        <v>70</v>
      </c>
      <c r="H1433" s="9" t="s">
        <v>4168</v>
      </c>
      <c r="I1433" s="9" t="s">
        <v>72</v>
      </c>
      <c r="J1433" s="10">
        <v>44581</v>
      </c>
      <c r="K1433" s="10">
        <v>44852</v>
      </c>
      <c r="L1433" s="10">
        <v>44879.766111111108</v>
      </c>
      <c r="M1433" s="28">
        <v>44882</v>
      </c>
      <c r="N1433" s="9">
        <v>2022</v>
      </c>
      <c r="O1433" s="9" t="s">
        <v>7111</v>
      </c>
      <c r="P1433" s="9" t="s">
        <v>53</v>
      </c>
      <c r="Q1433" s="9" t="s">
        <v>53</v>
      </c>
      <c r="R1433" s="9" t="s">
        <v>7147</v>
      </c>
      <c r="T1433" s="9"/>
      <c r="V1433" s="9"/>
      <c r="W1433" s="11" t="str">
        <f>IFERROR(VLOOKUP(B1433, PlumX_snapshot!$A:$B, 2, FALSE), " ")</f>
        <v xml:space="preserve"> </v>
      </c>
      <c r="X1433" s="11" t="str">
        <f>IFERROR(VLOOKUP(B1433, PlumX_snapshot!$A:$C, 3, FALSE), " ")</f>
        <v xml:space="preserve"> </v>
      </c>
      <c r="Y1433" s="12" t="str">
        <f>IFERROR(VLOOKUP(B1433, PlumX_snapshot!$A:$D, 4, FALSE), " ")</f>
        <v xml:space="preserve"> </v>
      </c>
      <c r="Z1433" s="12" t="str">
        <f>IFERROR(VLOOKUP(B1433, PlumX_snapshot!$A:$E, 5, FALSE), " ")</f>
        <v xml:space="preserve"> </v>
      </c>
      <c r="AA1433" s="12" t="str">
        <f>IFERROR(VLOOKUP(B1433, PlumX_snapshot!$A:$F, 6, FALSE), " ")</f>
        <v xml:space="preserve"> </v>
      </c>
      <c r="AB1433" s="13"/>
      <c r="AH1433" s="9">
        <v>2428</v>
      </c>
      <c r="AI1433" s="9" t="s">
        <v>77</v>
      </c>
      <c r="AJ1433" s="9" t="s">
        <v>1823</v>
      </c>
      <c r="AK1433" s="11" t="str">
        <f t="shared" si="10"/>
        <v>2022EUR</v>
      </c>
      <c r="AL1433" s="11">
        <f>VLOOKUP(AK1433, Exchange_rates!$C:$D, 2, FALSE)</f>
        <v>0.8528</v>
      </c>
      <c r="AM1433" s="14">
        <f t="shared" si="11"/>
        <v>2484.7180799999996</v>
      </c>
      <c r="AN1433" s="9"/>
      <c r="AO1433" s="9"/>
      <c r="AP1433" s="9"/>
      <c r="AQ1433" s="15" t="s">
        <v>49</v>
      </c>
      <c r="AR1433" t="s">
        <v>7148</v>
      </c>
      <c r="AS1433" s="16"/>
    </row>
    <row r="1434" spans="1:45" ht="14.5">
      <c r="A1434" s="9" t="s">
        <v>7149</v>
      </c>
      <c r="B1434" s="9" t="s">
        <v>7150</v>
      </c>
      <c r="C1434" s="9" t="s">
        <v>7151</v>
      </c>
      <c r="D1434" s="9" t="s">
        <v>4371</v>
      </c>
      <c r="E1434" s="9" t="s">
        <v>49</v>
      </c>
      <c r="F1434" s="9" t="s">
        <v>69</v>
      </c>
      <c r="G1434" s="9" t="s">
        <v>70</v>
      </c>
      <c r="H1434" s="9" t="s">
        <v>7152</v>
      </c>
      <c r="I1434" s="9" t="s">
        <v>291</v>
      </c>
      <c r="J1434" s="10">
        <v>44781</v>
      </c>
      <c r="K1434" s="10">
        <v>44952</v>
      </c>
      <c r="L1434" s="10">
        <v>44957.409618055557</v>
      </c>
      <c r="M1434" s="10">
        <v>44963</v>
      </c>
      <c r="N1434" s="9">
        <v>2023</v>
      </c>
      <c r="O1434" s="9" t="s">
        <v>7153</v>
      </c>
      <c r="P1434" s="9" t="s">
        <v>53</v>
      </c>
      <c r="Q1434" s="9" t="s">
        <v>53</v>
      </c>
      <c r="R1434" s="9" t="s">
        <v>7154</v>
      </c>
      <c r="T1434" s="9"/>
      <c r="V1434" s="9" t="s">
        <v>7155</v>
      </c>
      <c r="W1434" s="11" t="str">
        <f>IFERROR(VLOOKUP(B1434, PlumX_snapshot!$A:$B, 2, FALSE), " ")</f>
        <v xml:space="preserve"> </v>
      </c>
      <c r="X1434" s="11" t="str">
        <f>IFERROR(VLOOKUP(B1434, PlumX_snapshot!$A:$C, 3, FALSE), " ")</f>
        <v xml:space="preserve"> </v>
      </c>
      <c r="Y1434" s="12" t="str">
        <f>IFERROR(VLOOKUP(B1434, PlumX_snapshot!$A:$D, 4, FALSE), " ")</f>
        <v xml:space="preserve"> </v>
      </c>
      <c r="Z1434" s="12" t="str">
        <f>IFERROR(VLOOKUP(B1434, PlumX_snapshot!$A:$E, 5, FALSE), " ")</f>
        <v xml:space="preserve"> </v>
      </c>
      <c r="AA1434" s="12" t="str">
        <f>IFERROR(VLOOKUP(B1434, PlumX_snapshot!$A:$F, 6, FALSE), " ")</f>
        <v xml:space="preserve"> </v>
      </c>
      <c r="AB1434" s="13"/>
      <c r="AC1434" s="9" t="s">
        <v>7156</v>
      </c>
      <c r="AD1434" s="9" t="s">
        <v>7157</v>
      </c>
      <c r="AE1434" s="9" t="s">
        <v>7158</v>
      </c>
      <c r="AH1434" s="9">
        <v>2435</v>
      </c>
      <c r="AI1434" s="9" t="s">
        <v>7159</v>
      </c>
      <c r="AJ1434" s="9" t="s">
        <v>301</v>
      </c>
      <c r="AK1434" s="11" t="str">
        <f t="shared" si="10"/>
        <v>2023GBP</v>
      </c>
      <c r="AL1434" s="11">
        <f>VLOOKUP(AK1434, Exchange_rates!$C:$D, 2, FALSE)</f>
        <v>1</v>
      </c>
      <c r="AM1434" s="14">
        <f t="shared" si="11"/>
        <v>2922</v>
      </c>
      <c r="AN1434" s="9"/>
      <c r="AO1434" s="9"/>
      <c r="AP1434" s="9"/>
      <c r="AQ1434" s="15" t="s">
        <v>49</v>
      </c>
      <c r="AR1434" t="s">
        <v>7160</v>
      </c>
      <c r="AS1434" s="16" t="s">
        <v>7161</v>
      </c>
    </row>
    <row r="1435" spans="1:45" ht="14.5">
      <c r="A1435" s="9" t="s">
        <v>7162</v>
      </c>
      <c r="B1435" s="9" t="s">
        <v>7163</v>
      </c>
      <c r="C1435" s="9" t="s">
        <v>5023</v>
      </c>
      <c r="D1435" s="9" t="s">
        <v>4371</v>
      </c>
      <c r="E1435" s="9" t="s">
        <v>49</v>
      </c>
      <c r="F1435" s="9" t="s">
        <v>69</v>
      </c>
      <c r="G1435" s="9" t="s">
        <v>70</v>
      </c>
      <c r="H1435" s="9" t="s">
        <v>7152</v>
      </c>
      <c r="I1435" s="9" t="s">
        <v>72</v>
      </c>
      <c r="J1435" s="10">
        <v>44853</v>
      </c>
      <c r="K1435" s="10">
        <v>44950</v>
      </c>
      <c r="L1435" s="10">
        <v>44952.641180555554</v>
      </c>
      <c r="M1435" s="10">
        <v>44960</v>
      </c>
      <c r="N1435" s="9">
        <v>2023</v>
      </c>
      <c r="O1435" s="9" t="s">
        <v>7153</v>
      </c>
      <c r="P1435" s="9" t="s">
        <v>83</v>
      </c>
      <c r="Q1435" s="9" t="s">
        <v>53</v>
      </c>
      <c r="R1435" s="9" t="s">
        <v>7164</v>
      </c>
      <c r="T1435" s="9"/>
      <c r="V1435" s="9" t="s">
        <v>7155</v>
      </c>
      <c r="W1435" s="11" t="str">
        <f>IFERROR(VLOOKUP(B1435, PlumX_snapshot!$A:$B, 2, FALSE), " ")</f>
        <v xml:space="preserve"> </v>
      </c>
      <c r="X1435" s="11" t="str">
        <f>IFERROR(VLOOKUP(B1435, PlumX_snapshot!$A:$C, 3, FALSE), " ")</f>
        <v xml:space="preserve"> </v>
      </c>
      <c r="Y1435" s="12" t="str">
        <f>IFERROR(VLOOKUP(B1435, PlumX_snapshot!$A:$D, 4, FALSE), " ")</f>
        <v xml:space="preserve"> </v>
      </c>
      <c r="Z1435" s="12" t="str">
        <f>IFERROR(VLOOKUP(B1435, PlumX_snapshot!$A:$E, 5, FALSE), " ")</f>
        <v xml:space="preserve"> </v>
      </c>
      <c r="AA1435" s="12" t="str">
        <f>IFERROR(VLOOKUP(B1435, PlumX_snapshot!$A:$F, 6, FALSE), " ")</f>
        <v xml:space="preserve"> </v>
      </c>
      <c r="AB1435" s="13"/>
      <c r="AC1435" s="9" t="s">
        <v>7165</v>
      </c>
      <c r="AD1435" s="9" t="s">
        <v>7166</v>
      </c>
      <c r="AE1435" s="9" t="s">
        <v>7167</v>
      </c>
      <c r="AH1435" s="9">
        <v>2435</v>
      </c>
      <c r="AI1435" s="9" t="s">
        <v>7159</v>
      </c>
      <c r="AJ1435" s="9" t="s">
        <v>301</v>
      </c>
      <c r="AK1435" s="11" t="str">
        <f t="shared" si="10"/>
        <v>2023GBP</v>
      </c>
      <c r="AL1435" s="11">
        <f>VLOOKUP(AK1435, Exchange_rates!$C:$D, 2, FALSE)</f>
        <v>1</v>
      </c>
      <c r="AM1435" s="14">
        <f t="shared" si="11"/>
        <v>2922</v>
      </c>
      <c r="AN1435" s="9"/>
      <c r="AO1435" s="9"/>
      <c r="AP1435" s="9"/>
      <c r="AQ1435" s="15" t="s">
        <v>49</v>
      </c>
      <c r="AR1435" t="s">
        <v>5027</v>
      </c>
      <c r="AS1435" s="16" t="s">
        <v>5028</v>
      </c>
    </row>
    <row r="1436" spans="1:45" ht="14.5">
      <c r="A1436" s="9" t="s">
        <v>7168</v>
      </c>
      <c r="B1436" s="9" t="s">
        <v>7169</v>
      </c>
      <c r="C1436" s="9" t="s">
        <v>7170</v>
      </c>
      <c r="D1436" s="9" t="s">
        <v>4371</v>
      </c>
      <c r="E1436" s="9" t="s">
        <v>49</v>
      </c>
      <c r="F1436" s="9" t="s">
        <v>69</v>
      </c>
      <c r="G1436" s="9" t="s">
        <v>70</v>
      </c>
      <c r="H1436" s="9" t="s">
        <v>7152</v>
      </c>
      <c r="I1436" s="9" t="s">
        <v>291</v>
      </c>
      <c r="J1436" s="10">
        <v>44622</v>
      </c>
      <c r="K1436" s="10">
        <v>44941</v>
      </c>
      <c r="L1436" s="10">
        <v>44945.449942129628</v>
      </c>
      <c r="M1436" s="10">
        <v>45072</v>
      </c>
      <c r="N1436" s="9">
        <v>2023</v>
      </c>
      <c r="O1436" s="9" t="s">
        <v>7153</v>
      </c>
      <c r="P1436" s="9" t="s">
        <v>53</v>
      </c>
      <c r="Q1436" s="9" t="s">
        <v>53</v>
      </c>
      <c r="R1436" s="9" t="s">
        <v>92</v>
      </c>
      <c r="T1436" s="9"/>
      <c r="V1436" s="9" t="s">
        <v>7155</v>
      </c>
      <c r="W1436" s="11" t="str">
        <f>IFERROR(VLOOKUP(B1436, PlumX_snapshot!$A:$B, 2, FALSE), " ")</f>
        <v xml:space="preserve"> </v>
      </c>
      <c r="X1436" s="11" t="str">
        <f>IFERROR(VLOOKUP(B1436, PlumX_snapshot!$A:$C, 3, FALSE), " ")</f>
        <v xml:space="preserve"> </v>
      </c>
      <c r="Y1436" s="12" t="str">
        <f>IFERROR(VLOOKUP(B1436, PlumX_snapshot!$A:$D, 4, FALSE), " ")</f>
        <v xml:space="preserve"> </v>
      </c>
      <c r="Z1436" s="12" t="str">
        <f>IFERROR(VLOOKUP(B1436, PlumX_snapshot!$A:$E, 5, FALSE), " ")</f>
        <v xml:space="preserve"> </v>
      </c>
      <c r="AA1436" s="12" t="str">
        <f>IFERROR(VLOOKUP(B1436, PlumX_snapshot!$A:$F, 6, FALSE), " ")</f>
        <v xml:space="preserve"> </v>
      </c>
      <c r="AB1436" s="13"/>
      <c r="AC1436" s="9" t="s">
        <v>7171</v>
      </c>
      <c r="AD1436" s="9" t="s">
        <v>7172</v>
      </c>
      <c r="AE1436" s="9"/>
      <c r="AH1436" s="9">
        <v>2435</v>
      </c>
      <c r="AI1436" s="9" t="s">
        <v>7159</v>
      </c>
      <c r="AJ1436" s="9" t="s">
        <v>301</v>
      </c>
      <c r="AK1436" s="11" t="str">
        <f t="shared" si="10"/>
        <v>2023GBP</v>
      </c>
      <c r="AL1436" s="11">
        <f>VLOOKUP(AK1436, Exchange_rates!$C:$D, 2, FALSE)</f>
        <v>1</v>
      </c>
      <c r="AM1436" s="14">
        <f t="shared" si="11"/>
        <v>2922</v>
      </c>
      <c r="AN1436" s="9"/>
      <c r="AO1436" s="9"/>
      <c r="AP1436" s="9"/>
      <c r="AQ1436" s="15" t="s">
        <v>49</v>
      </c>
      <c r="AR1436" t="s">
        <v>7173</v>
      </c>
      <c r="AS1436" s="16" t="s">
        <v>7174</v>
      </c>
    </row>
    <row r="1437" spans="1:45" ht="14.5">
      <c r="A1437" s="9" t="s">
        <v>7175</v>
      </c>
      <c r="B1437" s="9" t="s">
        <v>7176</v>
      </c>
      <c r="C1437" s="9" t="s">
        <v>4574</v>
      </c>
      <c r="D1437" s="9" t="s">
        <v>4371</v>
      </c>
      <c r="E1437" s="9" t="s">
        <v>49</v>
      </c>
      <c r="F1437" s="9" t="s">
        <v>69</v>
      </c>
      <c r="G1437" s="9" t="s">
        <v>70</v>
      </c>
      <c r="H1437" s="9" t="s">
        <v>7152</v>
      </c>
      <c r="I1437" s="9" t="s">
        <v>291</v>
      </c>
      <c r="J1437" s="10">
        <v>44908</v>
      </c>
      <c r="K1437" s="10">
        <v>44936</v>
      </c>
      <c r="L1437" s="10">
        <v>44939.436377314814</v>
      </c>
      <c r="M1437" s="10">
        <v>44940</v>
      </c>
      <c r="N1437" s="9">
        <v>2023</v>
      </c>
      <c r="O1437" s="9" t="s">
        <v>7153</v>
      </c>
      <c r="P1437" s="9" t="s">
        <v>53</v>
      </c>
      <c r="Q1437" s="9" t="s">
        <v>53</v>
      </c>
      <c r="T1437" s="9"/>
      <c r="V1437" s="9" t="s">
        <v>7155</v>
      </c>
      <c r="W1437" s="11" t="str">
        <f>IFERROR(VLOOKUP(B1437, PlumX_snapshot!$A:$B, 2, FALSE), " ")</f>
        <v xml:space="preserve"> </v>
      </c>
      <c r="X1437" s="11" t="str">
        <f>IFERROR(VLOOKUP(B1437, PlumX_snapshot!$A:$C, 3, FALSE), " ")</f>
        <v xml:space="preserve"> </v>
      </c>
      <c r="Y1437" s="12" t="str">
        <f>IFERROR(VLOOKUP(B1437, PlumX_snapshot!$A:$D, 4, FALSE), " ")</f>
        <v xml:space="preserve"> </v>
      </c>
      <c r="Z1437" s="12" t="str">
        <f>IFERROR(VLOOKUP(B1437, PlumX_snapshot!$A:$E, 5, FALSE), " ")</f>
        <v xml:space="preserve"> </v>
      </c>
      <c r="AA1437" s="12" t="str">
        <f>IFERROR(VLOOKUP(B1437, PlumX_snapshot!$A:$F, 6, FALSE), " ")</f>
        <v xml:space="preserve"> </v>
      </c>
      <c r="AB1437" s="13"/>
      <c r="AC1437" s="9" t="s">
        <v>4665</v>
      </c>
      <c r="AD1437" s="9" t="s">
        <v>4666</v>
      </c>
      <c r="AE1437" s="9"/>
      <c r="AH1437" s="9">
        <v>2435</v>
      </c>
      <c r="AI1437" s="9" t="s">
        <v>7159</v>
      </c>
      <c r="AJ1437" s="9" t="s">
        <v>301</v>
      </c>
      <c r="AK1437" s="11" t="str">
        <f t="shared" si="10"/>
        <v>2023GBP</v>
      </c>
      <c r="AL1437" s="11">
        <f>VLOOKUP(AK1437, Exchange_rates!$C:$D, 2, FALSE)</f>
        <v>1</v>
      </c>
      <c r="AM1437" s="14">
        <f t="shared" si="11"/>
        <v>2922</v>
      </c>
      <c r="AN1437" s="9"/>
      <c r="AO1437" s="9"/>
      <c r="AP1437" s="9"/>
      <c r="AQ1437" s="15" t="s">
        <v>49</v>
      </c>
      <c r="AR1437" t="s">
        <v>4579</v>
      </c>
      <c r="AS1437" s="16" t="s">
        <v>4580</v>
      </c>
    </row>
    <row r="1438" spans="1:45" ht="14.5">
      <c r="A1438" s="9" t="s">
        <v>7177</v>
      </c>
      <c r="B1438" s="9" t="s">
        <v>7178</v>
      </c>
      <c r="C1438" s="9" t="s">
        <v>7179</v>
      </c>
      <c r="D1438" s="9" t="s">
        <v>4371</v>
      </c>
      <c r="E1438" s="9" t="s">
        <v>49</v>
      </c>
      <c r="F1438" s="9" t="s">
        <v>69</v>
      </c>
      <c r="G1438" s="9" t="s">
        <v>70</v>
      </c>
      <c r="H1438" s="9" t="s">
        <v>7152</v>
      </c>
      <c r="I1438" s="9" t="s">
        <v>72</v>
      </c>
      <c r="J1438" s="10">
        <v>44838</v>
      </c>
      <c r="K1438" s="10">
        <v>44930</v>
      </c>
      <c r="L1438" s="10">
        <v>44936.452928240738</v>
      </c>
      <c r="M1438" s="10">
        <v>44983</v>
      </c>
      <c r="N1438" s="9">
        <v>2023</v>
      </c>
      <c r="O1438" s="9" t="s">
        <v>7153</v>
      </c>
      <c r="P1438" s="9" t="s">
        <v>53</v>
      </c>
      <c r="Q1438" s="9" t="s">
        <v>53</v>
      </c>
      <c r="R1438" s="9" t="s">
        <v>7180</v>
      </c>
      <c r="T1438" s="9"/>
      <c r="V1438" s="9" t="s">
        <v>7155</v>
      </c>
      <c r="W1438" s="11" t="str">
        <f>IFERROR(VLOOKUP(B1438, PlumX_snapshot!$A:$B, 2, FALSE), " ")</f>
        <v xml:space="preserve"> </v>
      </c>
      <c r="X1438" s="11" t="str">
        <f>IFERROR(VLOOKUP(B1438, PlumX_snapshot!$A:$C, 3, FALSE), " ")</f>
        <v xml:space="preserve"> </v>
      </c>
      <c r="Y1438" s="12" t="str">
        <f>IFERROR(VLOOKUP(B1438, PlumX_snapshot!$A:$D, 4, FALSE), " ")</f>
        <v xml:space="preserve"> </v>
      </c>
      <c r="Z1438" s="12" t="str">
        <f>IFERROR(VLOOKUP(B1438, PlumX_snapshot!$A:$E, 5, FALSE), " ")</f>
        <v xml:space="preserve"> </v>
      </c>
      <c r="AA1438" s="12" t="str">
        <f>IFERROR(VLOOKUP(B1438, PlumX_snapshot!$A:$F, 6, FALSE), " ")</f>
        <v xml:space="preserve"> </v>
      </c>
      <c r="AB1438" s="13"/>
      <c r="AC1438" s="9" t="s">
        <v>7181</v>
      </c>
      <c r="AD1438" s="9" t="s">
        <v>7182</v>
      </c>
      <c r="AE1438" s="9" t="s">
        <v>7183</v>
      </c>
      <c r="AH1438" s="9">
        <v>2435</v>
      </c>
      <c r="AI1438" s="9" t="s">
        <v>7159</v>
      </c>
      <c r="AJ1438" s="9" t="s">
        <v>301</v>
      </c>
      <c r="AK1438" s="11" t="str">
        <f t="shared" si="10"/>
        <v>2023GBP</v>
      </c>
      <c r="AL1438" s="11">
        <f>VLOOKUP(AK1438, Exchange_rates!$C:$D, 2, FALSE)</f>
        <v>1</v>
      </c>
      <c r="AM1438" s="14">
        <f t="shared" si="11"/>
        <v>2922</v>
      </c>
      <c r="AN1438" s="9"/>
      <c r="AO1438" s="9"/>
      <c r="AP1438" s="9"/>
      <c r="AQ1438" s="15" t="s">
        <v>49</v>
      </c>
      <c r="AR1438" t="s">
        <v>7184</v>
      </c>
      <c r="AS1438" s="16" t="s">
        <v>7185</v>
      </c>
    </row>
    <row r="1439" spans="1:45" ht="14.5">
      <c r="A1439" s="9" t="s">
        <v>7186</v>
      </c>
      <c r="B1439" s="9" t="s">
        <v>7187</v>
      </c>
      <c r="C1439" s="9" t="s">
        <v>7188</v>
      </c>
      <c r="D1439" s="9" t="s">
        <v>4371</v>
      </c>
      <c r="E1439" s="9" t="s">
        <v>49</v>
      </c>
      <c r="F1439" s="9" t="s">
        <v>69</v>
      </c>
      <c r="G1439" s="9" t="s">
        <v>70</v>
      </c>
      <c r="H1439" s="9" t="s">
        <v>7152</v>
      </c>
      <c r="I1439" s="9" t="s">
        <v>291</v>
      </c>
      <c r="J1439" s="10">
        <v>44468</v>
      </c>
      <c r="K1439" s="10">
        <v>44918</v>
      </c>
      <c r="L1439" s="10">
        <v>44930.429108796299</v>
      </c>
      <c r="M1439" s="10">
        <v>44949</v>
      </c>
      <c r="N1439" s="9">
        <v>2023</v>
      </c>
      <c r="O1439" s="9" t="s">
        <v>7153</v>
      </c>
      <c r="P1439" s="9" t="s">
        <v>53</v>
      </c>
      <c r="Q1439" s="9" t="s">
        <v>53</v>
      </c>
      <c r="T1439" s="9"/>
      <c r="V1439" s="9" t="s">
        <v>7155</v>
      </c>
      <c r="W1439" s="11" t="str">
        <f>IFERROR(VLOOKUP(B1439, PlumX_snapshot!$A:$B, 2, FALSE), " ")</f>
        <v xml:space="preserve"> </v>
      </c>
      <c r="X1439" s="11" t="str">
        <f>IFERROR(VLOOKUP(B1439, PlumX_snapshot!$A:$C, 3, FALSE), " ")</f>
        <v xml:space="preserve"> </v>
      </c>
      <c r="Y1439" s="12" t="str">
        <f>IFERROR(VLOOKUP(B1439, PlumX_snapshot!$A:$D, 4, FALSE), " ")</f>
        <v xml:space="preserve"> </v>
      </c>
      <c r="Z1439" s="12" t="str">
        <f>IFERROR(VLOOKUP(B1439, PlumX_snapshot!$A:$E, 5, FALSE), " ")</f>
        <v xml:space="preserve"> </v>
      </c>
      <c r="AA1439" s="12" t="str">
        <f>IFERROR(VLOOKUP(B1439, PlumX_snapshot!$A:$F, 6, FALSE), " ")</f>
        <v xml:space="preserve"> </v>
      </c>
      <c r="AB1439" s="13"/>
      <c r="AC1439" s="9" t="s">
        <v>7189</v>
      </c>
      <c r="AD1439" s="9" t="s">
        <v>7190</v>
      </c>
      <c r="AE1439" s="9" t="s">
        <v>7191</v>
      </c>
      <c r="AH1439" s="9">
        <v>2435</v>
      </c>
      <c r="AI1439" s="9" t="s">
        <v>7159</v>
      </c>
      <c r="AJ1439" s="9" t="s">
        <v>301</v>
      </c>
      <c r="AK1439" s="11" t="str">
        <f t="shared" si="10"/>
        <v>2023GBP</v>
      </c>
      <c r="AL1439" s="11">
        <f>VLOOKUP(AK1439, Exchange_rates!$C:$D, 2, FALSE)</f>
        <v>1</v>
      </c>
      <c r="AM1439" s="14">
        <f t="shared" si="11"/>
        <v>2922</v>
      </c>
      <c r="AN1439" s="9"/>
      <c r="AO1439" s="9"/>
      <c r="AP1439" s="9"/>
      <c r="AQ1439" s="15" t="s">
        <v>49</v>
      </c>
      <c r="AR1439" t="s">
        <v>7192</v>
      </c>
      <c r="AS1439" s="16" t="s">
        <v>7193</v>
      </c>
    </row>
    <row r="1440" spans="1:45" ht="14.5">
      <c r="A1440" s="9" t="s">
        <v>7194</v>
      </c>
      <c r="B1440" s="9" t="s">
        <v>7195</v>
      </c>
      <c r="C1440" s="9" t="s">
        <v>7196</v>
      </c>
      <c r="D1440" s="9" t="s">
        <v>4371</v>
      </c>
      <c r="E1440" s="9" t="s">
        <v>49</v>
      </c>
      <c r="F1440" s="9" t="s">
        <v>69</v>
      </c>
      <c r="G1440" s="9" t="s">
        <v>70</v>
      </c>
      <c r="H1440" s="9" t="s">
        <v>7152</v>
      </c>
      <c r="I1440" s="9" t="s">
        <v>291</v>
      </c>
      <c r="J1440" s="10">
        <v>44811</v>
      </c>
      <c r="K1440" s="10">
        <v>44898</v>
      </c>
      <c r="L1440" s="10">
        <v>44930.427858796298</v>
      </c>
      <c r="M1440" s="10">
        <v>44934</v>
      </c>
      <c r="N1440" s="9">
        <v>2023</v>
      </c>
      <c r="O1440" s="9" t="s">
        <v>7153</v>
      </c>
      <c r="P1440" s="9" t="s">
        <v>53</v>
      </c>
      <c r="Q1440" s="9" t="s">
        <v>53</v>
      </c>
      <c r="T1440" s="9"/>
      <c r="V1440" s="9" t="s">
        <v>7155</v>
      </c>
      <c r="W1440" s="11" t="str">
        <f>IFERROR(VLOOKUP(B1440, PlumX_snapshot!$A:$B, 2, FALSE), " ")</f>
        <v xml:space="preserve"> </v>
      </c>
      <c r="X1440" s="11" t="str">
        <f>IFERROR(VLOOKUP(B1440, PlumX_snapshot!$A:$C, 3, FALSE), " ")</f>
        <v xml:space="preserve"> </v>
      </c>
      <c r="Y1440" s="12" t="str">
        <f>IFERROR(VLOOKUP(B1440, PlumX_snapshot!$A:$D, 4, FALSE), " ")</f>
        <v xml:space="preserve"> </v>
      </c>
      <c r="Z1440" s="12" t="str">
        <f>IFERROR(VLOOKUP(B1440, PlumX_snapshot!$A:$E, 5, FALSE), " ")</f>
        <v xml:space="preserve"> </v>
      </c>
      <c r="AA1440" s="12" t="str">
        <f>IFERROR(VLOOKUP(B1440, PlumX_snapshot!$A:$F, 6, FALSE), " ")</f>
        <v xml:space="preserve"> </v>
      </c>
      <c r="AB1440" s="13"/>
      <c r="AC1440" s="9" t="s">
        <v>7197</v>
      </c>
      <c r="AD1440" s="9" t="s">
        <v>7198</v>
      </c>
      <c r="AE1440" s="9"/>
      <c r="AH1440" s="9">
        <v>2435</v>
      </c>
      <c r="AI1440" s="9" t="s">
        <v>7159</v>
      </c>
      <c r="AJ1440" s="9" t="s">
        <v>301</v>
      </c>
      <c r="AK1440" s="11" t="str">
        <f t="shared" si="10"/>
        <v>2023GBP</v>
      </c>
      <c r="AL1440" s="11">
        <f>VLOOKUP(AK1440, Exchange_rates!$C:$D, 2, FALSE)</f>
        <v>1</v>
      </c>
      <c r="AM1440" s="14">
        <f t="shared" si="11"/>
        <v>2922</v>
      </c>
      <c r="AN1440" s="9"/>
      <c r="AO1440" s="9"/>
      <c r="AP1440" s="9"/>
      <c r="AQ1440" s="15" t="s">
        <v>49</v>
      </c>
      <c r="AR1440" t="s">
        <v>7199</v>
      </c>
      <c r="AS1440" s="16" t="s">
        <v>7200</v>
      </c>
    </row>
    <row r="1441" spans="1:60" ht="14.5">
      <c r="A1441" s="9" t="s">
        <v>7201</v>
      </c>
      <c r="B1441" s="9" t="s">
        <v>7202</v>
      </c>
      <c r="C1441" s="9" t="s">
        <v>7203</v>
      </c>
      <c r="D1441" s="9" t="s">
        <v>4371</v>
      </c>
      <c r="E1441" s="9" t="s">
        <v>49</v>
      </c>
      <c r="F1441" s="9" t="s">
        <v>69</v>
      </c>
      <c r="G1441" s="9" t="s">
        <v>70</v>
      </c>
      <c r="H1441" s="9" t="s">
        <v>4949</v>
      </c>
      <c r="I1441" s="9" t="s">
        <v>72</v>
      </c>
      <c r="J1441" s="10"/>
      <c r="K1441" s="10"/>
      <c r="L1441" s="10">
        <v>44916.442048611112</v>
      </c>
      <c r="M1441" s="10">
        <v>44563</v>
      </c>
      <c r="N1441" s="9">
        <v>2022</v>
      </c>
      <c r="O1441" s="9" t="s">
        <v>7153</v>
      </c>
      <c r="P1441" s="9" t="s">
        <v>53</v>
      </c>
      <c r="Q1441" s="9" t="s">
        <v>53</v>
      </c>
      <c r="T1441" s="9"/>
      <c r="V1441" s="9" t="s">
        <v>7155</v>
      </c>
      <c r="W1441" s="11" t="str">
        <f>IFERROR(VLOOKUP(B1441, PlumX_snapshot!$A:$B, 2, FALSE), " ")</f>
        <v xml:space="preserve"> </v>
      </c>
      <c r="X1441" s="11" t="str">
        <f>IFERROR(VLOOKUP(B1441, PlumX_snapshot!$A:$C, 3, FALSE), " ")</f>
        <v xml:space="preserve"> </v>
      </c>
      <c r="Y1441" s="12" t="str">
        <f>IFERROR(VLOOKUP(B1441, PlumX_snapshot!$A:$D, 4, FALSE), " ")</f>
        <v xml:space="preserve"> </v>
      </c>
      <c r="Z1441" s="12" t="str">
        <f>IFERROR(VLOOKUP(B1441, PlumX_snapshot!$A:$E, 5, FALSE), " ")</f>
        <v xml:space="preserve"> </v>
      </c>
      <c r="AA1441" s="12" t="str">
        <f>IFERROR(VLOOKUP(B1441, PlumX_snapshot!$A:$F, 6, FALSE), " ")</f>
        <v xml:space="preserve"> </v>
      </c>
      <c r="AB1441" s="13"/>
      <c r="AC1441" s="9" t="s">
        <v>7204</v>
      </c>
      <c r="AD1441" s="9" t="s">
        <v>7205</v>
      </c>
      <c r="AE1441" s="9"/>
      <c r="AH1441" s="18">
        <v>2364</v>
      </c>
      <c r="AI1441" s="9" t="s">
        <v>7159</v>
      </c>
      <c r="AJ1441" s="9" t="s">
        <v>301</v>
      </c>
      <c r="AK1441" s="11" t="str">
        <f t="shared" si="10"/>
        <v>2022GBP</v>
      </c>
      <c r="AL1441" s="11">
        <f>VLOOKUP(AK1441, Exchange_rates!$C:$D, 2, FALSE)</f>
        <v>1</v>
      </c>
      <c r="AM1441" s="14">
        <f t="shared" si="11"/>
        <v>2836.7999999999997</v>
      </c>
      <c r="AN1441" s="9"/>
      <c r="AO1441" s="9"/>
      <c r="AP1441" s="9"/>
      <c r="AQ1441" s="15" t="s">
        <v>49</v>
      </c>
      <c r="AR1441" t="s">
        <v>7206</v>
      </c>
      <c r="AS1441" s="16" t="s">
        <v>7207</v>
      </c>
    </row>
    <row r="1442" spans="1:60" ht="14.5">
      <c r="A1442" s="9" t="s">
        <v>7208</v>
      </c>
      <c r="B1442" s="9" t="s">
        <v>7209</v>
      </c>
      <c r="C1442" s="9" t="s">
        <v>7210</v>
      </c>
      <c r="D1442" s="9" t="s">
        <v>4371</v>
      </c>
      <c r="E1442" s="9" t="s">
        <v>49</v>
      </c>
      <c r="F1442" s="9" t="s">
        <v>69</v>
      </c>
      <c r="G1442" s="9" t="s">
        <v>70</v>
      </c>
      <c r="H1442" s="9" t="s">
        <v>4949</v>
      </c>
      <c r="I1442" s="9" t="s">
        <v>291</v>
      </c>
      <c r="J1442" s="10"/>
      <c r="K1442" s="10"/>
      <c r="L1442" s="10">
        <v>44917.475312499999</v>
      </c>
      <c r="M1442" s="10">
        <v>44932</v>
      </c>
      <c r="N1442" s="9">
        <v>2022</v>
      </c>
      <c r="O1442" s="9" t="s">
        <v>7153</v>
      </c>
      <c r="P1442" s="9" t="s">
        <v>53</v>
      </c>
      <c r="Q1442" s="9" t="s">
        <v>53</v>
      </c>
      <c r="T1442" s="9"/>
      <c r="V1442" s="9" t="s">
        <v>7155</v>
      </c>
      <c r="W1442" s="11" t="str">
        <f>IFERROR(VLOOKUP(B1442, PlumX_snapshot!$A:$B, 2, FALSE), " ")</f>
        <v xml:space="preserve"> </v>
      </c>
      <c r="X1442" s="11" t="str">
        <f>IFERROR(VLOOKUP(B1442, PlumX_snapshot!$A:$C, 3, FALSE), " ")</f>
        <v xml:space="preserve"> </v>
      </c>
      <c r="Y1442" s="12" t="str">
        <f>IFERROR(VLOOKUP(B1442, PlumX_snapshot!$A:$D, 4, FALSE), " ")</f>
        <v xml:space="preserve"> </v>
      </c>
      <c r="Z1442" s="12" t="str">
        <f>IFERROR(VLOOKUP(B1442, PlumX_snapshot!$A:$E, 5, FALSE), " ")</f>
        <v xml:space="preserve"> </v>
      </c>
      <c r="AA1442" s="12" t="str">
        <f>IFERROR(VLOOKUP(B1442, PlumX_snapshot!$A:$F, 6, FALSE), " ")</f>
        <v xml:space="preserve"> </v>
      </c>
      <c r="AB1442" s="13"/>
      <c r="AC1442" s="9" t="s">
        <v>7211</v>
      </c>
      <c r="AD1442" s="9" t="s">
        <v>7212</v>
      </c>
      <c r="AE1442" s="9"/>
      <c r="AH1442" s="18">
        <v>2364</v>
      </c>
      <c r="AI1442" s="9" t="s">
        <v>7159</v>
      </c>
      <c r="AJ1442" s="9" t="s">
        <v>301</v>
      </c>
      <c r="AK1442" s="11" t="str">
        <f t="shared" si="10"/>
        <v>2022GBP</v>
      </c>
      <c r="AL1442" s="11">
        <f>VLOOKUP(AK1442, Exchange_rates!$C:$D, 2, FALSE)</f>
        <v>1</v>
      </c>
      <c r="AM1442" s="14">
        <f t="shared" si="11"/>
        <v>2836.7999999999997</v>
      </c>
      <c r="AN1442" s="9"/>
      <c r="AO1442" s="9"/>
      <c r="AP1442" s="9"/>
      <c r="AQ1442" s="15" t="s">
        <v>49</v>
      </c>
      <c r="AR1442" t="s">
        <v>7213</v>
      </c>
      <c r="AS1442" s="16" t="s">
        <v>7214</v>
      </c>
    </row>
    <row r="1443" spans="1:60" ht="14.5">
      <c r="A1443" s="9" t="s">
        <v>7215</v>
      </c>
      <c r="B1443" s="9" t="s">
        <v>7216</v>
      </c>
      <c r="C1443" s="9" t="s">
        <v>7217</v>
      </c>
      <c r="D1443" s="9" t="s">
        <v>4371</v>
      </c>
      <c r="E1443" s="9" t="s">
        <v>49</v>
      </c>
      <c r="F1443" s="9" t="s">
        <v>69</v>
      </c>
      <c r="G1443" s="9" t="s">
        <v>70</v>
      </c>
      <c r="H1443" s="9" t="s">
        <v>4949</v>
      </c>
      <c r="I1443" s="9" t="s">
        <v>72</v>
      </c>
      <c r="J1443" s="10">
        <v>44224</v>
      </c>
      <c r="K1443" s="10">
        <v>44629</v>
      </c>
      <c r="L1443" s="10">
        <v>44916.442824074074</v>
      </c>
      <c r="M1443" s="10">
        <v>44678</v>
      </c>
      <c r="N1443" s="9">
        <v>2022</v>
      </c>
      <c r="O1443" s="9" t="s">
        <v>7153</v>
      </c>
      <c r="P1443" s="9" t="s">
        <v>53</v>
      </c>
      <c r="Q1443" s="9" t="s">
        <v>53</v>
      </c>
      <c r="R1443" s="9" t="s">
        <v>7218</v>
      </c>
      <c r="T1443" s="9"/>
      <c r="V1443" s="9" t="s">
        <v>7155</v>
      </c>
      <c r="W1443" s="11" t="str">
        <f>IFERROR(VLOOKUP(B1443, PlumX_snapshot!$A:$B, 2, FALSE), " ")</f>
        <v xml:space="preserve"> </v>
      </c>
      <c r="X1443" s="11" t="str">
        <f>IFERROR(VLOOKUP(B1443, PlumX_snapshot!$A:$C, 3, FALSE), " ")</f>
        <v xml:space="preserve"> </v>
      </c>
      <c r="Y1443" s="12" t="str">
        <f>IFERROR(VLOOKUP(B1443, PlumX_snapshot!$A:$D, 4, FALSE), " ")</f>
        <v xml:space="preserve"> </v>
      </c>
      <c r="Z1443" s="12" t="str">
        <f>IFERROR(VLOOKUP(B1443, PlumX_snapshot!$A:$E, 5, FALSE), " ")</f>
        <v xml:space="preserve"> </v>
      </c>
      <c r="AA1443" s="12" t="str">
        <f>IFERROR(VLOOKUP(B1443, PlumX_snapshot!$A:$F, 6, FALSE), " ")</f>
        <v xml:space="preserve"> </v>
      </c>
      <c r="AB1443" s="13"/>
      <c r="AC1443" s="9" t="s">
        <v>7219</v>
      </c>
      <c r="AD1443" s="9" t="s">
        <v>7220</v>
      </c>
      <c r="AE1443" s="9" t="s">
        <v>7221</v>
      </c>
      <c r="AH1443" s="18">
        <v>2364</v>
      </c>
      <c r="AI1443" s="9" t="s">
        <v>7159</v>
      </c>
      <c r="AJ1443" s="9" t="s">
        <v>301</v>
      </c>
      <c r="AK1443" s="11" t="str">
        <f t="shared" si="10"/>
        <v>2022GBP</v>
      </c>
      <c r="AL1443" s="11">
        <f>VLOOKUP(AK1443, Exchange_rates!$C:$D, 2, FALSE)</f>
        <v>1</v>
      </c>
      <c r="AM1443" s="14">
        <f t="shared" si="11"/>
        <v>2836.7999999999997</v>
      </c>
      <c r="AN1443" s="9"/>
      <c r="AO1443" s="9"/>
      <c r="AP1443" s="9"/>
      <c r="AQ1443" s="15" t="s">
        <v>49</v>
      </c>
      <c r="AR1443" t="s">
        <v>7222</v>
      </c>
      <c r="AS1443" s="16" t="s">
        <v>7223</v>
      </c>
    </row>
    <row r="1444" spans="1:60" ht="14.5">
      <c r="A1444" s="9" t="s">
        <v>7224</v>
      </c>
      <c r="B1444" s="9" t="s">
        <v>7225</v>
      </c>
      <c r="C1444" s="9" t="s">
        <v>7226</v>
      </c>
      <c r="D1444" s="9" t="s">
        <v>4371</v>
      </c>
      <c r="E1444" s="9" t="s">
        <v>49</v>
      </c>
      <c r="F1444" s="9" t="s">
        <v>69</v>
      </c>
      <c r="G1444" s="9" t="s">
        <v>70</v>
      </c>
      <c r="H1444" s="9" t="s">
        <v>4949</v>
      </c>
      <c r="I1444" s="9" t="s">
        <v>291</v>
      </c>
      <c r="J1444" s="10">
        <v>44401</v>
      </c>
      <c r="K1444" s="10">
        <v>44886</v>
      </c>
      <c r="L1444" s="10">
        <v>44916.441064814811</v>
      </c>
      <c r="M1444" s="10">
        <v>44502</v>
      </c>
      <c r="N1444" s="9">
        <v>2022</v>
      </c>
      <c r="O1444" s="9" t="s">
        <v>7153</v>
      </c>
      <c r="P1444" s="9" t="s">
        <v>53</v>
      </c>
      <c r="Q1444" s="9" t="s">
        <v>53</v>
      </c>
      <c r="T1444" s="9"/>
      <c r="V1444" s="9" t="s">
        <v>7155</v>
      </c>
      <c r="W1444" s="11" t="str">
        <f>IFERROR(VLOOKUP(B1444, PlumX_snapshot!$A:$B, 2, FALSE), " ")</f>
        <v xml:space="preserve"> </v>
      </c>
      <c r="X1444" s="11" t="str">
        <f>IFERROR(VLOOKUP(B1444, PlumX_snapshot!$A:$C, 3, FALSE), " ")</f>
        <v xml:space="preserve"> </v>
      </c>
      <c r="Y1444" s="12" t="str">
        <f>IFERROR(VLOOKUP(B1444, PlumX_snapshot!$A:$D, 4, FALSE), " ")</f>
        <v xml:space="preserve"> </v>
      </c>
      <c r="Z1444" s="12" t="str">
        <f>IFERROR(VLOOKUP(B1444, PlumX_snapshot!$A:$E, 5, FALSE), " ")</f>
        <v xml:space="preserve"> </v>
      </c>
      <c r="AA1444" s="12" t="str">
        <f>IFERROR(VLOOKUP(B1444, PlumX_snapshot!$A:$F, 6, FALSE), " ")</f>
        <v xml:space="preserve"> </v>
      </c>
      <c r="AB1444" s="13"/>
      <c r="AC1444" s="9" t="s">
        <v>7227</v>
      </c>
      <c r="AD1444" s="9" t="s">
        <v>7228</v>
      </c>
      <c r="AE1444" s="9"/>
      <c r="AH1444" s="18">
        <v>2364</v>
      </c>
      <c r="AI1444" s="9" t="s">
        <v>7159</v>
      </c>
      <c r="AJ1444" s="9" t="s">
        <v>301</v>
      </c>
      <c r="AK1444" s="11" t="str">
        <f t="shared" si="10"/>
        <v>2022GBP</v>
      </c>
      <c r="AL1444" s="11">
        <f>VLOOKUP(AK1444, Exchange_rates!$C:$D, 2, FALSE)</f>
        <v>1</v>
      </c>
      <c r="AM1444" s="14">
        <f t="shared" si="11"/>
        <v>2836.7999999999997</v>
      </c>
      <c r="AN1444" s="9"/>
      <c r="AO1444" s="9"/>
      <c r="AP1444" s="9"/>
      <c r="AQ1444" s="15" t="s">
        <v>49</v>
      </c>
      <c r="AR1444" t="s">
        <v>7229</v>
      </c>
      <c r="AS1444" s="16" t="s">
        <v>7230</v>
      </c>
    </row>
    <row r="1445" spans="1:60" ht="14.5">
      <c r="A1445" s="9" t="s">
        <v>7231</v>
      </c>
      <c r="B1445" s="9" t="s">
        <v>7232</v>
      </c>
      <c r="C1445" s="9" t="s">
        <v>5158</v>
      </c>
      <c r="D1445" s="9" t="s">
        <v>4371</v>
      </c>
      <c r="E1445" s="9" t="s">
        <v>49</v>
      </c>
      <c r="F1445" s="9" t="s">
        <v>69</v>
      </c>
      <c r="G1445" s="9" t="s">
        <v>70</v>
      </c>
      <c r="H1445" s="9" t="s">
        <v>4949</v>
      </c>
      <c r="I1445" s="9" t="s">
        <v>291</v>
      </c>
      <c r="J1445" s="10">
        <v>44608</v>
      </c>
      <c r="K1445" s="10">
        <v>44900</v>
      </c>
      <c r="L1445" s="10">
        <v>44903.566805555558</v>
      </c>
      <c r="M1445" s="10">
        <v>44929</v>
      </c>
      <c r="N1445" s="9">
        <v>2022</v>
      </c>
      <c r="O1445" s="9" t="s">
        <v>7153</v>
      </c>
      <c r="P1445" s="9" t="s">
        <v>53</v>
      </c>
      <c r="Q1445" s="9" t="s">
        <v>53</v>
      </c>
      <c r="T1445" s="9"/>
      <c r="V1445" s="9" t="s">
        <v>5291</v>
      </c>
      <c r="W1445" s="11" t="str">
        <f>IFERROR(VLOOKUP(B1445, PlumX_snapshot!$A:$B, 2, FALSE), " ")</f>
        <v xml:space="preserve"> </v>
      </c>
      <c r="X1445" s="11" t="str">
        <f>IFERROR(VLOOKUP(B1445, PlumX_snapshot!$A:$C, 3, FALSE), " ")</f>
        <v xml:space="preserve"> </v>
      </c>
      <c r="Y1445" s="12" t="str">
        <f>IFERROR(VLOOKUP(B1445, PlumX_snapshot!$A:$D, 4, FALSE), " ")</f>
        <v xml:space="preserve"> </v>
      </c>
      <c r="Z1445" s="12" t="str">
        <f>IFERROR(VLOOKUP(B1445, PlumX_snapshot!$A:$E, 5, FALSE), " ")</f>
        <v xml:space="preserve"> </v>
      </c>
      <c r="AA1445" s="12" t="str">
        <f>IFERROR(VLOOKUP(B1445, PlumX_snapshot!$A:$F, 6, FALSE), " ")</f>
        <v xml:space="preserve"> </v>
      </c>
      <c r="AB1445" s="13"/>
      <c r="AC1445" s="9" t="s">
        <v>7233</v>
      </c>
      <c r="AD1445" s="9" t="s">
        <v>7234</v>
      </c>
      <c r="AE1445" s="9"/>
      <c r="AH1445" s="9">
        <v>2220</v>
      </c>
      <c r="AI1445" s="9" t="s">
        <v>77</v>
      </c>
      <c r="AJ1445" s="9" t="s">
        <v>301</v>
      </c>
      <c r="AK1445" s="11" t="str">
        <f t="shared" si="10"/>
        <v>2022GBP</v>
      </c>
      <c r="AL1445" s="11">
        <f>VLOOKUP(AK1445, Exchange_rates!$C:$D, 2, FALSE)</f>
        <v>1</v>
      </c>
      <c r="AM1445" s="14">
        <f t="shared" si="11"/>
        <v>2664</v>
      </c>
      <c r="AN1445" s="9"/>
      <c r="AO1445" s="9"/>
      <c r="AP1445" s="9"/>
      <c r="AQ1445" s="15" t="s">
        <v>49</v>
      </c>
      <c r="AR1445" t="s">
        <v>5162</v>
      </c>
      <c r="AS1445" s="16" t="s">
        <v>5163</v>
      </c>
    </row>
    <row r="1446" spans="1:60" ht="14.5">
      <c r="A1446" s="9" t="s">
        <v>7235</v>
      </c>
      <c r="B1446" s="9" t="s">
        <v>7236</v>
      </c>
      <c r="C1446" s="9" t="s">
        <v>7237</v>
      </c>
      <c r="D1446" s="9" t="s">
        <v>4371</v>
      </c>
      <c r="E1446" s="9" t="s">
        <v>49</v>
      </c>
      <c r="F1446" s="9" t="s">
        <v>69</v>
      </c>
      <c r="G1446" s="9" t="s">
        <v>70</v>
      </c>
      <c r="H1446" s="9" t="s">
        <v>4949</v>
      </c>
      <c r="I1446" s="9" t="s">
        <v>291</v>
      </c>
      <c r="J1446" s="10">
        <v>44013</v>
      </c>
      <c r="K1446" s="10">
        <v>44834</v>
      </c>
      <c r="L1446" s="10">
        <v>44903.661307870374</v>
      </c>
      <c r="M1446" s="10">
        <v>44920</v>
      </c>
      <c r="N1446" s="9">
        <v>2022</v>
      </c>
      <c r="O1446" s="9" t="s">
        <v>7153</v>
      </c>
      <c r="P1446" s="9" t="s">
        <v>53</v>
      </c>
      <c r="Q1446" s="9" t="s">
        <v>53</v>
      </c>
      <c r="T1446" s="9"/>
      <c r="V1446" s="9" t="s">
        <v>5291</v>
      </c>
      <c r="W1446" s="11" t="str">
        <f>IFERROR(VLOOKUP(B1446, PlumX_snapshot!$A:$B, 2, FALSE), " ")</f>
        <v xml:space="preserve"> </v>
      </c>
      <c r="X1446" s="11" t="str">
        <f>IFERROR(VLOOKUP(B1446, PlumX_snapshot!$A:$C, 3, FALSE), " ")</f>
        <v xml:space="preserve"> </v>
      </c>
      <c r="Y1446" s="12" t="str">
        <f>IFERROR(VLOOKUP(B1446, PlumX_snapshot!$A:$D, 4, FALSE), " ")</f>
        <v xml:space="preserve"> </v>
      </c>
      <c r="Z1446" s="12" t="str">
        <f>IFERROR(VLOOKUP(B1446, PlumX_snapshot!$A:$E, 5, FALSE), " ")</f>
        <v xml:space="preserve"> </v>
      </c>
      <c r="AA1446" s="12" t="str">
        <f>IFERROR(VLOOKUP(B1446, PlumX_snapshot!$A:$F, 6, FALSE), " ")</f>
        <v xml:space="preserve"> </v>
      </c>
      <c r="AB1446" s="13"/>
      <c r="AC1446" s="9" t="s">
        <v>7238</v>
      </c>
      <c r="AD1446" s="9" t="s">
        <v>7239</v>
      </c>
      <c r="AE1446" s="9" t="s">
        <v>7240</v>
      </c>
      <c r="AH1446" s="9">
        <v>2375</v>
      </c>
      <c r="AI1446" s="9" t="s">
        <v>77</v>
      </c>
      <c r="AJ1446" s="9" t="s">
        <v>301</v>
      </c>
      <c r="AK1446" s="11" t="str">
        <f t="shared" si="10"/>
        <v>2022GBP</v>
      </c>
      <c r="AL1446" s="11">
        <f>VLOOKUP(AK1446, Exchange_rates!$C:$D, 2, FALSE)</f>
        <v>1</v>
      </c>
      <c r="AM1446" s="14">
        <f t="shared" si="11"/>
        <v>2850</v>
      </c>
      <c r="AN1446" s="9"/>
      <c r="AO1446" s="9"/>
      <c r="AP1446" s="9"/>
      <c r="AQ1446" s="15" t="s">
        <v>49</v>
      </c>
      <c r="AR1446" t="s">
        <v>7241</v>
      </c>
      <c r="AS1446" s="16" t="s">
        <v>7242</v>
      </c>
    </row>
    <row r="1447" spans="1:60" ht="14.5">
      <c r="A1447" s="9" t="s">
        <v>7243</v>
      </c>
      <c r="B1447" s="9" t="s">
        <v>7244</v>
      </c>
      <c r="C1447" s="9" t="s">
        <v>4646</v>
      </c>
      <c r="D1447" s="9" t="s">
        <v>4371</v>
      </c>
      <c r="E1447" s="9" t="s">
        <v>49</v>
      </c>
      <c r="F1447" s="9" t="s">
        <v>69</v>
      </c>
      <c r="G1447" s="9" t="s">
        <v>70</v>
      </c>
      <c r="H1447" s="9" t="s">
        <v>4949</v>
      </c>
      <c r="I1447" s="9" t="s">
        <v>291</v>
      </c>
      <c r="J1447" s="10"/>
      <c r="K1447" s="10"/>
      <c r="L1447" s="10">
        <v>44875.475011574075</v>
      </c>
      <c r="M1447" s="10">
        <v>44836</v>
      </c>
      <c r="N1447" s="9">
        <v>2022</v>
      </c>
      <c r="O1447" s="9" t="s">
        <v>7153</v>
      </c>
      <c r="P1447" s="9" t="s">
        <v>53</v>
      </c>
      <c r="Q1447" s="9" t="s">
        <v>53</v>
      </c>
      <c r="T1447" s="9"/>
      <c r="V1447" s="9" t="s">
        <v>5291</v>
      </c>
      <c r="W1447" s="11" t="str">
        <f>IFERROR(VLOOKUP(B1447, PlumX_snapshot!$A:$B, 2, FALSE), " ")</f>
        <v xml:space="preserve"> </v>
      </c>
      <c r="X1447" s="11" t="str">
        <f>IFERROR(VLOOKUP(B1447, PlumX_snapshot!$A:$C, 3, FALSE), " ")</f>
        <v xml:space="preserve"> </v>
      </c>
      <c r="Y1447" s="12" t="str">
        <f>IFERROR(VLOOKUP(B1447, PlumX_snapshot!$A:$D, 4, FALSE), " ")</f>
        <v xml:space="preserve"> </v>
      </c>
      <c r="Z1447" s="12" t="str">
        <f>IFERROR(VLOOKUP(B1447, PlumX_snapshot!$A:$E, 5, FALSE), " ")</f>
        <v xml:space="preserve"> </v>
      </c>
      <c r="AA1447" s="12" t="str">
        <f>IFERROR(VLOOKUP(B1447, PlumX_snapshot!$A:$F, 6, FALSE), " ")</f>
        <v xml:space="preserve"> </v>
      </c>
      <c r="AB1447" s="13"/>
      <c r="AC1447" s="9" t="s">
        <v>7245</v>
      </c>
      <c r="AD1447" s="9" t="s">
        <v>533</v>
      </c>
      <c r="AE1447" s="9"/>
      <c r="AH1447" s="9">
        <v>2434</v>
      </c>
      <c r="AI1447" s="9" t="s">
        <v>1999</v>
      </c>
      <c r="AJ1447" s="9" t="s">
        <v>301</v>
      </c>
      <c r="AK1447" s="11" t="str">
        <f t="shared" si="10"/>
        <v>2022GBP</v>
      </c>
      <c r="AL1447" s="11">
        <f>VLOOKUP(AK1447, Exchange_rates!$C:$D, 2, FALSE)</f>
        <v>1</v>
      </c>
      <c r="AM1447" s="14">
        <f t="shared" si="11"/>
        <v>2920.7999999999997</v>
      </c>
      <c r="AN1447" s="9"/>
      <c r="AO1447" s="9"/>
      <c r="AP1447" s="9"/>
      <c r="AQ1447" s="15" t="s">
        <v>49</v>
      </c>
      <c r="AR1447" t="s">
        <v>4648</v>
      </c>
      <c r="AS1447" s="16" t="s">
        <v>4649</v>
      </c>
    </row>
    <row r="1448" spans="1:60" ht="14.5">
      <c r="A1448" s="9" t="s">
        <v>7246</v>
      </c>
      <c r="B1448" s="9" t="s">
        <v>7247</v>
      </c>
      <c r="C1448" s="9" t="s">
        <v>7248</v>
      </c>
      <c r="D1448" s="9" t="s">
        <v>4371</v>
      </c>
      <c r="E1448" s="9" t="s">
        <v>49</v>
      </c>
      <c r="F1448" s="9" t="s">
        <v>69</v>
      </c>
      <c r="G1448" s="9" t="s">
        <v>70</v>
      </c>
      <c r="H1448" s="9" t="s">
        <v>4949</v>
      </c>
      <c r="I1448" s="9" t="s">
        <v>291</v>
      </c>
      <c r="J1448" s="10">
        <v>44673</v>
      </c>
      <c r="K1448" s="10">
        <v>44868</v>
      </c>
      <c r="L1448" s="10">
        <v>44876.418391203704</v>
      </c>
      <c r="M1448" s="10">
        <v>44904</v>
      </c>
      <c r="N1448" s="9">
        <v>2022</v>
      </c>
      <c r="O1448" s="9" t="s">
        <v>7153</v>
      </c>
      <c r="P1448" s="9" t="s">
        <v>53</v>
      </c>
      <c r="Q1448" s="9" t="s">
        <v>53</v>
      </c>
      <c r="T1448" s="9"/>
      <c r="V1448" s="9" t="s">
        <v>5291</v>
      </c>
      <c r="W1448" s="11" t="str">
        <f>IFERROR(VLOOKUP(B1448, PlumX_snapshot!$A:$B, 2, FALSE), " ")</f>
        <v xml:space="preserve"> </v>
      </c>
      <c r="X1448" s="11" t="str">
        <f>IFERROR(VLOOKUP(B1448, PlumX_snapshot!$A:$C, 3, FALSE), " ")</f>
        <v xml:space="preserve"> </v>
      </c>
      <c r="Y1448" s="12" t="str">
        <f>IFERROR(VLOOKUP(B1448, PlumX_snapshot!$A:$D, 4, FALSE), " ")</f>
        <v xml:space="preserve"> </v>
      </c>
      <c r="Z1448" s="12" t="str">
        <f>IFERROR(VLOOKUP(B1448, PlumX_snapshot!$A:$E, 5, FALSE), " ")</f>
        <v xml:space="preserve"> </v>
      </c>
      <c r="AA1448" s="12" t="str">
        <f>IFERROR(VLOOKUP(B1448, PlumX_snapshot!$A:$F, 6, FALSE), " ")</f>
        <v xml:space="preserve"> </v>
      </c>
      <c r="AB1448" s="13"/>
      <c r="AC1448" s="9" t="s">
        <v>7249</v>
      </c>
      <c r="AD1448" s="9" t="s">
        <v>7250</v>
      </c>
      <c r="AE1448" s="9"/>
      <c r="AH1448" s="9">
        <v>2220</v>
      </c>
      <c r="AI1448" s="9" t="s">
        <v>77</v>
      </c>
      <c r="AJ1448" s="9" t="s">
        <v>301</v>
      </c>
      <c r="AK1448" s="11" t="str">
        <f t="shared" si="10"/>
        <v>2022GBP</v>
      </c>
      <c r="AL1448" s="11">
        <f>VLOOKUP(AK1448, Exchange_rates!$C:$D, 2, FALSE)</f>
        <v>1</v>
      </c>
      <c r="AM1448" s="14">
        <f t="shared" si="11"/>
        <v>2664</v>
      </c>
      <c r="AN1448" s="9"/>
      <c r="AO1448" s="9"/>
      <c r="AP1448" s="9"/>
      <c r="AQ1448" s="15" t="s">
        <v>49</v>
      </c>
      <c r="AR1448" t="s">
        <v>7251</v>
      </c>
      <c r="AS1448" s="16" t="s">
        <v>7252</v>
      </c>
    </row>
    <row r="1449" spans="1:60" ht="14.5">
      <c r="A1449" s="9" t="s">
        <v>7253</v>
      </c>
      <c r="B1449" s="9" t="s">
        <v>7254</v>
      </c>
      <c r="C1449" s="9" t="s">
        <v>7255</v>
      </c>
      <c r="D1449" s="9" t="s">
        <v>4371</v>
      </c>
      <c r="E1449" s="9" t="s">
        <v>49</v>
      </c>
      <c r="F1449" s="9" t="s">
        <v>69</v>
      </c>
      <c r="G1449" s="9" t="s">
        <v>70</v>
      </c>
      <c r="H1449" s="9" t="s">
        <v>4949</v>
      </c>
      <c r="I1449" s="9" t="s">
        <v>291</v>
      </c>
      <c r="J1449" s="10">
        <v>44823</v>
      </c>
      <c r="K1449" s="10">
        <v>44885</v>
      </c>
      <c r="L1449" s="10">
        <v>44890.495069444441</v>
      </c>
      <c r="M1449" s="10">
        <v>44902</v>
      </c>
      <c r="N1449" s="9">
        <v>2022</v>
      </c>
      <c r="O1449" s="9" t="s">
        <v>7153</v>
      </c>
      <c r="P1449" s="9" t="s">
        <v>53</v>
      </c>
      <c r="Q1449" s="9" t="s">
        <v>53</v>
      </c>
      <c r="R1449" s="9" t="s">
        <v>7256</v>
      </c>
      <c r="T1449" s="9"/>
      <c r="V1449" s="9" t="s">
        <v>5291</v>
      </c>
      <c r="W1449" s="11" t="str">
        <f>IFERROR(VLOOKUP(B1449, PlumX_snapshot!$A:$B, 2, FALSE), " ")</f>
        <v xml:space="preserve"> </v>
      </c>
      <c r="X1449" s="11" t="str">
        <f>IFERROR(VLOOKUP(B1449, PlumX_snapshot!$A:$C, 3, FALSE), " ")</f>
        <v xml:space="preserve"> </v>
      </c>
      <c r="Y1449" s="12" t="str">
        <f>IFERROR(VLOOKUP(B1449, PlumX_snapshot!$A:$D, 4, FALSE), " ")</f>
        <v xml:space="preserve"> </v>
      </c>
      <c r="Z1449" s="12" t="str">
        <f>IFERROR(VLOOKUP(B1449, PlumX_snapshot!$A:$E, 5, FALSE), " ")</f>
        <v xml:space="preserve"> </v>
      </c>
      <c r="AA1449" s="12" t="str">
        <f>IFERROR(VLOOKUP(B1449, PlumX_snapshot!$A:$F, 6, FALSE), " ")</f>
        <v xml:space="preserve"> </v>
      </c>
      <c r="AB1449" s="13"/>
      <c r="AC1449" s="9" t="s">
        <v>7257</v>
      </c>
      <c r="AD1449" s="9" t="s">
        <v>7258</v>
      </c>
      <c r="AE1449" s="9"/>
      <c r="AH1449" s="9">
        <v>2434</v>
      </c>
      <c r="AI1449" s="9" t="s">
        <v>1999</v>
      </c>
      <c r="AJ1449" s="9" t="s">
        <v>301</v>
      </c>
      <c r="AK1449" s="11" t="str">
        <f t="shared" si="10"/>
        <v>2022GBP</v>
      </c>
      <c r="AL1449" s="11">
        <f>VLOOKUP(AK1449, Exchange_rates!$C:$D, 2, FALSE)</f>
        <v>1</v>
      </c>
      <c r="AM1449" s="14">
        <f t="shared" si="11"/>
        <v>2920.7999999999997</v>
      </c>
      <c r="AN1449" s="9"/>
      <c r="AO1449" s="9"/>
      <c r="AP1449" s="9"/>
      <c r="AQ1449" s="15" t="s">
        <v>49</v>
      </c>
      <c r="AR1449" t="s">
        <v>7259</v>
      </c>
      <c r="AS1449" s="16" t="s">
        <v>7260</v>
      </c>
    </row>
    <row r="1450" spans="1:60" ht="14.5">
      <c r="A1450" s="9" t="s">
        <v>7261</v>
      </c>
      <c r="B1450" s="9" t="s">
        <v>7262</v>
      </c>
      <c r="C1450" s="9" t="s">
        <v>5014</v>
      </c>
      <c r="D1450" s="9" t="s">
        <v>4371</v>
      </c>
      <c r="E1450" s="9" t="s">
        <v>49</v>
      </c>
      <c r="F1450" s="9" t="s">
        <v>69</v>
      </c>
      <c r="G1450" s="9" t="s">
        <v>70</v>
      </c>
      <c r="H1450" s="9" t="s">
        <v>4949</v>
      </c>
      <c r="I1450" s="9" t="s">
        <v>72</v>
      </c>
      <c r="J1450" s="10">
        <v>44607</v>
      </c>
      <c r="K1450" s="10">
        <v>44884</v>
      </c>
      <c r="L1450" s="10">
        <v>44889.876863425925</v>
      </c>
      <c r="M1450" s="10">
        <v>44913</v>
      </c>
      <c r="N1450" s="9">
        <v>2022</v>
      </c>
      <c r="O1450" s="9" t="s">
        <v>7153</v>
      </c>
      <c r="P1450" s="9" t="s">
        <v>53</v>
      </c>
      <c r="Q1450" s="9" t="s">
        <v>53</v>
      </c>
      <c r="T1450" s="9"/>
      <c r="V1450" s="9" t="s">
        <v>5291</v>
      </c>
      <c r="W1450" s="11" t="str">
        <f>IFERROR(VLOOKUP(B1450, PlumX_snapshot!$A:$B, 2, FALSE), " ")</f>
        <v xml:space="preserve"> </v>
      </c>
      <c r="X1450" s="11" t="str">
        <f>IFERROR(VLOOKUP(B1450, PlumX_snapshot!$A:$C, 3, FALSE), " ")</f>
        <v xml:space="preserve"> </v>
      </c>
      <c r="Y1450" s="12" t="str">
        <f>IFERROR(VLOOKUP(B1450, PlumX_snapshot!$A:$D, 4, FALSE), " ")</f>
        <v xml:space="preserve"> </v>
      </c>
      <c r="Z1450" s="12" t="str">
        <f>IFERROR(VLOOKUP(B1450, PlumX_snapshot!$A:$E, 5, FALSE), " ")</f>
        <v xml:space="preserve"> </v>
      </c>
      <c r="AA1450" s="12" t="str">
        <f>IFERROR(VLOOKUP(B1450, PlumX_snapshot!$A:$F, 6, FALSE), " ")</f>
        <v xml:space="preserve"> </v>
      </c>
      <c r="AB1450" s="13"/>
      <c r="AC1450" s="9" t="s">
        <v>7263</v>
      </c>
      <c r="AD1450" s="9" t="s">
        <v>7264</v>
      </c>
      <c r="AE1450" s="9" t="s">
        <v>7265</v>
      </c>
      <c r="AH1450" s="9">
        <v>2375</v>
      </c>
      <c r="AI1450" s="9" t="s">
        <v>77</v>
      </c>
      <c r="AJ1450" s="9" t="s">
        <v>301</v>
      </c>
      <c r="AK1450" s="11" t="str">
        <f t="shared" si="10"/>
        <v>2022GBP</v>
      </c>
      <c r="AL1450" s="11">
        <f>VLOOKUP(AK1450, Exchange_rates!$C:$D, 2, FALSE)</f>
        <v>1</v>
      </c>
      <c r="AM1450" s="14">
        <f t="shared" si="11"/>
        <v>2850</v>
      </c>
      <c r="AN1450" s="9"/>
      <c r="AO1450" s="9"/>
      <c r="AP1450" s="9"/>
      <c r="AQ1450" s="15" t="s">
        <v>49</v>
      </c>
      <c r="AR1450" t="s">
        <v>5016</v>
      </c>
      <c r="AS1450" s="16" t="s">
        <v>5017</v>
      </c>
    </row>
    <row r="1451" spans="1:60" ht="14.5">
      <c r="A1451" s="9" t="s">
        <v>7266</v>
      </c>
      <c r="B1451" s="9" t="s">
        <v>7267</v>
      </c>
      <c r="C1451" s="9" t="s">
        <v>7268</v>
      </c>
      <c r="D1451" s="9" t="s">
        <v>4371</v>
      </c>
      <c r="E1451" s="9" t="s">
        <v>49</v>
      </c>
      <c r="F1451" s="9" t="s">
        <v>69</v>
      </c>
      <c r="G1451" s="9" t="s">
        <v>70</v>
      </c>
      <c r="H1451" s="9" t="s">
        <v>4949</v>
      </c>
      <c r="I1451" s="9" t="s">
        <v>291</v>
      </c>
      <c r="J1451" s="10">
        <v>44662</v>
      </c>
      <c r="K1451" s="10">
        <v>44862</v>
      </c>
      <c r="L1451" s="10">
        <v>44880.39744212963</v>
      </c>
      <c r="M1451" s="10">
        <v>44880</v>
      </c>
      <c r="N1451" s="9">
        <v>2022</v>
      </c>
      <c r="O1451" s="9" t="s">
        <v>7153</v>
      </c>
      <c r="P1451" s="9" t="s">
        <v>53</v>
      </c>
      <c r="Q1451" s="9" t="s">
        <v>53</v>
      </c>
      <c r="T1451" s="9"/>
      <c r="V1451" s="9" t="s">
        <v>5291</v>
      </c>
      <c r="W1451" s="11" t="str">
        <f>IFERROR(VLOOKUP(B1451, PlumX_snapshot!$A:$B, 2, FALSE), " ")</f>
        <v xml:space="preserve"> </v>
      </c>
      <c r="X1451" s="11" t="str">
        <f>IFERROR(VLOOKUP(B1451, PlumX_snapshot!$A:$C, 3, FALSE), " ")</f>
        <v xml:space="preserve"> </v>
      </c>
      <c r="Y1451" s="12" t="str">
        <f>IFERROR(VLOOKUP(B1451, PlumX_snapshot!$A:$D, 4, FALSE), " ")</f>
        <v xml:space="preserve"> </v>
      </c>
      <c r="Z1451" s="12" t="str">
        <f>IFERROR(VLOOKUP(B1451, PlumX_snapshot!$A:$E, 5, FALSE), " ")</f>
        <v xml:space="preserve"> </v>
      </c>
      <c r="AA1451" s="12" t="str">
        <f>IFERROR(VLOOKUP(B1451, PlumX_snapshot!$A:$F, 6, FALSE), " ")</f>
        <v xml:space="preserve"> </v>
      </c>
      <c r="AB1451" s="13"/>
      <c r="AC1451" s="9" t="s">
        <v>7269</v>
      </c>
      <c r="AD1451" s="9" t="s">
        <v>7270</v>
      </c>
      <c r="AE1451" s="9"/>
      <c r="AH1451" s="9">
        <v>2375</v>
      </c>
      <c r="AI1451" s="9" t="s">
        <v>77</v>
      </c>
      <c r="AJ1451" s="9" t="s">
        <v>301</v>
      </c>
      <c r="AK1451" s="11" t="str">
        <f t="shared" si="10"/>
        <v>2022GBP</v>
      </c>
      <c r="AL1451" s="11">
        <f>VLOOKUP(AK1451, Exchange_rates!$C:$D, 2, FALSE)</f>
        <v>1</v>
      </c>
      <c r="AM1451" s="14">
        <f t="shared" si="11"/>
        <v>2850</v>
      </c>
      <c r="AN1451" s="9"/>
      <c r="AO1451" s="9"/>
      <c r="AP1451" s="9"/>
      <c r="AQ1451" s="15" t="s">
        <v>49</v>
      </c>
      <c r="AR1451" t="s">
        <v>7271</v>
      </c>
      <c r="AS1451" s="16" t="s">
        <v>7272</v>
      </c>
    </row>
    <row r="1452" spans="1:60" ht="14.5">
      <c r="A1452" s="9" t="s">
        <v>7273</v>
      </c>
      <c r="B1452" s="9" t="s">
        <v>7274</v>
      </c>
      <c r="C1452" s="9" t="s">
        <v>5014</v>
      </c>
      <c r="D1452" s="9" t="s">
        <v>4371</v>
      </c>
      <c r="E1452" s="9" t="s">
        <v>49</v>
      </c>
      <c r="F1452" s="9" t="s">
        <v>69</v>
      </c>
      <c r="G1452" s="9" t="s">
        <v>70</v>
      </c>
      <c r="H1452" s="9" t="s">
        <v>4949</v>
      </c>
      <c r="I1452" s="9" t="s">
        <v>291</v>
      </c>
      <c r="J1452" s="10">
        <v>44518</v>
      </c>
      <c r="K1452" s="10">
        <v>44854</v>
      </c>
      <c r="L1452" s="10">
        <v>44883.643368055556</v>
      </c>
      <c r="M1452" s="10">
        <v>44913</v>
      </c>
      <c r="N1452" s="9">
        <v>2022</v>
      </c>
      <c r="O1452" s="9" t="s">
        <v>7153</v>
      </c>
      <c r="P1452" s="9" t="s">
        <v>53</v>
      </c>
      <c r="Q1452" s="9" t="s">
        <v>53</v>
      </c>
      <c r="T1452" s="9"/>
      <c r="V1452" s="9" t="s">
        <v>5291</v>
      </c>
      <c r="W1452" s="11" t="str">
        <f>IFERROR(VLOOKUP(B1452, PlumX_snapshot!$A:$B, 2, FALSE), " ")</f>
        <v xml:space="preserve"> </v>
      </c>
      <c r="X1452" s="11" t="str">
        <f>IFERROR(VLOOKUP(B1452, PlumX_snapshot!$A:$C, 3, FALSE), " ")</f>
        <v xml:space="preserve"> </v>
      </c>
      <c r="Y1452" s="12" t="str">
        <f>IFERROR(VLOOKUP(B1452, PlumX_snapshot!$A:$D, 4, FALSE), " ")</f>
        <v xml:space="preserve"> </v>
      </c>
      <c r="Z1452" s="12" t="str">
        <f>IFERROR(VLOOKUP(B1452, PlumX_snapshot!$A:$E, 5, FALSE), " ")</f>
        <v xml:space="preserve"> </v>
      </c>
      <c r="AA1452" s="12" t="str">
        <f>IFERROR(VLOOKUP(B1452, PlumX_snapshot!$A:$F, 6, FALSE), " ")</f>
        <v xml:space="preserve"> </v>
      </c>
      <c r="AB1452" s="13"/>
      <c r="AC1452" s="9" t="s">
        <v>7275</v>
      </c>
      <c r="AD1452" s="9" t="s">
        <v>7276</v>
      </c>
      <c r="AE1452" s="9" t="s">
        <v>7277</v>
      </c>
      <c r="AH1452" s="9">
        <v>2375</v>
      </c>
      <c r="AI1452" s="9" t="s">
        <v>77</v>
      </c>
      <c r="AJ1452" s="9" t="s">
        <v>301</v>
      </c>
      <c r="AK1452" s="11" t="str">
        <f t="shared" si="10"/>
        <v>2022GBP</v>
      </c>
      <c r="AL1452" s="11">
        <f>VLOOKUP(AK1452, Exchange_rates!$C:$D, 2, FALSE)</f>
        <v>1</v>
      </c>
      <c r="AM1452" s="14">
        <f t="shared" si="11"/>
        <v>2850</v>
      </c>
      <c r="AN1452" s="9"/>
      <c r="AO1452" s="9"/>
      <c r="AP1452" s="9"/>
      <c r="AQ1452" s="15" t="s">
        <v>49</v>
      </c>
      <c r="AR1452" t="s">
        <v>5016</v>
      </c>
      <c r="AS1452" s="16" t="s">
        <v>5017</v>
      </c>
    </row>
    <row r="1453" spans="1:60" ht="14.5">
      <c r="A1453" s="9" t="s">
        <v>7278</v>
      </c>
      <c r="B1453" s="9" t="s">
        <v>7279</v>
      </c>
      <c r="C1453" s="9" t="s">
        <v>7280</v>
      </c>
      <c r="D1453" s="9" t="s">
        <v>4371</v>
      </c>
      <c r="E1453" s="9" t="s">
        <v>49</v>
      </c>
      <c r="F1453" s="9" t="s">
        <v>69</v>
      </c>
      <c r="G1453" s="9" t="s">
        <v>70</v>
      </c>
      <c r="H1453" s="9" t="s">
        <v>4949</v>
      </c>
      <c r="I1453" s="9" t="s">
        <v>291</v>
      </c>
      <c r="J1453" s="10">
        <v>44407</v>
      </c>
      <c r="K1453" s="10">
        <v>44860</v>
      </c>
      <c r="L1453" s="10">
        <v>44883.642106481479</v>
      </c>
      <c r="M1453" s="10">
        <v>44930</v>
      </c>
      <c r="N1453" s="9">
        <v>2022</v>
      </c>
      <c r="O1453" s="9" t="s">
        <v>7153</v>
      </c>
      <c r="P1453" s="9" t="s">
        <v>53</v>
      </c>
      <c r="Q1453" s="9" t="s">
        <v>53</v>
      </c>
      <c r="T1453" s="9"/>
      <c r="V1453" s="9" t="s">
        <v>5291</v>
      </c>
      <c r="W1453" s="11" t="str">
        <f>IFERROR(VLOOKUP(B1453, PlumX_snapshot!$A:$B, 2, FALSE), " ")</f>
        <v xml:space="preserve"> </v>
      </c>
      <c r="X1453" s="11" t="str">
        <f>IFERROR(VLOOKUP(B1453, PlumX_snapshot!$A:$C, 3, FALSE), " ")</f>
        <v xml:space="preserve"> </v>
      </c>
      <c r="Y1453" s="12" t="str">
        <f>IFERROR(VLOOKUP(B1453, PlumX_snapshot!$A:$D, 4, FALSE), " ")</f>
        <v xml:space="preserve"> </v>
      </c>
      <c r="Z1453" s="12" t="str">
        <f>IFERROR(VLOOKUP(B1453, PlumX_snapshot!$A:$E, 5, FALSE), " ")</f>
        <v xml:space="preserve"> </v>
      </c>
      <c r="AA1453" s="12" t="str">
        <f>IFERROR(VLOOKUP(B1453, PlumX_snapshot!$A:$F, 6, FALSE), " ")</f>
        <v xml:space="preserve"> </v>
      </c>
      <c r="AB1453" s="13"/>
      <c r="AC1453" s="9" t="s">
        <v>772</v>
      </c>
      <c r="AD1453" s="9" t="s">
        <v>773</v>
      </c>
      <c r="AE1453" s="9"/>
      <c r="AH1453" s="9">
        <v>2375</v>
      </c>
      <c r="AI1453" s="9" t="s">
        <v>77</v>
      </c>
      <c r="AJ1453" s="9" t="s">
        <v>301</v>
      </c>
      <c r="AK1453" s="11" t="str">
        <f t="shared" si="10"/>
        <v>2022GBP</v>
      </c>
      <c r="AL1453" s="11">
        <f>VLOOKUP(AK1453, Exchange_rates!$C:$D, 2, FALSE)</f>
        <v>1</v>
      </c>
      <c r="AM1453" s="14">
        <f t="shared" si="11"/>
        <v>2850</v>
      </c>
      <c r="AN1453" s="9"/>
      <c r="AO1453" s="9"/>
      <c r="AP1453" s="9"/>
      <c r="AQ1453" s="15" t="s">
        <v>49</v>
      </c>
      <c r="AR1453" t="s">
        <v>7281</v>
      </c>
      <c r="AS1453" s="16" t="s">
        <v>7282</v>
      </c>
    </row>
    <row r="1454" spans="1:60" ht="14.5">
      <c r="A1454" s="9" t="s">
        <v>7283</v>
      </c>
      <c r="B1454" s="9" t="s">
        <v>7284</v>
      </c>
      <c r="C1454" s="9" t="s">
        <v>7179</v>
      </c>
      <c r="D1454" s="9" t="s">
        <v>4371</v>
      </c>
      <c r="E1454" s="9" t="s">
        <v>49</v>
      </c>
      <c r="F1454" s="9" t="s">
        <v>69</v>
      </c>
      <c r="G1454" s="9" t="s">
        <v>70</v>
      </c>
      <c r="H1454" s="9" t="s">
        <v>4949</v>
      </c>
      <c r="I1454" s="9" t="s">
        <v>291</v>
      </c>
      <c r="J1454" s="10">
        <v>44460</v>
      </c>
      <c r="K1454" s="10">
        <v>44858</v>
      </c>
      <c r="L1454" s="10">
        <v>44876.639131944445</v>
      </c>
      <c r="M1454" s="10">
        <v>44886</v>
      </c>
      <c r="N1454" s="9">
        <v>2022</v>
      </c>
      <c r="O1454" s="9" t="s">
        <v>7153</v>
      </c>
      <c r="P1454" s="9" t="s">
        <v>53</v>
      </c>
      <c r="Q1454" s="9" t="s">
        <v>53</v>
      </c>
      <c r="T1454" s="9"/>
      <c r="V1454" s="9" t="s">
        <v>5291</v>
      </c>
      <c r="W1454" s="11" t="str">
        <f>IFERROR(VLOOKUP(B1454, PlumX_snapshot!$A:$B, 2, FALSE), " ")</f>
        <v xml:space="preserve"> </v>
      </c>
      <c r="X1454" s="11" t="str">
        <f>IFERROR(VLOOKUP(B1454, PlumX_snapshot!$A:$C, 3, FALSE), " ")</f>
        <v xml:space="preserve"> </v>
      </c>
      <c r="Y1454" s="12" t="str">
        <f>IFERROR(VLOOKUP(B1454, PlumX_snapshot!$A:$D, 4, FALSE), " ")</f>
        <v xml:space="preserve"> </v>
      </c>
      <c r="Z1454" s="12" t="str">
        <f>IFERROR(VLOOKUP(B1454, PlumX_snapshot!$A:$E, 5, FALSE), " ")</f>
        <v xml:space="preserve"> </v>
      </c>
      <c r="AA1454" s="12" t="str">
        <f>IFERROR(VLOOKUP(B1454, PlumX_snapshot!$A:$F, 6, FALSE), " ")</f>
        <v xml:space="preserve"> </v>
      </c>
      <c r="AB1454" s="13"/>
      <c r="AC1454" s="9" t="s">
        <v>7285</v>
      </c>
      <c r="AD1454" s="9" t="s">
        <v>365</v>
      </c>
      <c r="AE1454" s="9" t="s">
        <v>7286</v>
      </c>
      <c r="AH1454" s="9">
        <v>2375</v>
      </c>
      <c r="AI1454" s="9" t="s">
        <v>77</v>
      </c>
      <c r="AJ1454" s="9" t="s">
        <v>301</v>
      </c>
      <c r="AK1454" s="11" t="str">
        <f t="shared" si="10"/>
        <v>2022GBP</v>
      </c>
      <c r="AL1454" s="11">
        <f>VLOOKUP(AK1454, Exchange_rates!$C:$D, 2, FALSE)</f>
        <v>1</v>
      </c>
      <c r="AM1454" s="14">
        <f t="shared" si="11"/>
        <v>2850</v>
      </c>
      <c r="AN1454" s="9"/>
      <c r="AO1454" s="9"/>
      <c r="AP1454" s="9"/>
      <c r="AQ1454" s="15" t="s">
        <v>49</v>
      </c>
      <c r="AR1454" t="s">
        <v>7184</v>
      </c>
      <c r="AS1454" s="16" t="s">
        <v>7185</v>
      </c>
    </row>
    <row r="1455" spans="1:60" ht="14.5">
      <c r="A1455" s="20" t="s">
        <v>7287</v>
      </c>
      <c r="B1455" s="20" t="s">
        <v>7288</v>
      </c>
      <c r="C1455" s="20" t="s">
        <v>4574</v>
      </c>
      <c r="D1455" s="20" t="s">
        <v>4371</v>
      </c>
      <c r="E1455" s="20" t="s">
        <v>49</v>
      </c>
      <c r="F1455" s="20" t="s">
        <v>69</v>
      </c>
      <c r="G1455" s="20" t="s">
        <v>70</v>
      </c>
      <c r="H1455" s="20" t="s">
        <v>4949</v>
      </c>
      <c r="I1455" s="20" t="s">
        <v>291</v>
      </c>
      <c r="J1455" s="22">
        <v>44811</v>
      </c>
      <c r="K1455" s="22">
        <v>44868</v>
      </c>
      <c r="L1455" s="22">
        <v>44873.385277777779</v>
      </c>
      <c r="M1455" s="22">
        <v>44876</v>
      </c>
      <c r="N1455" s="20">
        <v>2022</v>
      </c>
      <c r="O1455" s="20" t="s">
        <v>7153</v>
      </c>
      <c r="P1455" s="20" t="s">
        <v>53</v>
      </c>
      <c r="Q1455" s="20" t="s">
        <v>53</v>
      </c>
      <c r="R1455" s="20"/>
      <c r="S1455" s="20"/>
      <c r="T1455" s="20"/>
      <c r="V1455" s="20" t="s">
        <v>5291</v>
      </c>
      <c r="W1455" s="23" t="str">
        <f>IFERROR(VLOOKUP(B1455, PlumX_snapshot!$A:$B, 2, FALSE), " ")</f>
        <v xml:space="preserve"> </v>
      </c>
      <c r="X1455" s="23" t="str">
        <f>IFERROR(VLOOKUP(B1455, PlumX_snapshot!$A:$C, 3, FALSE), " ")</f>
        <v xml:space="preserve"> </v>
      </c>
      <c r="Y1455" s="24" t="str">
        <f>IFERROR(VLOOKUP(B1455, PlumX_snapshot!$A:$D, 4, FALSE), " ")</f>
        <v xml:space="preserve"> </v>
      </c>
      <c r="Z1455" s="24" t="str">
        <f>IFERROR(VLOOKUP(B1455, PlumX_snapshot!$A:$E, 5, FALSE), " ")</f>
        <v xml:space="preserve"> </v>
      </c>
      <c r="AA1455" s="24" t="str">
        <f>IFERROR(VLOOKUP(B1455, PlumX_snapshot!$A:$F, 6, FALSE), " ")</f>
        <v xml:space="preserve"> </v>
      </c>
      <c r="AB1455" s="25"/>
      <c r="AC1455" s="20" t="s">
        <v>4665</v>
      </c>
      <c r="AD1455" s="20" t="s">
        <v>4666</v>
      </c>
      <c r="AE1455" s="20"/>
      <c r="AF1455" s="20"/>
      <c r="AG1455" s="20"/>
      <c r="AH1455" s="20">
        <v>2375</v>
      </c>
      <c r="AI1455" s="9" t="s">
        <v>77</v>
      </c>
      <c r="AJ1455" s="9" t="s">
        <v>301</v>
      </c>
      <c r="AK1455" s="23" t="str">
        <f t="shared" si="10"/>
        <v>2022GBP</v>
      </c>
      <c r="AL1455" s="23">
        <f>VLOOKUP(AK1455, Exchange_rates!$C:$D, 2, FALSE)</f>
        <v>1</v>
      </c>
      <c r="AM1455" s="14">
        <f t="shared" si="11"/>
        <v>2850</v>
      </c>
      <c r="AN1455" s="20"/>
      <c r="AO1455" s="20"/>
      <c r="AP1455" s="20"/>
      <c r="AQ1455" s="27" t="s">
        <v>49</v>
      </c>
      <c r="AR1455" t="s">
        <v>4579</v>
      </c>
      <c r="AS1455" s="16" t="s">
        <v>4580</v>
      </c>
      <c r="AT1455" s="20"/>
      <c r="AU1455" s="20"/>
      <c r="AV1455" s="20"/>
      <c r="AW1455" s="20"/>
      <c r="AX1455" s="20"/>
      <c r="AY1455" s="20"/>
      <c r="AZ1455" s="20"/>
      <c r="BA1455" s="20"/>
      <c r="BB1455" s="20"/>
      <c r="BC1455" s="20"/>
      <c r="BD1455" s="20"/>
      <c r="BE1455" s="20"/>
      <c r="BF1455" s="20"/>
      <c r="BG1455" s="20"/>
      <c r="BH1455" s="20"/>
    </row>
    <row r="1456" spans="1:60" ht="14.5">
      <c r="A1456" s="9" t="s">
        <v>7289</v>
      </c>
      <c r="B1456" s="9" t="s">
        <v>7290</v>
      </c>
      <c r="C1456" s="9" t="s">
        <v>7291</v>
      </c>
      <c r="D1456" s="9" t="s">
        <v>48</v>
      </c>
      <c r="E1456" s="17" t="s">
        <v>49</v>
      </c>
      <c r="F1456" s="9" t="s">
        <v>69</v>
      </c>
      <c r="G1456" s="9" t="s">
        <v>70</v>
      </c>
      <c r="H1456" s="9" t="s">
        <v>7292</v>
      </c>
      <c r="I1456" s="9" t="s">
        <v>72</v>
      </c>
      <c r="J1456" s="10">
        <v>44854</v>
      </c>
      <c r="K1456" s="10">
        <v>44939</v>
      </c>
      <c r="L1456" s="10">
        <v>44945</v>
      </c>
      <c r="M1456" s="10"/>
      <c r="N1456" s="9">
        <v>2023</v>
      </c>
      <c r="O1456" s="9" t="s">
        <v>7293</v>
      </c>
      <c r="P1456" s="9" t="s">
        <v>53</v>
      </c>
      <c r="Q1456" s="9" t="s">
        <v>53</v>
      </c>
      <c r="R1456" s="9" t="s">
        <v>7294</v>
      </c>
      <c r="T1456" s="9"/>
      <c r="V1456" s="9"/>
      <c r="W1456" s="11" t="str">
        <f>IFERROR(VLOOKUP(B1456, PlumX_snapshot!$A:$B, 2, FALSE), " ")</f>
        <v xml:space="preserve"> </v>
      </c>
      <c r="X1456" s="11" t="str">
        <f>IFERROR(VLOOKUP(B1456, PlumX_snapshot!$A:$C, 3, FALSE), " ")</f>
        <v xml:space="preserve"> </v>
      </c>
      <c r="Y1456" s="12" t="str">
        <f>IFERROR(VLOOKUP(B1456, PlumX_snapshot!$A:$D, 4, FALSE), " ")</f>
        <v xml:space="preserve"> </v>
      </c>
      <c r="Z1456" s="12" t="str">
        <f>IFERROR(VLOOKUP(B1456, PlumX_snapshot!$A:$E, 5, FALSE), " ")</f>
        <v xml:space="preserve"> </v>
      </c>
      <c r="AA1456" s="12" t="str">
        <f>IFERROR(VLOOKUP(B1456, PlumX_snapshot!$A:$F, 6, FALSE), " ")</f>
        <v xml:space="preserve"> </v>
      </c>
      <c r="AB1456" s="13"/>
      <c r="AC1456" s="9" t="s">
        <v>7295</v>
      </c>
      <c r="AD1456" s="9" t="s">
        <v>7296</v>
      </c>
      <c r="AH1456" s="9">
        <v>4000</v>
      </c>
      <c r="AI1456" s="11" t="s">
        <v>77</v>
      </c>
      <c r="AJ1456" s="11" t="s">
        <v>57</v>
      </c>
      <c r="AK1456" s="11" t="str">
        <f t="shared" si="10"/>
        <v>2023USD</v>
      </c>
      <c r="AL1456" s="11">
        <f>VLOOKUP(AK1456, Exchange_rates!$C:$D, 2, FALSE)</f>
        <v>0.80430000000000001</v>
      </c>
      <c r="AM1456" s="14">
        <f t="shared" si="11"/>
        <v>3860.6400000000003</v>
      </c>
      <c r="AN1456" s="9"/>
      <c r="AO1456" s="9"/>
      <c r="AP1456" s="17"/>
      <c r="AQ1456" s="15" t="s">
        <v>49</v>
      </c>
      <c r="AR1456" t="s">
        <v>7297</v>
      </c>
      <c r="AS1456" s="16"/>
    </row>
    <row r="1457" spans="1:60" ht="14.5">
      <c r="A1457" s="9" t="s">
        <v>7298</v>
      </c>
      <c r="B1457" s="9" t="s">
        <v>7299</v>
      </c>
      <c r="C1457" s="9" t="s">
        <v>7300</v>
      </c>
      <c r="D1457" s="9" t="s">
        <v>48</v>
      </c>
      <c r="E1457" s="17" t="s">
        <v>49</v>
      </c>
      <c r="F1457" s="9" t="s">
        <v>69</v>
      </c>
      <c r="G1457" s="9" t="s">
        <v>70</v>
      </c>
      <c r="H1457" s="9" t="s">
        <v>7292</v>
      </c>
      <c r="I1457" s="9" t="s">
        <v>72</v>
      </c>
      <c r="J1457" s="10">
        <v>44894</v>
      </c>
      <c r="K1457" s="10">
        <v>44945</v>
      </c>
      <c r="L1457" s="10">
        <v>44945</v>
      </c>
      <c r="M1457" s="10"/>
      <c r="N1457" s="9">
        <v>2023</v>
      </c>
      <c r="O1457" s="9" t="s">
        <v>7293</v>
      </c>
      <c r="P1457" s="9" t="s">
        <v>83</v>
      </c>
      <c r="Q1457" s="9" t="s">
        <v>53</v>
      </c>
      <c r="R1457" s="9" t="s">
        <v>7301</v>
      </c>
      <c r="T1457" s="9"/>
      <c r="V1457" s="9"/>
      <c r="W1457" s="11" t="str">
        <f>IFERROR(VLOOKUP(B1457, PlumX_snapshot!$A:$B, 2, FALSE), " ")</f>
        <v xml:space="preserve"> </v>
      </c>
      <c r="X1457" s="11" t="str">
        <f>IFERROR(VLOOKUP(B1457, PlumX_snapshot!$A:$C, 3, FALSE), " ")</f>
        <v xml:space="preserve"> </v>
      </c>
      <c r="Y1457" s="12" t="str">
        <f>IFERROR(VLOOKUP(B1457, PlumX_snapshot!$A:$D, 4, FALSE), " ")</f>
        <v xml:space="preserve"> </v>
      </c>
      <c r="Z1457" s="12" t="str">
        <f>IFERROR(VLOOKUP(B1457, PlumX_snapshot!$A:$E, 5, FALSE), " ")</f>
        <v xml:space="preserve"> </v>
      </c>
      <c r="AA1457" s="12" t="str">
        <f>IFERROR(VLOOKUP(B1457, PlumX_snapshot!$A:$F, 6, FALSE), " ")</f>
        <v xml:space="preserve"> </v>
      </c>
      <c r="AB1457" s="13"/>
      <c r="AC1457" s="9" t="s">
        <v>7302</v>
      </c>
      <c r="AD1457" s="9" t="s">
        <v>6087</v>
      </c>
      <c r="AH1457" s="9">
        <v>4000</v>
      </c>
      <c r="AI1457" s="11" t="s">
        <v>77</v>
      </c>
      <c r="AJ1457" s="11" t="s">
        <v>57</v>
      </c>
      <c r="AK1457" s="11" t="str">
        <f t="shared" si="10"/>
        <v>2023USD</v>
      </c>
      <c r="AL1457" s="11">
        <f>VLOOKUP(AK1457, Exchange_rates!$C:$D, 2, FALSE)</f>
        <v>0.80430000000000001</v>
      </c>
      <c r="AM1457" s="14">
        <f t="shared" si="11"/>
        <v>3860.6400000000003</v>
      </c>
      <c r="AN1457" s="9"/>
      <c r="AO1457" s="9"/>
      <c r="AP1457" s="17"/>
      <c r="AQ1457" s="15" t="s">
        <v>49</v>
      </c>
      <c r="AR1457" t="s">
        <v>7303</v>
      </c>
      <c r="AS1457" s="16" t="s">
        <v>7304</v>
      </c>
    </row>
    <row r="1458" spans="1:60" ht="14.5">
      <c r="A1458" s="9" t="s">
        <v>7305</v>
      </c>
      <c r="B1458" s="9" t="s">
        <v>7306</v>
      </c>
      <c r="C1458" s="9" t="s">
        <v>47</v>
      </c>
      <c r="D1458" s="9" t="s">
        <v>48</v>
      </c>
      <c r="E1458" s="17" t="s">
        <v>49</v>
      </c>
      <c r="F1458" s="9" t="s">
        <v>69</v>
      </c>
      <c r="G1458" s="9" t="s">
        <v>70</v>
      </c>
      <c r="H1458" s="9" t="s">
        <v>7292</v>
      </c>
      <c r="I1458" s="9" t="s">
        <v>72</v>
      </c>
      <c r="J1458" s="10">
        <v>44825</v>
      </c>
      <c r="K1458" s="10">
        <v>44943</v>
      </c>
      <c r="L1458" s="10">
        <v>44943</v>
      </c>
      <c r="M1458" s="10"/>
      <c r="N1458" s="9">
        <v>2023</v>
      </c>
      <c r="O1458" s="9" t="s">
        <v>7293</v>
      </c>
      <c r="P1458" s="9" t="s">
        <v>53</v>
      </c>
      <c r="Q1458" s="9" t="s">
        <v>53</v>
      </c>
      <c r="T1458" s="9"/>
      <c r="V1458" s="9"/>
      <c r="W1458" s="11" t="str">
        <f>IFERROR(VLOOKUP(B1458, PlumX_snapshot!$A:$B, 2, FALSE), " ")</f>
        <v xml:space="preserve"> </v>
      </c>
      <c r="X1458" s="11" t="str">
        <f>IFERROR(VLOOKUP(B1458, PlumX_snapshot!$A:$C, 3, FALSE), " ")</f>
        <v xml:space="preserve"> </v>
      </c>
      <c r="Y1458" s="12" t="str">
        <f>IFERROR(VLOOKUP(B1458, PlumX_snapshot!$A:$D, 4, FALSE), " ")</f>
        <v xml:space="preserve"> </v>
      </c>
      <c r="Z1458" s="12" t="str">
        <f>IFERROR(VLOOKUP(B1458, PlumX_snapshot!$A:$E, 5, FALSE), " ")</f>
        <v xml:space="preserve"> </v>
      </c>
      <c r="AA1458" s="12" t="str">
        <f>IFERROR(VLOOKUP(B1458, PlumX_snapshot!$A:$F, 6, FALSE), " ")</f>
        <v xml:space="preserve"> </v>
      </c>
      <c r="AB1458" s="13"/>
      <c r="AC1458" s="9" t="s">
        <v>7307</v>
      </c>
      <c r="AD1458" s="9" t="s">
        <v>7308</v>
      </c>
      <c r="AH1458" s="9">
        <v>4000</v>
      </c>
      <c r="AI1458" s="11" t="s">
        <v>77</v>
      </c>
      <c r="AJ1458" s="11" t="s">
        <v>57</v>
      </c>
      <c r="AK1458" s="11" t="str">
        <f t="shared" si="10"/>
        <v>2023USD</v>
      </c>
      <c r="AL1458" s="11">
        <f>VLOOKUP(AK1458, Exchange_rates!$C:$D, 2, FALSE)</f>
        <v>0.80430000000000001</v>
      </c>
      <c r="AM1458" s="14">
        <f t="shared" si="11"/>
        <v>3860.6400000000003</v>
      </c>
      <c r="AN1458" s="9"/>
      <c r="AO1458" s="9"/>
      <c r="AP1458" s="17"/>
      <c r="AQ1458" s="15" t="s">
        <v>49</v>
      </c>
      <c r="AR1458" t="s">
        <v>58</v>
      </c>
      <c r="AS1458" s="16" t="s">
        <v>59</v>
      </c>
    </row>
    <row r="1459" spans="1:60" ht="14.5">
      <c r="A1459" s="9" t="s">
        <v>7309</v>
      </c>
      <c r="B1459" s="9" t="s">
        <v>7310</v>
      </c>
      <c r="C1459" s="9" t="s">
        <v>7291</v>
      </c>
      <c r="D1459" s="9" t="s">
        <v>48</v>
      </c>
      <c r="E1459" s="17" t="s">
        <v>49</v>
      </c>
      <c r="F1459" s="9" t="s">
        <v>69</v>
      </c>
      <c r="G1459" s="9" t="s">
        <v>70</v>
      </c>
      <c r="H1459" s="9" t="s">
        <v>7292</v>
      </c>
      <c r="I1459" s="9" t="s">
        <v>72</v>
      </c>
      <c r="J1459" s="10">
        <v>44817</v>
      </c>
      <c r="K1459" s="10">
        <v>44935</v>
      </c>
      <c r="L1459" s="10">
        <v>44935</v>
      </c>
      <c r="M1459" s="10"/>
      <c r="N1459" s="9">
        <v>2023</v>
      </c>
      <c r="O1459" s="9" t="s">
        <v>7293</v>
      </c>
      <c r="P1459" s="9" t="s">
        <v>83</v>
      </c>
      <c r="Q1459" s="9" t="s">
        <v>53</v>
      </c>
      <c r="R1459" s="9" t="s">
        <v>7311</v>
      </c>
      <c r="T1459" s="9"/>
      <c r="V1459" s="9"/>
      <c r="W1459" s="11" t="str">
        <f>IFERROR(VLOOKUP(B1459, PlumX_snapshot!$A:$B, 2, FALSE), " ")</f>
        <v xml:space="preserve"> </v>
      </c>
      <c r="X1459" s="11" t="str">
        <f>IFERROR(VLOOKUP(B1459, PlumX_snapshot!$A:$C, 3, FALSE), " ")</f>
        <v xml:space="preserve"> </v>
      </c>
      <c r="Y1459" s="12" t="str">
        <f>IFERROR(VLOOKUP(B1459, PlumX_snapshot!$A:$D, 4, FALSE), " ")</f>
        <v xml:space="preserve"> </v>
      </c>
      <c r="Z1459" s="12" t="str">
        <f>IFERROR(VLOOKUP(B1459, PlumX_snapshot!$A:$E, 5, FALSE), " ")</f>
        <v xml:space="preserve"> </v>
      </c>
      <c r="AA1459" s="12" t="str">
        <f>IFERROR(VLOOKUP(B1459, PlumX_snapshot!$A:$F, 6, FALSE), " ")</f>
        <v xml:space="preserve"> </v>
      </c>
      <c r="AB1459" s="13"/>
      <c r="AC1459" s="9" t="s">
        <v>7307</v>
      </c>
      <c r="AD1459" s="9" t="s">
        <v>7308</v>
      </c>
      <c r="AH1459" s="9">
        <v>4000</v>
      </c>
      <c r="AI1459" s="11" t="s">
        <v>77</v>
      </c>
      <c r="AJ1459" s="11" t="s">
        <v>57</v>
      </c>
      <c r="AK1459" s="11" t="str">
        <f t="shared" si="10"/>
        <v>2023USD</v>
      </c>
      <c r="AL1459" s="11">
        <f>VLOOKUP(AK1459, Exchange_rates!$C:$D, 2, FALSE)</f>
        <v>0.80430000000000001</v>
      </c>
      <c r="AM1459" s="14">
        <f t="shared" si="11"/>
        <v>3860.6400000000003</v>
      </c>
      <c r="AN1459" s="9"/>
      <c r="AO1459" s="9"/>
      <c r="AP1459" s="17"/>
      <c r="AQ1459" s="15" t="s">
        <v>49</v>
      </c>
      <c r="AR1459" t="s">
        <v>7297</v>
      </c>
      <c r="AS1459" s="16"/>
    </row>
    <row r="1460" spans="1:60" ht="14.5">
      <c r="A1460" s="9" t="s">
        <v>7312</v>
      </c>
      <c r="B1460" s="9" t="s">
        <v>7313</v>
      </c>
      <c r="C1460" s="9" t="s">
        <v>68</v>
      </c>
      <c r="D1460" s="9" t="s">
        <v>48</v>
      </c>
      <c r="E1460" s="17" t="s">
        <v>49</v>
      </c>
      <c r="F1460" s="9" t="s">
        <v>69</v>
      </c>
      <c r="G1460" s="9" t="s">
        <v>70</v>
      </c>
      <c r="H1460" s="9" t="s">
        <v>7292</v>
      </c>
      <c r="I1460" s="9" t="s">
        <v>72</v>
      </c>
      <c r="J1460" s="10">
        <v>44813</v>
      </c>
      <c r="K1460" s="10">
        <v>44931</v>
      </c>
      <c r="L1460" s="10">
        <v>44931</v>
      </c>
      <c r="M1460" s="10"/>
      <c r="N1460" s="9">
        <v>2023</v>
      </c>
      <c r="O1460" s="9" t="s">
        <v>7293</v>
      </c>
      <c r="P1460" s="9" t="s">
        <v>53</v>
      </c>
      <c r="Q1460" s="9" t="s">
        <v>53</v>
      </c>
      <c r="T1460" s="9"/>
      <c r="V1460" s="9"/>
      <c r="W1460" s="11" t="str">
        <f>IFERROR(VLOOKUP(B1460, PlumX_snapshot!$A:$B, 2, FALSE), " ")</f>
        <v xml:space="preserve"> </v>
      </c>
      <c r="X1460" s="11" t="str">
        <f>IFERROR(VLOOKUP(B1460, PlumX_snapshot!$A:$C, 3, FALSE), " ")</f>
        <v xml:space="preserve"> </v>
      </c>
      <c r="Y1460" s="12" t="str">
        <f>IFERROR(VLOOKUP(B1460, PlumX_snapshot!$A:$D, 4, FALSE), " ")</f>
        <v xml:space="preserve"> </v>
      </c>
      <c r="Z1460" s="12" t="str">
        <f>IFERROR(VLOOKUP(B1460, PlumX_snapshot!$A:$E, 5, FALSE), " ")</f>
        <v xml:space="preserve"> </v>
      </c>
      <c r="AA1460" s="12" t="str">
        <f>IFERROR(VLOOKUP(B1460, PlumX_snapshot!$A:$F, 6, FALSE), " ")</f>
        <v xml:space="preserve"> </v>
      </c>
      <c r="AB1460" s="13"/>
      <c r="AC1460" s="9" t="s">
        <v>7314</v>
      </c>
      <c r="AD1460" s="9" t="s">
        <v>7315</v>
      </c>
      <c r="AH1460" s="9">
        <v>4000</v>
      </c>
      <c r="AI1460" s="11" t="s">
        <v>77</v>
      </c>
      <c r="AJ1460" s="11" t="s">
        <v>57</v>
      </c>
      <c r="AK1460" s="11" t="str">
        <f t="shared" si="10"/>
        <v>2023USD</v>
      </c>
      <c r="AL1460" s="11">
        <f>VLOOKUP(AK1460, Exchange_rates!$C:$D, 2, FALSE)</f>
        <v>0.80430000000000001</v>
      </c>
      <c r="AM1460" s="14">
        <f t="shared" si="11"/>
        <v>3860.6400000000003</v>
      </c>
      <c r="AN1460" s="9"/>
      <c r="AO1460" s="9"/>
      <c r="AP1460" s="17"/>
      <c r="AQ1460" s="15" t="s">
        <v>49</v>
      </c>
      <c r="AR1460" t="s">
        <v>78</v>
      </c>
      <c r="AS1460" s="16" t="s">
        <v>79</v>
      </c>
    </row>
    <row r="1461" spans="1:60" ht="14.5">
      <c r="A1461" s="9" t="s">
        <v>7316</v>
      </c>
      <c r="B1461" s="9" t="s">
        <v>7317</v>
      </c>
      <c r="C1461" s="9" t="s">
        <v>171</v>
      </c>
      <c r="D1461" s="9" t="s">
        <v>48</v>
      </c>
      <c r="E1461" s="17" t="s">
        <v>49</v>
      </c>
      <c r="F1461" s="9" t="s">
        <v>69</v>
      </c>
      <c r="G1461" s="9" t="s">
        <v>70</v>
      </c>
      <c r="H1461" s="9" t="s">
        <v>71</v>
      </c>
      <c r="I1461" s="9" t="s">
        <v>72</v>
      </c>
      <c r="J1461" s="10">
        <v>44774</v>
      </c>
      <c r="K1461" s="10">
        <v>44929</v>
      </c>
      <c r="L1461" s="10">
        <v>44929</v>
      </c>
      <c r="M1461" s="10"/>
      <c r="N1461" s="9">
        <v>2023</v>
      </c>
      <c r="O1461" s="9" t="s">
        <v>7293</v>
      </c>
      <c r="P1461" s="9" t="s">
        <v>83</v>
      </c>
      <c r="Q1461" s="9" t="s">
        <v>53</v>
      </c>
      <c r="R1461" s="9" t="s">
        <v>7318</v>
      </c>
      <c r="T1461" s="9"/>
      <c r="V1461" s="9"/>
      <c r="W1461" s="11" t="str">
        <f>IFERROR(VLOOKUP(B1461, PlumX_snapshot!$A:$B, 2, FALSE), " ")</f>
        <v xml:space="preserve"> </v>
      </c>
      <c r="X1461" s="11" t="str">
        <f>IFERROR(VLOOKUP(B1461, PlumX_snapshot!$A:$C, 3, FALSE), " ")</f>
        <v xml:space="preserve"> </v>
      </c>
      <c r="Y1461" s="12" t="str">
        <f>IFERROR(VLOOKUP(B1461, PlumX_snapshot!$A:$D, 4, FALSE), " ")</f>
        <v xml:space="preserve"> </v>
      </c>
      <c r="Z1461" s="12" t="str">
        <f>IFERROR(VLOOKUP(B1461, PlumX_snapshot!$A:$E, 5, FALSE), " ")</f>
        <v xml:space="preserve"> </v>
      </c>
      <c r="AA1461" s="12" t="str">
        <f>IFERROR(VLOOKUP(B1461, PlumX_snapshot!$A:$F, 6, FALSE), " ")</f>
        <v xml:space="preserve"> </v>
      </c>
      <c r="AB1461" s="13"/>
      <c r="AC1461" s="9" t="s">
        <v>7319</v>
      </c>
      <c r="AD1461" s="9" t="s">
        <v>6732</v>
      </c>
      <c r="AH1461" s="9">
        <v>4000</v>
      </c>
      <c r="AI1461" s="11" t="s">
        <v>77</v>
      </c>
      <c r="AJ1461" s="11" t="s">
        <v>57</v>
      </c>
      <c r="AK1461" s="11" t="str">
        <f t="shared" si="10"/>
        <v>2023USD</v>
      </c>
      <c r="AL1461" s="11">
        <f>VLOOKUP(AK1461, Exchange_rates!$C:$D, 2, FALSE)</f>
        <v>0.80430000000000001</v>
      </c>
      <c r="AM1461" s="14">
        <f t="shared" si="11"/>
        <v>3860.6400000000003</v>
      </c>
      <c r="AN1461" s="9"/>
      <c r="AO1461" s="9"/>
      <c r="AP1461" s="17"/>
      <c r="AQ1461" s="15" t="s">
        <v>49</v>
      </c>
      <c r="AR1461" t="s">
        <v>175</v>
      </c>
      <c r="AS1461" s="16"/>
    </row>
    <row r="1462" spans="1:60" ht="14.5">
      <c r="A1462" s="9" t="s">
        <v>7320</v>
      </c>
      <c r="B1462" s="9" t="s">
        <v>7321</v>
      </c>
      <c r="C1462" s="9" t="s">
        <v>82</v>
      </c>
      <c r="D1462" s="9" t="s">
        <v>48</v>
      </c>
      <c r="E1462" s="17" t="s">
        <v>49</v>
      </c>
      <c r="F1462" s="9" t="s">
        <v>69</v>
      </c>
      <c r="G1462" s="9" t="s">
        <v>70</v>
      </c>
      <c r="H1462" s="9" t="s">
        <v>71</v>
      </c>
      <c r="I1462" s="9" t="s">
        <v>72</v>
      </c>
      <c r="J1462" s="10">
        <v>44893</v>
      </c>
      <c r="K1462" s="10">
        <v>44922</v>
      </c>
      <c r="L1462" s="10">
        <v>44922</v>
      </c>
      <c r="M1462" s="10"/>
      <c r="N1462" s="9">
        <v>2022</v>
      </c>
      <c r="O1462" s="9" t="s">
        <v>7293</v>
      </c>
      <c r="P1462" s="9" t="s">
        <v>83</v>
      </c>
      <c r="Q1462" s="9" t="s">
        <v>53</v>
      </c>
      <c r="R1462" s="9" t="s">
        <v>7322</v>
      </c>
      <c r="T1462" s="9"/>
      <c r="V1462" s="9"/>
      <c r="W1462" s="11" t="str">
        <f>IFERROR(VLOOKUP(B1462, PlumX_snapshot!$A:$B, 2, FALSE), " ")</f>
        <v xml:space="preserve"> </v>
      </c>
      <c r="X1462" s="11" t="str">
        <f>IFERROR(VLOOKUP(B1462, PlumX_snapshot!$A:$C, 3, FALSE), " ")</f>
        <v xml:space="preserve"> </v>
      </c>
      <c r="Y1462" s="12" t="str">
        <f>IFERROR(VLOOKUP(B1462, PlumX_snapshot!$A:$D, 4, FALSE), " ")</f>
        <v xml:space="preserve"> </v>
      </c>
      <c r="Z1462" s="12" t="str">
        <f>IFERROR(VLOOKUP(B1462, PlumX_snapshot!$A:$E, 5, FALSE), " ")</f>
        <v xml:space="preserve"> </v>
      </c>
      <c r="AA1462" s="12" t="str">
        <f>IFERROR(VLOOKUP(B1462, PlumX_snapshot!$A:$F, 6, FALSE), " ")</f>
        <v xml:space="preserve"> </v>
      </c>
      <c r="AB1462" s="13"/>
      <c r="AC1462" s="9" t="s">
        <v>173</v>
      </c>
      <c r="AD1462" s="9" t="s">
        <v>174</v>
      </c>
      <c r="AH1462" s="9">
        <v>4000</v>
      </c>
      <c r="AI1462" s="11" t="s">
        <v>77</v>
      </c>
      <c r="AJ1462" s="11" t="s">
        <v>57</v>
      </c>
      <c r="AK1462" s="11" t="str">
        <f t="shared" si="10"/>
        <v>2022USD</v>
      </c>
      <c r="AL1462" s="11">
        <f>VLOOKUP(AK1462, Exchange_rates!$C:$D, 2, FALSE)</f>
        <v>0.8115</v>
      </c>
      <c r="AM1462" s="14">
        <f t="shared" si="11"/>
        <v>3895.2</v>
      </c>
      <c r="AN1462" s="9"/>
      <c r="AO1462" s="9"/>
      <c r="AP1462" s="17"/>
      <c r="AQ1462" s="15" t="s">
        <v>49</v>
      </c>
      <c r="AR1462" t="s">
        <v>87</v>
      </c>
      <c r="AS1462" s="16" t="s">
        <v>88</v>
      </c>
    </row>
    <row r="1463" spans="1:60" ht="14.5">
      <c r="A1463" s="9" t="s">
        <v>7323</v>
      </c>
      <c r="B1463" s="9" t="s">
        <v>7324</v>
      </c>
      <c r="C1463" s="9" t="s">
        <v>7325</v>
      </c>
      <c r="D1463" s="9" t="s">
        <v>48</v>
      </c>
      <c r="E1463" s="17" t="s">
        <v>49</v>
      </c>
      <c r="F1463" s="9" t="s">
        <v>69</v>
      </c>
      <c r="G1463" s="9" t="s">
        <v>70</v>
      </c>
      <c r="H1463" s="9" t="s">
        <v>71</v>
      </c>
      <c r="I1463" s="9" t="s">
        <v>72</v>
      </c>
      <c r="J1463" s="10">
        <v>44833</v>
      </c>
      <c r="K1463" s="10">
        <v>44908</v>
      </c>
      <c r="L1463" s="10">
        <v>44908</v>
      </c>
      <c r="M1463" s="10"/>
      <c r="N1463" s="9">
        <v>2022</v>
      </c>
      <c r="O1463" s="9" t="s">
        <v>7293</v>
      </c>
      <c r="P1463" s="9" t="s">
        <v>83</v>
      </c>
      <c r="Q1463" s="9" t="s">
        <v>53</v>
      </c>
      <c r="R1463" s="9" t="s">
        <v>7326</v>
      </c>
      <c r="T1463" s="9"/>
      <c r="V1463" s="9"/>
      <c r="W1463" s="11" t="str">
        <f>IFERROR(VLOOKUP(B1463, PlumX_snapshot!$A:$B, 2, FALSE), " ")</f>
        <v xml:space="preserve"> </v>
      </c>
      <c r="X1463" s="11" t="str">
        <f>IFERROR(VLOOKUP(B1463, PlumX_snapshot!$A:$C, 3, FALSE), " ")</f>
        <v xml:space="preserve"> </v>
      </c>
      <c r="Y1463" s="12" t="str">
        <f>IFERROR(VLOOKUP(B1463, PlumX_snapshot!$A:$D, 4, FALSE), " ")</f>
        <v xml:space="preserve"> </v>
      </c>
      <c r="Z1463" s="12" t="str">
        <f>IFERROR(VLOOKUP(B1463, PlumX_snapshot!$A:$E, 5, FALSE), " ")</f>
        <v xml:space="preserve"> </v>
      </c>
      <c r="AA1463" s="12" t="str">
        <f>IFERROR(VLOOKUP(B1463, PlumX_snapshot!$A:$F, 6, FALSE), " ")</f>
        <v xml:space="preserve"> </v>
      </c>
      <c r="AB1463" s="13"/>
      <c r="AC1463" s="9" t="s">
        <v>7327</v>
      </c>
      <c r="AD1463" s="9" t="s">
        <v>7328</v>
      </c>
      <c r="AH1463" s="9">
        <v>4000</v>
      </c>
      <c r="AI1463" s="11" t="s">
        <v>77</v>
      </c>
      <c r="AJ1463" s="11" t="s">
        <v>57</v>
      </c>
      <c r="AK1463" s="11" t="str">
        <f t="shared" si="10"/>
        <v>2022USD</v>
      </c>
      <c r="AL1463" s="11">
        <f>VLOOKUP(AK1463, Exchange_rates!$C:$D, 2, FALSE)</f>
        <v>0.8115</v>
      </c>
      <c r="AM1463" s="14">
        <f t="shared" si="11"/>
        <v>3895.2</v>
      </c>
      <c r="AN1463" s="9"/>
      <c r="AO1463" s="9"/>
      <c r="AP1463" s="17"/>
      <c r="AQ1463" s="15" t="s">
        <v>49</v>
      </c>
      <c r="AR1463" t="s">
        <v>7329</v>
      </c>
      <c r="AS1463" s="16" t="s">
        <v>7330</v>
      </c>
    </row>
    <row r="1464" spans="1:60" ht="14.5">
      <c r="A1464" s="9" t="s">
        <v>7331</v>
      </c>
      <c r="B1464" s="9" t="s">
        <v>7332</v>
      </c>
      <c r="C1464" s="20" t="s">
        <v>7291</v>
      </c>
      <c r="D1464" s="20" t="s">
        <v>48</v>
      </c>
      <c r="E1464" s="21" t="s">
        <v>49</v>
      </c>
      <c r="F1464" s="9" t="s">
        <v>69</v>
      </c>
      <c r="G1464" s="9" t="s">
        <v>51</v>
      </c>
      <c r="H1464" s="9"/>
      <c r="I1464" s="9" t="s">
        <v>72</v>
      </c>
      <c r="J1464" s="10">
        <v>44847</v>
      </c>
      <c r="K1464" s="10">
        <v>44897</v>
      </c>
      <c r="L1464" s="10">
        <v>44897</v>
      </c>
      <c r="M1464" s="10"/>
      <c r="N1464" s="9">
        <v>2022</v>
      </c>
      <c r="O1464" s="9" t="s">
        <v>7293</v>
      </c>
      <c r="P1464" s="9" t="s">
        <v>53</v>
      </c>
      <c r="Q1464" s="9" t="s">
        <v>53</v>
      </c>
      <c r="R1464" s="9" t="s">
        <v>7333</v>
      </c>
      <c r="S1464" s="9" t="s">
        <v>7334</v>
      </c>
      <c r="T1464" s="9" t="s">
        <v>55</v>
      </c>
      <c r="V1464" s="9"/>
      <c r="W1464" s="11" t="str">
        <f>IFERROR(VLOOKUP(B1464, PlumX_snapshot!$A:$B, 2, FALSE), " ")</f>
        <v xml:space="preserve"> </v>
      </c>
      <c r="X1464" s="11" t="str">
        <f>IFERROR(VLOOKUP(B1464, PlumX_snapshot!$A:$C, 3, FALSE), " ")</f>
        <v xml:space="preserve"> </v>
      </c>
      <c r="Y1464" s="12" t="str">
        <f>IFERROR(VLOOKUP(B1464, PlumX_snapshot!$A:$D, 4, FALSE), " ")</f>
        <v xml:space="preserve"> </v>
      </c>
      <c r="Z1464" s="12" t="str">
        <f>IFERROR(VLOOKUP(B1464, PlumX_snapshot!$A:$E, 5, FALSE), " ")</f>
        <v xml:space="preserve"> </v>
      </c>
      <c r="AA1464" s="12" t="str">
        <f>IFERROR(VLOOKUP(B1464, PlumX_snapshot!$A:$F, 6, FALSE), " ")</f>
        <v xml:space="preserve"> </v>
      </c>
      <c r="AB1464" s="13"/>
      <c r="AC1464" s="9" t="s">
        <v>7335</v>
      </c>
      <c r="AD1464" s="9" t="s">
        <v>7336</v>
      </c>
      <c r="AG1464" s="9" t="s">
        <v>70</v>
      </c>
      <c r="AH1464" s="9">
        <v>4000</v>
      </c>
      <c r="AI1464" s="11" t="s">
        <v>77</v>
      </c>
      <c r="AJ1464" s="11" t="s">
        <v>57</v>
      </c>
      <c r="AK1464" s="11" t="str">
        <f t="shared" si="10"/>
        <v>2022USD</v>
      </c>
      <c r="AL1464" s="11">
        <f>VLOOKUP(AK1464, Exchange_rates!$C:$D, 2, FALSE)</f>
        <v>0.8115</v>
      </c>
      <c r="AM1464" s="14">
        <f t="shared" si="11"/>
        <v>3895.2</v>
      </c>
      <c r="AN1464" s="9"/>
      <c r="AO1464" s="9"/>
      <c r="AP1464" s="21"/>
      <c r="AQ1464" s="27" t="s">
        <v>49</v>
      </c>
      <c r="AR1464" t="s">
        <v>7297</v>
      </c>
      <c r="AS1464" s="16"/>
    </row>
    <row r="1465" spans="1:60" ht="14.5">
      <c r="A1465" s="9" t="s">
        <v>7337</v>
      </c>
      <c r="B1465" s="9" t="s">
        <v>7338</v>
      </c>
      <c r="C1465" s="9" t="s">
        <v>7339</v>
      </c>
      <c r="D1465" s="9" t="s">
        <v>48</v>
      </c>
      <c r="E1465" s="17" t="s">
        <v>49</v>
      </c>
      <c r="F1465" s="9" t="s">
        <v>69</v>
      </c>
      <c r="G1465" s="9" t="s">
        <v>70</v>
      </c>
      <c r="H1465" s="9" t="s">
        <v>71</v>
      </c>
      <c r="I1465" s="9" t="s">
        <v>72</v>
      </c>
      <c r="J1465" s="10">
        <v>44796</v>
      </c>
      <c r="K1465" s="10">
        <v>44880</v>
      </c>
      <c r="L1465" s="10">
        <v>44880</v>
      </c>
      <c r="M1465" s="10"/>
      <c r="N1465" s="9">
        <v>2022</v>
      </c>
      <c r="O1465" s="9" t="s">
        <v>7293</v>
      </c>
      <c r="P1465" s="9" t="s">
        <v>53</v>
      </c>
      <c r="Q1465" s="9" t="s">
        <v>53</v>
      </c>
      <c r="R1465" s="9" t="s">
        <v>7340</v>
      </c>
      <c r="T1465" s="9"/>
      <c r="V1465" s="9"/>
      <c r="W1465" s="11" t="str">
        <f>IFERROR(VLOOKUP(B1465, PlumX_snapshot!$A:$B, 2, FALSE), " ")</f>
        <v xml:space="preserve"> </v>
      </c>
      <c r="X1465" s="11" t="str">
        <f>IFERROR(VLOOKUP(B1465, PlumX_snapshot!$A:$C, 3, FALSE), " ")</f>
        <v xml:space="preserve"> </v>
      </c>
      <c r="Y1465" s="12" t="str">
        <f>IFERROR(VLOOKUP(B1465, PlumX_snapshot!$A:$D, 4, FALSE), " ")</f>
        <v xml:space="preserve"> </v>
      </c>
      <c r="Z1465" s="12" t="str">
        <f>IFERROR(VLOOKUP(B1465, PlumX_snapshot!$A:$E, 5, FALSE), " ")</f>
        <v xml:space="preserve"> </v>
      </c>
      <c r="AA1465" s="12" t="str">
        <f>IFERROR(VLOOKUP(B1465, PlumX_snapshot!$A:$F, 6, FALSE), " ")</f>
        <v xml:space="preserve"> </v>
      </c>
      <c r="AB1465" s="13"/>
      <c r="AC1465" s="9" t="s">
        <v>6490</v>
      </c>
      <c r="AD1465" s="9" t="s">
        <v>6491</v>
      </c>
      <c r="AH1465" s="9">
        <v>4000</v>
      </c>
      <c r="AI1465" s="11" t="s">
        <v>77</v>
      </c>
      <c r="AJ1465" s="11" t="s">
        <v>57</v>
      </c>
      <c r="AK1465" s="11" t="str">
        <f t="shared" si="10"/>
        <v>2022USD</v>
      </c>
      <c r="AL1465" s="11">
        <f>VLOOKUP(AK1465, Exchange_rates!$C:$D, 2, FALSE)</f>
        <v>0.8115</v>
      </c>
      <c r="AM1465" s="14">
        <f t="shared" si="11"/>
        <v>3895.2</v>
      </c>
      <c r="AN1465" s="9"/>
      <c r="AO1465" s="9"/>
      <c r="AP1465" s="17"/>
      <c r="AQ1465" s="15" t="s">
        <v>49</v>
      </c>
      <c r="AR1465" t="s">
        <v>7341</v>
      </c>
      <c r="AS1465" s="16" t="s">
        <v>7342</v>
      </c>
    </row>
    <row r="1466" spans="1:60" ht="14.5">
      <c r="A1466" s="20" t="s">
        <v>7343</v>
      </c>
      <c r="B1466" s="20" t="s">
        <v>7344</v>
      </c>
      <c r="C1466" s="20" t="s">
        <v>161</v>
      </c>
      <c r="D1466" s="20" t="s">
        <v>48</v>
      </c>
      <c r="E1466" s="21" t="s">
        <v>49</v>
      </c>
      <c r="F1466" s="20" t="s">
        <v>69</v>
      </c>
      <c r="G1466" s="20" t="s">
        <v>70</v>
      </c>
      <c r="H1466" s="20" t="s">
        <v>71</v>
      </c>
      <c r="I1466" s="20" t="s">
        <v>72</v>
      </c>
      <c r="J1466" s="22">
        <v>44774</v>
      </c>
      <c r="K1466" s="22">
        <v>44872</v>
      </c>
      <c r="L1466" s="22">
        <v>44872</v>
      </c>
      <c r="M1466" s="22"/>
      <c r="N1466" s="20">
        <v>2022</v>
      </c>
      <c r="O1466" s="20" t="s">
        <v>7293</v>
      </c>
      <c r="P1466" s="20" t="s">
        <v>53</v>
      </c>
      <c r="Q1466" s="20" t="s">
        <v>53</v>
      </c>
      <c r="R1466" s="20" t="s">
        <v>7345</v>
      </c>
      <c r="S1466" s="20"/>
      <c r="T1466" s="20"/>
      <c r="V1466" s="20"/>
      <c r="W1466" s="23" t="str">
        <f>IFERROR(VLOOKUP(B1466, PlumX_snapshot!$A:$B, 2, FALSE), " ")</f>
        <v xml:space="preserve"> </v>
      </c>
      <c r="X1466" s="23" t="str">
        <f>IFERROR(VLOOKUP(B1466, PlumX_snapshot!$A:$C, 3, FALSE), " ")</f>
        <v xml:space="preserve"> </v>
      </c>
      <c r="Y1466" s="24" t="str">
        <f>IFERROR(VLOOKUP(B1466, PlumX_snapshot!$A:$D, 4, FALSE), " ")</f>
        <v xml:space="preserve"> </v>
      </c>
      <c r="Z1466" s="24" t="str">
        <f>IFERROR(VLOOKUP(B1466, PlumX_snapshot!$A:$E, 5, FALSE), " ")</f>
        <v xml:space="preserve"> </v>
      </c>
      <c r="AA1466" s="24" t="str">
        <f>IFERROR(VLOOKUP(B1466, PlumX_snapshot!$A:$F, 6, FALSE), " ")</f>
        <v xml:space="preserve"> </v>
      </c>
      <c r="AB1466" s="25"/>
      <c r="AC1466" s="20" t="s">
        <v>7346</v>
      </c>
      <c r="AD1466" s="20" t="s">
        <v>7347</v>
      </c>
      <c r="AE1466" s="20"/>
      <c r="AF1466" s="20"/>
      <c r="AG1466" s="20"/>
      <c r="AH1466" s="20">
        <v>4000</v>
      </c>
      <c r="AI1466" s="23" t="s">
        <v>77</v>
      </c>
      <c r="AJ1466" s="23" t="s">
        <v>57</v>
      </c>
      <c r="AK1466" s="23" t="str">
        <f t="shared" si="10"/>
        <v>2022USD</v>
      </c>
      <c r="AL1466" s="23">
        <f>VLOOKUP(AK1466, Exchange_rates!$C:$D, 2, FALSE)</f>
        <v>0.8115</v>
      </c>
      <c r="AM1466" s="14">
        <f t="shared" si="11"/>
        <v>3895.2</v>
      </c>
      <c r="AN1466" s="20"/>
      <c r="AO1466" s="20"/>
      <c r="AP1466" s="21"/>
      <c r="AQ1466" s="27" t="s">
        <v>49</v>
      </c>
      <c r="AR1466" t="s">
        <v>165</v>
      </c>
      <c r="AS1466" s="16" t="s">
        <v>166</v>
      </c>
      <c r="AT1466" s="20"/>
      <c r="AU1466" s="20"/>
      <c r="AV1466" s="20"/>
      <c r="AW1466" s="20"/>
      <c r="AX1466" s="20"/>
      <c r="AY1466" s="20"/>
      <c r="AZ1466" s="20"/>
      <c r="BA1466" s="20"/>
      <c r="BB1466" s="20"/>
      <c r="BC1466" s="20"/>
      <c r="BD1466" s="20"/>
      <c r="BE1466" s="20"/>
      <c r="BF1466" s="20"/>
      <c r="BG1466" s="20"/>
      <c r="BH1466" s="20"/>
    </row>
    <row r="1467" spans="1:60" ht="14.5">
      <c r="A1467" s="9"/>
      <c r="B1467" s="9" t="s">
        <v>7348</v>
      </c>
      <c r="C1467" s="9" t="s">
        <v>7349</v>
      </c>
      <c r="D1467" s="9" t="s">
        <v>275</v>
      </c>
      <c r="E1467" s="9" t="s">
        <v>125</v>
      </c>
      <c r="F1467" s="9" t="s">
        <v>69</v>
      </c>
      <c r="G1467" s="9" t="s">
        <v>51</v>
      </c>
      <c r="H1467" s="9"/>
      <c r="I1467" s="9" t="s">
        <v>238</v>
      </c>
      <c r="J1467" s="10">
        <v>44575</v>
      </c>
      <c r="K1467" s="10">
        <v>44589</v>
      </c>
      <c r="L1467" s="10"/>
      <c r="M1467" s="10">
        <v>44636</v>
      </c>
      <c r="N1467" s="9">
        <v>2022</v>
      </c>
      <c r="O1467" s="9" t="s">
        <v>7350</v>
      </c>
      <c r="P1467" s="9" t="s">
        <v>53</v>
      </c>
      <c r="Q1467" s="9" t="s">
        <v>53</v>
      </c>
      <c r="R1467" s="9" t="s">
        <v>7351</v>
      </c>
      <c r="T1467" s="9" t="s">
        <v>279</v>
      </c>
      <c r="V1467" s="9"/>
      <c r="W1467" s="11" t="str">
        <f>IFERROR(VLOOKUP(B1467, PlumX_snapshot!$A:$B, 2, FALSE), " ")</f>
        <v xml:space="preserve"> </v>
      </c>
      <c r="X1467" s="11" t="str">
        <f>IFERROR(VLOOKUP(B1467, PlumX_snapshot!$A:$C, 3, FALSE), " ")</f>
        <v xml:space="preserve"> </v>
      </c>
      <c r="Y1467" s="12" t="str">
        <f>IFERROR(VLOOKUP(B1467, PlumX_snapshot!$A:$D, 4, FALSE), " ")</f>
        <v xml:space="preserve"> </v>
      </c>
      <c r="Z1467" s="12" t="str">
        <f>IFERROR(VLOOKUP(B1467, PlumX_snapshot!$A:$E, 5, FALSE), " ")</f>
        <v xml:space="preserve"> </v>
      </c>
      <c r="AA1467" s="12" t="str">
        <f>IFERROR(VLOOKUP(B1467, PlumX_snapshot!$A:$F, 6, FALSE), " ")</f>
        <v xml:space="preserve"> </v>
      </c>
      <c r="AB1467" s="13"/>
      <c r="AI1467" s="9"/>
      <c r="AJ1467" s="9"/>
      <c r="AK1467" s="11" t="str">
        <f t="shared" si="10"/>
        <v>2022</v>
      </c>
      <c r="AL1467" s="11" t="e">
        <f>VLOOKUP(AK1467, Exchange_rates!$C:$D, 2, FALSE)</f>
        <v>#N/A</v>
      </c>
      <c r="AM1467" s="14" t="str">
        <f t="shared" si="11"/>
        <v/>
      </c>
      <c r="AN1467" s="9"/>
      <c r="AO1467" s="9"/>
      <c r="AP1467" s="9"/>
      <c r="AQ1467" s="15" t="s">
        <v>125</v>
      </c>
      <c r="AR1467" t="s">
        <v>7352</v>
      </c>
      <c r="AS1467" s="16"/>
    </row>
    <row r="1468" spans="1:60" ht="14.5">
      <c r="A1468" s="9"/>
      <c r="B1468" s="9" t="s">
        <v>7353</v>
      </c>
      <c r="C1468" s="9" t="s">
        <v>7354</v>
      </c>
      <c r="D1468" s="9" t="s">
        <v>275</v>
      </c>
      <c r="E1468" s="9" t="s">
        <v>125</v>
      </c>
      <c r="F1468" s="9" t="s">
        <v>69</v>
      </c>
      <c r="G1468" s="9" t="s">
        <v>51</v>
      </c>
      <c r="H1468" s="9"/>
      <c r="I1468" s="9" t="s">
        <v>72</v>
      </c>
      <c r="J1468" s="10">
        <v>44823</v>
      </c>
      <c r="K1468" s="10">
        <v>44824</v>
      </c>
      <c r="L1468" s="10"/>
      <c r="M1468" s="10">
        <v>44846</v>
      </c>
      <c r="N1468" s="9">
        <v>2022</v>
      </c>
      <c r="O1468" s="9" t="s">
        <v>7350</v>
      </c>
      <c r="P1468" s="9" t="s">
        <v>53</v>
      </c>
      <c r="Q1468" s="9" t="s">
        <v>53</v>
      </c>
      <c r="R1468" s="9" t="s">
        <v>7355</v>
      </c>
      <c r="T1468" s="9" t="s">
        <v>279</v>
      </c>
      <c r="V1468" s="9"/>
      <c r="W1468" s="11" t="str">
        <f>IFERROR(VLOOKUP(B1468, PlumX_snapshot!$A:$B, 2, FALSE), " ")</f>
        <v xml:space="preserve"> </v>
      </c>
      <c r="X1468" s="11" t="str">
        <f>IFERROR(VLOOKUP(B1468, PlumX_snapshot!$A:$C, 3, FALSE), " ")</f>
        <v xml:space="preserve"> </v>
      </c>
      <c r="Y1468" s="12" t="str">
        <f>IFERROR(VLOOKUP(B1468, PlumX_snapshot!$A:$D, 4, FALSE), " ")</f>
        <v xml:space="preserve"> </v>
      </c>
      <c r="Z1468" s="12" t="str">
        <f>IFERROR(VLOOKUP(B1468, PlumX_snapshot!$A:$E, 5, FALSE), " ")</f>
        <v xml:space="preserve"> </v>
      </c>
      <c r="AA1468" s="12" t="str">
        <f>IFERROR(VLOOKUP(B1468, PlumX_snapshot!$A:$F, 6, FALSE), " ")</f>
        <v xml:space="preserve"> </v>
      </c>
      <c r="AB1468" s="13"/>
      <c r="AI1468" s="9"/>
      <c r="AJ1468" s="9"/>
      <c r="AK1468" s="11" t="str">
        <f t="shared" si="10"/>
        <v>2022</v>
      </c>
      <c r="AL1468" s="11" t="e">
        <f>VLOOKUP(AK1468, Exchange_rates!$C:$D, 2, FALSE)</f>
        <v>#N/A</v>
      </c>
      <c r="AM1468" s="14" t="str">
        <f t="shared" si="11"/>
        <v/>
      </c>
      <c r="AN1468" s="9"/>
      <c r="AO1468" s="9"/>
      <c r="AP1468" s="9"/>
      <c r="AQ1468" s="15" t="s">
        <v>125</v>
      </c>
      <c r="AR1468" t="s">
        <v>7356</v>
      </c>
      <c r="AS1468" s="16"/>
    </row>
    <row r="1469" spans="1:60" ht="14.5">
      <c r="A1469" s="9"/>
      <c r="B1469" s="9" t="s">
        <v>7357</v>
      </c>
      <c r="C1469" s="9" t="s">
        <v>274</v>
      </c>
      <c r="D1469" s="9" t="s">
        <v>275</v>
      </c>
      <c r="E1469" s="9" t="s">
        <v>125</v>
      </c>
      <c r="F1469" s="9" t="s">
        <v>69</v>
      </c>
      <c r="G1469" s="9" t="s">
        <v>51</v>
      </c>
      <c r="H1469" s="9"/>
      <c r="I1469" s="9" t="s">
        <v>72</v>
      </c>
      <c r="J1469" s="10">
        <v>44733</v>
      </c>
      <c r="K1469" s="10">
        <v>44763</v>
      </c>
      <c r="L1469" s="10"/>
      <c r="M1469" s="10">
        <v>44812</v>
      </c>
      <c r="N1469" s="9">
        <v>2022</v>
      </c>
      <c r="O1469" s="9" t="s">
        <v>7350</v>
      </c>
      <c r="P1469" s="9" t="s">
        <v>53</v>
      </c>
      <c r="Q1469" s="9" t="s">
        <v>53</v>
      </c>
      <c r="R1469" s="9" t="s">
        <v>7358</v>
      </c>
      <c r="T1469" s="9" t="s">
        <v>279</v>
      </c>
      <c r="V1469" s="9"/>
      <c r="W1469" s="11" t="str">
        <f>IFERROR(VLOOKUP(B1469, PlumX_snapshot!$A:$B, 2, FALSE), " ")</f>
        <v xml:space="preserve"> </v>
      </c>
      <c r="X1469" s="11" t="str">
        <f>IFERROR(VLOOKUP(B1469, PlumX_snapshot!$A:$C, 3, FALSE), " ")</f>
        <v xml:space="preserve"> </v>
      </c>
      <c r="Y1469" s="12" t="str">
        <f>IFERROR(VLOOKUP(B1469, PlumX_snapshot!$A:$D, 4, FALSE), " ")</f>
        <v xml:space="preserve"> </v>
      </c>
      <c r="Z1469" s="12" t="str">
        <f>IFERROR(VLOOKUP(B1469, PlumX_snapshot!$A:$E, 5, FALSE), " ")</f>
        <v xml:space="preserve"> </v>
      </c>
      <c r="AA1469" s="12" t="str">
        <f>IFERROR(VLOOKUP(B1469, PlumX_snapshot!$A:$F, 6, FALSE), " ")</f>
        <v xml:space="preserve"> </v>
      </c>
      <c r="AB1469" s="13"/>
      <c r="AI1469" s="9"/>
      <c r="AJ1469" s="9"/>
      <c r="AK1469" s="11" t="str">
        <f t="shared" si="10"/>
        <v>2022</v>
      </c>
      <c r="AL1469" s="11" t="e">
        <f>VLOOKUP(AK1469, Exchange_rates!$C:$D, 2, FALSE)</f>
        <v>#N/A</v>
      </c>
      <c r="AM1469" s="14" t="str">
        <f t="shared" si="11"/>
        <v/>
      </c>
      <c r="AN1469" s="9"/>
      <c r="AO1469" s="9"/>
      <c r="AP1469" s="9"/>
      <c r="AQ1469" s="15" t="s">
        <v>125</v>
      </c>
      <c r="AR1469" t="s">
        <v>280</v>
      </c>
      <c r="AS1469" s="16"/>
    </row>
    <row r="1470" spans="1:60" ht="14.5">
      <c r="A1470" s="9"/>
      <c r="B1470" s="9" t="s">
        <v>7359</v>
      </c>
      <c r="C1470" s="9" t="s">
        <v>274</v>
      </c>
      <c r="D1470" s="9" t="s">
        <v>275</v>
      </c>
      <c r="E1470" s="9" t="s">
        <v>125</v>
      </c>
      <c r="F1470" s="9" t="s">
        <v>69</v>
      </c>
      <c r="G1470" s="9" t="s">
        <v>51</v>
      </c>
      <c r="H1470" s="9"/>
      <c r="I1470" s="9" t="s">
        <v>72</v>
      </c>
      <c r="J1470" s="10">
        <v>44592</v>
      </c>
      <c r="K1470" s="10">
        <v>44599</v>
      </c>
      <c r="L1470" s="10"/>
      <c r="M1470" s="10">
        <v>44627</v>
      </c>
      <c r="N1470" s="9">
        <v>2022</v>
      </c>
      <c r="O1470" s="9" t="s">
        <v>7350</v>
      </c>
      <c r="P1470" s="9" t="s">
        <v>53</v>
      </c>
      <c r="Q1470" s="9" t="s">
        <v>53</v>
      </c>
      <c r="R1470" s="9" t="s">
        <v>7360</v>
      </c>
      <c r="T1470" s="9" t="s">
        <v>279</v>
      </c>
      <c r="V1470" s="9"/>
      <c r="W1470" s="11" t="str">
        <f>IFERROR(VLOOKUP(B1470, PlumX_snapshot!$A:$B, 2, FALSE), " ")</f>
        <v xml:space="preserve"> </v>
      </c>
      <c r="X1470" s="11" t="str">
        <f>IFERROR(VLOOKUP(B1470, PlumX_snapshot!$A:$C, 3, FALSE), " ")</f>
        <v xml:space="preserve"> </v>
      </c>
      <c r="Y1470" s="12" t="str">
        <f>IFERROR(VLOOKUP(B1470, PlumX_snapshot!$A:$D, 4, FALSE), " ")</f>
        <v xml:space="preserve"> </v>
      </c>
      <c r="Z1470" s="12" t="str">
        <f>IFERROR(VLOOKUP(B1470, PlumX_snapshot!$A:$E, 5, FALSE), " ")</f>
        <v xml:space="preserve"> </v>
      </c>
      <c r="AA1470" s="12" t="str">
        <f>IFERROR(VLOOKUP(B1470, PlumX_snapshot!$A:$F, 6, FALSE), " ")</f>
        <v xml:space="preserve"> </v>
      </c>
      <c r="AB1470" s="13"/>
      <c r="AI1470" s="9"/>
      <c r="AJ1470" s="9"/>
      <c r="AK1470" s="11" t="str">
        <f t="shared" si="10"/>
        <v>2022</v>
      </c>
      <c r="AL1470" s="11" t="e">
        <f>VLOOKUP(AK1470, Exchange_rates!$C:$D, 2, FALSE)</f>
        <v>#N/A</v>
      </c>
      <c r="AM1470" s="14" t="str">
        <f t="shared" si="11"/>
        <v/>
      </c>
      <c r="AN1470" s="9"/>
      <c r="AO1470" s="9"/>
      <c r="AP1470" s="9"/>
      <c r="AQ1470" s="15" t="s">
        <v>125</v>
      </c>
      <c r="AR1470" t="s">
        <v>280</v>
      </c>
      <c r="AS1470" s="16"/>
    </row>
    <row r="1471" spans="1:60" ht="14.5">
      <c r="A1471" s="9"/>
      <c r="B1471" s="9" t="s">
        <v>7361</v>
      </c>
      <c r="C1471" s="9" t="s">
        <v>274</v>
      </c>
      <c r="D1471" s="9" t="s">
        <v>275</v>
      </c>
      <c r="E1471" s="9" t="s">
        <v>125</v>
      </c>
      <c r="F1471" s="9" t="s">
        <v>69</v>
      </c>
      <c r="G1471" s="9" t="s">
        <v>51</v>
      </c>
      <c r="H1471" s="9"/>
      <c r="I1471" s="9" t="s">
        <v>72</v>
      </c>
      <c r="J1471" s="10">
        <v>44510</v>
      </c>
      <c r="K1471" s="10">
        <v>44617</v>
      </c>
      <c r="L1471" s="10"/>
      <c r="M1471" s="10">
        <v>44649</v>
      </c>
      <c r="N1471" s="9">
        <v>2022</v>
      </c>
      <c r="O1471" s="9" t="s">
        <v>7350</v>
      </c>
      <c r="P1471" s="9" t="s">
        <v>53</v>
      </c>
      <c r="Q1471" s="9" t="s">
        <v>53</v>
      </c>
      <c r="R1471" s="9" t="s">
        <v>7362</v>
      </c>
      <c r="T1471" s="9" t="s">
        <v>279</v>
      </c>
      <c r="V1471" s="9"/>
      <c r="W1471" s="11" t="str">
        <f>IFERROR(VLOOKUP(B1471, PlumX_snapshot!$A:$B, 2, FALSE), " ")</f>
        <v xml:space="preserve"> </v>
      </c>
      <c r="X1471" s="11" t="str">
        <f>IFERROR(VLOOKUP(B1471, PlumX_snapshot!$A:$C, 3, FALSE), " ")</f>
        <v xml:space="preserve"> </v>
      </c>
      <c r="Y1471" s="12" t="str">
        <f>IFERROR(VLOOKUP(B1471, PlumX_snapshot!$A:$D, 4, FALSE), " ")</f>
        <v xml:space="preserve"> </v>
      </c>
      <c r="Z1471" s="12" t="str">
        <f>IFERROR(VLOOKUP(B1471, PlumX_snapshot!$A:$E, 5, FALSE), " ")</f>
        <v xml:space="preserve"> </v>
      </c>
      <c r="AA1471" s="12" t="str">
        <f>IFERROR(VLOOKUP(B1471, PlumX_snapshot!$A:$F, 6, FALSE), " ")</f>
        <v xml:space="preserve"> </v>
      </c>
      <c r="AB1471" s="13"/>
      <c r="AI1471" s="9"/>
      <c r="AJ1471" s="9"/>
      <c r="AK1471" s="11" t="str">
        <f t="shared" si="10"/>
        <v>2022</v>
      </c>
      <c r="AL1471" s="11" t="e">
        <f>VLOOKUP(AK1471, Exchange_rates!$C:$D, 2, FALSE)</f>
        <v>#N/A</v>
      </c>
      <c r="AM1471" s="14" t="str">
        <f t="shared" si="11"/>
        <v/>
      </c>
      <c r="AN1471" s="9"/>
      <c r="AO1471" s="9"/>
      <c r="AP1471" s="9"/>
      <c r="AQ1471" s="15" t="s">
        <v>125</v>
      </c>
      <c r="AR1471" t="s">
        <v>280</v>
      </c>
      <c r="AS1471" s="16"/>
    </row>
    <row r="1472" spans="1:60" ht="14.5">
      <c r="A1472" s="9"/>
      <c r="B1472" s="9" t="s">
        <v>7363</v>
      </c>
      <c r="C1472" s="9" t="s">
        <v>274</v>
      </c>
      <c r="D1472" s="9" t="s">
        <v>275</v>
      </c>
      <c r="E1472" s="9" t="s">
        <v>125</v>
      </c>
      <c r="F1472" s="9" t="s">
        <v>69</v>
      </c>
      <c r="G1472" s="9" t="s">
        <v>51</v>
      </c>
      <c r="H1472" s="9"/>
      <c r="I1472" s="9" t="s">
        <v>238</v>
      </c>
      <c r="J1472" s="10">
        <v>44720</v>
      </c>
      <c r="K1472" s="10">
        <v>44729</v>
      </c>
      <c r="L1472" s="10"/>
      <c r="M1472" s="10">
        <v>44755</v>
      </c>
      <c r="N1472" s="9">
        <v>2022</v>
      </c>
      <c r="O1472" s="9" t="s">
        <v>7350</v>
      </c>
      <c r="P1472" s="9" t="s">
        <v>53</v>
      </c>
      <c r="Q1472" s="9" t="s">
        <v>53</v>
      </c>
      <c r="R1472" s="9" t="s">
        <v>7364</v>
      </c>
      <c r="T1472" s="9" t="s">
        <v>279</v>
      </c>
      <c r="V1472" s="9"/>
      <c r="W1472" s="11" t="str">
        <f>IFERROR(VLOOKUP(B1472, PlumX_snapshot!$A:$B, 2, FALSE), " ")</f>
        <v xml:space="preserve"> </v>
      </c>
      <c r="X1472" s="11" t="str">
        <f>IFERROR(VLOOKUP(B1472, PlumX_snapshot!$A:$C, 3, FALSE), " ")</f>
        <v xml:space="preserve"> </v>
      </c>
      <c r="Y1472" s="12" t="str">
        <f>IFERROR(VLOOKUP(B1472, PlumX_snapshot!$A:$D, 4, FALSE), " ")</f>
        <v xml:space="preserve"> </v>
      </c>
      <c r="Z1472" s="12" t="str">
        <f>IFERROR(VLOOKUP(B1472, PlumX_snapshot!$A:$E, 5, FALSE), " ")</f>
        <v xml:space="preserve"> </v>
      </c>
      <c r="AA1472" s="12" t="str">
        <f>IFERROR(VLOOKUP(B1472, PlumX_snapshot!$A:$F, 6, FALSE), " ")</f>
        <v xml:space="preserve"> </v>
      </c>
      <c r="AB1472" s="13"/>
      <c r="AI1472" s="9"/>
      <c r="AJ1472" s="9"/>
      <c r="AK1472" s="11" t="str">
        <f t="shared" si="10"/>
        <v>2022</v>
      </c>
      <c r="AL1472" s="11" t="e">
        <f>VLOOKUP(AK1472, Exchange_rates!$C:$D, 2, FALSE)</f>
        <v>#N/A</v>
      </c>
      <c r="AM1472" s="14" t="str">
        <f t="shared" si="11"/>
        <v/>
      </c>
      <c r="AN1472" s="9"/>
      <c r="AO1472" s="9"/>
      <c r="AP1472" s="9"/>
      <c r="AQ1472" s="15" t="s">
        <v>125</v>
      </c>
      <c r="AR1472" t="s">
        <v>280</v>
      </c>
      <c r="AS1472" s="16"/>
    </row>
    <row r="1473" spans="1:45" ht="14.5">
      <c r="A1473" s="9"/>
      <c r="B1473" s="9" t="s">
        <v>7365</v>
      </c>
      <c r="C1473" s="9" t="s">
        <v>274</v>
      </c>
      <c r="D1473" s="9" t="s">
        <v>275</v>
      </c>
      <c r="E1473" s="9" t="s">
        <v>125</v>
      </c>
      <c r="F1473" s="9" t="s">
        <v>69</v>
      </c>
      <c r="G1473" s="9" t="s">
        <v>51</v>
      </c>
      <c r="H1473" s="9"/>
      <c r="I1473" s="9" t="s">
        <v>72</v>
      </c>
      <c r="J1473" s="10">
        <v>44781</v>
      </c>
      <c r="K1473" s="10">
        <v>44810</v>
      </c>
      <c r="L1473" s="10"/>
      <c r="M1473" s="10">
        <v>44833</v>
      </c>
      <c r="N1473" s="9">
        <v>2022</v>
      </c>
      <c r="O1473" s="9" t="s">
        <v>7350</v>
      </c>
      <c r="P1473" s="9" t="s">
        <v>83</v>
      </c>
      <c r="Q1473" s="9" t="s">
        <v>53</v>
      </c>
      <c r="R1473" s="9" t="s">
        <v>7366</v>
      </c>
      <c r="T1473" s="9" t="s">
        <v>279</v>
      </c>
      <c r="V1473" s="9"/>
      <c r="W1473" s="11" t="str">
        <f>IFERROR(VLOOKUP(B1473, PlumX_snapshot!$A:$B, 2, FALSE), " ")</f>
        <v xml:space="preserve"> </v>
      </c>
      <c r="X1473" s="11" t="str">
        <f>IFERROR(VLOOKUP(B1473, PlumX_snapshot!$A:$C, 3, FALSE), " ")</f>
        <v xml:space="preserve"> </v>
      </c>
      <c r="Y1473" s="12" t="str">
        <f>IFERROR(VLOOKUP(B1473, PlumX_snapshot!$A:$D, 4, FALSE), " ")</f>
        <v xml:space="preserve"> </v>
      </c>
      <c r="Z1473" s="12" t="str">
        <f>IFERROR(VLOOKUP(B1473, PlumX_snapshot!$A:$E, 5, FALSE), " ")</f>
        <v xml:space="preserve"> </v>
      </c>
      <c r="AA1473" s="12" t="str">
        <f>IFERROR(VLOOKUP(B1473, PlumX_snapshot!$A:$F, 6, FALSE), " ")</f>
        <v xml:space="preserve"> </v>
      </c>
      <c r="AB1473" s="13"/>
      <c r="AI1473" s="9"/>
      <c r="AJ1473" s="9"/>
      <c r="AK1473" s="11" t="str">
        <f t="shared" si="10"/>
        <v>2022</v>
      </c>
      <c r="AL1473" s="11" t="e">
        <f>VLOOKUP(AK1473, Exchange_rates!$C:$D, 2, FALSE)</f>
        <v>#N/A</v>
      </c>
      <c r="AM1473" s="14" t="str">
        <f t="shared" si="11"/>
        <v/>
      </c>
      <c r="AN1473" s="9"/>
      <c r="AO1473" s="9"/>
      <c r="AP1473" s="9"/>
      <c r="AQ1473" s="15" t="s">
        <v>125</v>
      </c>
      <c r="AR1473" t="s">
        <v>280</v>
      </c>
      <c r="AS1473" s="16"/>
    </row>
    <row r="1474" spans="1:45" ht="14.5">
      <c r="A1474" s="9"/>
      <c r="B1474" s="9" t="s">
        <v>7367</v>
      </c>
      <c r="C1474" s="9" t="s">
        <v>274</v>
      </c>
      <c r="D1474" s="9" t="s">
        <v>275</v>
      </c>
      <c r="E1474" s="9" t="s">
        <v>125</v>
      </c>
      <c r="F1474" s="9" t="s">
        <v>69</v>
      </c>
      <c r="G1474" s="9" t="s">
        <v>51</v>
      </c>
      <c r="H1474" s="9"/>
      <c r="I1474" s="9" t="s">
        <v>72</v>
      </c>
      <c r="J1474" s="10">
        <v>44643</v>
      </c>
      <c r="K1474" s="10">
        <v>44729</v>
      </c>
      <c r="L1474" s="10"/>
      <c r="M1474" s="10">
        <v>44713</v>
      </c>
      <c r="N1474" s="9">
        <v>2022</v>
      </c>
      <c r="O1474" s="9" t="s">
        <v>7350</v>
      </c>
      <c r="P1474" s="9" t="s">
        <v>83</v>
      </c>
      <c r="Q1474" s="9" t="s">
        <v>83</v>
      </c>
      <c r="R1474" s="9" t="s">
        <v>7368</v>
      </c>
      <c r="T1474" s="9" t="s">
        <v>279</v>
      </c>
      <c r="V1474" s="9"/>
      <c r="W1474" s="11" t="str">
        <f>IFERROR(VLOOKUP(B1474, PlumX_snapshot!$A:$B, 2, FALSE), " ")</f>
        <v xml:space="preserve"> </v>
      </c>
      <c r="X1474" s="11" t="str">
        <f>IFERROR(VLOOKUP(B1474, PlumX_snapshot!$A:$C, 3, FALSE), " ")</f>
        <v xml:space="preserve"> </v>
      </c>
      <c r="Y1474" s="12" t="str">
        <f>IFERROR(VLOOKUP(B1474, PlumX_snapshot!$A:$D, 4, FALSE), " ")</f>
        <v xml:space="preserve"> </v>
      </c>
      <c r="Z1474" s="12" t="str">
        <f>IFERROR(VLOOKUP(B1474, PlumX_snapshot!$A:$E, 5, FALSE), " ")</f>
        <v xml:space="preserve"> </v>
      </c>
      <c r="AA1474" s="12" t="str">
        <f>IFERROR(VLOOKUP(B1474, PlumX_snapshot!$A:$F, 6, FALSE), " ")</f>
        <v xml:space="preserve"> </v>
      </c>
      <c r="AB1474" s="13"/>
      <c r="AI1474" s="9"/>
      <c r="AJ1474" s="9"/>
      <c r="AK1474" s="11" t="str">
        <f t="shared" si="10"/>
        <v>2022</v>
      </c>
      <c r="AL1474" s="11" t="e">
        <f>VLOOKUP(AK1474, Exchange_rates!$C:$D, 2, FALSE)</f>
        <v>#N/A</v>
      </c>
      <c r="AM1474" s="14" t="str">
        <f t="shared" si="11"/>
        <v/>
      </c>
      <c r="AN1474" s="9"/>
      <c r="AO1474" s="9"/>
      <c r="AP1474" s="9"/>
      <c r="AQ1474" s="15" t="s">
        <v>125</v>
      </c>
      <c r="AR1474" t="s">
        <v>280</v>
      </c>
      <c r="AS1474" s="16"/>
    </row>
    <row r="1475" spans="1:45" ht="14.5">
      <c r="A1475" s="9"/>
      <c r="B1475" s="9" t="s">
        <v>7369</v>
      </c>
      <c r="C1475" s="9" t="s">
        <v>274</v>
      </c>
      <c r="D1475" s="9" t="s">
        <v>275</v>
      </c>
      <c r="E1475" s="9" t="s">
        <v>125</v>
      </c>
      <c r="F1475" s="9" t="s">
        <v>69</v>
      </c>
      <c r="G1475" s="9" t="s">
        <v>51</v>
      </c>
      <c r="H1475" s="9"/>
      <c r="I1475" s="9" t="s">
        <v>72</v>
      </c>
      <c r="J1475" s="10">
        <v>44816</v>
      </c>
      <c r="K1475" s="10">
        <v>44839</v>
      </c>
      <c r="L1475" s="10"/>
      <c r="M1475" s="10">
        <v>44868</v>
      </c>
      <c r="N1475" s="9">
        <v>2022</v>
      </c>
      <c r="O1475" s="9" t="s">
        <v>7350</v>
      </c>
      <c r="P1475" s="9" t="s">
        <v>53</v>
      </c>
      <c r="Q1475" s="9" t="s">
        <v>53</v>
      </c>
      <c r="R1475" s="9" t="s">
        <v>7370</v>
      </c>
      <c r="T1475" s="9" t="s">
        <v>279</v>
      </c>
      <c r="V1475" s="9"/>
      <c r="W1475" s="11" t="str">
        <f>IFERROR(VLOOKUP(B1475, PlumX_snapshot!$A:$B, 2, FALSE), " ")</f>
        <v xml:space="preserve"> </v>
      </c>
      <c r="X1475" s="11" t="str">
        <f>IFERROR(VLOOKUP(B1475, PlumX_snapshot!$A:$C, 3, FALSE), " ")</f>
        <v xml:space="preserve"> </v>
      </c>
      <c r="Y1475" s="12" t="str">
        <f>IFERROR(VLOOKUP(B1475, PlumX_snapshot!$A:$D, 4, FALSE), " ")</f>
        <v xml:space="preserve"> </v>
      </c>
      <c r="Z1475" s="12" t="str">
        <f>IFERROR(VLOOKUP(B1475, PlumX_snapshot!$A:$E, 5, FALSE), " ")</f>
        <v xml:space="preserve"> </v>
      </c>
      <c r="AA1475" s="12" t="str">
        <f>IFERROR(VLOOKUP(B1475, PlumX_snapshot!$A:$F, 6, FALSE), " ")</f>
        <v xml:space="preserve"> </v>
      </c>
      <c r="AB1475" s="13"/>
      <c r="AI1475" s="9"/>
      <c r="AJ1475" s="9"/>
      <c r="AK1475" s="11" t="str">
        <f t="shared" si="10"/>
        <v>2022</v>
      </c>
      <c r="AL1475" s="11" t="e">
        <f>VLOOKUP(AK1475, Exchange_rates!$C:$D, 2, FALSE)</f>
        <v>#N/A</v>
      </c>
      <c r="AM1475" s="14" t="str">
        <f t="shared" si="11"/>
        <v/>
      </c>
      <c r="AN1475" s="9"/>
      <c r="AO1475" s="9"/>
      <c r="AP1475" s="9"/>
      <c r="AQ1475" s="15" t="s">
        <v>125</v>
      </c>
      <c r="AR1475" t="s">
        <v>280</v>
      </c>
      <c r="AS1475" s="16"/>
    </row>
    <row r="1476" spans="1:45" ht="14.5">
      <c r="A1476" s="9"/>
      <c r="B1476" s="9" t="s">
        <v>7371</v>
      </c>
      <c r="C1476" s="9" t="s">
        <v>274</v>
      </c>
      <c r="D1476" s="9" t="s">
        <v>275</v>
      </c>
      <c r="E1476" s="9" t="s">
        <v>125</v>
      </c>
      <c r="F1476" s="9" t="s">
        <v>69</v>
      </c>
      <c r="G1476" s="9" t="s">
        <v>51</v>
      </c>
      <c r="H1476" s="9"/>
      <c r="I1476" s="9" t="s">
        <v>72</v>
      </c>
      <c r="J1476" s="10">
        <v>44602</v>
      </c>
      <c r="K1476" s="10">
        <v>44633</v>
      </c>
      <c r="L1476" s="10"/>
      <c r="M1476" s="10">
        <v>44658</v>
      </c>
      <c r="N1476" s="9">
        <v>2022</v>
      </c>
      <c r="O1476" s="9" t="s">
        <v>7350</v>
      </c>
      <c r="P1476" s="9" t="s">
        <v>83</v>
      </c>
      <c r="Q1476" s="9" t="s">
        <v>53</v>
      </c>
      <c r="R1476" s="9" t="s">
        <v>7372</v>
      </c>
      <c r="T1476" s="9" t="s">
        <v>279</v>
      </c>
      <c r="V1476" s="9"/>
      <c r="W1476" s="11" t="str">
        <f>IFERROR(VLOOKUP(B1476, PlumX_snapshot!$A:$B, 2, FALSE), " ")</f>
        <v xml:space="preserve"> </v>
      </c>
      <c r="X1476" s="11" t="str">
        <f>IFERROR(VLOOKUP(B1476, PlumX_snapshot!$A:$C, 3, FALSE), " ")</f>
        <v xml:space="preserve"> </v>
      </c>
      <c r="Y1476" s="12" t="str">
        <f>IFERROR(VLOOKUP(B1476, PlumX_snapshot!$A:$D, 4, FALSE), " ")</f>
        <v xml:space="preserve"> </v>
      </c>
      <c r="Z1476" s="12" t="str">
        <f>IFERROR(VLOOKUP(B1476, PlumX_snapshot!$A:$E, 5, FALSE), " ")</f>
        <v xml:space="preserve"> </v>
      </c>
      <c r="AA1476" s="12" t="str">
        <f>IFERROR(VLOOKUP(B1476, PlumX_snapshot!$A:$F, 6, FALSE), " ")</f>
        <v xml:space="preserve"> </v>
      </c>
      <c r="AB1476" s="13"/>
      <c r="AI1476" s="9"/>
      <c r="AJ1476" s="9"/>
      <c r="AK1476" s="11" t="str">
        <f t="shared" si="10"/>
        <v>2022</v>
      </c>
      <c r="AL1476" s="11" t="e">
        <f>VLOOKUP(AK1476, Exchange_rates!$C:$D, 2, FALSE)</f>
        <v>#N/A</v>
      </c>
      <c r="AM1476" s="14" t="str">
        <f t="shared" si="11"/>
        <v/>
      </c>
      <c r="AN1476" s="9"/>
      <c r="AO1476" s="9"/>
      <c r="AP1476" s="9"/>
      <c r="AQ1476" s="15" t="s">
        <v>125</v>
      </c>
      <c r="AR1476" t="s">
        <v>280</v>
      </c>
      <c r="AS1476" s="16"/>
    </row>
    <row r="1477" spans="1:45" ht="14.5">
      <c r="A1477" s="9"/>
      <c r="B1477" s="9" t="s">
        <v>7373</v>
      </c>
      <c r="C1477" s="9" t="s">
        <v>274</v>
      </c>
      <c r="D1477" s="9" t="s">
        <v>275</v>
      </c>
      <c r="E1477" s="9" t="s">
        <v>125</v>
      </c>
      <c r="F1477" s="9" t="s">
        <v>69</v>
      </c>
      <c r="G1477" s="9" t="s">
        <v>51</v>
      </c>
      <c r="H1477" s="9"/>
      <c r="I1477" s="9" t="s">
        <v>72</v>
      </c>
      <c r="J1477" s="10">
        <v>44725</v>
      </c>
      <c r="K1477" s="10">
        <v>44726</v>
      </c>
      <c r="L1477" s="10"/>
      <c r="M1477" s="10">
        <v>44743</v>
      </c>
      <c r="N1477" s="9">
        <v>2022</v>
      </c>
      <c r="O1477" s="9" t="s">
        <v>7350</v>
      </c>
      <c r="P1477" s="9" t="s">
        <v>53</v>
      </c>
      <c r="Q1477" s="9" t="s">
        <v>83</v>
      </c>
      <c r="R1477" s="9" t="s">
        <v>7374</v>
      </c>
      <c r="T1477" s="9" t="s">
        <v>279</v>
      </c>
      <c r="V1477" s="9"/>
      <c r="W1477" s="11" t="str">
        <f>IFERROR(VLOOKUP(B1477, PlumX_snapshot!$A:$B, 2, FALSE), " ")</f>
        <v xml:space="preserve"> </v>
      </c>
      <c r="X1477" s="11" t="str">
        <f>IFERROR(VLOOKUP(B1477, PlumX_snapshot!$A:$C, 3, FALSE), " ")</f>
        <v xml:space="preserve"> </v>
      </c>
      <c r="Y1477" s="12" t="str">
        <f>IFERROR(VLOOKUP(B1477, PlumX_snapshot!$A:$D, 4, FALSE), " ")</f>
        <v xml:space="preserve"> </v>
      </c>
      <c r="Z1477" s="12" t="str">
        <f>IFERROR(VLOOKUP(B1477, PlumX_snapshot!$A:$E, 5, FALSE), " ")</f>
        <v xml:space="preserve"> </v>
      </c>
      <c r="AA1477" s="12" t="str">
        <f>IFERROR(VLOOKUP(B1477, PlumX_snapshot!$A:$F, 6, FALSE), " ")</f>
        <v xml:space="preserve"> </v>
      </c>
      <c r="AB1477" s="13"/>
      <c r="AI1477" s="9"/>
      <c r="AJ1477" s="9"/>
      <c r="AK1477" s="11" t="str">
        <f t="shared" si="10"/>
        <v>2022</v>
      </c>
      <c r="AL1477" s="11" t="e">
        <f>VLOOKUP(AK1477, Exchange_rates!$C:$D, 2, FALSE)</f>
        <v>#N/A</v>
      </c>
      <c r="AM1477" s="14" t="str">
        <f t="shared" si="11"/>
        <v/>
      </c>
      <c r="AN1477" s="9"/>
      <c r="AO1477" s="9"/>
      <c r="AP1477" s="9"/>
      <c r="AQ1477" s="15" t="s">
        <v>125</v>
      </c>
      <c r="AR1477" t="s">
        <v>280</v>
      </c>
      <c r="AS1477" s="16"/>
    </row>
    <row r="1478" spans="1:45" ht="14.5">
      <c r="A1478" s="9"/>
      <c r="B1478" s="9" t="s">
        <v>7375</v>
      </c>
      <c r="C1478" s="9" t="s">
        <v>7376</v>
      </c>
      <c r="D1478" s="9" t="s">
        <v>275</v>
      </c>
      <c r="E1478" s="9" t="s">
        <v>49</v>
      </c>
      <c r="F1478" s="9" t="s">
        <v>69</v>
      </c>
      <c r="G1478" s="9" t="s">
        <v>51</v>
      </c>
      <c r="H1478" s="9"/>
      <c r="I1478" s="9" t="s">
        <v>72</v>
      </c>
      <c r="J1478" s="10">
        <v>44628</v>
      </c>
      <c r="K1478" s="10">
        <v>44634</v>
      </c>
      <c r="L1478" s="10"/>
      <c r="M1478" s="10">
        <v>44651</v>
      </c>
      <c r="N1478" s="9">
        <v>2022</v>
      </c>
      <c r="O1478" s="9" t="s">
        <v>7350</v>
      </c>
      <c r="P1478" s="9" t="s">
        <v>53</v>
      </c>
      <c r="Q1478" s="9" t="s">
        <v>53</v>
      </c>
      <c r="R1478" s="9" t="s">
        <v>7377</v>
      </c>
      <c r="T1478" s="9" t="s">
        <v>328</v>
      </c>
      <c r="V1478" s="9"/>
      <c r="W1478" s="11" t="str">
        <f>IFERROR(VLOOKUP(B1478, PlumX_snapshot!$A:$B, 2, FALSE), " ")</f>
        <v xml:space="preserve"> </v>
      </c>
      <c r="X1478" s="11" t="str">
        <f>IFERROR(VLOOKUP(B1478, PlumX_snapshot!$A:$C, 3, FALSE), " ")</f>
        <v xml:space="preserve"> </v>
      </c>
      <c r="Y1478" s="12" t="str">
        <f>IFERROR(VLOOKUP(B1478, PlumX_snapshot!$A:$D, 4, FALSE), " ")</f>
        <v xml:space="preserve"> </v>
      </c>
      <c r="Z1478" s="12" t="str">
        <f>IFERROR(VLOOKUP(B1478, PlumX_snapshot!$A:$E, 5, FALSE), " ")</f>
        <v xml:space="preserve"> </v>
      </c>
      <c r="AA1478" s="12" t="str">
        <f>IFERROR(VLOOKUP(B1478, PlumX_snapshot!$A:$F, 6, FALSE), " ")</f>
        <v xml:space="preserve"> </v>
      </c>
      <c r="AB1478" s="13"/>
      <c r="AI1478" s="9"/>
      <c r="AJ1478" s="9"/>
      <c r="AK1478" s="11" t="str">
        <f t="shared" si="10"/>
        <v>2022</v>
      </c>
      <c r="AL1478" s="11" t="e">
        <f>VLOOKUP(AK1478, Exchange_rates!$C:$D, 2, FALSE)</f>
        <v>#N/A</v>
      </c>
      <c r="AM1478" s="14" t="str">
        <f t="shared" si="11"/>
        <v/>
      </c>
      <c r="AN1478" s="9"/>
      <c r="AO1478" s="9"/>
      <c r="AP1478" s="9"/>
      <c r="AQ1478" s="15" t="s">
        <v>49</v>
      </c>
      <c r="AR1478" t="s">
        <v>7378</v>
      </c>
      <c r="AS1478" s="16" t="s">
        <v>7379</v>
      </c>
    </row>
    <row r="1479" spans="1:45" ht="14.5">
      <c r="A1479" s="9"/>
      <c r="B1479" s="9" t="s">
        <v>7380</v>
      </c>
      <c r="C1479" s="9" t="s">
        <v>7381</v>
      </c>
      <c r="D1479" s="9" t="s">
        <v>275</v>
      </c>
      <c r="E1479" s="9" t="s">
        <v>49</v>
      </c>
      <c r="F1479" s="9"/>
      <c r="G1479" s="9" t="s">
        <v>51</v>
      </c>
      <c r="H1479" s="9"/>
      <c r="I1479" s="9"/>
      <c r="J1479" s="10">
        <v>44776</v>
      </c>
      <c r="K1479" s="10">
        <v>44783</v>
      </c>
      <c r="L1479" s="10"/>
      <c r="M1479" s="10">
        <v>44809</v>
      </c>
      <c r="N1479" s="9">
        <v>2022</v>
      </c>
      <c r="O1479" s="9" t="s">
        <v>7350</v>
      </c>
      <c r="P1479" s="9" t="s">
        <v>53</v>
      </c>
      <c r="Q1479" s="9" t="s">
        <v>53</v>
      </c>
      <c r="T1479" s="9" t="s">
        <v>328</v>
      </c>
      <c r="V1479" s="9"/>
      <c r="W1479" s="11" t="str">
        <f>IFERROR(VLOOKUP(B1479, PlumX_snapshot!$A:$B, 2, FALSE), " ")</f>
        <v xml:space="preserve"> </v>
      </c>
      <c r="X1479" s="11" t="str">
        <f>IFERROR(VLOOKUP(B1479, PlumX_snapshot!$A:$C, 3, FALSE), " ")</f>
        <v xml:space="preserve"> </v>
      </c>
      <c r="Y1479" s="12" t="str">
        <f>IFERROR(VLOOKUP(B1479, PlumX_snapshot!$A:$D, 4, FALSE), " ")</f>
        <v xml:space="preserve"> </v>
      </c>
      <c r="Z1479" s="12" t="str">
        <f>IFERROR(VLOOKUP(B1479, PlumX_snapshot!$A:$E, 5, FALSE), " ")</f>
        <v xml:space="preserve"> </v>
      </c>
      <c r="AA1479" s="12" t="str">
        <f>IFERROR(VLOOKUP(B1479, PlumX_snapshot!$A:$F, 6, FALSE), " ")</f>
        <v xml:space="preserve"> </v>
      </c>
      <c r="AB1479" s="13"/>
      <c r="AI1479" s="9"/>
      <c r="AJ1479" s="9"/>
      <c r="AK1479" s="11" t="str">
        <f t="shared" si="10"/>
        <v>2022</v>
      </c>
      <c r="AL1479" s="11" t="e">
        <f>VLOOKUP(AK1479, Exchange_rates!$C:$D, 2, FALSE)</f>
        <v>#N/A</v>
      </c>
      <c r="AM1479" s="14" t="str">
        <f t="shared" si="11"/>
        <v/>
      </c>
      <c r="AN1479" s="9"/>
      <c r="AO1479" s="9"/>
      <c r="AP1479" s="9"/>
      <c r="AQ1479" s="15" t="s">
        <v>49</v>
      </c>
      <c r="AR1479" t="s">
        <v>7382</v>
      </c>
      <c r="AS1479" s="16" t="s">
        <v>7383</v>
      </c>
    </row>
    <row r="1480" spans="1:45" ht="14.5">
      <c r="A1480" s="9"/>
      <c r="B1480" s="9" t="s">
        <v>7384</v>
      </c>
      <c r="C1480" s="9" t="s">
        <v>7385</v>
      </c>
      <c r="D1480" s="9" t="s">
        <v>275</v>
      </c>
      <c r="E1480" s="9" t="s">
        <v>49</v>
      </c>
      <c r="F1480" s="9" t="s">
        <v>69</v>
      </c>
      <c r="G1480" s="9" t="s">
        <v>51</v>
      </c>
      <c r="H1480" s="9"/>
      <c r="I1480" s="9" t="s">
        <v>238</v>
      </c>
      <c r="J1480" s="10">
        <v>44817</v>
      </c>
      <c r="K1480" s="10">
        <v>44818</v>
      </c>
      <c r="L1480" s="10"/>
      <c r="M1480" s="10">
        <v>44831</v>
      </c>
      <c r="N1480" s="9">
        <v>2022</v>
      </c>
      <c r="O1480" s="9" t="s">
        <v>7350</v>
      </c>
      <c r="P1480" s="9" t="s">
        <v>53</v>
      </c>
      <c r="Q1480" s="9" t="s">
        <v>53</v>
      </c>
      <c r="R1480" s="9" t="s">
        <v>7386</v>
      </c>
      <c r="T1480" s="9" t="s">
        <v>328</v>
      </c>
      <c r="V1480" s="9"/>
      <c r="W1480" s="11" t="str">
        <f>IFERROR(VLOOKUP(B1480, PlumX_snapshot!$A:$B, 2, FALSE), " ")</f>
        <v xml:space="preserve"> </v>
      </c>
      <c r="X1480" s="11" t="str">
        <f>IFERROR(VLOOKUP(B1480, PlumX_snapshot!$A:$C, 3, FALSE), " ")</f>
        <v xml:space="preserve"> </v>
      </c>
      <c r="Y1480" s="12" t="str">
        <f>IFERROR(VLOOKUP(B1480, PlumX_snapshot!$A:$D, 4, FALSE), " ")</f>
        <v xml:space="preserve"> </v>
      </c>
      <c r="Z1480" s="12" t="str">
        <f>IFERROR(VLOOKUP(B1480, PlumX_snapshot!$A:$E, 5, FALSE), " ")</f>
        <v xml:space="preserve"> </v>
      </c>
      <c r="AA1480" s="12" t="str">
        <f>IFERROR(VLOOKUP(B1480, PlumX_snapshot!$A:$F, 6, FALSE), " ")</f>
        <v xml:space="preserve"> </v>
      </c>
      <c r="AB1480" s="13"/>
      <c r="AI1480" s="9"/>
      <c r="AJ1480" s="9"/>
      <c r="AK1480" s="11" t="str">
        <f t="shared" si="10"/>
        <v>2022</v>
      </c>
      <c r="AL1480" s="11" t="e">
        <f>VLOOKUP(AK1480, Exchange_rates!$C:$D, 2, FALSE)</f>
        <v>#N/A</v>
      </c>
      <c r="AM1480" s="14" t="str">
        <f t="shared" si="11"/>
        <v/>
      </c>
      <c r="AN1480" s="9"/>
      <c r="AO1480" s="9"/>
      <c r="AP1480" s="9"/>
      <c r="AQ1480" s="15" t="s">
        <v>49</v>
      </c>
      <c r="AR1480" t="s">
        <v>7387</v>
      </c>
      <c r="AS1480" s="16" t="s">
        <v>7388</v>
      </c>
    </row>
    <row r="1481" spans="1:45" ht="14.5">
      <c r="A1481" s="9"/>
      <c r="B1481" s="9" t="s">
        <v>7389</v>
      </c>
      <c r="C1481" s="9" t="s">
        <v>327</v>
      </c>
      <c r="D1481" s="9" t="s">
        <v>275</v>
      </c>
      <c r="E1481" s="9" t="s">
        <v>49</v>
      </c>
      <c r="F1481" s="9"/>
      <c r="G1481" s="9" t="s">
        <v>51</v>
      </c>
      <c r="H1481" s="9"/>
      <c r="I1481" s="9"/>
      <c r="J1481" s="10">
        <v>44705</v>
      </c>
      <c r="K1481" s="10">
        <v>44790</v>
      </c>
      <c r="L1481" s="10"/>
      <c r="M1481" s="10">
        <v>44811</v>
      </c>
      <c r="N1481" s="9">
        <v>2022</v>
      </c>
      <c r="O1481" s="9" t="s">
        <v>7350</v>
      </c>
      <c r="P1481" s="9" t="s">
        <v>53</v>
      </c>
      <c r="Q1481" s="9" t="s">
        <v>53</v>
      </c>
      <c r="T1481" s="9" t="s">
        <v>328</v>
      </c>
      <c r="V1481" s="9"/>
      <c r="W1481" s="11" t="str">
        <f>IFERROR(VLOOKUP(B1481, PlumX_snapshot!$A:$B, 2, FALSE), " ")</f>
        <v xml:space="preserve"> </v>
      </c>
      <c r="X1481" s="11" t="str">
        <f>IFERROR(VLOOKUP(B1481, PlumX_snapshot!$A:$C, 3, FALSE), " ")</f>
        <v xml:space="preserve"> </v>
      </c>
      <c r="Y1481" s="12" t="str">
        <f>IFERROR(VLOOKUP(B1481, PlumX_snapshot!$A:$D, 4, FALSE), " ")</f>
        <v xml:space="preserve"> </v>
      </c>
      <c r="Z1481" s="12" t="str">
        <f>IFERROR(VLOOKUP(B1481, PlumX_snapshot!$A:$E, 5, FALSE), " ")</f>
        <v xml:space="preserve"> </v>
      </c>
      <c r="AA1481" s="12" t="str">
        <f>IFERROR(VLOOKUP(B1481, PlumX_snapshot!$A:$F, 6, FALSE), " ")</f>
        <v xml:space="preserve"> </v>
      </c>
      <c r="AB1481" s="13"/>
      <c r="AI1481" s="9"/>
      <c r="AJ1481" s="9"/>
      <c r="AK1481" s="11" t="str">
        <f t="shared" si="10"/>
        <v>2022</v>
      </c>
      <c r="AL1481" s="11" t="e">
        <f>VLOOKUP(AK1481, Exchange_rates!$C:$D, 2, FALSE)</f>
        <v>#N/A</v>
      </c>
      <c r="AM1481" s="14" t="str">
        <f t="shared" si="11"/>
        <v/>
      </c>
      <c r="AN1481" s="9"/>
      <c r="AO1481" s="9"/>
      <c r="AP1481" s="9"/>
      <c r="AQ1481" s="15" t="s">
        <v>49</v>
      </c>
      <c r="AR1481" t="s">
        <v>330</v>
      </c>
      <c r="AS1481" s="16" t="s">
        <v>331</v>
      </c>
    </row>
    <row r="1482" spans="1:45" ht="14.5">
      <c r="A1482" s="9"/>
      <c r="B1482" s="9" t="s">
        <v>7390</v>
      </c>
      <c r="C1482" s="9" t="s">
        <v>274</v>
      </c>
      <c r="D1482" s="9" t="s">
        <v>275</v>
      </c>
      <c r="E1482" s="9" t="s">
        <v>125</v>
      </c>
      <c r="F1482" s="9" t="s">
        <v>69</v>
      </c>
      <c r="G1482" s="9" t="s">
        <v>51</v>
      </c>
      <c r="H1482" s="9"/>
      <c r="I1482" s="9" t="s">
        <v>72</v>
      </c>
      <c r="J1482" s="10">
        <v>44644</v>
      </c>
      <c r="K1482" s="10">
        <v>44671</v>
      </c>
      <c r="L1482" s="10"/>
      <c r="M1482" s="10">
        <v>44755</v>
      </c>
      <c r="N1482" s="9">
        <v>2022</v>
      </c>
      <c r="O1482" s="9" t="s">
        <v>7350</v>
      </c>
      <c r="P1482" s="9" t="s">
        <v>53</v>
      </c>
      <c r="Q1482" s="9" t="s">
        <v>53</v>
      </c>
      <c r="R1482" s="9" t="s">
        <v>7391</v>
      </c>
      <c r="T1482" s="9" t="s">
        <v>279</v>
      </c>
      <c r="V1482" s="9"/>
      <c r="W1482" s="11" t="str">
        <f>IFERROR(VLOOKUP(B1482, PlumX_snapshot!$A:$B, 2, FALSE), " ")</f>
        <v xml:space="preserve"> </v>
      </c>
      <c r="X1482" s="11" t="str">
        <f>IFERROR(VLOOKUP(B1482, PlumX_snapshot!$A:$C, 3, FALSE), " ")</f>
        <v xml:space="preserve"> </v>
      </c>
      <c r="Y1482" s="12" t="str">
        <f>IFERROR(VLOOKUP(B1482, PlumX_snapshot!$A:$D, 4, FALSE), " ")</f>
        <v xml:space="preserve"> </v>
      </c>
      <c r="Z1482" s="12" t="str">
        <f>IFERROR(VLOOKUP(B1482, PlumX_snapshot!$A:$E, 5, FALSE), " ")</f>
        <v xml:space="preserve"> </v>
      </c>
      <c r="AA1482" s="12" t="str">
        <f>IFERROR(VLOOKUP(B1482, PlumX_snapshot!$A:$F, 6, FALSE), " ")</f>
        <v xml:space="preserve"> </v>
      </c>
      <c r="AB1482" s="13"/>
      <c r="AI1482" s="9"/>
      <c r="AJ1482" s="9"/>
      <c r="AK1482" s="11" t="str">
        <f t="shared" si="10"/>
        <v>2022</v>
      </c>
      <c r="AL1482" s="11" t="e">
        <f>VLOOKUP(AK1482, Exchange_rates!$C:$D, 2, FALSE)</f>
        <v>#N/A</v>
      </c>
      <c r="AM1482" s="14" t="str">
        <f t="shared" si="11"/>
        <v/>
      </c>
      <c r="AN1482" s="9"/>
      <c r="AO1482" s="9"/>
      <c r="AP1482" s="9"/>
      <c r="AQ1482" s="15" t="s">
        <v>125</v>
      </c>
      <c r="AR1482" t="s">
        <v>280</v>
      </c>
      <c r="AS1482" s="16"/>
    </row>
    <row r="1483" spans="1:45" ht="14.5">
      <c r="A1483" s="9"/>
      <c r="B1483" s="9" t="s">
        <v>7392</v>
      </c>
      <c r="C1483" s="9" t="s">
        <v>306</v>
      </c>
      <c r="D1483" s="9" t="s">
        <v>275</v>
      </c>
      <c r="E1483" s="9" t="s">
        <v>49</v>
      </c>
      <c r="F1483" s="9" t="s">
        <v>69</v>
      </c>
      <c r="G1483" s="9" t="s">
        <v>51</v>
      </c>
      <c r="H1483" s="9"/>
      <c r="I1483" s="9" t="s">
        <v>72</v>
      </c>
      <c r="J1483" s="10">
        <v>44781</v>
      </c>
      <c r="K1483" s="10">
        <v>44831</v>
      </c>
      <c r="L1483" s="10"/>
      <c r="M1483" s="10">
        <v>44881</v>
      </c>
      <c r="N1483" s="9">
        <v>2022</v>
      </c>
      <c r="O1483" s="9" t="s">
        <v>7350</v>
      </c>
      <c r="P1483" s="9" t="s">
        <v>53</v>
      </c>
      <c r="Q1483" s="9" t="s">
        <v>53</v>
      </c>
      <c r="R1483" s="9" t="s">
        <v>7393</v>
      </c>
      <c r="T1483" s="9" t="s">
        <v>279</v>
      </c>
      <c r="V1483" s="9"/>
      <c r="W1483" s="11" t="str">
        <f>IFERROR(VLOOKUP(B1483, PlumX_snapshot!$A:$B, 2, FALSE), " ")</f>
        <v xml:space="preserve"> </v>
      </c>
      <c r="X1483" s="11" t="str">
        <f>IFERROR(VLOOKUP(B1483, PlumX_snapshot!$A:$C, 3, FALSE), " ")</f>
        <v xml:space="preserve"> </v>
      </c>
      <c r="Y1483" s="12" t="str">
        <f>IFERROR(VLOOKUP(B1483, PlumX_snapshot!$A:$D, 4, FALSE), " ")</f>
        <v xml:space="preserve"> </v>
      </c>
      <c r="Z1483" s="12" t="str">
        <f>IFERROR(VLOOKUP(B1483, PlumX_snapshot!$A:$E, 5, FALSE), " ")</f>
        <v xml:space="preserve"> </v>
      </c>
      <c r="AA1483" s="12" t="str">
        <f>IFERROR(VLOOKUP(B1483, PlumX_snapshot!$A:$F, 6, FALSE), " ")</f>
        <v xml:space="preserve"> </v>
      </c>
      <c r="AB1483" s="13"/>
      <c r="AI1483" s="9"/>
      <c r="AJ1483" s="9"/>
      <c r="AK1483" s="11" t="str">
        <f t="shared" si="10"/>
        <v>2022</v>
      </c>
      <c r="AL1483" s="11" t="e">
        <f>VLOOKUP(AK1483, Exchange_rates!$C:$D, 2, FALSE)</f>
        <v>#N/A</v>
      </c>
      <c r="AM1483" s="14" t="str">
        <f t="shared" si="11"/>
        <v/>
      </c>
      <c r="AN1483" s="9"/>
      <c r="AO1483" s="9"/>
      <c r="AP1483" s="9"/>
      <c r="AQ1483" s="15" t="s">
        <v>49</v>
      </c>
      <c r="AR1483" t="s">
        <v>308</v>
      </c>
      <c r="AS1483" s="16" t="s">
        <v>309</v>
      </c>
    </row>
    <row r="1484" spans="1:45" ht="14.5">
      <c r="A1484" s="9"/>
      <c r="B1484" s="9" t="s">
        <v>7394</v>
      </c>
      <c r="C1484" s="9" t="s">
        <v>7395</v>
      </c>
      <c r="D1484" s="9" t="s">
        <v>275</v>
      </c>
      <c r="E1484" s="9" t="s">
        <v>49</v>
      </c>
      <c r="F1484" s="9"/>
      <c r="G1484" s="9" t="s">
        <v>51</v>
      </c>
      <c r="H1484" s="9"/>
      <c r="I1484" s="9"/>
      <c r="J1484" s="10">
        <v>44715</v>
      </c>
      <c r="K1484" s="10">
        <v>44721</v>
      </c>
      <c r="L1484" s="10"/>
      <c r="M1484" s="10">
        <v>44742</v>
      </c>
      <c r="N1484" s="9">
        <v>2022</v>
      </c>
      <c r="O1484" s="9" t="s">
        <v>7350</v>
      </c>
      <c r="P1484" s="9" t="s">
        <v>53</v>
      </c>
      <c r="Q1484" s="9" t="s">
        <v>53</v>
      </c>
      <c r="T1484" s="9" t="s">
        <v>279</v>
      </c>
      <c r="V1484" s="9"/>
      <c r="W1484" s="11" t="str">
        <f>IFERROR(VLOOKUP(B1484, PlumX_snapshot!$A:$B, 2, FALSE), " ")</f>
        <v xml:space="preserve"> </v>
      </c>
      <c r="X1484" s="11" t="str">
        <f>IFERROR(VLOOKUP(B1484, PlumX_snapshot!$A:$C, 3, FALSE), " ")</f>
        <v xml:space="preserve"> </v>
      </c>
      <c r="Y1484" s="12" t="str">
        <f>IFERROR(VLOOKUP(B1484, PlumX_snapshot!$A:$D, 4, FALSE), " ")</f>
        <v xml:space="preserve"> </v>
      </c>
      <c r="Z1484" s="12" t="str">
        <f>IFERROR(VLOOKUP(B1484, PlumX_snapshot!$A:$E, 5, FALSE), " ")</f>
        <v xml:space="preserve"> </v>
      </c>
      <c r="AA1484" s="12" t="str">
        <f>IFERROR(VLOOKUP(B1484, PlumX_snapshot!$A:$F, 6, FALSE), " ")</f>
        <v xml:space="preserve"> </v>
      </c>
      <c r="AB1484" s="13"/>
      <c r="AI1484" s="9"/>
      <c r="AJ1484" s="9"/>
      <c r="AK1484" s="11" t="str">
        <f t="shared" si="10"/>
        <v>2022</v>
      </c>
      <c r="AL1484" s="11" t="e">
        <f>VLOOKUP(AK1484, Exchange_rates!$C:$D, 2, FALSE)</f>
        <v>#N/A</v>
      </c>
      <c r="AM1484" s="14" t="str">
        <f t="shared" si="11"/>
        <v/>
      </c>
      <c r="AN1484" s="9"/>
      <c r="AO1484" s="9"/>
      <c r="AP1484" s="9"/>
      <c r="AQ1484" s="15" t="s">
        <v>49</v>
      </c>
      <c r="AS1484" s="16" t="s">
        <v>7396</v>
      </c>
    </row>
    <row r="1485" spans="1:45" ht="14.5">
      <c r="A1485" s="9"/>
      <c r="B1485" s="9" t="s">
        <v>7397</v>
      </c>
      <c r="C1485" s="9" t="s">
        <v>7395</v>
      </c>
      <c r="D1485" s="9" t="s">
        <v>275</v>
      </c>
      <c r="E1485" s="9" t="s">
        <v>49</v>
      </c>
      <c r="F1485" s="9"/>
      <c r="G1485" s="9" t="s">
        <v>51</v>
      </c>
      <c r="H1485" s="9"/>
      <c r="I1485" s="9"/>
      <c r="J1485" s="10">
        <v>44741</v>
      </c>
      <c r="K1485" s="10">
        <v>44748</v>
      </c>
      <c r="L1485" s="10"/>
      <c r="M1485" s="10">
        <v>44761</v>
      </c>
      <c r="N1485" s="9">
        <v>2022</v>
      </c>
      <c r="O1485" s="9" t="s">
        <v>7350</v>
      </c>
      <c r="P1485" s="9" t="s">
        <v>53</v>
      </c>
      <c r="Q1485" s="9" t="s">
        <v>53</v>
      </c>
      <c r="T1485" s="9" t="s">
        <v>279</v>
      </c>
      <c r="V1485" s="9"/>
      <c r="W1485" s="11" t="str">
        <f>IFERROR(VLOOKUP(B1485, PlumX_snapshot!$A:$B, 2, FALSE), " ")</f>
        <v xml:space="preserve"> </v>
      </c>
      <c r="X1485" s="11" t="str">
        <f>IFERROR(VLOOKUP(B1485, PlumX_snapshot!$A:$C, 3, FALSE), " ")</f>
        <v xml:space="preserve"> </v>
      </c>
      <c r="Y1485" s="12" t="str">
        <f>IFERROR(VLOOKUP(B1485, PlumX_snapshot!$A:$D, 4, FALSE), " ")</f>
        <v xml:space="preserve"> </v>
      </c>
      <c r="Z1485" s="12" t="str">
        <f>IFERROR(VLOOKUP(B1485, PlumX_snapshot!$A:$E, 5, FALSE), " ")</f>
        <v xml:space="preserve"> </v>
      </c>
      <c r="AA1485" s="12" t="str">
        <f>IFERROR(VLOOKUP(B1485, PlumX_snapshot!$A:$F, 6, FALSE), " ")</f>
        <v xml:space="preserve"> </v>
      </c>
      <c r="AB1485" s="13"/>
      <c r="AI1485" s="9"/>
      <c r="AJ1485" s="9"/>
      <c r="AK1485" s="11" t="str">
        <f t="shared" si="10"/>
        <v>2022</v>
      </c>
      <c r="AL1485" s="11" t="e">
        <f>VLOOKUP(AK1485, Exchange_rates!$C:$D, 2, FALSE)</f>
        <v>#N/A</v>
      </c>
      <c r="AM1485" s="14" t="str">
        <f t="shared" si="11"/>
        <v/>
      </c>
      <c r="AN1485" s="9"/>
      <c r="AO1485" s="9"/>
      <c r="AP1485" s="9"/>
      <c r="AQ1485" s="15" t="s">
        <v>49</v>
      </c>
      <c r="AS1485" s="16" t="s">
        <v>7396</v>
      </c>
    </row>
    <row r="1486" spans="1:45" ht="14.5">
      <c r="A1486" s="9"/>
      <c r="B1486" s="9" t="s">
        <v>7398</v>
      </c>
      <c r="C1486" s="9" t="s">
        <v>7395</v>
      </c>
      <c r="D1486" s="9" t="s">
        <v>275</v>
      </c>
      <c r="E1486" s="9" t="s">
        <v>49</v>
      </c>
      <c r="F1486" s="9"/>
      <c r="G1486" s="9" t="s">
        <v>51</v>
      </c>
      <c r="H1486" s="9"/>
      <c r="I1486" s="9"/>
      <c r="J1486" s="10">
        <v>44749</v>
      </c>
      <c r="K1486" s="10">
        <v>44783</v>
      </c>
      <c r="L1486" s="10"/>
      <c r="M1486" s="10">
        <v>44792</v>
      </c>
      <c r="N1486" s="9">
        <v>2022</v>
      </c>
      <c r="O1486" s="9" t="s">
        <v>7350</v>
      </c>
      <c r="P1486" s="9" t="s">
        <v>53</v>
      </c>
      <c r="Q1486" s="9" t="s">
        <v>53</v>
      </c>
      <c r="T1486" s="9" t="s">
        <v>279</v>
      </c>
      <c r="V1486" s="9"/>
      <c r="W1486" s="11" t="str">
        <f>IFERROR(VLOOKUP(B1486, PlumX_snapshot!$A:$B, 2, FALSE), " ")</f>
        <v xml:space="preserve"> </v>
      </c>
      <c r="X1486" s="11" t="str">
        <f>IFERROR(VLOOKUP(B1486, PlumX_snapshot!$A:$C, 3, FALSE), " ")</f>
        <v xml:space="preserve"> </v>
      </c>
      <c r="Y1486" s="12" t="str">
        <f>IFERROR(VLOOKUP(B1486, PlumX_snapshot!$A:$D, 4, FALSE), " ")</f>
        <v xml:space="preserve"> </v>
      </c>
      <c r="Z1486" s="12" t="str">
        <f>IFERROR(VLOOKUP(B1486, PlumX_snapshot!$A:$E, 5, FALSE), " ")</f>
        <v xml:space="preserve"> </v>
      </c>
      <c r="AA1486" s="12" t="str">
        <f>IFERROR(VLOOKUP(B1486, PlumX_snapshot!$A:$F, 6, FALSE), " ")</f>
        <v xml:space="preserve"> </v>
      </c>
      <c r="AB1486" s="13"/>
      <c r="AI1486" s="9"/>
      <c r="AJ1486" s="9"/>
      <c r="AK1486" s="11" t="str">
        <f t="shared" si="10"/>
        <v>2022</v>
      </c>
      <c r="AL1486" s="11" t="e">
        <f>VLOOKUP(AK1486, Exchange_rates!$C:$D, 2, FALSE)</f>
        <v>#N/A</v>
      </c>
      <c r="AM1486" s="14" t="str">
        <f t="shared" si="11"/>
        <v/>
      </c>
      <c r="AN1486" s="9"/>
      <c r="AO1486" s="9"/>
      <c r="AP1486" s="9"/>
      <c r="AQ1486" s="15" t="s">
        <v>49</v>
      </c>
      <c r="AS1486" s="16" t="s">
        <v>7396</v>
      </c>
    </row>
    <row r="1487" spans="1:45" ht="14.5">
      <c r="A1487" s="9"/>
      <c r="B1487" s="9" t="s">
        <v>7399</v>
      </c>
      <c r="C1487" s="9" t="s">
        <v>274</v>
      </c>
      <c r="D1487" s="9" t="s">
        <v>275</v>
      </c>
      <c r="E1487" s="9" t="s">
        <v>125</v>
      </c>
      <c r="F1487" s="9" t="s">
        <v>69</v>
      </c>
      <c r="G1487" s="9" t="s">
        <v>51</v>
      </c>
      <c r="H1487" s="9"/>
      <c r="I1487" s="9" t="s">
        <v>72</v>
      </c>
      <c r="J1487" s="10">
        <v>44767</v>
      </c>
      <c r="K1487" s="10">
        <v>44778</v>
      </c>
      <c r="L1487" s="10"/>
      <c r="M1487" s="10">
        <v>44799</v>
      </c>
      <c r="N1487" s="9">
        <v>2022</v>
      </c>
      <c r="O1487" s="9" t="s">
        <v>7350</v>
      </c>
      <c r="P1487" s="9" t="s">
        <v>53</v>
      </c>
      <c r="Q1487" s="9" t="s">
        <v>53</v>
      </c>
      <c r="R1487" s="9" t="s">
        <v>7400</v>
      </c>
      <c r="T1487" s="9" t="s">
        <v>279</v>
      </c>
      <c r="V1487" s="9"/>
      <c r="W1487" s="11" t="str">
        <f>IFERROR(VLOOKUP(B1487, PlumX_snapshot!$A:$B, 2, FALSE), " ")</f>
        <v xml:space="preserve"> </v>
      </c>
      <c r="X1487" s="11" t="str">
        <f>IFERROR(VLOOKUP(B1487, PlumX_snapshot!$A:$C, 3, FALSE), " ")</f>
        <v xml:space="preserve"> </v>
      </c>
      <c r="Y1487" s="12" t="str">
        <f>IFERROR(VLOOKUP(B1487, PlumX_snapshot!$A:$D, 4, FALSE), " ")</f>
        <v xml:space="preserve"> </v>
      </c>
      <c r="Z1487" s="12" t="str">
        <f>IFERROR(VLOOKUP(B1487, PlumX_snapshot!$A:$E, 5, FALSE), " ")</f>
        <v xml:space="preserve"> </v>
      </c>
      <c r="AA1487" s="12" t="str">
        <f>IFERROR(VLOOKUP(B1487, PlumX_snapshot!$A:$F, 6, FALSE), " ")</f>
        <v xml:space="preserve"> </v>
      </c>
      <c r="AB1487" s="13"/>
      <c r="AI1487" s="9"/>
      <c r="AJ1487" s="9"/>
      <c r="AK1487" s="11" t="str">
        <f t="shared" si="10"/>
        <v>2022</v>
      </c>
      <c r="AL1487" s="11" t="e">
        <f>VLOOKUP(AK1487, Exchange_rates!$C:$D, 2, FALSE)</f>
        <v>#N/A</v>
      </c>
      <c r="AM1487" s="14" t="str">
        <f t="shared" si="11"/>
        <v/>
      </c>
      <c r="AN1487" s="9"/>
      <c r="AO1487" s="9"/>
      <c r="AP1487" s="9"/>
      <c r="AQ1487" s="15" t="s">
        <v>125</v>
      </c>
      <c r="AR1487" t="s">
        <v>280</v>
      </c>
      <c r="AS1487" s="16"/>
    </row>
    <row r="1488" spans="1:45" ht="14.5">
      <c r="A1488" s="9"/>
      <c r="B1488" s="9" t="s">
        <v>7401</v>
      </c>
      <c r="C1488" s="9" t="s">
        <v>274</v>
      </c>
      <c r="D1488" s="9" t="s">
        <v>275</v>
      </c>
      <c r="E1488" s="9" t="s">
        <v>125</v>
      </c>
      <c r="F1488" s="9" t="s">
        <v>69</v>
      </c>
      <c r="G1488" s="9" t="s">
        <v>51</v>
      </c>
      <c r="H1488" s="9"/>
      <c r="I1488" s="9" t="s">
        <v>72</v>
      </c>
      <c r="J1488" s="10">
        <v>44573</v>
      </c>
      <c r="K1488" s="10">
        <v>44575</v>
      </c>
      <c r="L1488" s="10"/>
      <c r="M1488" s="10">
        <v>44615</v>
      </c>
      <c r="N1488" s="9">
        <v>2022</v>
      </c>
      <c r="O1488" s="9" t="s">
        <v>7350</v>
      </c>
      <c r="P1488" s="9" t="s">
        <v>53</v>
      </c>
      <c r="Q1488" s="9" t="s">
        <v>53</v>
      </c>
      <c r="R1488" s="9" t="s">
        <v>7402</v>
      </c>
      <c r="T1488" s="9" t="s">
        <v>279</v>
      </c>
      <c r="V1488" s="9"/>
      <c r="W1488" s="11" t="str">
        <f>IFERROR(VLOOKUP(B1488, PlumX_snapshot!$A:$B, 2, FALSE), " ")</f>
        <v xml:space="preserve"> </v>
      </c>
      <c r="X1488" s="11" t="str">
        <f>IFERROR(VLOOKUP(B1488, PlumX_snapshot!$A:$C, 3, FALSE), " ")</f>
        <v xml:space="preserve"> </v>
      </c>
      <c r="Y1488" s="12" t="str">
        <f>IFERROR(VLOOKUP(B1488, PlumX_snapshot!$A:$D, 4, FALSE), " ")</f>
        <v xml:space="preserve"> </v>
      </c>
      <c r="Z1488" s="12" t="str">
        <f>IFERROR(VLOOKUP(B1488, PlumX_snapshot!$A:$E, 5, FALSE), " ")</f>
        <v xml:space="preserve"> </v>
      </c>
      <c r="AA1488" s="12" t="str">
        <f>IFERROR(VLOOKUP(B1488, PlumX_snapshot!$A:$F, 6, FALSE), " ")</f>
        <v xml:space="preserve"> </v>
      </c>
      <c r="AB1488" s="13"/>
      <c r="AI1488" s="9"/>
      <c r="AJ1488" s="9"/>
      <c r="AK1488" s="11" t="str">
        <f t="shared" si="10"/>
        <v>2022</v>
      </c>
      <c r="AL1488" s="11" t="e">
        <f>VLOOKUP(AK1488, Exchange_rates!$C:$D, 2, FALSE)</f>
        <v>#N/A</v>
      </c>
      <c r="AM1488" s="14" t="str">
        <f t="shared" si="11"/>
        <v/>
      </c>
      <c r="AN1488" s="9"/>
      <c r="AO1488" s="9"/>
      <c r="AP1488" s="9"/>
      <c r="AQ1488" s="15" t="s">
        <v>125</v>
      </c>
      <c r="AR1488" t="s">
        <v>280</v>
      </c>
      <c r="AS1488" s="16"/>
    </row>
    <row r="1489" spans="1:45" ht="14.5">
      <c r="A1489" s="9"/>
      <c r="B1489" s="9" t="s">
        <v>7403</v>
      </c>
      <c r="C1489" s="9" t="s">
        <v>274</v>
      </c>
      <c r="D1489" s="9" t="s">
        <v>275</v>
      </c>
      <c r="E1489" s="9" t="s">
        <v>125</v>
      </c>
      <c r="F1489" s="9" t="s">
        <v>69</v>
      </c>
      <c r="G1489" s="9" t="s">
        <v>51</v>
      </c>
      <c r="H1489" s="9"/>
      <c r="I1489" s="9" t="s">
        <v>72</v>
      </c>
      <c r="J1489" s="10">
        <v>44872</v>
      </c>
      <c r="K1489" s="10">
        <v>44881</v>
      </c>
      <c r="L1489" s="10"/>
      <c r="M1489" s="10">
        <v>44896</v>
      </c>
      <c r="N1489" s="9">
        <v>2022</v>
      </c>
      <c r="O1489" s="9" t="s">
        <v>7350</v>
      </c>
      <c r="P1489" s="9" t="s">
        <v>53</v>
      </c>
      <c r="Q1489" s="9" t="s">
        <v>53</v>
      </c>
      <c r="R1489" s="9" t="s">
        <v>7404</v>
      </c>
      <c r="T1489" s="9" t="s">
        <v>279</v>
      </c>
      <c r="V1489" s="9"/>
      <c r="W1489" s="11" t="str">
        <f>IFERROR(VLOOKUP(B1489, PlumX_snapshot!$A:$B, 2, FALSE), " ")</f>
        <v xml:space="preserve"> </v>
      </c>
      <c r="X1489" s="11" t="str">
        <f>IFERROR(VLOOKUP(B1489, PlumX_snapshot!$A:$C, 3, FALSE), " ")</f>
        <v xml:space="preserve"> </v>
      </c>
      <c r="Y1489" s="12" t="str">
        <f>IFERROR(VLOOKUP(B1489, PlumX_snapshot!$A:$D, 4, FALSE), " ")</f>
        <v xml:space="preserve"> </v>
      </c>
      <c r="Z1489" s="12" t="str">
        <f>IFERROR(VLOOKUP(B1489, PlumX_snapshot!$A:$E, 5, FALSE), " ")</f>
        <v xml:space="preserve"> </v>
      </c>
      <c r="AA1489" s="12" t="str">
        <f>IFERROR(VLOOKUP(B1489, PlumX_snapshot!$A:$F, 6, FALSE), " ")</f>
        <v xml:space="preserve"> </v>
      </c>
      <c r="AB1489" s="13"/>
      <c r="AI1489" s="9"/>
      <c r="AJ1489" s="9"/>
      <c r="AK1489" s="11" t="str">
        <f t="shared" si="10"/>
        <v>2022</v>
      </c>
      <c r="AL1489" s="11" t="e">
        <f>VLOOKUP(AK1489, Exchange_rates!$C:$D, 2, FALSE)</f>
        <v>#N/A</v>
      </c>
      <c r="AM1489" s="14" t="str">
        <f t="shared" si="11"/>
        <v/>
      </c>
      <c r="AN1489" s="9"/>
      <c r="AO1489" s="9"/>
      <c r="AP1489" s="9"/>
      <c r="AQ1489" s="15" t="s">
        <v>125</v>
      </c>
      <c r="AR1489" t="s">
        <v>280</v>
      </c>
      <c r="AS1489" s="16"/>
    </row>
    <row r="1490" spans="1:45" ht="14.5">
      <c r="A1490" s="9"/>
      <c r="B1490" s="9" t="s">
        <v>7405</v>
      </c>
      <c r="C1490" s="9" t="s">
        <v>327</v>
      </c>
      <c r="D1490" s="9" t="s">
        <v>275</v>
      </c>
      <c r="E1490" s="9" t="s">
        <v>49</v>
      </c>
      <c r="F1490" s="9"/>
      <c r="G1490" s="9" t="s">
        <v>51</v>
      </c>
      <c r="H1490" s="9"/>
      <c r="I1490" s="9"/>
      <c r="J1490" s="10">
        <v>44586</v>
      </c>
      <c r="K1490" s="10">
        <v>44587</v>
      </c>
      <c r="L1490" s="10"/>
      <c r="M1490" s="10">
        <v>44609</v>
      </c>
      <c r="N1490" s="9">
        <v>2022</v>
      </c>
      <c r="O1490" s="9" t="s">
        <v>7350</v>
      </c>
      <c r="P1490" s="9" t="s">
        <v>53</v>
      </c>
      <c r="Q1490" s="9" t="s">
        <v>53</v>
      </c>
      <c r="T1490" s="9" t="s">
        <v>328</v>
      </c>
      <c r="V1490" s="9"/>
      <c r="W1490" s="11" t="str">
        <f>IFERROR(VLOOKUP(B1490, PlumX_snapshot!$A:$B, 2, FALSE), " ")</f>
        <v xml:space="preserve"> </v>
      </c>
      <c r="X1490" s="11" t="str">
        <f>IFERROR(VLOOKUP(B1490, PlumX_snapshot!$A:$C, 3, FALSE), " ")</f>
        <v xml:space="preserve"> </v>
      </c>
      <c r="Y1490" s="12" t="str">
        <f>IFERROR(VLOOKUP(B1490, PlumX_snapshot!$A:$D, 4, FALSE), " ")</f>
        <v xml:space="preserve"> </v>
      </c>
      <c r="Z1490" s="12" t="str">
        <f>IFERROR(VLOOKUP(B1490, PlumX_snapshot!$A:$E, 5, FALSE), " ")</f>
        <v xml:space="preserve"> </v>
      </c>
      <c r="AA1490" s="12" t="str">
        <f>IFERROR(VLOOKUP(B1490, PlumX_snapshot!$A:$F, 6, FALSE), " ")</f>
        <v xml:space="preserve"> </v>
      </c>
      <c r="AB1490" s="13"/>
      <c r="AI1490" s="9"/>
      <c r="AJ1490" s="9"/>
      <c r="AK1490" s="11" t="str">
        <f t="shared" si="10"/>
        <v>2022</v>
      </c>
      <c r="AL1490" s="11" t="e">
        <f>VLOOKUP(AK1490, Exchange_rates!$C:$D, 2, FALSE)</f>
        <v>#N/A</v>
      </c>
      <c r="AM1490" s="14" t="str">
        <f t="shared" si="11"/>
        <v/>
      </c>
      <c r="AN1490" s="9"/>
      <c r="AO1490" s="9"/>
      <c r="AP1490" s="9"/>
      <c r="AQ1490" s="15" t="s">
        <v>49</v>
      </c>
      <c r="AR1490" t="s">
        <v>330</v>
      </c>
      <c r="AS1490" s="16" t="s">
        <v>331</v>
      </c>
    </row>
    <row r="1491" spans="1:45" ht="14.5">
      <c r="A1491" s="9"/>
      <c r="B1491" s="9" t="s">
        <v>7406</v>
      </c>
      <c r="C1491" s="9" t="s">
        <v>327</v>
      </c>
      <c r="D1491" s="9" t="s">
        <v>275</v>
      </c>
      <c r="E1491" s="9" t="s">
        <v>49</v>
      </c>
      <c r="F1491" s="9"/>
      <c r="G1491" s="9" t="s">
        <v>51</v>
      </c>
      <c r="H1491" s="9"/>
      <c r="I1491" s="9"/>
      <c r="J1491" s="10">
        <v>44612</v>
      </c>
      <c r="K1491" s="10">
        <v>44613</v>
      </c>
      <c r="L1491" s="10"/>
      <c r="M1491" s="10">
        <v>44637</v>
      </c>
      <c r="N1491" s="9">
        <v>2022</v>
      </c>
      <c r="O1491" s="9" t="s">
        <v>7350</v>
      </c>
      <c r="P1491" s="9" t="s">
        <v>53</v>
      </c>
      <c r="Q1491" s="9" t="s">
        <v>53</v>
      </c>
      <c r="T1491" s="9" t="s">
        <v>328</v>
      </c>
      <c r="V1491" s="9"/>
      <c r="W1491" s="11" t="str">
        <f>IFERROR(VLOOKUP(B1491, PlumX_snapshot!$A:$B, 2, FALSE), " ")</f>
        <v xml:space="preserve"> </v>
      </c>
      <c r="X1491" s="11" t="str">
        <f>IFERROR(VLOOKUP(B1491, PlumX_snapshot!$A:$C, 3, FALSE), " ")</f>
        <v xml:space="preserve"> </v>
      </c>
      <c r="Y1491" s="12" t="str">
        <f>IFERROR(VLOOKUP(B1491, PlumX_snapshot!$A:$D, 4, FALSE), " ")</f>
        <v xml:space="preserve"> </v>
      </c>
      <c r="Z1491" s="12" t="str">
        <f>IFERROR(VLOOKUP(B1491, PlumX_snapshot!$A:$E, 5, FALSE), " ")</f>
        <v xml:space="preserve"> </v>
      </c>
      <c r="AA1491" s="12" t="str">
        <f>IFERROR(VLOOKUP(B1491, PlumX_snapshot!$A:$F, 6, FALSE), " ")</f>
        <v xml:space="preserve"> </v>
      </c>
      <c r="AB1491" s="13"/>
      <c r="AI1491" s="9"/>
      <c r="AJ1491" s="9"/>
      <c r="AK1491" s="11" t="str">
        <f t="shared" si="10"/>
        <v>2022</v>
      </c>
      <c r="AL1491" s="11" t="e">
        <f>VLOOKUP(AK1491, Exchange_rates!$C:$D, 2, FALSE)</f>
        <v>#N/A</v>
      </c>
      <c r="AM1491" s="14" t="str">
        <f t="shared" si="11"/>
        <v/>
      </c>
      <c r="AN1491" s="9"/>
      <c r="AO1491" s="9"/>
      <c r="AP1491" s="9"/>
      <c r="AQ1491" s="15" t="s">
        <v>49</v>
      </c>
      <c r="AR1491" t="s">
        <v>330</v>
      </c>
      <c r="AS1491" s="16" t="s">
        <v>331</v>
      </c>
    </row>
    <row r="1492" spans="1:45" ht="14.5">
      <c r="A1492" s="9"/>
      <c r="B1492" s="9" t="s">
        <v>7407</v>
      </c>
      <c r="C1492" s="9" t="s">
        <v>327</v>
      </c>
      <c r="D1492" s="9" t="s">
        <v>275</v>
      </c>
      <c r="E1492" s="9" t="s">
        <v>49</v>
      </c>
      <c r="F1492" s="9"/>
      <c r="G1492" s="9" t="s">
        <v>51</v>
      </c>
      <c r="H1492" s="9"/>
      <c r="I1492" s="9"/>
      <c r="J1492" s="10">
        <v>44646</v>
      </c>
      <c r="K1492" s="10">
        <v>44648</v>
      </c>
      <c r="L1492" s="10"/>
      <c r="M1492" s="10">
        <v>44671</v>
      </c>
      <c r="N1492" s="9">
        <v>2022</v>
      </c>
      <c r="O1492" s="9" t="s">
        <v>7350</v>
      </c>
      <c r="P1492" s="9" t="s">
        <v>53</v>
      </c>
      <c r="Q1492" s="9" t="s">
        <v>53</v>
      </c>
      <c r="T1492" s="9" t="s">
        <v>328</v>
      </c>
      <c r="V1492" s="9"/>
      <c r="W1492" s="11" t="str">
        <f>IFERROR(VLOOKUP(B1492, PlumX_snapshot!$A:$B, 2, FALSE), " ")</f>
        <v xml:space="preserve"> </v>
      </c>
      <c r="X1492" s="11" t="str">
        <f>IFERROR(VLOOKUP(B1492, PlumX_snapshot!$A:$C, 3, FALSE), " ")</f>
        <v xml:space="preserve"> </v>
      </c>
      <c r="Y1492" s="12" t="str">
        <f>IFERROR(VLOOKUP(B1492, PlumX_snapshot!$A:$D, 4, FALSE), " ")</f>
        <v xml:space="preserve"> </v>
      </c>
      <c r="Z1492" s="12" t="str">
        <f>IFERROR(VLOOKUP(B1492, PlumX_snapshot!$A:$E, 5, FALSE), " ")</f>
        <v xml:space="preserve"> </v>
      </c>
      <c r="AA1492" s="12" t="str">
        <f>IFERROR(VLOOKUP(B1492, PlumX_snapshot!$A:$F, 6, FALSE), " ")</f>
        <v xml:space="preserve"> </v>
      </c>
      <c r="AB1492" s="13"/>
      <c r="AI1492" s="9"/>
      <c r="AJ1492" s="9"/>
      <c r="AK1492" s="11" t="str">
        <f t="shared" si="10"/>
        <v>2022</v>
      </c>
      <c r="AL1492" s="11" t="e">
        <f>VLOOKUP(AK1492, Exchange_rates!$C:$D, 2, FALSE)</f>
        <v>#N/A</v>
      </c>
      <c r="AM1492" s="14" t="str">
        <f t="shared" si="11"/>
        <v/>
      </c>
      <c r="AN1492" s="9"/>
      <c r="AO1492" s="9"/>
      <c r="AP1492" s="9"/>
      <c r="AQ1492" s="15" t="s">
        <v>49</v>
      </c>
      <c r="AR1492" t="s">
        <v>330</v>
      </c>
      <c r="AS1492" s="16" t="s">
        <v>331</v>
      </c>
    </row>
    <row r="1493" spans="1:45" ht="14.5">
      <c r="A1493" s="9"/>
      <c r="B1493" s="9" t="s">
        <v>7408</v>
      </c>
      <c r="C1493" s="9" t="s">
        <v>327</v>
      </c>
      <c r="D1493" s="9" t="s">
        <v>275</v>
      </c>
      <c r="E1493" s="9" t="s">
        <v>49</v>
      </c>
      <c r="F1493" s="9"/>
      <c r="G1493" s="9" t="s">
        <v>51</v>
      </c>
      <c r="H1493" s="9"/>
      <c r="I1493" s="9"/>
      <c r="J1493" s="10">
        <v>44701</v>
      </c>
      <c r="K1493" s="10">
        <v>44701</v>
      </c>
      <c r="L1493" s="10"/>
      <c r="M1493" s="10">
        <v>44729</v>
      </c>
      <c r="N1493" s="9">
        <v>2022</v>
      </c>
      <c r="O1493" s="9" t="s">
        <v>7350</v>
      </c>
      <c r="P1493" s="9" t="s">
        <v>53</v>
      </c>
      <c r="Q1493" s="9" t="s">
        <v>53</v>
      </c>
      <c r="T1493" s="9" t="s">
        <v>328</v>
      </c>
      <c r="V1493" s="9"/>
      <c r="W1493" s="11" t="str">
        <f>IFERROR(VLOOKUP(B1493, PlumX_snapshot!$A:$B, 2, FALSE), " ")</f>
        <v xml:space="preserve"> </v>
      </c>
      <c r="X1493" s="11" t="str">
        <f>IFERROR(VLOOKUP(B1493, PlumX_snapshot!$A:$C, 3, FALSE), " ")</f>
        <v xml:space="preserve"> </v>
      </c>
      <c r="Y1493" s="12" t="str">
        <f>IFERROR(VLOOKUP(B1493, PlumX_snapshot!$A:$D, 4, FALSE), " ")</f>
        <v xml:space="preserve"> </v>
      </c>
      <c r="Z1493" s="12" t="str">
        <f>IFERROR(VLOOKUP(B1493, PlumX_snapshot!$A:$E, 5, FALSE), " ")</f>
        <v xml:space="preserve"> </v>
      </c>
      <c r="AA1493" s="12" t="str">
        <f>IFERROR(VLOOKUP(B1493, PlumX_snapshot!$A:$F, 6, FALSE), " ")</f>
        <v xml:space="preserve"> </v>
      </c>
      <c r="AB1493" s="13"/>
      <c r="AI1493" s="9"/>
      <c r="AJ1493" s="9"/>
      <c r="AK1493" s="11" t="str">
        <f t="shared" si="10"/>
        <v>2022</v>
      </c>
      <c r="AL1493" s="11" t="e">
        <f>VLOOKUP(AK1493, Exchange_rates!$C:$D, 2, FALSE)</f>
        <v>#N/A</v>
      </c>
      <c r="AM1493" s="14" t="str">
        <f t="shared" si="11"/>
        <v/>
      </c>
      <c r="AN1493" s="9"/>
      <c r="AO1493" s="9"/>
      <c r="AP1493" s="9"/>
      <c r="AQ1493" s="15" t="s">
        <v>49</v>
      </c>
      <c r="AR1493" t="s">
        <v>330</v>
      </c>
      <c r="AS1493" s="16" t="s">
        <v>331</v>
      </c>
    </row>
    <row r="1494" spans="1:45" ht="14.5">
      <c r="A1494" s="9"/>
      <c r="B1494" s="9" t="s">
        <v>7409</v>
      </c>
      <c r="C1494" s="9" t="s">
        <v>327</v>
      </c>
      <c r="D1494" s="9" t="s">
        <v>275</v>
      </c>
      <c r="E1494" s="9" t="s">
        <v>49</v>
      </c>
      <c r="F1494" s="9"/>
      <c r="G1494" s="9" t="s">
        <v>51</v>
      </c>
      <c r="H1494" s="9"/>
      <c r="I1494" s="9"/>
      <c r="J1494" s="10">
        <v>44738</v>
      </c>
      <c r="K1494" s="10">
        <v>44740</v>
      </c>
      <c r="L1494" s="10"/>
      <c r="M1494" s="10">
        <v>44761</v>
      </c>
      <c r="N1494" s="9">
        <v>2022</v>
      </c>
      <c r="O1494" s="9" t="s">
        <v>7350</v>
      </c>
      <c r="P1494" s="9" t="s">
        <v>53</v>
      </c>
      <c r="Q1494" s="9" t="s">
        <v>53</v>
      </c>
      <c r="T1494" s="9" t="s">
        <v>328</v>
      </c>
      <c r="V1494" s="9"/>
      <c r="W1494" s="11" t="str">
        <f>IFERROR(VLOOKUP(B1494, PlumX_snapshot!$A:$B, 2, FALSE), " ")</f>
        <v xml:space="preserve"> </v>
      </c>
      <c r="X1494" s="11" t="str">
        <f>IFERROR(VLOOKUP(B1494, PlumX_snapshot!$A:$C, 3, FALSE), " ")</f>
        <v xml:space="preserve"> </v>
      </c>
      <c r="Y1494" s="12" t="str">
        <f>IFERROR(VLOOKUP(B1494, PlumX_snapshot!$A:$D, 4, FALSE), " ")</f>
        <v xml:space="preserve"> </v>
      </c>
      <c r="Z1494" s="12" t="str">
        <f>IFERROR(VLOOKUP(B1494, PlumX_snapshot!$A:$E, 5, FALSE), " ")</f>
        <v xml:space="preserve"> </v>
      </c>
      <c r="AA1494" s="12" t="str">
        <f>IFERROR(VLOOKUP(B1494, PlumX_snapshot!$A:$F, 6, FALSE), " ")</f>
        <v xml:space="preserve"> </v>
      </c>
      <c r="AB1494" s="13"/>
      <c r="AI1494" s="9"/>
      <c r="AJ1494" s="9"/>
      <c r="AK1494" s="11" t="str">
        <f t="shared" si="10"/>
        <v>2022</v>
      </c>
      <c r="AL1494" s="11" t="e">
        <f>VLOOKUP(AK1494, Exchange_rates!$C:$D, 2, FALSE)</f>
        <v>#N/A</v>
      </c>
      <c r="AM1494" s="14" t="str">
        <f t="shared" si="11"/>
        <v/>
      </c>
      <c r="AN1494" s="9"/>
      <c r="AO1494" s="9"/>
      <c r="AP1494" s="9"/>
      <c r="AQ1494" s="15" t="s">
        <v>49</v>
      </c>
      <c r="AR1494" t="s">
        <v>330</v>
      </c>
      <c r="AS1494" s="16" t="s">
        <v>331</v>
      </c>
    </row>
    <row r="1495" spans="1:45" ht="14.5">
      <c r="A1495" s="9"/>
      <c r="B1495" s="9" t="s">
        <v>7410</v>
      </c>
      <c r="C1495" s="9" t="s">
        <v>327</v>
      </c>
      <c r="D1495" s="9" t="s">
        <v>275</v>
      </c>
      <c r="E1495" s="9" t="s">
        <v>49</v>
      </c>
      <c r="F1495" s="9"/>
      <c r="G1495" s="9" t="s">
        <v>51</v>
      </c>
      <c r="H1495" s="9"/>
      <c r="I1495" s="9"/>
      <c r="J1495" s="10">
        <v>44762</v>
      </c>
      <c r="K1495" s="10">
        <v>44762</v>
      </c>
      <c r="L1495" s="10"/>
      <c r="M1495" s="10">
        <v>44791</v>
      </c>
      <c r="N1495" s="9">
        <v>2022</v>
      </c>
      <c r="O1495" s="9" t="s">
        <v>7350</v>
      </c>
      <c r="P1495" s="9" t="s">
        <v>53</v>
      </c>
      <c r="Q1495" s="9" t="s">
        <v>53</v>
      </c>
      <c r="T1495" s="9" t="s">
        <v>328</v>
      </c>
      <c r="V1495" s="9"/>
      <c r="W1495" s="11" t="str">
        <f>IFERROR(VLOOKUP(B1495, PlumX_snapshot!$A:$B, 2, FALSE), " ")</f>
        <v xml:space="preserve"> </v>
      </c>
      <c r="X1495" s="11" t="str">
        <f>IFERROR(VLOOKUP(B1495, PlumX_snapshot!$A:$C, 3, FALSE), " ")</f>
        <v xml:space="preserve"> </v>
      </c>
      <c r="Y1495" s="12" t="str">
        <f>IFERROR(VLOOKUP(B1495, PlumX_snapshot!$A:$D, 4, FALSE), " ")</f>
        <v xml:space="preserve"> </v>
      </c>
      <c r="Z1495" s="12" t="str">
        <f>IFERROR(VLOOKUP(B1495, PlumX_snapshot!$A:$E, 5, FALSE), " ")</f>
        <v xml:space="preserve"> </v>
      </c>
      <c r="AA1495" s="12" t="str">
        <f>IFERROR(VLOOKUP(B1495, PlumX_snapshot!$A:$F, 6, FALSE), " ")</f>
        <v xml:space="preserve"> </v>
      </c>
      <c r="AB1495" s="13"/>
      <c r="AI1495" s="9"/>
      <c r="AJ1495" s="9"/>
      <c r="AK1495" s="11" t="str">
        <f t="shared" si="10"/>
        <v>2022</v>
      </c>
      <c r="AL1495" s="11" t="e">
        <f>VLOOKUP(AK1495, Exchange_rates!$C:$D, 2, FALSE)</f>
        <v>#N/A</v>
      </c>
      <c r="AM1495" s="14" t="str">
        <f t="shared" si="11"/>
        <v/>
      </c>
      <c r="AN1495" s="9"/>
      <c r="AO1495" s="9"/>
      <c r="AP1495" s="9"/>
      <c r="AQ1495" s="15" t="s">
        <v>49</v>
      </c>
      <c r="AR1495" t="s">
        <v>330</v>
      </c>
      <c r="AS1495" s="16" t="s">
        <v>331</v>
      </c>
    </row>
    <row r="1496" spans="1:45" ht="14.5">
      <c r="A1496" s="9"/>
      <c r="B1496" s="9" t="s">
        <v>7411</v>
      </c>
      <c r="C1496" s="9" t="s">
        <v>327</v>
      </c>
      <c r="D1496" s="9" t="s">
        <v>275</v>
      </c>
      <c r="E1496" s="9" t="s">
        <v>49</v>
      </c>
      <c r="F1496" s="9"/>
      <c r="G1496" s="9" t="s">
        <v>51</v>
      </c>
      <c r="H1496" s="9"/>
      <c r="I1496" s="9"/>
      <c r="J1496" s="10">
        <v>44850</v>
      </c>
      <c r="K1496" s="10">
        <v>44852</v>
      </c>
      <c r="L1496" s="10"/>
      <c r="M1496" s="10">
        <v>44882</v>
      </c>
      <c r="N1496" s="9">
        <v>2022</v>
      </c>
      <c r="O1496" s="9" t="s">
        <v>7350</v>
      </c>
      <c r="P1496" s="9" t="s">
        <v>53</v>
      </c>
      <c r="Q1496" s="9" t="s">
        <v>53</v>
      </c>
      <c r="T1496" s="9" t="s">
        <v>328</v>
      </c>
      <c r="V1496" s="9"/>
      <c r="W1496" s="11" t="str">
        <f>IFERROR(VLOOKUP(B1496, PlumX_snapshot!$A:$B, 2, FALSE), " ")</f>
        <v xml:space="preserve"> </v>
      </c>
      <c r="X1496" s="11" t="str">
        <f>IFERROR(VLOOKUP(B1496, PlumX_snapshot!$A:$C, 3, FALSE), " ")</f>
        <v xml:space="preserve"> </v>
      </c>
      <c r="Y1496" s="12" t="str">
        <f>IFERROR(VLOOKUP(B1496, PlumX_snapshot!$A:$D, 4, FALSE), " ")</f>
        <v xml:space="preserve"> </v>
      </c>
      <c r="Z1496" s="12" t="str">
        <f>IFERROR(VLOOKUP(B1496, PlumX_snapshot!$A:$E, 5, FALSE), " ")</f>
        <v xml:space="preserve"> </v>
      </c>
      <c r="AA1496" s="12" t="str">
        <f>IFERROR(VLOOKUP(B1496, PlumX_snapshot!$A:$F, 6, FALSE), " ")</f>
        <v xml:space="preserve"> </v>
      </c>
      <c r="AB1496" s="13"/>
      <c r="AI1496" s="9"/>
      <c r="AJ1496" s="9"/>
      <c r="AK1496" s="11" t="str">
        <f t="shared" si="10"/>
        <v>2022</v>
      </c>
      <c r="AL1496" s="11" t="e">
        <f>VLOOKUP(AK1496, Exchange_rates!$C:$D, 2, FALSE)</f>
        <v>#N/A</v>
      </c>
      <c r="AM1496" s="14" t="str">
        <f t="shared" si="11"/>
        <v/>
      </c>
      <c r="AN1496" s="9"/>
      <c r="AO1496" s="9"/>
      <c r="AP1496" s="9"/>
      <c r="AQ1496" s="15" t="s">
        <v>49</v>
      </c>
      <c r="AR1496" t="s">
        <v>330</v>
      </c>
      <c r="AS1496" s="16" t="s">
        <v>331</v>
      </c>
    </row>
    <row r="1497" spans="1:45" ht="14.5">
      <c r="A1497" s="9"/>
      <c r="B1497" s="9" t="s">
        <v>7412</v>
      </c>
      <c r="C1497" s="9" t="s">
        <v>327</v>
      </c>
      <c r="D1497" s="9" t="s">
        <v>275</v>
      </c>
      <c r="E1497" s="9" t="s">
        <v>49</v>
      </c>
      <c r="F1497" s="9"/>
      <c r="G1497" s="9" t="s">
        <v>51</v>
      </c>
      <c r="H1497" s="9"/>
      <c r="I1497" s="9"/>
      <c r="J1497" s="10">
        <v>44914</v>
      </c>
      <c r="K1497" s="10">
        <v>44915</v>
      </c>
      <c r="L1497" s="10"/>
      <c r="M1497" s="10">
        <v>44945</v>
      </c>
      <c r="N1497" s="9">
        <v>2022</v>
      </c>
      <c r="O1497" s="9" t="s">
        <v>7350</v>
      </c>
      <c r="P1497" s="9" t="s">
        <v>53</v>
      </c>
      <c r="Q1497" s="9" t="s">
        <v>53</v>
      </c>
      <c r="T1497" s="9" t="s">
        <v>328</v>
      </c>
      <c r="V1497" s="9"/>
      <c r="W1497" s="11" t="str">
        <f>IFERROR(VLOOKUP(B1497, PlumX_snapshot!$A:$B, 2, FALSE), " ")</f>
        <v xml:space="preserve"> </v>
      </c>
      <c r="X1497" s="11" t="str">
        <f>IFERROR(VLOOKUP(B1497, PlumX_snapshot!$A:$C, 3, FALSE), " ")</f>
        <v xml:space="preserve"> </v>
      </c>
      <c r="Y1497" s="12" t="str">
        <f>IFERROR(VLOOKUP(B1497, PlumX_snapshot!$A:$D, 4, FALSE), " ")</f>
        <v xml:space="preserve"> </v>
      </c>
      <c r="Z1497" s="12" t="str">
        <f>IFERROR(VLOOKUP(B1497, PlumX_snapshot!$A:$E, 5, FALSE), " ")</f>
        <v xml:space="preserve"> </v>
      </c>
      <c r="AA1497" s="12" t="str">
        <f>IFERROR(VLOOKUP(B1497, PlumX_snapshot!$A:$F, 6, FALSE), " ")</f>
        <v xml:space="preserve"> </v>
      </c>
      <c r="AB1497" s="13"/>
      <c r="AI1497" s="9"/>
      <c r="AJ1497" s="9"/>
      <c r="AK1497" s="11" t="str">
        <f t="shared" si="10"/>
        <v>2022</v>
      </c>
      <c r="AL1497" s="11" t="e">
        <f>VLOOKUP(AK1497, Exchange_rates!$C:$D, 2, FALSE)</f>
        <v>#N/A</v>
      </c>
      <c r="AM1497" s="14" t="str">
        <f t="shared" si="11"/>
        <v/>
      </c>
      <c r="AN1497" s="9"/>
      <c r="AO1497" s="9"/>
      <c r="AP1497" s="9"/>
      <c r="AQ1497" s="15" t="s">
        <v>49</v>
      </c>
      <c r="AR1497" t="s">
        <v>330</v>
      </c>
      <c r="AS1497" s="16" t="s">
        <v>331</v>
      </c>
    </row>
    <row r="1498" spans="1:45" ht="14.5">
      <c r="A1498" s="9" t="s">
        <v>7413</v>
      </c>
      <c r="B1498" s="9" t="s">
        <v>7414</v>
      </c>
      <c r="C1498" s="9" t="s">
        <v>7415</v>
      </c>
      <c r="D1498" s="9" t="s">
        <v>361</v>
      </c>
      <c r="E1498" s="17" t="s">
        <v>49</v>
      </c>
      <c r="F1498" s="9" t="s">
        <v>50</v>
      </c>
      <c r="G1498" s="9" t="s">
        <v>51</v>
      </c>
      <c r="H1498" s="9"/>
      <c r="I1498" s="9"/>
      <c r="J1498" s="10">
        <v>44959</v>
      </c>
      <c r="K1498" s="10">
        <v>44964</v>
      </c>
      <c r="L1498" s="10">
        <v>44964</v>
      </c>
      <c r="M1498" s="10"/>
      <c r="N1498" s="9">
        <v>2023</v>
      </c>
      <c r="O1498" s="9" t="s">
        <v>7416</v>
      </c>
      <c r="P1498" s="9" t="s">
        <v>53</v>
      </c>
      <c r="Q1498" s="9" t="s">
        <v>53</v>
      </c>
      <c r="S1498" s="9" t="s">
        <v>7417</v>
      </c>
      <c r="T1498" s="9" t="s">
        <v>55</v>
      </c>
      <c r="V1498" s="9"/>
      <c r="W1498" s="11" t="str">
        <f>IFERROR(VLOOKUP(B1498, PlumX_snapshot!$A:$B, 2, FALSE), " ")</f>
        <v xml:space="preserve"> </v>
      </c>
      <c r="X1498" s="11" t="str">
        <f>IFERROR(VLOOKUP(B1498, PlumX_snapshot!$A:$C, 3, FALSE), " ")</f>
        <v xml:space="preserve"> </v>
      </c>
      <c r="Y1498" s="12" t="str">
        <f>IFERROR(VLOOKUP(B1498, PlumX_snapshot!$A:$D, 4, FALSE), " ")</f>
        <v xml:space="preserve"> </v>
      </c>
      <c r="Z1498" s="12" t="str">
        <f>IFERROR(VLOOKUP(B1498, PlumX_snapshot!$A:$E, 5, FALSE), " ")</f>
        <v xml:space="preserve"> </v>
      </c>
      <c r="AA1498" s="12" t="str">
        <f>IFERROR(VLOOKUP(B1498, PlumX_snapshot!$A:$F, 6, FALSE), " ")</f>
        <v xml:space="preserve"> </v>
      </c>
      <c r="AB1498" s="13"/>
      <c r="AC1498" s="9" t="s">
        <v>7418</v>
      </c>
      <c r="AD1498" s="9" t="s">
        <v>7419</v>
      </c>
      <c r="AH1498" s="9">
        <v>2110</v>
      </c>
      <c r="AI1498" s="11" t="s">
        <v>77</v>
      </c>
      <c r="AJ1498" s="12" t="s">
        <v>301</v>
      </c>
      <c r="AK1498" s="11" t="str">
        <f t="shared" si="10"/>
        <v>2023GBP</v>
      </c>
      <c r="AL1498" s="11">
        <f>VLOOKUP(AK1498, Exchange_rates!$C:$D, 2, FALSE)</f>
        <v>1</v>
      </c>
      <c r="AM1498" s="14">
        <f t="shared" si="11"/>
        <v>2532</v>
      </c>
      <c r="AN1498" s="9"/>
      <c r="AO1498" s="9"/>
      <c r="AP1498" s="17"/>
      <c r="AQ1498" s="15" t="s">
        <v>49</v>
      </c>
      <c r="AR1498" t="s">
        <v>7420</v>
      </c>
      <c r="AS1498" s="16" t="s">
        <v>7421</v>
      </c>
    </row>
    <row r="1499" spans="1:45" ht="14.5">
      <c r="A1499" s="9" t="s">
        <v>7422</v>
      </c>
      <c r="B1499" s="9" t="s">
        <v>7423</v>
      </c>
      <c r="C1499" s="9" t="s">
        <v>536</v>
      </c>
      <c r="D1499" s="9" t="s">
        <v>361</v>
      </c>
      <c r="E1499" s="17" t="s">
        <v>125</v>
      </c>
      <c r="F1499" s="9" t="s">
        <v>69</v>
      </c>
      <c r="G1499" s="9" t="s">
        <v>70</v>
      </c>
      <c r="H1499" s="9" t="s">
        <v>7424</v>
      </c>
      <c r="I1499" s="9" t="s">
        <v>238</v>
      </c>
      <c r="J1499" s="10">
        <v>44945</v>
      </c>
      <c r="K1499" s="10">
        <v>44946</v>
      </c>
      <c r="L1499" s="10">
        <v>44946</v>
      </c>
      <c r="M1499" s="10"/>
      <c r="N1499" s="9">
        <v>2023</v>
      </c>
      <c r="O1499" s="9" t="s">
        <v>7416</v>
      </c>
      <c r="P1499" s="9" t="s">
        <v>53</v>
      </c>
      <c r="Q1499" s="9" t="s">
        <v>53</v>
      </c>
      <c r="R1499" s="9" t="s">
        <v>307</v>
      </c>
      <c r="T1499" s="9"/>
      <c r="V1499" s="9"/>
      <c r="W1499" s="11" t="str">
        <f>IFERROR(VLOOKUP(B1499, PlumX_snapshot!$A:$B, 2, FALSE), " ")</f>
        <v xml:space="preserve"> </v>
      </c>
      <c r="X1499" s="11" t="str">
        <f>IFERROR(VLOOKUP(B1499, PlumX_snapshot!$A:$C, 3, FALSE), " ")</f>
        <v xml:space="preserve"> </v>
      </c>
      <c r="Y1499" s="12" t="str">
        <f>IFERROR(VLOOKUP(B1499, PlumX_snapshot!$A:$D, 4, FALSE), " ")</f>
        <v xml:space="preserve"> </v>
      </c>
      <c r="Z1499" s="12" t="str">
        <f>IFERROR(VLOOKUP(B1499, PlumX_snapshot!$A:$E, 5, FALSE), " ")</f>
        <v xml:space="preserve"> </v>
      </c>
      <c r="AA1499" s="12" t="str">
        <f>IFERROR(VLOOKUP(B1499, PlumX_snapshot!$A:$F, 6, FALSE), " ")</f>
        <v xml:space="preserve"> </v>
      </c>
      <c r="AB1499" s="13"/>
      <c r="AC1499" s="9" t="s">
        <v>709</v>
      </c>
      <c r="AD1499" s="9" t="s">
        <v>710</v>
      </c>
      <c r="AH1499" s="9">
        <v>2110</v>
      </c>
      <c r="AI1499" s="11" t="s">
        <v>77</v>
      </c>
      <c r="AJ1499" s="12" t="s">
        <v>301</v>
      </c>
      <c r="AK1499" s="11" t="str">
        <f t="shared" si="10"/>
        <v>2023GBP</v>
      </c>
      <c r="AL1499" s="11">
        <f>VLOOKUP(AK1499, Exchange_rates!$C:$D, 2, FALSE)</f>
        <v>1</v>
      </c>
      <c r="AM1499" s="14">
        <f t="shared" si="11"/>
        <v>2532</v>
      </c>
      <c r="AN1499" s="9"/>
      <c r="AO1499" s="9"/>
      <c r="AP1499" s="17"/>
      <c r="AQ1499" s="15" t="s">
        <v>125</v>
      </c>
      <c r="AR1499" t="s">
        <v>542</v>
      </c>
      <c r="AS1499" s="16"/>
    </row>
    <row r="1500" spans="1:45" ht="14.5">
      <c r="A1500" s="9" t="s">
        <v>7425</v>
      </c>
      <c r="B1500" s="9" t="s">
        <v>7426</v>
      </c>
      <c r="C1500" s="9" t="s">
        <v>416</v>
      </c>
      <c r="D1500" s="9" t="s">
        <v>361</v>
      </c>
      <c r="E1500" s="17" t="s">
        <v>49</v>
      </c>
      <c r="F1500" s="9" t="s">
        <v>69</v>
      </c>
      <c r="G1500" s="9" t="s">
        <v>70</v>
      </c>
      <c r="H1500" s="9" t="s">
        <v>7424</v>
      </c>
      <c r="I1500" s="9" t="s">
        <v>72</v>
      </c>
      <c r="J1500" s="10">
        <v>44935</v>
      </c>
      <c r="K1500" s="10">
        <v>44935</v>
      </c>
      <c r="L1500" s="10">
        <v>44935</v>
      </c>
      <c r="M1500" s="10"/>
      <c r="N1500" s="9">
        <v>2023</v>
      </c>
      <c r="O1500" s="9" t="s">
        <v>7416</v>
      </c>
      <c r="P1500" s="9" t="s">
        <v>53</v>
      </c>
      <c r="Q1500" s="9" t="s">
        <v>53</v>
      </c>
      <c r="R1500" s="9" t="s">
        <v>7427</v>
      </c>
      <c r="T1500" s="9"/>
      <c r="V1500" s="9"/>
      <c r="W1500" s="11" t="str">
        <f>IFERROR(VLOOKUP(B1500, PlumX_snapshot!$A:$B, 2, FALSE), " ")</f>
        <v xml:space="preserve"> </v>
      </c>
      <c r="X1500" s="11" t="str">
        <f>IFERROR(VLOOKUP(B1500, PlumX_snapshot!$A:$C, 3, FALSE), " ")</f>
        <v xml:space="preserve"> </v>
      </c>
      <c r="Y1500" s="12" t="str">
        <f>IFERROR(VLOOKUP(B1500, PlumX_snapshot!$A:$D, 4, FALSE), " ")</f>
        <v xml:space="preserve"> </v>
      </c>
      <c r="Z1500" s="12" t="str">
        <f>IFERROR(VLOOKUP(B1500, PlumX_snapshot!$A:$E, 5, FALSE), " ")</f>
        <v xml:space="preserve"> </v>
      </c>
      <c r="AA1500" s="12" t="str">
        <f>IFERROR(VLOOKUP(B1500, PlumX_snapshot!$A:$F, 6, FALSE), " ")</f>
        <v xml:space="preserve"> </v>
      </c>
      <c r="AB1500" s="13"/>
      <c r="AC1500" s="9" t="s">
        <v>418</v>
      </c>
      <c r="AD1500" s="9" t="s">
        <v>419</v>
      </c>
      <c r="AH1500" s="9">
        <v>2110</v>
      </c>
      <c r="AI1500" s="11" t="s">
        <v>77</v>
      </c>
      <c r="AJ1500" s="12" t="s">
        <v>301</v>
      </c>
      <c r="AK1500" s="11" t="str">
        <f t="shared" si="10"/>
        <v>2023GBP</v>
      </c>
      <c r="AL1500" s="11">
        <f>VLOOKUP(AK1500, Exchange_rates!$C:$D, 2, FALSE)</f>
        <v>1</v>
      </c>
      <c r="AM1500" s="14">
        <f t="shared" si="11"/>
        <v>2532</v>
      </c>
      <c r="AN1500" s="9"/>
      <c r="AO1500" s="9"/>
      <c r="AP1500" s="17"/>
      <c r="AQ1500" s="15" t="s">
        <v>49</v>
      </c>
      <c r="AR1500" t="s">
        <v>420</v>
      </c>
      <c r="AS1500" s="16" t="s">
        <v>421</v>
      </c>
    </row>
    <row r="1501" spans="1:45" ht="14.5">
      <c r="A1501" s="9" t="s">
        <v>7428</v>
      </c>
      <c r="B1501" s="9" t="s">
        <v>7429</v>
      </c>
      <c r="C1501" s="9" t="s">
        <v>807</v>
      </c>
      <c r="D1501" s="9" t="s">
        <v>361</v>
      </c>
      <c r="E1501" s="17" t="s">
        <v>49</v>
      </c>
      <c r="F1501" s="9" t="s">
        <v>69</v>
      </c>
      <c r="G1501" s="9" t="s">
        <v>70</v>
      </c>
      <c r="H1501" s="9" t="s">
        <v>557</v>
      </c>
      <c r="I1501" s="9" t="s">
        <v>72</v>
      </c>
      <c r="J1501" s="10">
        <v>44911</v>
      </c>
      <c r="K1501" s="10">
        <v>44916</v>
      </c>
      <c r="L1501" s="10">
        <v>44916</v>
      </c>
      <c r="M1501" s="10"/>
      <c r="N1501" s="9">
        <v>2022</v>
      </c>
      <c r="O1501" s="9" t="s">
        <v>7416</v>
      </c>
      <c r="P1501" s="9" t="s">
        <v>53</v>
      </c>
      <c r="Q1501" s="9" t="s">
        <v>53</v>
      </c>
      <c r="T1501" s="9"/>
      <c r="V1501" s="9"/>
      <c r="W1501" s="11" t="str">
        <f>IFERROR(VLOOKUP(B1501, PlumX_snapshot!$A:$B, 2, FALSE), " ")</f>
        <v xml:space="preserve"> </v>
      </c>
      <c r="X1501" s="11" t="str">
        <f>IFERROR(VLOOKUP(B1501, PlumX_snapshot!$A:$C, 3, FALSE), " ")</f>
        <v xml:space="preserve"> </v>
      </c>
      <c r="Y1501" s="12" t="str">
        <f>IFERROR(VLOOKUP(B1501, PlumX_snapshot!$A:$D, 4, FALSE), " ")</f>
        <v xml:space="preserve"> </v>
      </c>
      <c r="Z1501" s="12" t="str">
        <f>IFERROR(VLOOKUP(B1501, PlumX_snapshot!$A:$E, 5, FALSE), " ")</f>
        <v xml:space="preserve"> </v>
      </c>
      <c r="AA1501" s="12" t="str">
        <f>IFERROR(VLOOKUP(B1501, PlumX_snapshot!$A:$F, 6, FALSE), " ")</f>
        <v xml:space="preserve"> </v>
      </c>
      <c r="AB1501" s="13"/>
      <c r="AC1501" s="9" t="s">
        <v>7430</v>
      </c>
      <c r="AD1501" s="9" t="s">
        <v>7431</v>
      </c>
      <c r="AH1501" s="9">
        <v>2045</v>
      </c>
      <c r="AI1501" s="11" t="s">
        <v>77</v>
      </c>
      <c r="AJ1501" s="12" t="s">
        <v>301</v>
      </c>
      <c r="AK1501" s="11" t="str">
        <f t="shared" si="10"/>
        <v>2022GBP</v>
      </c>
      <c r="AL1501" s="11">
        <f>VLOOKUP(AK1501, Exchange_rates!$C:$D, 2, FALSE)</f>
        <v>1</v>
      </c>
      <c r="AM1501" s="14">
        <f t="shared" si="11"/>
        <v>2454</v>
      </c>
      <c r="AN1501" s="9"/>
      <c r="AO1501" s="9"/>
      <c r="AP1501" s="17"/>
      <c r="AQ1501" s="15" t="s">
        <v>49</v>
      </c>
      <c r="AR1501" t="s">
        <v>811</v>
      </c>
      <c r="AS1501" s="16" t="s">
        <v>812</v>
      </c>
    </row>
    <row r="1502" spans="1:45" ht="14.5">
      <c r="A1502" s="9" t="s">
        <v>7432</v>
      </c>
      <c r="B1502" s="9" t="s">
        <v>7433</v>
      </c>
      <c r="C1502" s="9" t="s">
        <v>424</v>
      </c>
      <c r="D1502" s="9" t="s">
        <v>361</v>
      </c>
      <c r="E1502" s="17" t="s">
        <v>49</v>
      </c>
      <c r="F1502" s="9" t="s">
        <v>69</v>
      </c>
      <c r="G1502" s="9" t="s">
        <v>70</v>
      </c>
      <c r="H1502" s="9" t="s">
        <v>557</v>
      </c>
      <c r="I1502" s="9" t="s">
        <v>72</v>
      </c>
      <c r="J1502" s="10">
        <v>44837</v>
      </c>
      <c r="K1502" s="10">
        <v>44838</v>
      </c>
      <c r="L1502" s="10">
        <v>44857</v>
      </c>
      <c r="M1502" s="10">
        <v>44944</v>
      </c>
      <c r="N1502" s="9">
        <v>2022</v>
      </c>
      <c r="O1502" s="9" t="s">
        <v>7416</v>
      </c>
      <c r="P1502" s="9" t="s">
        <v>83</v>
      </c>
      <c r="Q1502" s="9" t="s">
        <v>83</v>
      </c>
      <c r="R1502" s="9" t="s">
        <v>7434</v>
      </c>
      <c r="T1502" s="9"/>
      <c r="V1502" s="9"/>
      <c r="W1502" s="11" t="str">
        <f>IFERROR(VLOOKUP(B1502, PlumX_snapshot!$A:$B, 2, FALSE), " ")</f>
        <v xml:space="preserve"> </v>
      </c>
      <c r="X1502" s="11" t="str">
        <f>IFERROR(VLOOKUP(B1502, PlumX_snapshot!$A:$C, 3, FALSE), " ")</f>
        <v xml:space="preserve"> </v>
      </c>
      <c r="Y1502" s="12" t="str">
        <f>IFERROR(VLOOKUP(B1502, PlumX_snapshot!$A:$D, 4, FALSE), " ")</f>
        <v xml:space="preserve"> </v>
      </c>
      <c r="Z1502" s="12" t="str">
        <f>IFERROR(VLOOKUP(B1502, PlumX_snapshot!$A:$E, 5, FALSE), " ")</f>
        <v xml:space="preserve"> </v>
      </c>
      <c r="AA1502" s="12" t="str">
        <f>IFERROR(VLOOKUP(B1502, PlumX_snapshot!$A:$F, 6, FALSE), " ")</f>
        <v xml:space="preserve"> </v>
      </c>
      <c r="AB1502" s="13"/>
      <c r="AC1502" s="9" t="s">
        <v>540</v>
      </c>
      <c r="AD1502" s="9" t="s">
        <v>541</v>
      </c>
      <c r="AH1502" s="9">
        <v>2730</v>
      </c>
      <c r="AI1502" s="11" t="s">
        <v>77</v>
      </c>
      <c r="AJ1502" s="12" t="s">
        <v>301</v>
      </c>
      <c r="AK1502" s="11" t="str">
        <f t="shared" si="10"/>
        <v>2022GBP</v>
      </c>
      <c r="AL1502" s="11">
        <f>VLOOKUP(AK1502, Exchange_rates!$C:$D, 2, FALSE)</f>
        <v>1</v>
      </c>
      <c r="AM1502" s="14">
        <f t="shared" si="11"/>
        <v>3276</v>
      </c>
      <c r="AN1502" s="9"/>
      <c r="AO1502" s="9"/>
      <c r="AP1502" s="17"/>
      <c r="AQ1502" s="15" t="s">
        <v>49</v>
      </c>
      <c r="AR1502" t="s">
        <v>428</v>
      </c>
      <c r="AS1502" s="16" t="s">
        <v>429</v>
      </c>
    </row>
    <row r="1503" spans="1:45" ht="14.5">
      <c r="A1503" s="9" t="s">
        <v>7435</v>
      </c>
      <c r="B1503" s="9" t="s">
        <v>7436</v>
      </c>
      <c r="C1503" s="9" t="s">
        <v>386</v>
      </c>
      <c r="D1503" s="9" t="s">
        <v>361</v>
      </c>
      <c r="E1503" s="17" t="s">
        <v>49</v>
      </c>
      <c r="F1503" s="9" t="s">
        <v>69</v>
      </c>
      <c r="G1503" s="9" t="s">
        <v>70</v>
      </c>
      <c r="H1503" s="9" t="s">
        <v>557</v>
      </c>
      <c r="I1503" s="9" t="s">
        <v>72</v>
      </c>
      <c r="J1503" s="10">
        <v>44748</v>
      </c>
      <c r="K1503" s="10">
        <v>44749</v>
      </c>
      <c r="L1503" s="10">
        <v>44749</v>
      </c>
      <c r="M1503" s="10"/>
      <c r="N1503" s="9">
        <v>2022</v>
      </c>
      <c r="O1503" s="9" t="s">
        <v>7416</v>
      </c>
      <c r="P1503" s="9" t="s">
        <v>53</v>
      </c>
      <c r="Q1503" s="9" t="s">
        <v>53</v>
      </c>
      <c r="T1503" s="9"/>
      <c r="V1503" s="9"/>
      <c r="W1503" s="11" t="str">
        <f>IFERROR(VLOOKUP(B1503, PlumX_snapshot!$A:$B, 2, FALSE), " ")</f>
        <v xml:space="preserve"> </v>
      </c>
      <c r="X1503" s="11" t="str">
        <f>IFERROR(VLOOKUP(B1503, PlumX_snapshot!$A:$C, 3, FALSE), " ")</f>
        <v xml:space="preserve"> </v>
      </c>
      <c r="Y1503" s="12" t="str">
        <f>IFERROR(VLOOKUP(B1503, PlumX_snapshot!$A:$D, 4, FALSE), " ")</f>
        <v xml:space="preserve"> </v>
      </c>
      <c r="Z1503" s="12" t="str">
        <f>IFERROR(VLOOKUP(B1503, PlumX_snapshot!$A:$E, 5, FALSE), " ")</f>
        <v xml:space="preserve"> </v>
      </c>
      <c r="AA1503" s="12" t="str">
        <f>IFERROR(VLOOKUP(B1503, PlumX_snapshot!$A:$F, 6, FALSE), " ")</f>
        <v xml:space="preserve"> </v>
      </c>
      <c r="AB1503" s="13"/>
      <c r="AC1503" s="9" t="s">
        <v>454</v>
      </c>
      <c r="AD1503" s="9" t="s">
        <v>455</v>
      </c>
      <c r="AH1503" s="9">
        <v>2045</v>
      </c>
      <c r="AI1503" s="11" t="s">
        <v>77</v>
      </c>
      <c r="AJ1503" s="12" t="s">
        <v>301</v>
      </c>
      <c r="AK1503" s="11" t="str">
        <f t="shared" si="10"/>
        <v>2022GBP</v>
      </c>
      <c r="AL1503" s="11">
        <f>VLOOKUP(AK1503, Exchange_rates!$C:$D, 2, FALSE)</f>
        <v>1</v>
      </c>
      <c r="AM1503" s="14">
        <f t="shared" si="11"/>
        <v>2454</v>
      </c>
      <c r="AN1503" s="9"/>
      <c r="AO1503" s="9"/>
      <c r="AP1503" s="17"/>
      <c r="AQ1503" s="15" t="s">
        <v>49</v>
      </c>
      <c r="AR1503" t="s">
        <v>389</v>
      </c>
      <c r="AS1503" s="16" t="s">
        <v>390</v>
      </c>
    </row>
    <row r="1504" spans="1:45" ht="14.5">
      <c r="A1504" s="9" t="s">
        <v>7437</v>
      </c>
      <c r="B1504" s="9" t="s">
        <v>7438</v>
      </c>
      <c r="C1504" s="9" t="s">
        <v>7439</v>
      </c>
      <c r="D1504" s="9" t="s">
        <v>361</v>
      </c>
      <c r="E1504" s="17" t="s">
        <v>49</v>
      </c>
      <c r="F1504" s="9" t="s">
        <v>69</v>
      </c>
      <c r="G1504" s="9" t="s">
        <v>70</v>
      </c>
      <c r="H1504" s="9" t="s">
        <v>557</v>
      </c>
      <c r="I1504" s="9" t="s">
        <v>72</v>
      </c>
      <c r="J1504" s="10">
        <v>44704</v>
      </c>
      <c r="K1504" s="10">
        <v>44706</v>
      </c>
      <c r="L1504" s="10">
        <v>44706</v>
      </c>
      <c r="M1504" s="10"/>
      <c r="N1504" s="9">
        <v>2022</v>
      </c>
      <c r="O1504" s="9" t="s">
        <v>7416</v>
      </c>
      <c r="P1504" s="9" t="s">
        <v>53</v>
      </c>
      <c r="Q1504" s="9" t="s">
        <v>53</v>
      </c>
      <c r="T1504" s="9"/>
      <c r="V1504" s="9"/>
      <c r="W1504" s="11" t="str">
        <f>IFERROR(VLOOKUP(B1504, PlumX_snapshot!$A:$B, 2, FALSE), " ")</f>
        <v xml:space="preserve"> </v>
      </c>
      <c r="X1504" s="11" t="str">
        <f>IFERROR(VLOOKUP(B1504, PlumX_snapshot!$A:$C, 3, FALSE), " ")</f>
        <v xml:space="preserve"> </v>
      </c>
      <c r="Y1504" s="12" t="str">
        <f>IFERROR(VLOOKUP(B1504, PlumX_snapshot!$A:$D, 4, FALSE), " ")</f>
        <v xml:space="preserve"> </v>
      </c>
      <c r="Z1504" s="12" t="str">
        <f>IFERROR(VLOOKUP(B1504, PlumX_snapshot!$A:$E, 5, FALSE), " ")</f>
        <v xml:space="preserve"> </v>
      </c>
      <c r="AA1504" s="12" t="str">
        <f>IFERROR(VLOOKUP(B1504, PlumX_snapshot!$A:$F, 6, FALSE), " ")</f>
        <v xml:space="preserve"> </v>
      </c>
      <c r="AB1504" s="13"/>
      <c r="AC1504" s="9" t="s">
        <v>448</v>
      </c>
      <c r="AD1504" s="9" t="s">
        <v>449</v>
      </c>
      <c r="AH1504" s="9">
        <v>2045</v>
      </c>
      <c r="AI1504" s="11" t="s">
        <v>77</v>
      </c>
      <c r="AJ1504" s="12" t="s">
        <v>301</v>
      </c>
      <c r="AK1504" s="11" t="str">
        <f t="shared" si="10"/>
        <v>2022GBP</v>
      </c>
      <c r="AL1504" s="11">
        <f>VLOOKUP(AK1504, Exchange_rates!$C:$D, 2, FALSE)</f>
        <v>1</v>
      </c>
      <c r="AM1504" s="14">
        <f t="shared" si="11"/>
        <v>2454</v>
      </c>
      <c r="AN1504" s="9"/>
      <c r="AO1504" s="9"/>
      <c r="AP1504" s="17"/>
      <c r="AQ1504" s="15" t="s">
        <v>49</v>
      </c>
      <c r="AR1504" t="s">
        <v>7440</v>
      </c>
      <c r="AS1504" s="16" t="s">
        <v>7441</v>
      </c>
    </row>
    <row r="1505" spans="1:45" ht="14.5">
      <c r="A1505" s="9" t="s">
        <v>7442</v>
      </c>
      <c r="B1505" s="9" t="s">
        <v>7443</v>
      </c>
      <c r="C1505" s="9" t="s">
        <v>7444</v>
      </c>
      <c r="D1505" s="9" t="s">
        <v>870</v>
      </c>
      <c r="E1505" s="9" t="s">
        <v>49</v>
      </c>
      <c r="F1505" s="9" t="s">
        <v>69</v>
      </c>
      <c r="G1505" s="9" t="s">
        <v>70</v>
      </c>
      <c r="H1505" s="9" t="s">
        <v>871</v>
      </c>
      <c r="I1505" s="9" t="s">
        <v>238</v>
      </c>
      <c r="J1505" s="10"/>
      <c r="K1505" s="10"/>
      <c r="L1505" s="10">
        <v>44917</v>
      </c>
      <c r="M1505" s="10"/>
      <c r="N1505" s="9">
        <v>2022</v>
      </c>
      <c r="O1505" s="9" t="s">
        <v>7445</v>
      </c>
      <c r="P1505" s="9" t="s">
        <v>53</v>
      </c>
      <c r="Q1505" s="9" t="s">
        <v>53</v>
      </c>
      <c r="T1505" s="9"/>
      <c r="V1505" s="9"/>
      <c r="W1505" s="11" t="str">
        <f>IFERROR(VLOOKUP(B1505, PlumX_snapshot!$A:$B, 2, FALSE), " ")</f>
        <v xml:space="preserve"> </v>
      </c>
      <c r="X1505" s="11" t="str">
        <f>IFERROR(VLOOKUP(B1505, PlumX_snapshot!$A:$C, 3, FALSE), " ")</f>
        <v xml:space="preserve"> </v>
      </c>
      <c r="Y1505" s="12" t="str">
        <f>IFERROR(VLOOKUP(B1505, PlumX_snapshot!$A:$D, 4, FALSE), " ")</f>
        <v xml:space="preserve"> </v>
      </c>
      <c r="Z1505" s="12" t="str">
        <f>IFERROR(VLOOKUP(B1505, PlumX_snapshot!$A:$E, 5, FALSE), " ")</f>
        <v xml:space="preserve"> </v>
      </c>
      <c r="AA1505" s="12" t="str">
        <f>IFERROR(VLOOKUP(B1505, PlumX_snapshot!$A:$F, 6, FALSE), " ")</f>
        <v xml:space="preserve"> </v>
      </c>
      <c r="AB1505" s="13"/>
      <c r="AC1505" s="9" t="s">
        <v>7446</v>
      </c>
      <c r="AH1505" s="18">
        <v>3480</v>
      </c>
      <c r="AI1505" s="19" t="s">
        <v>875</v>
      </c>
      <c r="AJ1505" s="11" t="s">
        <v>301</v>
      </c>
      <c r="AK1505" s="11" t="str">
        <f t="shared" si="10"/>
        <v>2022GBP</v>
      </c>
      <c r="AL1505" s="11">
        <f>VLOOKUP(AK1505, Exchange_rates!$C:$D, 2, FALSE)</f>
        <v>1</v>
      </c>
      <c r="AM1505" s="14">
        <f t="shared" si="11"/>
        <v>4176</v>
      </c>
      <c r="AN1505" s="9"/>
      <c r="AO1505" s="9"/>
      <c r="AP1505" s="9"/>
      <c r="AQ1505" s="15" t="s">
        <v>49</v>
      </c>
      <c r="AR1505" t="s">
        <v>7447</v>
      </c>
      <c r="AS1505" s="16" t="s">
        <v>7448</v>
      </c>
    </row>
    <row r="1506" spans="1:45" ht="14.5">
      <c r="A1506" s="9" t="s">
        <v>7449</v>
      </c>
      <c r="B1506" s="9" t="s">
        <v>7450</v>
      </c>
      <c r="C1506" s="9" t="s">
        <v>7451</v>
      </c>
      <c r="D1506" s="9" t="s">
        <v>870</v>
      </c>
      <c r="E1506" s="9" t="s">
        <v>49</v>
      </c>
      <c r="F1506" s="9" t="s">
        <v>69</v>
      </c>
      <c r="G1506" s="9" t="s">
        <v>70</v>
      </c>
      <c r="H1506" s="9" t="s">
        <v>7452</v>
      </c>
      <c r="I1506" s="9" t="s">
        <v>291</v>
      </c>
      <c r="J1506" s="10"/>
      <c r="K1506" s="10"/>
      <c r="L1506" s="10">
        <v>44942</v>
      </c>
      <c r="M1506" s="10"/>
      <c r="N1506" s="9">
        <v>2023</v>
      </c>
      <c r="O1506" s="9" t="s">
        <v>7445</v>
      </c>
      <c r="P1506" s="9" t="s">
        <v>53</v>
      </c>
      <c r="Q1506" s="9" t="s">
        <v>53</v>
      </c>
      <c r="T1506" s="9"/>
      <c r="V1506" s="9"/>
      <c r="W1506" s="11" t="str">
        <f>IFERROR(VLOOKUP(B1506, PlumX_snapshot!$A:$B, 2, FALSE), " ")</f>
        <v xml:space="preserve"> </v>
      </c>
      <c r="X1506" s="11" t="str">
        <f>IFERROR(VLOOKUP(B1506, PlumX_snapshot!$A:$C, 3, FALSE), " ")</f>
        <v xml:space="preserve"> </v>
      </c>
      <c r="Y1506" s="12" t="str">
        <f>IFERROR(VLOOKUP(B1506, PlumX_snapshot!$A:$D, 4, FALSE), " ")</f>
        <v xml:space="preserve"> </v>
      </c>
      <c r="Z1506" s="12" t="str">
        <f>IFERROR(VLOOKUP(B1506, PlumX_snapshot!$A:$E, 5, FALSE), " ")</f>
        <v xml:space="preserve"> </v>
      </c>
      <c r="AA1506" s="12" t="str">
        <f>IFERROR(VLOOKUP(B1506, PlumX_snapshot!$A:$F, 6, FALSE), " ")</f>
        <v xml:space="preserve"> </v>
      </c>
      <c r="AB1506" s="13"/>
      <c r="AC1506" s="9" t="s">
        <v>7453</v>
      </c>
      <c r="AH1506" s="18">
        <v>2860</v>
      </c>
      <c r="AI1506" s="19" t="s">
        <v>875</v>
      </c>
      <c r="AJ1506" s="11" t="s">
        <v>301</v>
      </c>
      <c r="AK1506" s="11" t="str">
        <f t="shared" si="10"/>
        <v>2023GBP</v>
      </c>
      <c r="AL1506" s="11">
        <f>VLOOKUP(AK1506, Exchange_rates!$C:$D, 2, FALSE)</f>
        <v>1</v>
      </c>
      <c r="AM1506" s="14">
        <f t="shared" si="11"/>
        <v>3432</v>
      </c>
      <c r="AN1506" s="9"/>
      <c r="AO1506" s="9"/>
      <c r="AP1506" s="9"/>
      <c r="AQ1506" s="15" t="s">
        <v>49</v>
      </c>
      <c r="AS1506" s="16" t="s">
        <v>7454</v>
      </c>
    </row>
    <row r="1507" spans="1:45" ht="14.5">
      <c r="A1507" s="9" t="s">
        <v>7455</v>
      </c>
      <c r="B1507" s="9" t="s">
        <v>7456</v>
      </c>
      <c r="C1507" s="9" t="s">
        <v>7457</v>
      </c>
      <c r="D1507" s="9" t="s">
        <v>870</v>
      </c>
      <c r="E1507" s="9" t="s">
        <v>49</v>
      </c>
      <c r="F1507" s="9" t="s">
        <v>69</v>
      </c>
      <c r="G1507" s="9" t="s">
        <v>70</v>
      </c>
      <c r="H1507" s="9" t="s">
        <v>7452</v>
      </c>
      <c r="I1507" s="9" t="s">
        <v>72</v>
      </c>
      <c r="J1507" s="10"/>
      <c r="K1507" s="10"/>
      <c r="L1507" s="10">
        <v>44970</v>
      </c>
      <c r="M1507" s="10"/>
      <c r="N1507" s="9">
        <v>2023</v>
      </c>
      <c r="O1507" s="9" t="s">
        <v>7445</v>
      </c>
      <c r="P1507" s="9" t="s">
        <v>83</v>
      </c>
      <c r="Q1507" s="9" t="s">
        <v>53</v>
      </c>
      <c r="R1507" s="9" t="s">
        <v>7458</v>
      </c>
      <c r="T1507" s="9"/>
      <c r="V1507" s="9"/>
      <c r="W1507" s="11" t="str">
        <f>IFERROR(VLOOKUP(B1507, PlumX_snapshot!$A:$B, 2, FALSE), " ")</f>
        <v xml:space="preserve"> </v>
      </c>
      <c r="X1507" s="11" t="str">
        <f>IFERROR(VLOOKUP(B1507, PlumX_snapshot!$A:$C, 3, FALSE), " ")</f>
        <v xml:space="preserve"> </v>
      </c>
      <c r="Y1507" s="12" t="str">
        <f>IFERROR(VLOOKUP(B1507, PlumX_snapshot!$A:$D, 4, FALSE), " ")</f>
        <v xml:space="preserve"> </v>
      </c>
      <c r="Z1507" s="12" t="str">
        <f>IFERROR(VLOOKUP(B1507, PlumX_snapshot!$A:$E, 5, FALSE), " ")</f>
        <v xml:space="preserve"> </v>
      </c>
      <c r="AA1507" s="12" t="str">
        <f>IFERROR(VLOOKUP(B1507, PlumX_snapshot!$A:$F, 6, FALSE), " ")</f>
        <v xml:space="preserve"> </v>
      </c>
      <c r="AB1507" s="13"/>
      <c r="AC1507" s="9" t="s">
        <v>7459</v>
      </c>
      <c r="AH1507" s="18">
        <v>3550</v>
      </c>
      <c r="AI1507" s="19" t="s">
        <v>875</v>
      </c>
      <c r="AJ1507" s="11" t="s">
        <v>301</v>
      </c>
      <c r="AK1507" s="11" t="str">
        <f t="shared" si="10"/>
        <v>2023GBP</v>
      </c>
      <c r="AL1507" s="11">
        <f>VLOOKUP(AK1507, Exchange_rates!$C:$D, 2, FALSE)</f>
        <v>1</v>
      </c>
      <c r="AM1507" s="14">
        <f t="shared" si="11"/>
        <v>4260</v>
      </c>
      <c r="AN1507" s="9"/>
      <c r="AO1507" s="9"/>
      <c r="AP1507" s="9"/>
      <c r="AQ1507" s="15" t="s">
        <v>49</v>
      </c>
      <c r="AS1507" s="16" t="s">
        <v>7460</v>
      </c>
    </row>
    <row r="1508" spans="1:45" ht="14.5">
      <c r="A1508" s="9" t="s">
        <v>7461</v>
      </c>
      <c r="B1508" s="9" t="s">
        <v>7462</v>
      </c>
      <c r="C1508" s="9" t="s">
        <v>7463</v>
      </c>
      <c r="D1508" s="9" t="s">
        <v>870</v>
      </c>
      <c r="E1508" s="9" t="s">
        <v>49</v>
      </c>
      <c r="F1508" s="9" t="s">
        <v>69</v>
      </c>
      <c r="G1508" s="9" t="s">
        <v>70</v>
      </c>
      <c r="H1508" s="9" t="s">
        <v>871</v>
      </c>
      <c r="I1508" s="9" t="s">
        <v>72</v>
      </c>
      <c r="J1508" s="10"/>
      <c r="K1508" s="10"/>
      <c r="L1508" s="10">
        <v>44760</v>
      </c>
      <c r="M1508" s="10"/>
      <c r="N1508" s="9">
        <v>2022</v>
      </c>
      <c r="O1508" s="9" t="s">
        <v>7445</v>
      </c>
      <c r="P1508" s="9" t="s">
        <v>53</v>
      </c>
      <c r="Q1508" s="9" t="s">
        <v>53</v>
      </c>
      <c r="T1508" s="9"/>
      <c r="V1508" s="9"/>
      <c r="W1508" s="11" t="str">
        <f>IFERROR(VLOOKUP(B1508, PlumX_snapshot!$A:$B, 2, FALSE), " ")</f>
        <v xml:space="preserve"> </v>
      </c>
      <c r="X1508" s="11" t="str">
        <f>IFERROR(VLOOKUP(B1508, PlumX_snapshot!$A:$C, 3, FALSE), " ")</f>
        <v xml:space="preserve"> </v>
      </c>
      <c r="Y1508" s="12" t="str">
        <f>IFERROR(VLOOKUP(B1508, PlumX_snapshot!$A:$D, 4, FALSE), " ")</f>
        <v xml:space="preserve"> </v>
      </c>
      <c r="Z1508" s="12" t="str">
        <f>IFERROR(VLOOKUP(B1508, PlumX_snapshot!$A:$E, 5, FALSE), " ")</f>
        <v xml:space="preserve"> </v>
      </c>
      <c r="AA1508" s="12" t="str">
        <f>IFERROR(VLOOKUP(B1508, PlumX_snapshot!$A:$F, 6, FALSE), " ")</f>
        <v xml:space="preserve"> </v>
      </c>
      <c r="AB1508" s="13"/>
      <c r="AC1508" s="9" t="s">
        <v>7464</v>
      </c>
      <c r="AH1508" s="18">
        <v>2910</v>
      </c>
      <c r="AI1508" s="19" t="s">
        <v>875</v>
      </c>
      <c r="AJ1508" s="11" t="s">
        <v>301</v>
      </c>
      <c r="AK1508" s="11" t="str">
        <f t="shared" si="10"/>
        <v>2022GBP</v>
      </c>
      <c r="AL1508" s="11">
        <f>VLOOKUP(AK1508, Exchange_rates!$C:$D, 2, FALSE)</f>
        <v>1</v>
      </c>
      <c r="AM1508" s="14">
        <f t="shared" si="11"/>
        <v>3492</v>
      </c>
      <c r="AN1508" s="9"/>
      <c r="AO1508" s="9"/>
      <c r="AP1508" s="9"/>
      <c r="AQ1508" s="15" t="s">
        <v>49</v>
      </c>
      <c r="AS1508" s="16" t="s">
        <v>7465</v>
      </c>
    </row>
    <row r="1509" spans="1:45" ht="14.5">
      <c r="A1509" s="9" t="s">
        <v>7466</v>
      </c>
      <c r="B1509" s="9" t="s">
        <v>7467</v>
      </c>
      <c r="C1509" s="9" t="s">
        <v>7468</v>
      </c>
      <c r="D1509" s="9" t="s">
        <v>870</v>
      </c>
      <c r="E1509" s="9" t="s">
        <v>49</v>
      </c>
      <c r="F1509" s="9" t="s">
        <v>69</v>
      </c>
      <c r="G1509" s="9" t="s">
        <v>70</v>
      </c>
      <c r="H1509" s="9" t="s">
        <v>871</v>
      </c>
      <c r="I1509" s="9" t="s">
        <v>291</v>
      </c>
      <c r="J1509" s="10"/>
      <c r="K1509" s="10"/>
      <c r="L1509" s="10">
        <v>44865</v>
      </c>
      <c r="M1509" s="10"/>
      <c r="N1509" s="9">
        <v>2022</v>
      </c>
      <c r="O1509" s="9" t="s">
        <v>7445</v>
      </c>
      <c r="P1509" s="9" t="s">
        <v>53</v>
      </c>
      <c r="Q1509" s="9" t="s">
        <v>53</v>
      </c>
      <c r="T1509" s="9"/>
      <c r="V1509" s="9"/>
      <c r="W1509" s="11" t="str">
        <f>IFERROR(VLOOKUP(B1509, PlumX_snapshot!$A:$B, 2, FALSE), " ")</f>
        <v xml:space="preserve"> </v>
      </c>
      <c r="X1509" s="11" t="str">
        <f>IFERROR(VLOOKUP(B1509, PlumX_snapshot!$A:$C, 3, FALSE), " ")</f>
        <v xml:space="preserve"> </v>
      </c>
      <c r="Y1509" s="12" t="str">
        <f>IFERROR(VLOOKUP(B1509, PlumX_snapshot!$A:$D, 4, FALSE), " ")</f>
        <v xml:space="preserve"> </v>
      </c>
      <c r="Z1509" s="12" t="str">
        <f>IFERROR(VLOOKUP(B1509, PlumX_snapshot!$A:$E, 5, FALSE), " ")</f>
        <v xml:space="preserve"> </v>
      </c>
      <c r="AA1509" s="12" t="str">
        <f>IFERROR(VLOOKUP(B1509, PlumX_snapshot!$A:$F, 6, FALSE), " ")</f>
        <v xml:space="preserve"> </v>
      </c>
      <c r="AB1509" s="13"/>
      <c r="AC1509" s="9" t="s">
        <v>7469</v>
      </c>
      <c r="AH1509" s="18">
        <v>1860</v>
      </c>
      <c r="AI1509" s="19" t="s">
        <v>875</v>
      </c>
      <c r="AJ1509" s="11" t="s">
        <v>301</v>
      </c>
      <c r="AK1509" s="11" t="str">
        <f t="shared" si="10"/>
        <v>2022GBP</v>
      </c>
      <c r="AL1509" s="11">
        <f>VLOOKUP(AK1509, Exchange_rates!$C:$D, 2, FALSE)</f>
        <v>1</v>
      </c>
      <c r="AM1509" s="14">
        <f t="shared" si="11"/>
        <v>2232</v>
      </c>
      <c r="AN1509" s="9"/>
      <c r="AO1509" s="9"/>
      <c r="AP1509" s="9"/>
      <c r="AQ1509" s="15" t="s">
        <v>49</v>
      </c>
      <c r="AS1509" s="16" t="s">
        <v>7470</v>
      </c>
    </row>
    <row r="1510" spans="1:45" ht="14.5">
      <c r="A1510" s="9" t="s">
        <v>7471</v>
      </c>
      <c r="B1510" s="9" t="s">
        <v>7472</v>
      </c>
      <c r="C1510" s="9" t="s">
        <v>7473</v>
      </c>
      <c r="D1510" s="9" t="s">
        <v>870</v>
      </c>
      <c r="E1510" s="9" t="s">
        <v>49</v>
      </c>
      <c r="F1510" s="9" t="s">
        <v>69</v>
      </c>
      <c r="G1510" s="9" t="s">
        <v>70</v>
      </c>
      <c r="H1510" s="9" t="s">
        <v>871</v>
      </c>
      <c r="I1510" s="9" t="s">
        <v>72</v>
      </c>
      <c r="J1510" s="10"/>
      <c r="K1510" s="10"/>
      <c r="L1510" s="10">
        <v>44893</v>
      </c>
      <c r="M1510" s="10"/>
      <c r="N1510" s="9">
        <v>2022</v>
      </c>
      <c r="O1510" s="9" t="s">
        <v>7445</v>
      </c>
      <c r="P1510" s="9" t="s">
        <v>53</v>
      </c>
      <c r="Q1510" s="9" t="s">
        <v>53</v>
      </c>
      <c r="T1510" s="9"/>
      <c r="V1510" s="9"/>
      <c r="W1510" s="11" t="str">
        <f>IFERROR(VLOOKUP(B1510, PlumX_snapshot!$A:$B, 2, FALSE), " ")</f>
        <v xml:space="preserve"> </v>
      </c>
      <c r="X1510" s="11" t="str">
        <f>IFERROR(VLOOKUP(B1510, PlumX_snapshot!$A:$C, 3, FALSE), " ")</f>
        <v xml:space="preserve"> </v>
      </c>
      <c r="Y1510" s="12" t="str">
        <f>IFERROR(VLOOKUP(B1510, PlumX_snapshot!$A:$D, 4, FALSE), " ")</f>
        <v xml:space="preserve"> </v>
      </c>
      <c r="Z1510" s="12" t="str">
        <f>IFERROR(VLOOKUP(B1510, PlumX_snapshot!$A:$E, 5, FALSE), " ")</f>
        <v xml:space="preserve"> </v>
      </c>
      <c r="AA1510" s="12" t="str">
        <f>IFERROR(VLOOKUP(B1510, PlumX_snapshot!$A:$F, 6, FALSE), " ")</f>
        <v xml:space="preserve"> </v>
      </c>
      <c r="AB1510" s="13"/>
      <c r="AC1510" s="9" t="s">
        <v>7474</v>
      </c>
      <c r="AH1510" s="18">
        <v>2540</v>
      </c>
      <c r="AI1510" s="19" t="s">
        <v>875</v>
      </c>
      <c r="AJ1510" s="11" t="s">
        <v>301</v>
      </c>
      <c r="AK1510" s="11" t="str">
        <f t="shared" si="10"/>
        <v>2022GBP</v>
      </c>
      <c r="AL1510" s="11">
        <f>VLOOKUP(AK1510, Exchange_rates!$C:$D, 2, FALSE)</f>
        <v>1</v>
      </c>
      <c r="AM1510" s="14">
        <f t="shared" si="11"/>
        <v>3048</v>
      </c>
      <c r="AN1510" s="9"/>
      <c r="AO1510" s="9"/>
      <c r="AP1510" s="9"/>
      <c r="AQ1510" s="15" t="s">
        <v>49</v>
      </c>
      <c r="AS1510" s="16" t="s">
        <v>7475</v>
      </c>
    </row>
    <row r="1511" spans="1:45" ht="14.5">
      <c r="A1511" s="9" t="s">
        <v>7476</v>
      </c>
      <c r="B1511" s="9" t="s">
        <v>7477</v>
      </c>
      <c r="C1511" s="9" t="s">
        <v>7478</v>
      </c>
      <c r="D1511" s="9" t="s">
        <v>870</v>
      </c>
      <c r="E1511" s="9" t="s">
        <v>49</v>
      </c>
      <c r="F1511" s="9" t="s">
        <v>69</v>
      </c>
      <c r="G1511" s="9" t="s">
        <v>70</v>
      </c>
      <c r="H1511" s="9" t="s">
        <v>871</v>
      </c>
      <c r="I1511" s="9" t="s">
        <v>72</v>
      </c>
      <c r="J1511" s="10"/>
      <c r="K1511" s="10"/>
      <c r="L1511" s="10">
        <v>44903</v>
      </c>
      <c r="M1511" s="10"/>
      <c r="N1511" s="9">
        <v>2022</v>
      </c>
      <c r="O1511" s="9" t="s">
        <v>7445</v>
      </c>
      <c r="P1511" s="9" t="s">
        <v>83</v>
      </c>
      <c r="Q1511" s="9" t="s">
        <v>53</v>
      </c>
      <c r="R1511" s="9" t="s">
        <v>7479</v>
      </c>
      <c r="T1511" s="9"/>
      <c r="V1511" s="9"/>
      <c r="W1511" s="11" t="str">
        <f>IFERROR(VLOOKUP(B1511, PlumX_snapshot!$A:$B, 2, FALSE), " ")</f>
        <v xml:space="preserve"> </v>
      </c>
      <c r="X1511" s="11" t="str">
        <f>IFERROR(VLOOKUP(B1511, PlumX_snapshot!$A:$C, 3, FALSE), " ")</f>
        <v xml:space="preserve"> </v>
      </c>
      <c r="Y1511" s="12" t="str">
        <f>IFERROR(VLOOKUP(B1511, PlumX_snapshot!$A:$D, 4, FALSE), " ")</f>
        <v xml:space="preserve"> </v>
      </c>
      <c r="Z1511" s="12" t="str">
        <f>IFERROR(VLOOKUP(B1511, PlumX_snapshot!$A:$E, 5, FALSE), " ")</f>
        <v xml:space="preserve"> </v>
      </c>
      <c r="AA1511" s="12" t="str">
        <f>IFERROR(VLOOKUP(B1511, PlumX_snapshot!$A:$F, 6, FALSE), " ")</f>
        <v xml:space="preserve"> </v>
      </c>
      <c r="AB1511" s="13"/>
      <c r="AC1511" s="9" t="s">
        <v>7480</v>
      </c>
      <c r="AH1511" s="18">
        <v>2910</v>
      </c>
      <c r="AI1511" s="19" t="s">
        <v>875</v>
      </c>
      <c r="AJ1511" s="11" t="s">
        <v>301</v>
      </c>
      <c r="AK1511" s="11" t="str">
        <f t="shared" si="10"/>
        <v>2022GBP</v>
      </c>
      <c r="AL1511" s="11">
        <f>VLOOKUP(AK1511, Exchange_rates!$C:$D, 2, FALSE)</f>
        <v>1</v>
      </c>
      <c r="AM1511" s="14">
        <f t="shared" si="11"/>
        <v>3492</v>
      </c>
      <c r="AN1511" s="9"/>
      <c r="AO1511" s="9"/>
      <c r="AP1511" s="9"/>
      <c r="AQ1511" s="15" t="s">
        <v>49</v>
      </c>
      <c r="AS1511" s="16" t="s">
        <v>7481</v>
      </c>
    </row>
    <row r="1512" spans="1:45" ht="14.5">
      <c r="A1512" s="9" t="s">
        <v>7482</v>
      </c>
      <c r="B1512" s="9" t="s">
        <v>7483</v>
      </c>
      <c r="C1512" s="9" t="s">
        <v>1109</v>
      </c>
      <c r="D1512" s="9" t="s">
        <v>870</v>
      </c>
      <c r="E1512" s="9" t="s">
        <v>49</v>
      </c>
      <c r="F1512" s="9" t="s">
        <v>69</v>
      </c>
      <c r="G1512" s="9" t="s">
        <v>70</v>
      </c>
      <c r="H1512" s="9" t="s">
        <v>871</v>
      </c>
      <c r="I1512" s="9" t="s">
        <v>72</v>
      </c>
      <c r="J1512" s="10"/>
      <c r="K1512" s="10"/>
      <c r="L1512" s="10">
        <v>44911</v>
      </c>
      <c r="M1512" s="10"/>
      <c r="N1512" s="9">
        <v>2022</v>
      </c>
      <c r="O1512" s="9" t="s">
        <v>7445</v>
      </c>
      <c r="P1512" s="9" t="s">
        <v>53</v>
      </c>
      <c r="Q1512" s="9" t="s">
        <v>53</v>
      </c>
      <c r="R1512" s="9" t="s">
        <v>7484</v>
      </c>
      <c r="T1512" s="9"/>
      <c r="V1512" s="9"/>
      <c r="W1512" s="11" t="str">
        <f>IFERROR(VLOOKUP(B1512, PlumX_snapshot!$A:$B, 2, FALSE), " ")</f>
        <v xml:space="preserve"> </v>
      </c>
      <c r="X1512" s="11" t="str">
        <f>IFERROR(VLOOKUP(B1512, PlumX_snapshot!$A:$C, 3, FALSE), " ")</f>
        <v xml:space="preserve"> </v>
      </c>
      <c r="Y1512" s="12" t="str">
        <f>IFERROR(VLOOKUP(B1512, PlumX_snapshot!$A:$D, 4, FALSE), " ")</f>
        <v xml:space="preserve"> </v>
      </c>
      <c r="Z1512" s="12" t="str">
        <f>IFERROR(VLOOKUP(B1512, PlumX_snapshot!$A:$E, 5, FALSE), " ")</f>
        <v xml:space="preserve"> </v>
      </c>
      <c r="AA1512" s="12" t="str">
        <f>IFERROR(VLOOKUP(B1512, PlumX_snapshot!$A:$F, 6, FALSE), " ")</f>
        <v xml:space="preserve"> </v>
      </c>
      <c r="AB1512" s="13"/>
      <c r="AC1512" s="9" t="s">
        <v>7485</v>
      </c>
      <c r="AH1512" s="18">
        <v>2670</v>
      </c>
      <c r="AI1512" s="19" t="s">
        <v>875</v>
      </c>
      <c r="AJ1512" s="11" t="s">
        <v>301</v>
      </c>
      <c r="AK1512" s="11" t="str">
        <f t="shared" si="10"/>
        <v>2022GBP</v>
      </c>
      <c r="AL1512" s="11">
        <f>VLOOKUP(AK1512, Exchange_rates!$C:$D, 2, FALSE)</f>
        <v>1</v>
      </c>
      <c r="AM1512" s="14">
        <f t="shared" si="11"/>
        <v>3204</v>
      </c>
      <c r="AN1512" s="9"/>
      <c r="AO1512" s="9"/>
      <c r="AP1512" s="9"/>
      <c r="AQ1512" s="15" t="s">
        <v>49</v>
      </c>
      <c r="AS1512" s="16" t="s">
        <v>1112</v>
      </c>
    </row>
    <row r="1513" spans="1:45" ht="14.5">
      <c r="A1513" s="9" t="s">
        <v>7486</v>
      </c>
      <c r="B1513" s="9" t="s">
        <v>7487</v>
      </c>
      <c r="C1513" s="9" t="s">
        <v>7488</v>
      </c>
      <c r="D1513" s="9" t="s">
        <v>870</v>
      </c>
      <c r="E1513" s="9" t="s">
        <v>49</v>
      </c>
      <c r="F1513" s="9" t="s">
        <v>69</v>
      </c>
      <c r="G1513" s="9" t="s">
        <v>70</v>
      </c>
      <c r="H1513" s="9" t="s">
        <v>7452</v>
      </c>
      <c r="I1513" s="9" t="s">
        <v>72</v>
      </c>
      <c r="J1513" s="10"/>
      <c r="K1513" s="10"/>
      <c r="L1513" s="10">
        <v>44929</v>
      </c>
      <c r="M1513" s="10"/>
      <c r="N1513" s="9">
        <v>2023</v>
      </c>
      <c r="O1513" s="9" t="s">
        <v>7445</v>
      </c>
      <c r="P1513" s="9" t="s">
        <v>83</v>
      </c>
      <c r="Q1513" s="9" t="s">
        <v>53</v>
      </c>
      <c r="R1513" s="9" t="s">
        <v>7489</v>
      </c>
      <c r="T1513" s="9"/>
      <c r="V1513" s="9"/>
      <c r="W1513" s="11" t="str">
        <f>IFERROR(VLOOKUP(B1513, PlumX_snapshot!$A:$B, 2, FALSE), " ")</f>
        <v xml:space="preserve"> </v>
      </c>
      <c r="X1513" s="11" t="str">
        <f>IFERROR(VLOOKUP(B1513, PlumX_snapshot!$A:$C, 3, FALSE), " ")</f>
        <v xml:space="preserve"> </v>
      </c>
      <c r="Y1513" s="12" t="str">
        <f>IFERROR(VLOOKUP(B1513, PlumX_snapshot!$A:$D, 4, FALSE), " ")</f>
        <v xml:space="preserve"> </v>
      </c>
      <c r="Z1513" s="12" t="str">
        <f>IFERROR(VLOOKUP(B1513, PlumX_snapshot!$A:$E, 5, FALSE), " ")</f>
        <v xml:space="preserve"> </v>
      </c>
      <c r="AA1513" s="12" t="str">
        <f>IFERROR(VLOOKUP(B1513, PlumX_snapshot!$A:$F, 6, FALSE), " ")</f>
        <v xml:space="preserve"> </v>
      </c>
      <c r="AB1513" s="13"/>
      <c r="AC1513" s="9" t="s">
        <v>7490</v>
      </c>
      <c r="AH1513" s="18">
        <v>4070</v>
      </c>
      <c r="AI1513" s="19" t="s">
        <v>875</v>
      </c>
      <c r="AJ1513" s="11" t="s">
        <v>301</v>
      </c>
      <c r="AK1513" s="11" t="str">
        <f t="shared" si="10"/>
        <v>2023GBP</v>
      </c>
      <c r="AL1513" s="11">
        <f>VLOOKUP(AK1513, Exchange_rates!$C:$D, 2, FALSE)</f>
        <v>1</v>
      </c>
      <c r="AM1513" s="14">
        <f t="shared" si="11"/>
        <v>4884</v>
      </c>
      <c r="AN1513" s="9"/>
      <c r="AO1513" s="9"/>
      <c r="AP1513" s="9"/>
      <c r="AQ1513" s="15" t="s">
        <v>49</v>
      </c>
      <c r="AS1513" s="16" t="s">
        <v>7491</v>
      </c>
    </row>
    <row r="1514" spans="1:45" ht="14.5">
      <c r="A1514" s="9" t="s">
        <v>7492</v>
      </c>
      <c r="B1514" s="9" t="s">
        <v>7493</v>
      </c>
      <c r="C1514" s="9" t="s">
        <v>7494</v>
      </c>
      <c r="D1514" s="9" t="s">
        <v>870</v>
      </c>
      <c r="E1514" s="9" t="s">
        <v>49</v>
      </c>
      <c r="F1514" s="9" t="s">
        <v>69</v>
      </c>
      <c r="G1514" s="9" t="s">
        <v>70</v>
      </c>
      <c r="H1514" s="9" t="s">
        <v>7452</v>
      </c>
      <c r="I1514" s="9" t="s">
        <v>72</v>
      </c>
      <c r="J1514" s="10"/>
      <c r="K1514" s="10"/>
      <c r="L1514" s="10">
        <v>44946</v>
      </c>
      <c r="M1514" s="10"/>
      <c r="N1514" s="9">
        <v>2023</v>
      </c>
      <c r="O1514" s="9" t="s">
        <v>7445</v>
      </c>
      <c r="P1514" s="9" t="s">
        <v>53</v>
      </c>
      <c r="Q1514" s="9" t="s">
        <v>53</v>
      </c>
      <c r="R1514" s="9" t="s">
        <v>7495</v>
      </c>
      <c r="T1514" s="9"/>
      <c r="V1514" s="9"/>
      <c r="W1514" s="11" t="str">
        <f>IFERROR(VLOOKUP(B1514, PlumX_snapshot!$A:$B, 2, FALSE), " ")</f>
        <v xml:space="preserve"> </v>
      </c>
      <c r="X1514" s="11" t="str">
        <f>IFERROR(VLOOKUP(B1514, PlumX_snapshot!$A:$C, 3, FALSE), " ")</f>
        <v xml:space="preserve"> </v>
      </c>
      <c r="Y1514" s="12" t="str">
        <f>IFERROR(VLOOKUP(B1514, PlumX_snapshot!$A:$D, 4, FALSE), " ")</f>
        <v xml:space="preserve"> </v>
      </c>
      <c r="Z1514" s="12" t="str">
        <f>IFERROR(VLOOKUP(B1514, PlumX_snapshot!$A:$E, 5, FALSE), " ")</f>
        <v xml:space="preserve"> </v>
      </c>
      <c r="AA1514" s="12" t="str">
        <f>IFERROR(VLOOKUP(B1514, PlumX_snapshot!$A:$F, 6, FALSE), " ")</f>
        <v xml:space="preserve"> </v>
      </c>
      <c r="AB1514" s="13"/>
      <c r="AC1514" s="9" t="s">
        <v>7496</v>
      </c>
      <c r="AH1514" s="18">
        <v>3170</v>
      </c>
      <c r="AI1514" s="19" t="s">
        <v>875</v>
      </c>
      <c r="AJ1514" s="11" t="s">
        <v>301</v>
      </c>
      <c r="AK1514" s="11" t="str">
        <f t="shared" si="10"/>
        <v>2023GBP</v>
      </c>
      <c r="AL1514" s="11">
        <f>VLOOKUP(AK1514, Exchange_rates!$C:$D, 2, FALSE)</f>
        <v>1</v>
      </c>
      <c r="AM1514" s="14">
        <f t="shared" si="11"/>
        <v>3804</v>
      </c>
      <c r="AN1514" s="9"/>
      <c r="AO1514" s="9"/>
      <c r="AP1514" s="9"/>
      <c r="AQ1514" s="15" t="s">
        <v>49</v>
      </c>
      <c r="AS1514" s="16" t="s">
        <v>7497</v>
      </c>
    </row>
    <row r="1515" spans="1:45" ht="14.5">
      <c r="A1515" s="9" t="s">
        <v>7498</v>
      </c>
      <c r="B1515" s="9" t="s">
        <v>7499</v>
      </c>
      <c r="C1515" s="9" t="s">
        <v>7500</v>
      </c>
      <c r="D1515" s="9" t="s">
        <v>870</v>
      </c>
      <c r="E1515" s="9" t="s">
        <v>49</v>
      </c>
      <c r="F1515" s="9" t="s">
        <v>69</v>
      </c>
      <c r="G1515" s="9" t="s">
        <v>70</v>
      </c>
      <c r="H1515" s="9" t="s">
        <v>871</v>
      </c>
      <c r="I1515" s="9" t="s">
        <v>72</v>
      </c>
      <c r="J1515" s="10"/>
      <c r="K1515" s="10"/>
      <c r="L1515" s="10">
        <v>44719</v>
      </c>
      <c r="M1515" s="10"/>
      <c r="N1515" s="9">
        <v>2022</v>
      </c>
      <c r="O1515" s="9" t="s">
        <v>7445</v>
      </c>
      <c r="P1515" s="9" t="s">
        <v>53</v>
      </c>
      <c r="Q1515" s="9" t="s">
        <v>53</v>
      </c>
      <c r="R1515" s="9" t="s">
        <v>7501</v>
      </c>
      <c r="T1515" s="9"/>
      <c r="V1515" s="9"/>
      <c r="W1515" s="11" t="str">
        <f>IFERROR(VLOOKUP(B1515, PlumX_snapshot!$A:$B, 2, FALSE), " ")</f>
        <v xml:space="preserve"> </v>
      </c>
      <c r="X1515" s="11" t="str">
        <f>IFERROR(VLOOKUP(B1515, PlumX_snapshot!$A:$C, 3, FALSE), " ")</f>
        <v xml:space="preserve"> </v>
      </c>
      <c r="Y1515" s="12" t="str">
        <f>IFERROR(VLOOKUP(B1515, PlumX_snapshot!$A:$D, 4, FALSE), " ")</f>
        <v xml:space="preserve"> </v>
      </c>
      <c r="Z1515" s="12" t="str">
        <f>IFERROR(VLOOKUP(B1515, PlumX_snapshot!$A:$E, 5, FALSE), " ")</f>
        <v xml:space="preserve"> </v>
      </c>
      <c r="AA1515" s="12" t="str">
        <f>IFERROR(VLOOKUP(B1515, PlumX_snapshot!$A:$F, 6, FALSE), " ")</f>
        <v xml:space="preserve"> </v>
      </c>
      <c r="AB1515" s="13"/>
      <c r="AC1515" s="9" t="s">
        <v>7502</v>
      </c>
      <c r="AH1515" s="18">
        <v>2400</v>
      </c>
      <c r="AI1515" s="19" t="s">
        <v>875</v>
      </c>
      <c r="AJ1515" s="11" t="s">
        <v>301</v>
      </c>
      <c r="AK1515" s="11" t="str">
        <f t="shared" si="10"/>
        <v>2022GBP</v>
      </c>
      <c r="AL1515" s="11">
        <f>VLOOKUP(AK1515, Exchange_rates!$C:$D, 2, FALSE)</f>
        <v>1</v>
      </c>
      <c r="AM1515" s="14">
        <f t="shared" si="11"/>
        <v>2880</v>
      </c>
      <c r="AN1515" s="9"/>
      <c r="AO1515" s="9"/>
      <c r="AP1515" s="9"/>
      <c r="AQ1515" s="15" t="s">
        <v>49</v>
      </c>
      <c r="AS1515" s="16" t="s">
        <v>7503</v>
      </c>
    </row>
    <row r="1516" spans="1:45" ht="14.5">
      <c r="A1516" s="9" t="s">
        <v>7504</v>
      </c>
      <c r="B1516" s="9" t="s">
        <v>7505</v>
      </c>
      <c r="C1516" s="9" t="s">
        <v>7506</v>
      </c>
      <c r="D1516" s="9" t="s">
        <v>870</v>
      </c>
      <c r="E1516" s="9" t="s">
        <v>49</v>
      </c>
      <c r="F1516" s="9" t="s">
        <v>69</v>
      </c>
      <c r="G1516" s="9" t="s">
        <v>70</v>
      </c>
      <c r="H1516" s="9" t="s">
        <v>7452</v>
      </c>
      <c r="I1516" s="9" t="s">
        <v>72</v>
      </c>
      <c r="J1516" s="10"/>
      <c r="K1516" s="10"/>
      <c r="L1516" s="10">
        <v>44959</v>
      </c>
      <c r="M1516" s="10"/>
      <c r="N1516" s="9">
        <v>2023</v>
      </c>
      <c r="O1516" s="9" t="s">
        <v>7445</v>
      </c>
      <c r="P1516" s="9" t="s">
        <v>53</v>
      </c>
      <c r="Q1516" s="9" t="s">
        <v>53</v>
      </c>
      <c r="R1516" s="9" t="s">
        <v>7507</v>
      </c>
      <c r="T1516" s="9"/>
      <c r="V1516" s="9"/>
      <c r="W1516" s="11" t="str">
        <f>IFERROR(VLOOKUP(B1516, PlumX_snapshot!$A:$B, 2, FALSE), " ")</f>
        <v xml:space="preserve"> </v>
      </c>
      <c r="X1516" s="11" t="str">
        <f>IFERROR(VLOOKUP(B1516, PlumX_snapshot!$A:$C, 3, FALSE), " ")</f>
        <v xml:space="preserve"> </v>
      </c>
      <c r="Y1516" s="12" t="str">
        <f>IFERROR(VLOOKUP(B1516, PlumX_snapshot!$A:$D, 4, FALSE), " ")</f>
        <v xml:space="preserve"> </v>
      </c>
      <c r="Z1516" s="12" t="str">
        <f>IFERROR(VLOOKUP(B1516, PlumX_snapshot!$A:$E, 5, FALSE), " ")</f>
        <v xml:space="preserve"> </v>
      </c>
      <c r="AA1516" s="12" t="str">
        <f>IFERROR(VLOOKUP(B1516, PlumX_snapshot!$A:$F, 6, FALSE), " ")</f>
        <v xml:space="preserve"> </v>
      </c>
      <c r="AB1516" s="13"/>
      <c r="AC1516" s="9" t="s">
        <v>7508</v>
      </c>
      <c r="AH1516" s="18">
        <v>3260</v>
      </c>
      <c r="AI1516" s="19" t="s">
        <v>875</v>
      </c>
      <c r="AJ1516" s="11" t="s">
        <v>301</v>
      </c>
      <c r="AK1516" s="11" t="str">
        <f t="shared" si="10"/>
        <v>2023GBP</v>
      </c>
      <c r="AL1516" s="11">
        <f>VLOOKUP(AK1516, Exchange_rates!$C:$D, 2, FALSE)</f>
        <v>1</v>
      </c>
      <c r="AM1516" s="14">
        <f t="shared" si="11"/>
        <v>3912</v>
      </c>
      <c r="AN1516" s="9"/>
      <c r="AO1516" s="9"/>
      <c r="AP1516" s="9"/>
      <c r="AQ1516" s="15" t="s">
        <v>49</v>
      </c>
      <c r="AS1516" s="16" t="s">
        <v>7509</v>
      </c>
    </row>
    <row r="1517" spans="1:45" ht="14.5">
      <c r="A1517" s="9" t="s">
        <v>7510</v>
      </c>
      <c r="B1517" s="9" t="s">
        <v>7511</v>
      </c>
      <c r="C1517" s="9" t="s">
        <v>7512</v>
      </c>
      <c r="D1517" s="9" t="s">
        <v>870</v>
      </c>
      <c r="E1517" s="9" t="s">
        <v>125</v>
      </c>
      <c r="F1517" s="9" t="s">
        <v>69</v>
      </c>
      <c r="G1517" s="9" t="s">
        <v>51</v>
      </c>
      <c r="H1517" s="9"/>
      <c r="I1517" s="9" t="s">
        <v>72</v>
      </c>
      <c r="J1517" s="10"/>
      <c r="K1517" s="10"/>
      <c r="L1517" s="10">
        <v>44893</v>
      </c>
      <c r="M1517" s="10"/>
      <c r="N1517" s="9">
        <v>2022</v>
      </c>
      <c r="O1517" s="9" t="s">
        <v>7445</v>
      </c>
      <c r="P1517" s="9" t="s">
        <v>83</v>
      </c>
      <c r="Q1517" s="9" t="s">
        <v>53</v>
      </c>
      <c r="R1517" s="9" t="s">
        <v>7513</v>
      </c>
      <c r="T1517" s="9" t="s">
        <v>279</v>
      </c>
      <c r="V1517" s="9"/>
      <c r="W1517" s="11" t="str">
        <f>IFERROR(VLOOKUP(B1517, PlumX_snapshot!$A:$B, 2, FALSE), " ")</f>
        <v xml:space="preserve"> </v>
      </c>
      <c r="X1517" s="11" t="str">
        <f>IFERROR(VLOOKUP(B1517, PlumX_snapshot!$A:$C, 3, FALSE), " ")</f>
        <v xml:space="preserve"> </v>
      </c>
      <c r="Y1517" s="12" t="str">
        <f>IFERROR(VLOOKUP(B1517, PlumX_snapshot!$A:$D, 4, FALSE), " ")</f>
        <v xml:space="preserve"> </v>
      </c>
      <c r="Z1517" s="12" t="str">
        <f>IFERROR(VLOOKUP(B1517, PlumX_snapshot!$A:$E, 5, FALSE), " ")</f>
        <v xml:space="preserve"> </v>
      </c>
      <c r="AA1517" s="12" t="str">
        <f>IFERROR(VLOOKUP(B1517, PlumX_snapshot!$A:$F, 6, FALSE), " ")</f>
        <v xml:space="preserve"> </v>
      </c>
      <c r="AB1517" s="13"/>
      <c r="AC1517" s="9" t="s">
        <v>7514</v>
      </c>
      <c r="AH1517" s="18">
        <v>2520</v>
      </c>
      <c r="AI1517" s="19" t="s">
        <v>875</v>
      </c>
      <c r="AJ1517" s="11" t="s">
        <v>301</v>
      </c>
      <c r="AK1517" s="11" t="str">
        <f t="shared" si="10"/>
        <v>2022GBP</v>
      </c>
      <c r="AL1517" s="11">
        <f>VLOOKUP(AK1517, Exchange_rates!$C:$D, 2, FALSE)</f>
        <v>1</v>
      </c>
      <c r="AM1517" s="14">
        <f t="shared" si="11"/>
        <v>3024</v>
      </c>
      <c r="AN1517" s="9"/>
      <c r="AO1517" s="9"/>
      <c r="AP1517" s="9"/>
      <c r="AQ1517" s="15" t="s">
        <v>125</v>
      </c>
      <c r="AR1517" t="s">
        <v>7515</v>
      </c>
      <c r="AS1517" s="16"/>
    </row>
    <row r="1518" spans="1:45" ht="14.5">
      <c r="A1518" s="9" t="s">
        <v>7516</v>
      </c>
      <c r="B1518" s="9" t="s">
        <v>7517</v>
      </c>
      <c r="C1518" s="9" t="s">
        <v>7518</v>
      </c>
      <c r="D1518" s="9" t="s">
        <v>870</v>
      </c>
      <c r="E1518" s="9" t="s">
        <v>49</v>
      </c>
      <c r="F1518" s="9" t="s">
        <v>69</v>
      </c>
      <c r="G1518" s="9" t="s">
        <v>70</v>
      </c>
      <c r="H1518" s="9" t="s">
        <v>7452</v>
      </c>
      <c r="I1518" s="9" t="s">
        <v>72</v>
      </c>
      <c r="J1518" s="10"/>
      <c r="K1518" s="10"/>
      <c r="L1518" s="10">
        <v>44929</v>
      </c>
      <c r="M1518" s="10"/>
      <c r="N1518" s="9">
        <v>2023</v>
      </c>
      <c r="O1518" s="9" t="s">
        <v>7445</v>
      </c>
      <c r="P1518" s="9" t="s">
        <v>53</v>
      </c>
      <c r="Q1518" s="9" t="s">
        <v>53</v>
      </c>
      <c r="R1518" s="9" t="s">
        <v>7519</v>
      </c>
      <c r="T1518" s="9"/>
      <c r="V1518" s="9"/>
      <c r="W1518" s="11" t="str">
        <f>IFERROR(VLOOKUP(B1518, PlumX_snapshot!$A:$B, 2, FALSE), " ")</f>
        <v xml:space="preserve"> </v>
      </c>
      <c r="X1518" s="11" t="str">
        <f>IFERROR(VLOOKUP(B1518, PlumX_snapshot!$A:$C, 3, FALSE), " ")</f>
        <v xml:space="preserve"> </v>
      </c>
      <c r="Y1518" s="12" t="str">
        <f>IFERROR(VLOOKUP(B1518, PlumX_snapshot!$A:$D, 4, FALSE), " ")</f>
        <v xml:space="preserve"> </v>
      </c>
      <c r="Z1518" s="12" t="str">
        <f>IFERROR(VLOOKUP(B1518, PlumX_snapshot!$A:$E, 5, FALSE), " ")</f>
        <v xml:space="preserve"> </v>
      </c>
      <c r="AA1518" s="12" t="str">
        <f>IFERROR(VLOOKUP(B1518, PlumX_snapshot!$A:$F, 6, FALSE), " ")</f>
        <v xml:space="preserve"> </v>
      </c>
      <c r="AB1518" s="13"/>
      <c r="AC1518" s="9" t="s">
        <v>7520</v>
      </c>
      <c r="AH1518" s="18">
        <v>2420</v>
      </c>
      <c r="AI1518" s="19" t="s">
        <v>875</v>
      </c>
      <c r="AJ1518" s="11" t="s">
        <v>301</v>
      </c>
      <c r="AK1518" s="11" t="str">
        <f t="shared" si="10"/>
        <v>2023GBP</v>
      </c>
      <c r="AL1518" s="11">
        <f>VLOOKUP(AK1518, Exchange_rates!$C:$D, 2, FALSE)</f>
        <v>1</v>
      </c>
      <c r="AM1518" s="14">
        <f t="shared" si="11"/>
        <v>2904</v>
      </c>
      <c r="AN1518" s="9"/>
      <c r="AO1518" s="9"/>
      <c r="AP1518" s="9"/>
      <c r="AQ1518" s="15" t="s">
        <v>49</v>
      </c>
      <c r="AS1518" s="16" t="s">
        <v>7521</v>
      </c>
    </row>
    <row r="1519" spans="1:45" ht="14.5">
      <c r="A1519" s="9" t="s">
        <v>7522</v>
      </c>
      <c r="B1519" s="9" t="s">
        <v>7523</v>
      </c>
      <c r="C1519" s="9" t="s">
        <v>7524</v>
      </c>
      <c r="D1519" s="9" t="s">
        <v>870</v>
      </c>
      <c r="E1519" s="9" t="s">
        <v>49</v>
      </c>
      <c r="F1519" s="9" t="s">
        <v>69</v>
      </c>
      <c r="G1519" s="9" t="s">
        <v>70</v>
      </c>
      <c r="H1519" s="9" t="s">
        <v>7452</v>
      </c>
      <c r="I1519" s="9" t="s">
        <v>72</v>
      </c>
      <c r="J1519" s="10"/>
      <c r="K1519" s="10"/>
      <c r="L1519" s="10">
        <v>44943</v>
      </c>
      <c r="M1519" s="10"/>
      <c r="N1519" s="9">
        <v>2023</v>
      </c>
      <c r="O1519" s="9" t="s">
        <v>7445</v>
      </c>
      <c r="P1519" s="9" t="s">
        <v>53</v>
      </c>
      <c r="Q1519" s="9" t="s">
        <v>53</v>
      </c>
      <c r="R1519" s="9" t="s">
        <v>7525</v>
      </c>
      <c r="T1519" s="9"/>
      <c r="V1519" s="9"/>
      <c r="W1519" s="11" t="str">
        <f>IFERROR(VLOOKUP(B1519, PlumX_snapshot!$A:$B, 2, FALSE), " ")</f>
        <v xml:space="preserve"> </v>
      </c>
      <c r="X1519" s="11" t="str">
        <f>IFERROR(VLOOKUP(B1519, PlumX_snapshot!$A:$C, 3, FALSE), " ")</f>
        <v xml:space="preserve"> </v>
      </c>
      <c r="Y1519" s="12" t="str">
        <f>IFERROR(VLOOKUP(B1519, PlumX_snapshot!$A:$D, 4, FALSE), " ")</f>
        <v xml:space="preserve"> </v>
      </c>
      <c r="Z1519" s="12" t="str">
        <f>IFERROR(VLOOKUP(B1519, PlumX_snapshot!$A:$E, 5, FALSE), " ")</f>
        <v xml:space="preserve"> </v>
      </c>
      <c r="AA1519" s="12" t="str">
        <f>IFERROR(VLOOKUP(B1519, PlumX_snapshot!$A:$F, 6, FALSE), " ")</f>
        <v xml:space="preserve"> </v>
      </c>
      <c r="AB1519" s="13"/>
      <c r="AC1519" s="9" t="s">
        <v>7526</v>
      </c>
      <c r="AH1519" s="18">
        <v>2180</v>
      </c>
      <c r="AI1519" s="19" t="s">
        <v>875</v>
      </c>
      <c r="AJ1519" s="11" t="s">
        <v>301</v>
      </c>
      <c r="AK1519" s="11" t="str">
        <f t="shared" si="10"/>
        <v>2023GBP</v>
      </c>
      <c r="AL1519" s="11">
        <f>VLOOKUP(AK1519, Exchange_rates!$C:$D, 2, FALSE)</f>
        <v>1</v>
      </c>
      <c r="AM1519" s="14">
        <f t="shared" si="11"/>
        <v>2616</v>
      </c>
      <c r="AN1519" s="9"/>
      <c r="AO1519" s="9"/>
      <c r="AP1519" s="9"/>
      <c r="AQ1519" s="15" t="s">
        <v>49</v>
      </c>
      <c r="AS1519" s="16" t="s">
        <v>7527</v>
      </c>
    </row>
    <row r="1520" spans="1:45" ht="14.5">
      <c r="A1520" s="9" t="s">
        <v>7528</v>
      </c>
      <c r="B1520" s="9" t="s">
        <v>7529</v>
      </c>
      <c r="C1520" s="9" t="s">
        <v>7530</v>
      </c>
      <c r="D1520" s="9" t="s">
        <v>870</v>
      </c>
      <c r="E1520" s="9" t="s">
        <v>125</v>
      </c>
      <c r="F1520" s="9" t="s">
        <v>69</v>
      </c>
      <c r="G1520" s="9" t="s">
        <v>51</v>
      </c>
      <c r="H1520" s="9"/>
      <c r="I1520" s="9" t="s">
        <v>291</v>
      </c>
      <c r="J1520" s="10"/>
      <c r="K1520" s="10"/>
      <c r="L1520" s="10">
        <v>44950</v>
      </c>
      <c r="M1520" s="10"/>
      <c r="N1520" s="9">
        <v>2023</v>
      </c>
      <c r="O1520" s="9" t="s">
        <v>7445</v>
      </c>
      <c r="P1520" s="9" t="s">
        <v>53</v>
      </c>
      <c r="Q1520" s="9" t="s">
        <v>53</v>
      </c>
      <c r="T1520" s="9" t="s">
        <v>279</v>
      </c>
      <c r="V1520" s="9"/>
      <c r="W1520" s="11" t="str">
        <f>IFERROR(VLOOKUP(B1520, PlumX_snapshot!$A:$B, 2, FALSE), " ")</f>
        <v xml:space="preserve"> </v>
      </c>
      <c r="X1520" s="11" t="str">
        <f>IFERROR(VLOOKUP(B1520, PlumX_snapshot!$A:$C, 3, FALSE), " ")</f>
        <v xml:space="preserve"> </v>
      </c>
      <c r="Y1520" s="12" t="str">
        <f>IFERROR(VLOOKUP(B1520, PlumX_snapshot!$A:$D, 4, FALSE), " ")</f>
        <v xml:space="preserve"> </v>
      </c>
      <c r="Z1520" s="12" t="str">
        <f>IFERROR(VLOOKUP(B1520, PlumX_snapshot!$A:$E, 5, FALSE), " ")</f>
        <v xml:space="preserve"> </v>
      </c>
      <c r="AA1520" s="12" t="str">
        <f>IFERROR(VLOOKUP(B1520, PlumX_snapshot!$A:$F, 6, FALSE), " ")</f>
        <v xml:space="preserve"> </v>
      </c>
      <c r="AB1520" s="13"/>
      <c r="AC1520" s="9" t="s">
        <v>7531</v>
      </c>
      <c r="AH1520" s="18">
        <v>1440</v>
      </c>
      <c r="AI1520" s="19" t="s">
        <v>875</v>
      </c>
      <c r="AJ1520" s="11" t="s">
        <v>301</v>
      </c>
      <c r="AK1520" s="11" t="str">
        <f t="shared" si="10"/>
        <v>2023GBP</v>
      </c>
      <c r="AL1520" s="11">
        <f>VLOOKUP(AK1520, Exchange_rates!$C:$D, 2, FALSE)</f>
        <v>1</v>
      </c>
      <c r="AM1520" s="14">
        <f t="shared" si="11"/>
        <v>1728</v>
      </c>
      <c r="AN1520" s="9"/>
      <c r="AO1520" s="9"/>
      <c r="AP1520" s="9"/>
      <c r="AQ1520" s="15" t="s">
        <v>125</v>
      </c>
      <c r="AR1520" t="s">
        <v>7532</v>
      </c>
      <c r="AS1520" s="16"/>
    </row>
    <row r="1521" spans="1:45" ht="14.5">
      <c r="A1521" s="9" t="s">
        <v>7533</v>
      </c>
      <c r="B1521" s="9" t="s">
        <v>7534</v>
      </c>
      <c r="C1521" s="9" t="s">
        <v>7535</v>
      </c>
      <c r="D1521" s="9" t="s">
        <v>870</v>
      </c>
      <c r="E1521" s="9" t="s">
        <v>49</v>
      </c>
      <c r="F1521" s="9" t="s">
        <v>69</v>
      </c>
      <c r="G1521" s="9" t="s">
        <v>70</v>
      </c>
      <c r="H1521" s="9" t="s">
        <v>871</v>
      </c>
      <c r="I1521" s="9" t="s">
        <v>72</v>
      </c>
      <c r="J1521" s="10"/>
      <c r="K1521" s="10"/>
      <c r="L1521" s="10">
        <v>44718</v>
      </c>
      <c r="M1521" s="10"/>
      <c r="N1521" s="9">
        <v>2022</v>
      </c>
      <c r="O1521" s="9" t="s">
        <v>7445</v>
      </c>
      <c r="P1521" s="9" t="s">
        <v>53</v>
      </c>
      <c r="Q1521" s="9" t="s">
        <v>53</v>
      </c>
      <c r="R1521" s="9" t="s">
        <v>7536</v>
      </c>
      <c r="T1521" s="9"/>
      <c r="V1521" s="9"/>
      <c r="W1521" s="11" t="str">
        <f>IFERROR(VLOOKUP(B1521, PlumX_snapshot!$A:$B, 2, FALSE), " ")</f>
        <v xml:space="preserve"> </v>
      </c>
      <c r="X1521" s="11" t="str">
        <f>IFERROR(VLOOKUP(B1521, PlumX_snapshot!$A:$C, 3, FALSE), " ")</f>
        <v xml:space="preserve"> </v>
      </c>
      <c r="Y1521" s="12" t="str">
        <f>IFERROR(VLOOKUP(B1521, PlumX_snapshot!$A:$D, 4, FALSE), " ")</f>
        <v xml:space="preserve"> </v>
      </c>
      <c r="Z1521" s="12" t="str">
        <f>IFERROR(VLOOKUP(B1521, PlumX_snapshot!$A:$E, 5, FALSE), " ")</f>
        <v xml:space="preserve"> </v>
      </c>
      <c r="AA1521" s="12" t="str">
        <f>IFERROR(VLOOKUP(B1521, PlumX_snapshot!$A:$F, 6, FALSE), " ")</f>
        <v xml:space="preserve"> </v>
      </c>
      <c r="AB1521" s="13"/>
      <c r="AC1521" s="9" t="s">
        <v>7537</v>
      </c>
      <c r="AH1521" s="18">
        <v>3070</v>
      </c>
      <c r="AI1521" s="19" t="s">
        <v>875</v>
      </c>
      <c r="AJ1521" s="11" t="s">
        <v>301</v>
      </c>
      <c r="AK1521" s="11" t="str">
        <f t="shared" si="10"/>
        <v>2022GBP</v>
      </c>
      <c r="AL1521" s="11">
        <f>VLOOKUP(AK1521, Exchange_rates!$C:$D, 2, FALSE)</f>
        <v>1</v>
      </c>
      <c r="AM1521" s="14">
        <f t="shared" si="11"/>
        <v>3684</v>
      </c>
      <c r="AN1521" s="9"/>
      <c r="AO1521" s="9"/>
      <c r="AP1521" s="9"/>
      <c r="AQ1521" s="15" t="s">
        <v>49</v>
      </c>
      <c r="AS1521" s="16" t="s">
        <v>7538</v>
      </c>
    </row>
    <row r="1522" spans="1:45" ht="14.5">
      <c r="A1522" s="9" t="s">
        <v>7539</v>
      </c>
      <c r="B1522" s="9" t="s">
        <v>7540</v>
      </c>
      <c r="C1522" s="9" t="s">
        <v>7541</v>
      </c>
      <c r="D1522" s="9" t="s">
        <v>870</v>
      </c>
      <c r="E1522" s="9" t="s">
        <v>125</v>
      </c>
      <c r="F1522" s="9" t="s">
        <v>69</v>
      </c>
      <c r="G1522" s="9" t="s">
        <v>51</v>
      </c>
      <c r="H1522" s="9"/>
      <c r="I1522" s="9" t="s">
        <v>72</v>
      </c>
      <c r="J1522" s="10"/>
      <c r="K1522" s="10"/>
      <c r="L1522" s="10">
        <v>44866</v>
      </c>
      <c r="M1522" s="10"/>
      <c r="N1522" s="9">
        <v>2022</v>
      </c>
      <c r="O1522" s="9" t="s">
        <v>7445</v>
      </c>
      <c r="P1522" s="9" t="s">
        <v>83</v>
      </c>
      <c r="Q1522" s="9" t="s">
        <v>53</v>
      </c>
      <c r="R1522" s="9" t="s">
        <v>7542</v>
      </c>
      <c r="T1522" s="9" t="s">
        <v>279</v>
      </c>
      <c r="V1522" s="9"/>
      <c r="W1522" s="11" t="str">
        <f>IFERROR(VLOOKUP(B1522, PlumX_snapshot!$A:$B, 2, FALSE), " ")</f>
        <v xml:space="preserve"> </v>
      </c>
      <c r="X1522" s="11" t="str">
        <f>IFERROR(VLOOKUP(B1522, PlumX_snapshot!$A:$C, 3, FALSE), " ")</f>
        <v xml:space="preserve"> </v>
      </c>
      <c r="Y1522" s="12" t="str">
        <f>IFERROR(VLOOKUP(B1522, PlumX_snapshot!$A:$D, 4, FALSE), " ")</f>
        <v xml:space="preserve"> </v>
      </c>
      <c r="Z1522" s="12" t="str">
        <f>IFERROR(VLOOKUP(B1522, PlumX_snapshot!$A:$E, 5, FALSE), " ")</f>
        <v xml:space="preserve"> </v>
      </c>
      <c r="AA1522" s="12" t="str">
        <f>IFERROR(VLOOKUP(B1522, PlumX_snapshot!$A:$F, 6, FALSE), " ")</f>
        <v xml:space="preserve"> </v>
      </c>
      <c r="AB1522" s="13"/>
      <c r="AC1522" s="9" t="s">
        <v>7543</v>
      </c>
      <c r="AH1522" s="9">
        <v>660</v>
      </c>
      <c r="AI1522" s="19" t="s">
        <v>875</v>
      </c>
      <c r="AJ1522" s="11" t="s">
        <v>301</v>
      </c>
      <c r="AK1522" s="11" t="str">
        <f t="shared" si="10"/>
        <v>2022GBP</v>
      </c>
      <c r="AL1522" s="11">
        <f>VLOOKUP(AK1522, Exchange_rates!$C:$D, 2, FALSE)</f>
        <v>1</v>
      </c>
      <c r="AM1522" s="14">
        <f t="shared" si="11"/>
        <v>792</v>
      </c>
      <c r="AN1522" s="9"/>
      <c r="AO1522" s="9"/>
      <c r="AP1522" s="9"/>
      <c r="AQ1522" s="15" t="s">
        <v>125</v>
      </c>
      <c r="AR1522" t="s">
        <v>7544</v>
      </c>
      <c r="AS1522" s="16"/>
    </row>
    <row r="1523" spans="1:45" ht="14.5">
      <c r="A1523" s="9" t="s">
        <v>7545</v>
      </c>
      <c r="B1523" s="9" t="s">
        <v>7546</v>
      </c>
      <c r="C1523" s="9" t="s">
        <v>7547</v>
      </c>
      <c r="D1523" s="9" t="s">
        <v>870</v>
      </c>
      <c r="E1523" s="9" t="s">
        <v>49</v>
      </c>
      <c r="F1523" s="9" t="s">
        <v>69</v>
      </c>
      <c r="G1523" s="9" t="s">
        <v>70</v>
      </c>
      <c r="H1523" s="9" t="s">
        <v>871</v>
      </c>
      <c r="I1523" s="9" t="s">
        <v>72</v>
      </c>
      <c r="J1523" s="10"/>
      <c r="K1523" s="10"/>
      <c r="L1523" s="10">
        <v>44866</v>
      </c>
      <c r="M1523" s="10"/>
      <c r="N1523" s="9">
        <v>2022</v>
      </c>
      <c r="O1523" s="9" t="s">
        <v>7445</v>
      </c>
      <c r="P1523" s="9" t="s">
        <v>53</v>
      </c>
      <c r="Q1523" s="9" t="s">
        <v>53</v>
      </c>
      <c r="R1523" s="9" t="s">
        <v>7548</v>
      </c>
      <c r="T1523" s="9"/>
      <c r="V1523" s="9"/>
      <c r="W1523" s="11" t="str">
        <f>IFERROR(VLOOKUP(B1523, PlumX_snapshot!$A:$B, 2, FALSE), " ")</f>
        <v xml:space="preserve"> </v>
      </c>
      <c r="X1523" s="11" t="str">
        <f>IFERROR(VLOOKUP(B1523, PlumX_snapshot!$A:$C, 3, FALSE), " ")</f>
        <v xml:space="preserve"> </v>
      </c>
      <c r="Y1523" s="12" t="str">
        <f>IFERROR(VLOOKUP(B1523, PlumX_snapshot!$A:$D, 4, FALSE), " ")</f>
        <v xml:space="preserve"> </v>
      </c>
      <c r="Z1523" s="12" t="str">
        <f>IFERROR(VLOOKUP(B1523, PlumX_snapshot!$A:$E, 5, FALSE), " ")</f>
        <v xml:space="preserve"> </v>
      </c>
      <c r="AA1523" s="12" t="str">
        <f>IFERROR(VLOOKUP(B1523, PlumX_snapshot!$A:$F, 6, FALSE), " ")</f>
        <v xml:space="preserve"> </v>
      </c>
      <c r="AB1523" s="13"/>
      <c r="AC1523" s="9" t="s">
        <v>7549</v>
      </c>
      <c r="AH1523" s="18">
        <v>3010</v>
      </c>
      <c r="AI1523" s="19" t="s">
        <v>875</v>
      </c>
      <c r="AJ1523" s="11" t="s">
        <v>301</v>
      </c>
      <c r="AK1523" s="11" t="str">
        <f t="shared" si="10"/>
        <v>2022GBP</v>
      </c>
      <c r="AL1523" s="11">
        <f>VLOOKUP(AK1523, Exchange_rates!$C:$D, 2, FALSE)</f>
        <v>1</v>
      </c>
      <c r="AM1523" s="14">
        <f t="shared" si="11"/>
        <v>3612</v>
      </c>
      <c r="AN1523" s="9"/>
      <c r="AO1523" s="9"/>
      <c r="AP1523" s="9"/>
      <c r="AQ1523" s="15" t="s">
        <v>49</v>
      </c>
      <c r="AS1523" s="16" t="s">
        <v>7550</v>
      </c>
    </row>
    <row r="1524" spans="1:45" ht="14.5">
      <c r="A1524" s="9" t="s">
        <v>7551</v>
      </c>
      <c r="B1524" s="9" t="s">
        <v>7552</v>
      </c>
      <c r="C1524" s="9" t="s">
        <v>7547</v>
      </c>
      <c r="D1524" s="9" t="s">
        <v>870</v>
      </c>
      <c r="E1524" s="9" t="s">
        <v>49</v>
      </c>
      <c r="F1524" s="9" t="s">
        <v>69</v>
      </c>
      <c r="G1524" s="9" t="s">
        <v>70</v>
      </c>
      <c r="H1524" s="9" t="s">
        <v>871</v>
      </c>
      <c r="I1524" s="9" t="s">
        <v>72</v>
      </c>
      <c r="J1524" s="10"/>
      <c r="K1524" s="10"/>
      <c r="L1524" s="10">
        <v>44883</v>
      </c>
      <c r="M1524" s="10"/>
      <c r="N1524" s="9">
        <v>2022</v>
      </c>
      <c r="O1524" s="9" t="s">
        <v>7445</v>
      </c>
      <c r="P1524" s="9" t="s">
        <v>53</v>
      </c>
      <c r="Q1524" s="9" t="s">
        <v>53</v>
      </c>
      <c r="T1524" s="9"/>
      <c r="V1524" s="9"/>
      <c r="W1524" s="11" t="str">
        <f>IFERROR(VLOOKUP(B1524, PlumX_snapshot!$A:$B, 2, FALSE), " ")</f>
        <v xml:space="preserve"> </v>
      </c>
      <c r="X1524" s="11" t="str">
        <f>IFERROR(VLOOKUP(B1524, PlumX_snapshot!$A:$C, 3, FALSE), " ")</f>
        <v xml:space="preserve"> </v>
      </c>
      <c r="Y1524" s="12" t="str">
        <f>IFERROR(VLOOKUP(B1524, PlumX_snapshot!$A:$D, 4, FALSE), " ")</f>
        <v xml:space="preserve"> </v>
      </c>
      <c r="Z1524" s="12" t="str">
        <f>IFERROR(VLOOKUP(B1524, PlumX_snapshot!$A:$E, 5, FALSE), " ")</f>
        <v xml:space="preserve"> </v>
      </c>
      <c r="AA1524" s="12" t="str">
        <f>IFERROR(VLOOKUP(B1524, PlumX_snapshot!$A:$F, 6, FALSE), " ")</f>
        <v xml:space="preserve"> </v>
      </c>
      <c r="AB1524" s="13"/>
      <c r="AC1524" s="9" t="s">
        <v>7553</v>
      </c>
      <c r="AH1524" s="18">
        <v>3010</v>
      </c>
      <c r="AI1524" s="19" t="s">
        <v>875</v>
      </c>
      <c r="AJ1524" s="11" t="s">
        <v>301</v>
      </c>
      <c r="AK1524" s="11" t="str">
        <f t="shared" si="10"/>
        <v>2022GBP</v>
      </c>
      <c r="AL1524" s="11">
        <f>VLOOKUP(AK1524, Exchange_rates!$C:$D, 2, FALSE)</f>
        <v>1</v>
      </c>
      <c r="AM1524" s="14">
        <f t="shared" si="11"/>
        <v>3612</v>
      </c>
      <c r="AN1524" s="9"/>
      <c r="AO1524" s="9"/>
      <c r="AP1524" s="9"/>
      <c r="AQ1524" s="15" t="s">
        <v>49</v>
      </c>
      <c r="AS1524" s="16" t="s">
        <v>7550</v>
      </c>
    </row>
    <row r="1525" spans="1:45" ht="14.5">
      <c r="A1525" s="9" t="s">
        <v>7554</v>
      </c>
      <c r="B1525" s="9" t="s">
        <v>7555</v>
      </c>
      <c r="C1525" s="9" t="s">
        <v>7556</v>
      </c>
      <c r="D1525" s="9" t="s">
        <v>870</v>
      </c>
      <c r="E1525" s="9" t="s">
        <v>49</v>
      </c>
      <c r="F1525" s="9" t="s">
        <v>69</v>
      </c>
      <c r="G1525" s="9" t="s">
        <v>70</v>
      </c>
      <c r="H1525" s="9" t="s">
        <v>871</v>
      </c>
      <c r="I1525" s="9" t="s">
        <v>72</v>
      </c>
      <c r="J1525" s="10"/>
      <c r="K1525" s="10"/>
      <c r="L1525" s="10">
        <v>44903</v>
      </c>
      <c r="M1525" s="10"/>
      <c r="N1525" s="9">
        <v>2022</v>
      </c>
      <c r="O1525" s="9" t="s">
        <v>7445</v>
      </c>
      <c r="P1525" s="9" t="s">
        <v>53</v>
      </c>
      <c r="Q1525" s="9" t="s">
        <v>53</v>
      </c>
      <c r="R1525" s="9" t="s">
        <v>7557</v>
      </c>
      <c r="T1525" s="9"/>
      <c r="V1525" s="9"/>
      <c r="W1525" s="11" t="str">
        <f>IFERROR(VLOOKUP(B1525, PlumX_snapshot!$A:$B, 2, FALSE), " ")</f>
        <v xml:space="preserve"> </v>
      </c>
      <c r="X1525" s="11" t="str">
        <f>IFERROR(VLOOKUP(B1525, PlumX_snapshot!$A:$C, 3, FALSE), " ")</f>
        <v xml:space="preserve"> </v>
      </c>
      <c r="Y1525" s="12" t="str">
        <f>IFERROR(VLOOKUP(B1525, PlumX_snapshot!$A:$D, 4, FALSE), " ")</f>
        <v xml:space="preserve"> </v>
      </c>
      <c r="Z1525" s="12" t="str">
        <f>IFERROR(VLOOKUP(B1525, PlumX_snapshot!$A:$E, 5, FALSE), " ")</f>
        <v xml:space="preserve"> </v>
      </c>
      <c r="AA1525" s="12" t="str">
        <f>IFERROR(VLOOKUP(B1525, PlumX_snapshot!$A:$F, 6, FALSE), " ")</f>
        <v xml:space="preserve"> </v>
      </c>
      <c r="AB1525" s="13"/>
      <c r="AC1525" s="9" t="s">
        <v>7558</v>
      </c>
      <c r="AH1525" s="18">
        <v>2570</v>
      </c>
      <c r="AI1525" s="19" t="s">
        <v>875</v>
      </c>
      <c r="AJ1525" s="11" t="s">
        <v>301</v>
      </c>
      <c r="AK1525" s="11" t="str">
        <f t="shared" si="10"/>
        <v>2022GBP</v>
      </c>
      <c r="AL1525" s="11">
        <f>VLOOKUP(AK1525, Exchange_rates!$C:$D, 2, FALSE)</f>
        <v>1</v>
      </c>
      <c r="AM1525" s="14">
        <f t="shared" si="11"/>
        <v>3084</v>
      </c>
      <c r="AN1525" s="9"/>
      <c r="AO1525" s="9"/>
      <c r="AP1525" s="9"/>
      <c r="AQ1525" s="15" t="s">
        <v>49</v>
      </c>
      <c r="AS1525" s="16" t="s">
        <v>7559</v>
      </c>
    </row>
    <row r="1526" spans="1:45" ht="14.5">
      <c r="A1526" s="9" t="s">
        <v>7560</v>
      </c>
      <c r="B1526" s="9" t="s">
        <v>7561</v>
      </c>
      <c r="C1526" s="9" t="s">
        <v>7562</v>
      </c>
      <c r="D1526" s="9" t="s">
        <v>870</v>
      </c>
      <c r="E1526" s="9" t="s">
        <v>49</v>
      </c>
      <c r="F1526" s="9" t="s">
        <v>69</v>
      </c>
      <c r="G1526" s="9" t="s">
        <v>70</v>
      </c>
      <c r="H1526" s="9" t="s">
        <v>871</v>
      </c>
      <c r="I1526" s="9" t="s">
        <v>72</v>
      </c>
      <c r="J1526" s="10"/>
      <c r="K1526" s="10"/>
      <c r="L1526" s="10">
        <v>44901</v>
      </c>
      <c r="M1526" s="10"/>
      <c r="N1526" s="9">
        <v>2022</v>
      </c>
      <c r="O1526" s="9" t="s">
        <v>7445</v>
      </c>
      <c r="P1526" s="9" t="s">
        <v>53</v>
      </c>
      <c r="Q1526" s="9" t="s">
        <v>53</v>
      </c>
      <c r="R1526" s="9" t="s">
        <v>7563</v>
      </c>
      <c r="T1526" s="9"/>
      <c r="V1526" s="9"/>
      <c r="W1526" s="11" t="str">
        <f>IFERROR(VLOOKUP(B1526, PlumX_snapshot!$A:$B, 2, FALSE), " ")</f>
        <v xml:space="preserve"> </v>
      </c>
      <c r="X1526" s="11" t="str">
        <f>IFERROR(VLOOKUP(B1526, PlumX_snapshot!$A:$C, 3, FALSE), " ")</f>
        <v xml:space="preserve"> </v>
      </c>
      <c r="Y1526" s="12" t="str">
        <f>IFERROR(VLOOKUP(B1526, PlumX_snapshot!$A:$D, 4, FALSE), " ")</f>
        <v xml:space="preserve"> </v>
      </c>
      <c r="Z1526" s="12" t="str">
        <f>IFERROR(VLOOKUP(B1526, PlumX_snapshot!$A:$E, 5, FALSE), " ")</f>
        <v xml:space="preserve"> </v>
      </c>
      <c r="AA1526" s="12" t="str">
        <f>IFERROR(VLOOKUP(B1526, PlumX_snapshot!$A:$F, 6, FALSE), " ")</f>
        <v xml:space="preserve"> </v>
      </c>
      <c r="AB1526" s="13"/>
      <c r="AC1526" s="9" t="s">
        <v>7564</v>
      </c>
      <c r="AH1526" s="18">
        <v>2860</v>
      </c>
      <c r="AI1526" s="19" t="s">
        <v>875</v>
      </c>
      <c r="AJ1526" s="11" t="s">
        <v>301</v>
      </c>
      <c r="AK1526" s="11" t="str">
        <f t="shared" si="10"/>
        <v>2022GBP</v>
      </c>
      <c r="AL1526" s="11">
        <f>VLOOKUP(AK1526, Exchange_rates!$C:$D, 2, FALSE)</f>
        <v>1</v>
      </c>
      <c r="AM1526" s="14">
        <f t="shared" si="11"/>
        <v>3432</v>
      </c>
      <c r="AN1526" s="9"/>
      <c r="AO1526" s="9"/>
      <c r="AP1526" s="9"/>
      <c r="AQ1526" s="15" t="s">
        <v>49</v>
      </c>
      <c r="AR1526" t="s">
        <v>7565</v>
      </c>
      <c r="AS1526" s="16" t="s">
        <v>7565</v>
      </c>
    </row>
    <row r="1527" spans="1:45" ht="14.5">
      <c r="A1527" s="9" t="s">
        <v>7566</v>
      </c>
      <c r="B1527" s="9" t="s">
        <v>7567</v>
      </c>
      <c r="C1527" s="9" t="s">
        <v>7568</v>
      </c>
      <c r="D1527" s="9" t="s">
        <v>870</v>
      </c>
      <c r="E1527" s="9" t="s">
        <v>49</v>
      </c>
      <c r="F1527" s="9" t="s">
        <v>69</v>
      </c>
      <c r="G1527" s="9" t="s">
        <v>70</v>
      </c>
      <c r="H1527" s="9" t="s">
        <v>871</v>
      </c>
      <c r="I1527" s="9" t="s">
        <v>291</v>
      </c>
      <c r="J1527" s="10"/>
      <c r="K1527" s="10"/>
      <c r="L1527" s="10">
        <v>44900</v>
      </c>
      <c r="M1527" s="10"/>
      <c r="N1527" s="9">
        <v>2022</v>
      </c>
      <c r="O1527" s="9" t="s">
        <v>7445</v>
      </c>
      <c r="P1527" s="9" t="s">
        <v>53</v>
      </c>
      <c r="Q1527" s="9" t="s">
        <v>53</v>
      </c>
      <c r="T1527" s="9"/>
      <c r="V1527" s="9"/>
      <c r="W1527" s="11" t="str">
        <f>IFERROR(VLOOKUP(B1527, PlumX_snapshot!$A:$B, 2, FALSE), " ")</f>
        <v xml:space="preserve"> </v>
      </c>
      <c r="X1527" s="11" t="str">
        <f>IFERROR(VLOOKUP(B1527, PlumX_snapshot!$A:$C, 3, FALSE), " ")</f>
        <v xml:space="preserve"> </v>
      </c>
      <c r="Y1527" s="12" t="str">
        <f>IFERROR(VLOOKUP(B1527, PlumX_snapshot!$A:$D, 4, FALSE), " ")</f>
        <v xml:space="preserve"> </v>
      </c>
      <c r="Z1527" s="12" t="str">
        <f>IFERROR(VLOOKUP(B1527, PlumX_snapshot!$A:$E, 5, FALSE), " ")</f>
        <v xml:space="preserve"> </v>
      </c>
      <c r="AA1527" s="12" t="str">
        <f>IFERROR(VLOOKUP(B1527, PlumX_snapshot!$A:$F, 6, FALSE), " ")</f>
        <v xml:space="preserve"> </v>
      </c>
      <c r="AB1527" s="13"/>
      <c r="AC1527" s="9" t="s">
        <v>7569</v>
      </c>
      <c r="AH1527" s="18">
        <v>2830</v>
      </c>
      <c r="AI1527" s="19" t="s">
        <v>875</v>
      </c>
      <c r="AJ1527" s="11" t="s">
        <v>301</v>
      </c>
      <c r="AK1527" s="11" t="str">
        <f t="shared" si="10"/>
        <v>2022GBP</v>
      </c>
      <c r="AL1527" s="11">
        <f>VLOOKUP(AK1527, Exchange_rates!$C:$D, 2, FALSE)</f>
        <v>1</v>
      </c>
      <c r="AM1527" s="14">
        <f t="shared" si="11"/>
        <v>3396</v>
      </c>
      <c r="AN1527" s="9"/>
      <c r="AO1527" s="9"/>
      <c r="AP1527" s="9"/>
      <c r="AQ1527" s="15" t="s">
        <v>49</v>
      </c>
      <c r="AS1527" s="16" t="s">
        <v>7570</v>
      </c>
    </row>
    <row r="1528" spans="1:45" ht="14.5">
      <c r="A1528" s="9" t="s">
        <v>7571</v>
      </c>
      <c r="B1528" s="9" t="s">
        <v>7572</v>
      </c>
      <c r="C1528" s="9" t="s">
        <v>7573</v>
      </c>
      <c r="D1528" s="9" t="s">
        <v>870</v>
      </c>
      <c r="E1528" s="9" t="s">
        <v>49</v>
      </c>
      <c r="F1528" s="9" t="s">
        <v>69</v>
      </c>
      <c r="G1528" s="9" t="s">
        <v>70</v>
      </c>
      <c r="H1528" s="9" t="s">
        <v>7452</v>
      </c>
      <c r="I1528" s="9" t="s">
        <v>72</v>
      </c>
      <c r="J1528" s="10"/>
      <c r="K1528" s="10"/>
      <c r="L1528" s="10">
        <v>44932</v>
      </c>
      <c r="M1528" s="10"/>
      <c r="N1528" s="9">
        <v>2023</v>
      </c>
      <c r="O1528" s="9" t="s">
        <v>7445</v>
      </c>
      <c r="P1528" s="9" t="s">
        <v>53</v>
      </c>
      <c r="Q1528" s="9" t="s">
        <v>53</v>
      </c>
      <c r="R1528" s="9" t="s">
        <v>7574</v>
      </c>
      <c r="T1528" s="9"/>
      <c r="V1528" s="9"/>
      <c r="W1528" s="11" t="str">
        <f>IFERROR(VLOOKUP(B1528, PlumX_snapshot!$A:$B, 2, FALSE), " ")</f>
        <v xml:space="preserve"> </v>
      </c>
      <c r="X1528" s="11" t="str">
        <f>IFERROR(VLOOKUP(B1528, PlumX_snapshot!$A:$C, 3, FALSE), " ")</f>
        <v xml:space="preserve"> </v>
      </c>
      <c r="Y1528" s="12" t="str">
        <f>IFERROR(VLOOKUP(B1528, PlumX_snapshot!$A:$D, 4, FALSE), " ")</f>
        <v xml:space="preserve"> </v>
      </c>
      <c r="Z1528" s="12" t="str">
        <f>IFERROR(VLOOKUP(B1528, PlumX_snapshot!$A:$E, 5, FALSE), " ")</f>
        <v xml:space="preserve"> </v>
      </c>
      <c r="AA1528" s="12" t="str">
        <f>IFERROR(VLOOKUP(B1528, PlumX_snapshot!$A:$F, 6, FALSE), " ")</f>
        <v xml:space="preserve"> </v>
      </c>
      <c r="AB1528" s="13"/>
      <c r="AC1528" s="9" t="s">
        <v>1148</v>
      </c>
      <c r="AH1528" s="18">
        <v>2840</v>
      </c>
      <c r="AI1528" s="19" t="s">
        <v>875</v>
      </c>
      <c r="AJ1528" s="11" t="s">
        <v>301</v>
      </c>
      <c r="AK1528" s="11" t="str">
        <f t="shared" si="10"/>
        <v>2023GBP</v>
      </c>
      <c r="AL1528" s="11">
        <f>VLOOKUP(AK1528, Exchange_rates!$C:$D, 2, FALSE)</f>
        <v>1</v>
      </c>
      <c r="AM1528" s="14">
        <f t="shared" si="11"/>
        <v>3408</v>
      </c>
      <c r="AN1528" s="9"/>
      <c r="AO1528" s="9"/>
      <c r="AP1528" s="9"/>
      <c r="AQ1528" s="15" t="s">
        <v>49</v>
      </c>
      <c r="AS1528" s="16" t="s">
        <v>7575</v>
      </c>
    </row>
    <row r="1529" spans="1:45" ht="14.5">
      <c r="A1529" s="9" t="s">
        <v>7576</v>
      </c>
      <c r="B1529" s="9" t="s">
        <v>7577</v>
      </c>
      <c r="C1529" s="9" t="s">
        <v>7578</v>
      </c>
      <c r="D1529" s="9" t="s">
        <v>870</v>
      </c>
      <c r="E1529" s="9" t="s">
        <v>125</v>
      </c>
      <c r="F1529" s="9" t="s">
        <v>69</v>
      </c>
      <c r="G1529" s="9" t="s">
        <v>51</v>
      </c>
      <c r="H1529" s="9"/>
      <c r="I1529" s="9" t="s">
        <v>72</v>
      </c>
      <c r="J1529" s="10"/>
      <c r="K1529" s="10"/>
      <c r="L1529" s="10">
        <v>44937</v>
      </c>
      <c r="M1529" s="10"/>
      <c r="N1529" s="9">
        <v>2023</v>
      </c>
      <c r="O1529" s="9" t="s">
        <v>7445</v>
      </c>
      <c r="P1529" s="9" t="s">
        <v>83</v>
      </c>
      <c r="Q1529" s="9" t="s">
        <v>53</v>
      </c>
      <c r="R1529" s="9" t="s">
        <v>7579</v>
      </c>
      <c r="T1529" s="9" t="s">
        <v>279</v>
      </c>
      <c r="V1529" s="9"/>
      <c r="W1529" s="11" t="str">
        <f>IFERROR(VLOOKUP(B1529, PlumX_snapshot!$A:$B, 2, FALSE), " ")</f>
        <v xml:space="preserve"> </v>
      </c>
      <c r="X1529" s="11" t="str">
        <f>IFERROR(VLOOKUP(B1529, PlumX_snapshot!$A:$C, 3, FALSE), " ")</f>
        <v xml:space="preserve"> </v>
      </c>
      <c r="Y1529" s="12" t="str">
        <f>IFERROR(VLOOKUP(B1529, PlumX_snapshot!$A:$D, 4, FALSE), " ")</f>
        <v xml:space="preserve"> </v>
      </c>
      <c r="Z1529" s="12" t="str">
        <f>IFERROR(VLOOKUP(B1529, PlumX_snapshot!$A:$E, 5, FALSE), " ")</f>
        <v xml:space="preserve"> </v>
      </c>
      <c r="AA1529" s="12" t="str">
        <f>IFERROR(VLOOKUP(B1529, PlumX_snapshot!$A:$F, 6, FALSE), " ")</f>
        <v xml:space="preserve"> </v>
      </c>
      <c r="AB1529" s="13"/>
      <c r="AC1529" s="9" t="s">
        <v>7580</v>
      </c>
      <c r="AH1529" s="18">
        <v>1920</v>
      </c>
      <c r="AI1529" s="19" t="s">
        <v>875</v>
      </c>
      <c r="AJ1529" s="11" t="s">
        <v>301</v>
      </c>
      <c r="AK1529" s="11" t="str">
        <f t="shared" si="10"/>
        <v>2023GBP</v>
      </c>
      <c r="AL1529" s="11">
        <f>VLOOKUP(AK1529, Exchange_rates!$C:$D, 2, FALSE)</f>
        <v>1</v>
      </c>
      <c r="AM1529" s="14">
        <f t="shared" si="11"/>
        <v>2304</v>
      </c>
      <c r="AN1529" s="9"/>
      <c r="AO1529" s="9"/>
      <c r="AP1529" s="9"/>
      <c r="AQ1529" s="15" t="s">
        <v>125</v>
      </c>
      <c r="AR1529" t="s">
        <v>7581</v>
      </c>
      <c r="AS1529" s="16"/>
    </row>
    <row r="1530" spans="1:45" ht="14.5">
      <c r="A1530" s="9" t="s">
        <v>7582</v>
      </c>
      <c r="B1530" s="9" t="s">
        <v>7583</v>
      </c>
      <c r="C1530" s="9" t="s">
        <v>7584</v>
      </c>
      <c r="D1530" s="9" t="s">
        <v>870</v>
      </c>
      <c r="E1530" s="9" t="s">
        <v>49</v>
      </c>
      <c r="F1530" s="9" t="s">
        <v>69</v>
      </c>
      <c r="G1530" s="9" t="s">
        <v>70</v>
      </c>
      <c r="H1530" s="9" t="s">
        <v>7452</v>
      </c>
      <c r="I1530" s="9" t="s">
        <v>72</v>
      </c>
      <c r="J1530" s="10"/>
      <c r="K1530" s="10"/>
      <c r="L1530" s="10">
        <v>44957</v>
      </c>
      <c r="M1530" s="10"/>
      <c r="N1530" s="9">
        <v>2023</v>
      </c>
      <c r="O1530" s="9" t="s">
        <v>7445</v>
      </c>
      <c r="P1530" s="9" t="s">
        <v>83</v>
      </c>
      <c r="Q1530" s="9" t="s">
        <v>53</v>
      </c>
      <c r="R1530" s="9" t="s">
        <v>7585</v>
      </c>
      <c r="T1530" s="9"/>
      <c r="V1530" s="9"/>
      <c r="W1530" s="11" t="str">
        <f>IFERROR(VLOOKUP(B1530, PlumX_snapshot!$A:$B, 2, FALSE), " ")</f>
        <v xml:space="preserve"> </v>
      </c>
      <c r="X1530" s="11" t="str">
        <f>IFERROR(VLOOKUP(B1530, PlumX_snapshot!$A:$C, 3, FALSE), " ")</f>
        <v xml:space="preserve"> </v>
      </c>
      <c r="Y1530" s="12" t="str">
        <f>IFERROR(VLOOKUP(B1530, PlumX_snapshot!$A:$D, 4, FALSE), " ")</f>
        <v xml:space="preserve"> </v>
      </c>
      <c r="Z1530" s="12" t="str">
        <f>IFERROR(VLOOKUP(B1530, PlumX_snapshot!$A:$E, 5, FALSE), " ")</f>
        <v xml:space="preserve"> </v>
      </c>
      <c r="AA1530" s="12" t="str">
        <f>IFERROR(VLOOKUP(B1530, PlumX_snapshot!$A:$F, 6, FALSE), " ")</f>
        <v xml:space="preserve"> </v>
      </c>
      <c r="AB1530" s="13"/>
      <c r="AC1530" s="9" t="s">
        <v>7586</v>
      </c>
      <c r="AH1530" s="18">
        <v>7270</v>
      </c>
      <c r="AI1530" s="19" t="s">
        <v>875</v>
      </c>
      <c r="AJ1530" s="11" t="s">
        <v>301</v>
      </c>
      <c r="AK1530" s="11" t="str">
        <f t="shared" si="10"/>
        <v>2023GBP</v>
      </c>
      <c r="AL1530" s="11">
        <f>VLOOKUP(AK1530, Exchange_rates!$C:$D, 2, FALSE)</f>
        <v>1</v>
      </c>
      <c r="AM1530" s="14">
        <f t="shared" si="11"/>
        <v>8724</v>
      </c>
      <c r="AN1530" s="9"/>
      <c r="AO1530" s="9"/>
      <c r="AP1530" s="9"/>
      <c r="AQ1530" s="15" t="s">
        <v>49</v>
      </c>
      <c r="AR1530" t="s">
        <v>7587</v>
      </c>
      <c r="AS1530" s="16" t="s">
        <v>7588</v>
      </c>
    </row>
    <row r="1531" spans="1:45" ht="14.5">
      <c r="A1531" s="9" t="s">
        <v>7589</v>
      </c>
      <c r="B1531" s="9" t="s">
        <v>7590</v>
      </c>
      <c r="C1531" s="9" t="s">
        <v>919</v>
      </c>
      <c r="D1531" s="9" t="s">
        <v>870</v>
      </c>
      <c r="E1531" s="9" t="s">
        <v>49</v>
      </c>
      <c r="F1531" s="9" t="s">
        <v>69</v>
      </c>
      <c r="G1531" s="9" t="s">
        <v>70</v>
      </c>
      <c r="H1531" s="9" t="s">
        <v>871</v>
      </c>
      <c r="I1531" s="9" t="s">
        <v>72</v>
      </c>
      <c r="J1531" s="10"/>
      <c r="K1531" s="10"/>
      <c r="L1531" s="10">
        <v>44868</v>
      </c>
      <c r="M1531" s="10"/>
      <c r="N1531" s="9">
        <v>2022</v>
      </c>
      <c r="O1531" s="9" t="s">
        <v>7445</v>
      </c>
      <c r="P1531" s="9" t="s">
        <v>53</v>
      </c>
      <c r="Q1531" s="9" t="s">
        <v>53</v>
      </c>
      <c r="T1531" s="9"/>
      <c r="V1531" s="9"/>
      <c r="W1531" s="11" t="str">
        <f>IFERROR(VLOOKUP(B1531, PlumX_snapshot!$A:$B, 2, FALSE), " ")</f>
        <v xml:space="preserve"> </v>
      </c>
      <c r="X1531" s="11" t="str">
        <f>IFERROR(VLOOKUP(B1531, PlumX_snapshot!$A:$C, 3, FALSE), " ")</f>
        <v xml:space="preserve"> </v>
      </c>
      <c r="Y1531" s="12" t="str">
        <f>IFERROR(VLOOKUP(B1531, PlumX_snapshot!$A:$D, 4, FALSE), " ")</f>
        <v xml:space="preserve"> </v>
      </c>
      <c r="Z1531" s="12" t="str">
        <f>IFERROR(VLOOKUP(B1531, PlumX_snapshot!$A:$E, 5, FALSE), " ")</f>
        <v xml:space="preserve"> </v>
      </c>
      <c r="AA1531" s="12" t="str">
        <f>IFERROR(VLOOKUP(B1531, PlumX_snapshot!$A:$F, 6, FALSE), " ")</f>
        <v xml:space="preserve"> </v>
      </c>
      <c r="AB1531" s="13"/>
      <c r="AC1531" s="9" t="s">
        <v>7591</v>
      </c>
      <c r="AH1531" s="18">
        <v>2710</v>
      </c>
      <c r="AI1531" s="19" t="s">
        <v>875</v>
      </c>
      <c r="AJ1531" s="11" t="s">
        <v>301</v>
      </c>
      <c r="AK1531" s="11" t="str">
        <f t="shared" si="10"/>
        <v>2022GBP</v>
      </c>
      <c r="AL1531" s="11">
        <f>VLOOKUP(AK1531, Exchange_rates!$C:$D, 2, FALSE)</f>
        <v>1</v>
      </c>
      <c r="AM1531" s="14">
        <f t="shared" si="11"/>
        <v>3252</v>
      </c>
      <c r="AN1531" s="9"/>
      <c r="AO1531" s="9"/>
      <c r="AP1531" s="9"/>
      <c r="AQ1531" s="15" t="s">
        <v>49</v>
      </c>
      <c r="AR1531" t="s">
        <v>922</v>
      </c>
      <c r="AS1531" s="16" t="s">
        <v>922</v>
      </c>
    </row>
    <row r="1532" spans="1:45" ht="14.5">
      <c r="A1532" s="9" t="s">
        <v>7592</v>
      </c>
      <c r="B1532" s="9" t="s">
        <v>7593</v>
      </c>
      <c r="C1532" s="9" t="s">
        <v>7594</v>
      </c>
      <c r="D1532" s="9" t="s">
        <v>870</v>
      </c>
      <c r="E1532" s="9" t="s">
        <v>49</v>
      </c>
      <c r="F1532" s="9" t="s">
        <v>69</v>
      </c>
      <c r="G1532" s="9" t="s">
        <v>70</v>
      </c>
      <c r="H1532" s="9" t="s">
        <v>871</v>
      </c>
      <c r="I1532" s="9" t="s">
        <v>291</v>
      </c>
      <c r="J1532" s="10"/>
      <c r="K1532" s="10"/>
      <c r="L1532" s="10">
        <v>44879</v>
      </c>
      <c r="M1532" s="10"/>
      <c r="N1532" s="9">
        <v>2022</v>
      </c>
      <c r="O1532" s="9" t="s">
        <v>7445</v>
      </c>
      <c r="P1532" s="9" t="s">
        <v>53</v>
      </c>
      <c r="Q1532" s="9" t="s">
        <v>53</v>
      </c>
      <c r="R1532" s="9" t="s">
        <v>7595</v>
      </c>
      <c r="T1532" s="9"/>
      <c r="V1532" s="9"/>
      <c r="W1532" s="11" t="str">
        <f>IFERROR(VLOOKUP(B1532, PlumX_snapshot!$A:$B, 2, FALSE), " ")</f>
        <v xml:space="preserve"> </v>
      </c>
      <c r="X1532" s="11" t="str">
        <f>IFERROR(VLOOKUP(B1532, PlumX_snapshot!$A:$C, 3, FALSE), " ")</f>
        <v xml:space="preserve"> </v>
      </c>
      <c r="Y1532" s="12" t="str">
        <f>IFERROR(VLOOKUP(B1532, PlumX_snapshot!$A:$D, 4, FALSE), " ")</f>
        <v xml:space="preserve"> </v>
      </c>
      <c r="Z1532" s="12" t="str">
        <f>IFERROR(VLOOKUP(B1532, PlumX_snapshot!$A:$E, 5, FALSE), " ")</f>
        <v xml:space="preserve"> </v>
      </c>
      <c r="AA1532" s="12" t="str">
        <f>IFERROR(VLOOKUP(B1532, PlumX_snapshot!$A:$F, 6, FALSE), " ")</f>
        <v xml:space="preserve"> </v>
      </c>
      <c r="AB1532" s="13"/>
      <c r="AC1532" s="9" t="s">
        <v>7596</v>
      </c>
      <c r="AH1532" s="18">
        <v>2750</v>
      </c>
      <c r="AI1532" s="19" t="s">
        <v>875</v>
      </c>
      <c r="AJ1532" s="11" t="s">
        <v>301</v>
      </c>
      <c r="AK1532" s="11" t="str">
        <f t="shared" ref="AK1532:AK1786" si="12">CONCATENATE(N1532,AJ1532)</f>
        <v>2022GBP</v>
      </c>
      <c r="AL1532" s="11">
        <f>VLOOKUP(AK1532, Exchange_rates!$C:$D, 2, FALSE)</f>
        <v>1</v>
      </c>
      <c r="AM1532" s="14">
        <f t="shared" ref="AM1532:AM1786" si="13">IFERROR(((AH1532*AL1532)*1.2), "")</f>
        <v>3300</v>
      </c>
      <c r="AN1532" s="9"/>
      <c r="AO1532" s="9"/>
      <c r="AP1532" s="9"/>
      <c r="AQ1532" s="15" t="s">
        <v>49</v>
      </c>
      <c r="AS1532" s="16" t="s">
        <v>7597</v>
      </c>
    </row>
    <row r="1533" spans="1:45" ht="14.5">
      <c r="A1533" s="9" t="s">
        <v>7598</v>
      </c>
      <c r="B1533" s="9" t="s">
        <v>7599</v>
      </c>
      <c r="C1533" s="9" t="s">
        <v>7600</v>
      </c>
      <c r="D1533" s="9" t="s">
        <v>870</v>
      </c>
      <c r="E1533" s="9" t="s">
        <v>125</v>
      </c>
      <c r="F1533" s="9" t="s">
        <v>69</v>
      </c>
      <c r="G1533" s="9" t="s">
        <v>51</v>
      </c>
      <c r="H1533" s="9"/>
      <c r="I1533" s="9" t="s">
        <v>72</v>
      </c>
      <c r="J1533" s="10"/>
      <c r="K1533" s="10"/>
      <c r="L1533" s="10">
        <v>44882</v>
      </c>
      <c r="M1533" s="10"/>
      <c r="N1533" s="9">
        <v>2022</v>
      </c>
      <c r="O1533" s="9" t="s">
        <v>7445</v>
      </c>
      <c r="P1533" s="9" t="s">
        <v>83</v>
      </c>
      <c r="Q1533" s="9" t="s">
        <v>53</v>
      </c>
      <c r="R1533" s="9" t="s">
        <v>7601</v>
      </c>
      <c r="T1533" s="9" t="s">
        <v>279</v>
      </c>
      <c r="V1533" s="9"/>
      <c r="W1533" s="11" t="str">
        <f>IFERROR(VLOOKUP(B1533, PlumX_snapshot!$A:$B, 2, FALSE), " ")</f>
        <v xml:space="preserve"> </v>
      </c>
      <c r="X1533" s="11" t="str">
        <f>IFERROR(VLOOKUP(B1533, PlumX_snapshot!$A:$C, 3, FALSE), " ")</f>
        <v xml:space="preserve"> </v>
      </c>
      <c r="Y1533" s="12" t="str">
        <f>IFERROR(VLOOKUP(B1533, PlumX_snapshot!$A:$D, 4, FALSE), " ")</f>
        <v xml:space="preserve"> </v>
      </c>
      <c r="Z1533" s="12" t="str">
        <f>IFERROR(VLOOKUP(B1533, PlumX_snapshot!$A:$E, 5, FALSE), " ")</f>
        <v xml:space="preserve"> </v>
      </c>
      <c r="AA1533" s="12" t="str">
        <f>IFERROR(VLOOKUP(B1533, PlumX_snapshot!$A:$F, 6, FALSE), " ")</f>
        <v xml:space="preserve"> </v>
      </c>
      <c r="AB1533" s="13"/>
      <c r="AC1533" s="9" t="s">
        <v>7602</v>
      </c>
      <c r="AH1533" s="18">
        <v>4000</v>
      </c>
      <c r="AI1533" s="19" t="s">
        <v>875</v>
      </c>
      <c r="AJ1533" s="11" t="s">
        <v>301</v>
      </c>
      <c r="AK1533" s="11" t="str">
        <f t="shared" si="12"/>
        <v>2022GBP</v>
      </c>
      <c r="AL1533" s="11">
        <f>VLOOKUP(AK1533, Exchange_rates!$C:$D, 2, FALSE)</f>
        <v>1</v>
      </c>
      <c r="AM1533" s="14">
        <f t="shared" si="13"/>
        <v>4800</v>
      </c>
      <c r="AN1533" s="9"/>
      <c r="AO1533" s="9"/>
      <c r="AP1533" s="9"/>
      <c r="AQ1533" s="15" t="s">
        <v>125</v>
      </c>
      <c r="AR1533" t="s">
        <v>7603</v>
      </c>
      <c r="AS1533" s="16"/>
    </row>
    <row r="1534" spans="1:45" ht="14.5">
      <c r="A1534" s="9" t="s">
        <v>7604</v>
      </c>
      <c r="B1534" s="9" t="s">
        <v>7605</v>
      </c>
      <c r="C1534" s="9" t="s">
        <v>7606</v>
      </c>
      <c r="D1534" s="9" t="s">
        <v>870</v>
      </c>
      <c r="E1534" s="9" t="s">
        <v>49</v>
      </c>
      <c r="F1534" s="9" t="s">
        <v>69</v>
      </c>
      <c r="G1534" s="9" t="s">
        <v>70</v>
      </c>
      <c r="H1534" s="9" t="s">
        <v>871</v>
      </c>
      <c r="I1534" s="9" t="s">
        <v>72</v>
      </c>
      <c r="J1534" s="10"/>
      <c r="K1534" s="10"/>
      <c r="L1534" s="10">
        <v>44901</v>
      </c>
      <c r="M1534" s="10"/>
      <c r="N1534" s="9">
        <v>2022</v>
      </c>
      <c r="O1534" s="9" t="s">
        <v>7445</v>
      </c>
      <c r="P1534" s="9" t="s">
        <v>53</v>
      </c>
      <c r="Q1534" s="9" t="s">
        <v>53</v>
      </c>
      <c r="R1534" s="9" t="s">
        <v>7607</v>
      </c>
      <c r="T1534" s="9"/>
      <c r="V1534" s="9"/>
      <c r="W1534" s="11" t="str">
        <f>IFERROR(VLOOKUP(B1534, PlumX_snapshot!$A:$B, 2, FALSE), " ")</f>
        <v xml:space="preserve"> </v>
      </c>
      <c r="X1534" s="11" t="str">
        <f>IFERROR(VLOOKUP(B1534, PlumX_snapshot!$A:$C, 3, FALSE), " ")</f>
        <v xml:space="preserve"> </v>
      </c>
      <c r="Y1534" s="12" t="str">
        <f>IFERROR(VLOOKUP(B1534, PlumX_snapshot!$A:$D, 4, FALSE), " ")</f>
        <v xml:space="preserve"> </v>
      </c>
      <c r="Z1534" s="12" t="str">
        <f>IFERROR(VLOOKUP(B1534, PlumX_snapshot!$A:$E, 5, FALSE), " ")</f>
        <v xml:space="preserve"> </v>
      </c>
      <c r="AA1534" s="12" t="str">
        <f>IFERROR(VLOOKUP(B1534, PlumX_snapshot!$A:$F, 6, FALSE), " ")</f>
        <v xml:space="preserve"> </v>
      </c>
      <c r="AB1534" s="13"/>
      <c r="AC1534" s="9" t="s">
        <v>7608</v>
      </c>
      <c r="AH1534" s="18">
        <v>3130</v>
      </c>
      <c r="AI1534" s="19" t="s">
        <v>875</v>
      </c>
      <c r="AJ1534" s="11" t="s">
        <v>301</v>
      </c>
      <c r="AK1534" s="11" t="str">
        <f t="shared" si="12"/>
        <v>2022GBP</v>
      </c>
      <c r="AL1534" s="11">
        <f>VLOOKUP(AK1534, Exchange_rates!$C:$D, 2, FALSE)</f>
        <v>1</v>
      </c>
      <c r="AM1534" s="14">
        <f t="shared" si="13"/>
        <v>3756</v>
      </c>
      <c r="AN1534" s="9"/>
      <c r="AO1534" s="9"/>
      <c r="AP1534" s="9"/>
      <c r="AQ1534" s="15" t="s">
        <v>49</v>
      </c>
      <c r="AR1534" t="s">
        <v>7609</v>
      </c>
      <c r="AS1534" s="16" t="s">
        <v>7609</v>
      </c>
    </row>
    <row r="1535" spans="1:45" ht="14.5">
      <c r="A1535" s="9" t="s">
        <v>7610</v>
      </c>
      <c r="B1535" s="9" t="s">
        <v>7611</v>
      </c>
      <c r="C1535" s="9" t="s">
        <v>7612</v>
      </c>
      <c r="D1535" s="9" t="s">
        <v>870</v>
      </c>
      <c r="E1535" s="9" t="s">
        <v>49</v>
      </c>
      <c r="F1535" s="9" t="s">
        <v>69</v>
      </c>
      <c r="G1535" s="9" t="s">
        <v>70</v>
      </c>
      <c r="H1535" s="9" t="s">
        <v>7452</v>
      </c>
      <c r="I1535" s="9" t="s">
        <v>291</v>
      </c>
      <c r="J1535" s="10"/>
      <c r="K1535" s="10"/>
      <c r="L1535" s="10">
        <v>44929</v>
      </c>
      <c r="M1535" s="10"/>
      <c r="N1535" s="9">
        <v>2023</v>
      </c>
      <c r="O1535" s="9" t="s">
        <v>7445</v>
      </c>
      <c r="P1535" s="9" t="s">
        <v>53</v>
      </c>
      <c r="Q1535" s="9" t="s">
        <v>53</v>
      </c>
      <c r="T1535" s="9"/>
      <c r="V1535" s="9"/>
      <c r="W1535" s="11" t="str">
        <f>IFERROR(VLOOKUP(B1535, PlumX_snapshot!$A:$B, 2, FALSE), " ")</f>
        <v xml:space="preserve"> </v>
      </c>
      <c r="X1535" s="11" t="str">
        <f>IFERROR(VLOOKUP(B1535, PlumX_snapshot!$A:$C, 3, FALSE), " ")</f>
        <v xml:space="preserve"> </v>
      </c>
      <c r="Y1535" s="12" t="str">
        <f>IFERROR(VLOOKUP(B1535, PlumX_snapshot!$A:$D, 4, FALSE), " ")</f>
        <v xml:space="preserve"> </v>
      </c>
      <c r="Z1535" s="12" t="str">
        <f>IFERROR(VLOOKUP(B1535, PlumX_snapshot!$A:$E, 5, FALSE), " ")</f>
        <v xml:space="preserve"> </v>
      </c>
      <c r="AA1535" s="12" t="str">
        <f>IFERROR(VLOOKUP(B1535, PlumX_snapshot!$A:$F, 6, FALSE), " ")</f>
        <v xml:space="preserve"> </v>
      </c>
      <c r="AB1535" s="13"/>
      <c r="AC1535" s="9" t="s">
        <v>7613</v>
      </c>
      <c r="AH1535" s="18">
        <v>2680</v>
      </c>
      <c r="AI1535" s="19" t="s">
        <v>875</v>
      </c>
      <c r="AJ1535" s="11" t="s">
        <v>301</v>
      </c>
      <c r="AK1535" s="11" t="str">
        <f t="shared" si="12"/>
        <v>2023GBP</v>
      </c>
      <c r="AL1535" s="11">
        <f>VLOOKUP(AK1535, Exchange_rates!$C:$D, 2, FALSE)</f>
        <v>1</v>
      </c>
      <c r="AM1535" s="14">
        <f t="shared" si="13"/>
        <v>3216</v>
      </c>
      <c r="AN1535" s="9"/>
      <c r="AO1535" s="9"/>
      <c r="AP1535" s="9"/>
      <c r="AQ1535" s="15" t="s">
        <v>49</v>
      </c>
      <c r="AS1535" s="16" t="s">
        <v>7614</v>
      </c>
    </row>
    <row r="1536" spans="1:45" ht="14.5">
      <c r="A1536" s="9" t="s">
        <v>7615</v>
      </c>
      <c r="B1536" s="9" t="s">
        <v>7616</v>
      </c>
      <c r="C1536" s="9" t="s">
        <v>7617</v>
      </c>
      <c r="D1536" s="9" t="s">
        <v>870</v>
      </c>
      <c r="E1536" s="9" t="s">
        <v>49</v>
      </c>
      <c r="F1536" s="9" t="s">
        <v>69</v>
      </c>
      <c r="G1536" s="9" t="s">
        <v>70</v>
      </c>
      <c r="H1536" s="9" t="s">
        <v>7452</v>
      </c>
      <c r="I1536" s="9" t="s">
        <v>72</v>
      </c>
      <c r="J1536" s="10"/>
      <c r="K1536" s="10"/>
      <c r="L1536" s="10">
        <v>44932</v>
      </c>
      <c r="M1536" s="10"/>
      <c r="N1536" s="9">
        <v>2023</v>
      </c>
      <c r="O1536" s="9" t="s">
        <v>7445</v>
      </c>
      <c r="P1536" s="9" t="s">
        <v>83</v>
      </c>
      <c r="Q1536" s="9" t="s">
        <v>53</v>
      </c>
      <c r="R1536" s="9" t="s">
        <v>7618</v>
      </c>
      <c r="T1536" s="9"/>
      <c r="V1536" s="9"/>
      <c r="W1536" s="11" t="str">
        <f>IFERROR(VLOOKUP(B1536, PlumX_snapshot!$A:$B, 2, FALSE), " ")</f>
        <v xml:space="preserve"> </v>
      </c>
      <c r="X1536" s="11" t="str">
        <f>IFERROR(VLOOKUP(B1536, PlumX_snapshot!$A:$C, 3, FALSE), " ")</f>
        <v xml:space="preserve"> </v>
      </c>
      <c r="Y1536" s="12" t="str">
        <f>IFERROR(VLOOKUP(B1536, PlumX_snapshot!$A:$D, 4, FALSE), " ")</f>
        <v xml:space="preserve"> </v>
      </c>
      <c r="Z1536" s="12" t="str">
        <f>IFERROR(VLOOKUP(B1536, PlumX_snapshot!$A:$E, 5, FALSE), " ")</f>
        <v xml:space="preserve"> </v>
      </c>
      <c r="AA1536" s="12" t="str">
        <f>IFERROR(VLOOKUP(B1536, PlumX_snapshot!$A:$F, 6, FALSE), " ")</f>
        <v xml:space="preserve"> </v>
      </c>
      <c r="AB1536" s="13"/>
      <c r="AC1536" s="9" t="s">
        <v>7619</v>
      </c>
      <c r="AH1536" s="18">
        <v>2400</v>
      </c>
      <c r="AI1536" s="19" t="s">
        <v>875</v>
      </c>
      <c r="AJ1536" s="11" t="s">
        <v>301</v>
      </c>
      <c r="AK1536" s="11" t="str">
        <f t="shared" si="12"/>
        <v>2023GBP</v>
      </c>
      <c r="AL1536" s="11">
        <f>VLOOKUP(AK1536, Exchange_rates!$C:$D, 2, FALSE)</f>
        <v>1</v>
      </c>
      <c r="AM1536" s="14">
        <f t="shared" si="13"/>
        <v>2880</v>
      </c>
      <c r="AN1536" s="9"/>
      <c r="AO1536" s="9"/>
      <c r="AP1536" s="9"/>
      <c r="AQ1536" s="15" t="s">
        <v>49</v>
      </c>
      <c r="AR1536" t="s">
        <v>7620</v>
      </c>
      <c r="AS1536" s="16" t="s">
        <v>7621</v>
      </c>
    </row>
    <row r="1537" spans="1:45" ht="14.5">
      <c r="A1537" s="9" t="s">
        <v>7622</v>
      </c>
      <c r="B1537" s="9" t="s">
        <v>7623</v>
      </c>
      <c r="C1537" s="9" t="s">
        <v>7624</v>
      </c>
      <c r="D1537" s="9" t="s">
        <v>870</v>
      </c>
      <c r="E1537" s="9" t="s">
        <v>49</v>
      </c>
      <c r="F1537" s="9" t="s">
        <v>69</v>
      </c>
      <c r="G1537" s="9" t="s">
        <v>70</v>
      </c>
      <c r="H1537" s="9" t="s">
        <v>7452</v>
      </c>
      <c r="I1537" s="9" t="s">
        <v>72</v>
      </c>
      <c r="J1537" s="10"/>
      <c r="K1537" s="10"/>
      <c r="L1537" s="10">
        <v>44951</v>
      </c>
      <c r="M1537" s="10"/>
      <c r="N1537" s="9">
        <v>2023</v>
      </c>
      <c r="O1537" s="9" t="s">
        <v>7445</v>
      </c>
      <c r="P1537" s="9" t="s">
        <v>83</v>
      </c>
      <c r="Q1537" s="9" t="s">
        <v>53</v>
      </c>
      <c r="R1537" s="9" t="s">
        <v>7625</v>
      </c>
      <c r="T1537" s="9"/>
      <c r="V1537" s="9"/>
      <c r="W1537" s="11" t="str">
        <f>IFERROR(VLOOKUP(B1537, PlumX_snapshot!$A:$B, 2, FALSE), " ")</f>
        <v xml:space="preserve"> </v>
      </c>
      <c r="X1537" s="11" t="str">
        <f>IFERROR(VLOOKUP(B1537, PlumX_snapshot!$A:$C, 3, FALSE), " ")</f>
        <v xml:space="preserve"> </v>
      </c>
      <c r="Y1537" s="12" t="str">
        <f>IFERROR(VLOOKUP(B1537, PlumX_snapshot!$A:$D, 4, FALSE), " ")</f>
        <v xml:space="preserve"> </v>
      </c>
      <c r="Z1537" s="12" t="str">
        <f>IFERROR(VLOOKUP(B1537, PlumX_snapshot!$A:$E, 5, FALSE), " ")</f>
        <v xml:space="preserve"> </v>
      </c>
      <c r="AA1537" s="12" t="str">
        <f>IFERROR(VLOOKUP(B1537, PlumX_snapshot!$A:$F, 6, FALSE), " ")</f>
        <v xml:space="preserve"> </v>
      </c>
      <c r="AB1537" s="13"/>
      <c r="AC1537" s="9" t="s">
        <v>7626</v>
      </c>
      <c r="AH1537" s="18">
        <v>2990</v>
      </c>
      <c r="AI1537" s="19" t="s">
        <v>875</v>
      </c>
      <c r="AJ1537" s="11" t="s">
        <v>301</v>
      </c>
      <c r="AK1537" s="11" t="str">
        <f t="shared" si="12"/>
        <v>2023GBP</v>
      </c>
      <c r="AL1537" s="11">
        <f>VLOOKUP(AK1537, Exchange_rates!$C:$D, 2, FALSE)</f>
        <v>1</v>
      </c>
      <c r="AM1537" s="14">
        <f t="shared" si="13"/>
        <v>3588</v>
      </c>
      <c r="AN1537" s="9"/>
      <c r="AO1537" s="9"/>
      <c r="AP1537" s="9"/>
      <c r="AQ1537" s="15" t="s">
        <v>49</v>
      </c>
      <c r="AS1537" s="16" t="s">
        <v>7627</v>
      </c>
    </row>
    <row r="1538" spans="1:45" ht="14.5">
      <c r="A1538" s="9" t="s">
        <v>7628</v>
      </c>
      <c r="B1538" s="9" t="s">
        <v>7629</v>
      </c>
      <c r="C1538" s="9" t="s">
        <v>7630</v>
      </c>
      <c r="D1538" s="9" t="s">
        <v>870</v>
      </c>
      <c r="E1538" s="9" t="s">
        <v>49</v>
      </c>
      <c r="F1538" s="9" t="s">
        <v>69</v>
      </c>
      <c r="G1538" s="9" t="s">
        <v>70</v>
      </c>
      <c r="H1538" s="9" t="s">
        <v>7452</v>
      </c>
      <c r="I1538" s="9" t="s">
        <v>291</v>
      </c>
      <c r="J1538" s="10"/>
      <c r="K1538" s="10"/>
      <c r="L1538" s="10">
        <v>44967</v>
      </c>
      <c r="M1538" s="10"/>
      <c r="N1538" s="9">
        <v>2023</v>
      </c>
      <c r="O1538" s="9" t="s">
        <v>7445</v>
      </c>
      <c r="P1538" s="9" t="s">
        <v>53</v>
      </c>
      <c r="Q1538" s="9" t="s">
        <v>53</v>
      </c>
      <c r="R1538" s="9" t="s">
        <v>7631</v>
      </c>
      <c r="T1538" s="9"/>
      <c r="V1538" s="9"/>
      <c r="W1538" s="11" t="str">
        <f>IFERROR(VLOOKUP(B1538, PlumX_snapshot!$A:$B, 2, FALSE), " ")</f>
        <v xml:space="preserve"> </v>
      </c>
      <c r="X1538" s="11" t="str">
        <f>IFERROR(VLOOKUP(B1538, PlumX_snapshot!$A:$C, 3, FALSE), " ")</f>
        <v xml:space="preserve"> </v>
      </c>
      <c r="Y1538" s="12" t="str">
        <f>IFERROR(VLOOKUP(B1538, PlumX_snapshot!$A:$D, 4, FALSE), " ")</f>
        <v xml:space="preserve"> </v>
      </c>
      <c r="Z1538" s="12" t="str">
        <f>IFERROR(VLOOKUP(B1538, PlumX_snapshot!$A:$E, 5, FALSE), " ")</f>
        <v xml:space="preserve"> </v>
      </c>
      <c r="AA1538" s="12" t="str">
        <f>IFERROR(VLOOKUP(B1538, PlumX_snapshot!$A:$F, 6, FALSE), " ")</f>
        <v xml:space="preserve"> </v>
      </c>
      <c r="AB1538" s="13"/>
      <c r="AC1538" s="9" t="s">
        <v>7632</v>
      </c>
      <c r="AH1538" s="18">
        <v>2630</v>
      </c>
      <c r="AI1538" s="19" t="s">
        <v>875</v>
      </c>
      <c r="AJ1538" s="11" t="s">
        <v>301</v>
      </c>
      <c r="AK1538" s="11" t="str">
        <f t="shared" si="12"/>
        <v>2023GBP</v>
      </c>
      <c r="AL1538" s="11">
        <f>VLOOKUP(AK1538, Exchange_rates!$C:$D, 2, FALSE)</f>
        <v>1</v>
      </c>
      <c r="AM1538" s="14">
        <f t="shared" si="13"/>
        <v>3156</v>
      </c>
      <c r="AN1538" s="9"/>
      <c r="AO1538" s="9"/>
      <c r="AP1538" s="9"/>
      <c r="AQ1538" s="15" t="s">
        <v>49</v>
      </c>
      <c r="AS1538" s="16" t="s">
        <v>7633</v>
      </c>
    </row>
    <row r="1539" spans="1:45" ht="14.5">
      <c r="A1539" s="9" t="s">
        <v>7634</v>
      </c>
      <c r="B1539" s="9" t="s">
        <v>7635</v>
      </c>
      <c r="C1539" s="9" t="s">
        <v>7463</v>
      </c>
      <c r="D1539" s="9" t="s">
        <v>870</v>
      </c>
      <c r="E1539" s="9" t="s">
        <v>49</v>
      </c>
      <c r="F1539" s="9" t="s">
        <v>69</v>
      </c>
      <c r="G1539" s="9" t="s">
        <v>70</v>
      </c>
      <c r="H1539" s="9" t="s">
        <v>871</v>
      </c>
      <c r="I1539" s="9" t="s">
        <v>72</v>
      </c>
      <c r="J1539" s="10"/>
      <c r="K1539" s="10"/>
      <c r="L1539" s="10">
        <v>44760</v>
      </c>
      <c r="M1539" s="10"/>
      <c r="N1539" s="9">
        <v>2022</v>
      </c>
      <c r="O1539" s="9" t="s">
        <v>7445</v>
      </c>
      <c r="P1539" s="9" t="s">
        <v>53</v>
      </c>
      <c r="Q1539" s="9" t="s">
        <v>53</v>
      </c>
      <c r="T1539" s="9"/>
      <c r="V1539" s="9"/>
      <c r="W1539" s="11" t="str">
        <f>IFERROR(VLOOKUP(B1539, PlumX_snapshot!$A:$B, 2, FALSE), " ")</f>
        <v xml:space="preserve"> </v>
      </c>
      <c r="X1539" s="11" t="str">
        <f>IFERROR(VLOOKUP(B1539, PlumX_snapshot!$A:$C, 3, FALSE), " ")</f>
        <v xml:space="preserve"> </v>
      </c>
      <c r="Y1539" s="12" t="str">
        <f>IFERROR(VLOOKUP(B1539, PlumX_snapshot!$A:$D, 4, FALSE), " ")</f>
        <v xml:space="preserve"> </v>
      </c>
      <c r="Z1539" s="12" t="str">
        <f>IFERROR(VLOOKUP(B1539, PlumX_snapshot!$A:$E, 5, FALSE), " ")</f>
        <v xml:space="preserve"> </v>
      </c>
      <c r="AA1539" s="12" t="str">
        <f>IFERROR(VLOOKUP(B1539, PlumX_snapshot!$A:$F, 6, FALSE), " ")</f>
        <v xml:space="preserve"> </v>
      </c>
      <c r="AB1539" s="13"/>
      <c r="AC1539" s="9" t="s">
        <v>7464</v>
      </c>
      <c r="AH1539" s="18">
        <v>2910</v>
      </c>
      <c r="AI1539" s="19" t="s">
        <v>875</v>
      </c>
      <c r="AJ1539" s="11" t="s">
        <v>301</v>
      </c>
      <c r="AK1539" s="11" t="str">
        <f t="shared" si="12"/>
        <v>2022GBP</v>
      </c>
      <c r="AL1539" s="11">
        <f>VLOOKUP(AK1539, Exchange_rates!$C:$D, 2, FALSE)</f>
        <v>1</v>
      </c>
      <c r="AM1539" s="14">
        <f t="shared" si="13"/>
        <v>3492</v>
      </c>
      <c r="AN1539" s="9"/>
      <c r="AO1539" s="9"/>
      <c r="AP1539" s="9"/>
      <c r="AQ1539" s="15" t="s">
        <v>49</v>
      </c>
      <c r="AS1539" s="16" t="s">
        <v>7465</v>
      </c>
    </row>
    <row r="1540" spans="1:45" ht="14.5">
      <c r="A1540" s="9" t="s">
        <v>7636</v>
      </c>
      <c r="B1540" s="9" t="s">
        <v>7637</v>
      </c>
      <c r="C1540" s="9" t="s">
        <v>7638</v>
      </c>
      <c r="D1540" s="9" t="s">
        <v>870</v>
      </c>
      <c r="E1540" s="9" t="s">
        <v>49</v>
      </c>
      <c r="F1540" s="9" t="s">
        <v>69</v>
      </c>
      <c r="G1540" s="9" t="s">
        <v>70</v>
      </c>
      <c r="H1540" s="9" t="s">
        <v>871</v>
      </c>
      <c r="I1540" s="9" t="s">
        <v>72</v>
      </c>
      <c r="J1540" s="10"/>
      <c r="K1540" s="10"/>
      <c r="L1540" s="10">
        <v>44875</v>
      </c>
      <c r="M1540" s="10"/>
      <c r="N1540" s="9">
        <v>2022</v>
      </c>
      <c r="O1540" s="9" t="s">
        <v>7445</v>
      </c>
      <c r="P1540" s="9" t="s">
        <v>83</v>
      </c>
      <c r="Q1540" s="9" t="s">
        <v>53</v>
      </c>
      <c r="R1540" s="9" t="s">
        <v>7639</v>
      </c>
      <c r="T1540" s="9"/>
      <c r="V1540" s="9"/>
      <c r="W1540" s="11" t="str">
        <f>IFERROR(VLOOKUP(B1540, PlumX_snapshot!$A:$B, 2, FALSE), " ")</f>
        <v xml:space="preserve"> </v>
      </c>
      <c r="X1540" s="11" t="str">
        <f>IFERROR(VLOOKUP(B1540, PlumX_snapshot!$A:$C, 3, FALSE), " ")</f>
        <v xml:space="preserve"> </v>
      </c>
      <c r="Y1540" s="12" t="str">
        <f>IFERROR(VLOOKUP(B1540, PlumX_snapshot!$A:$D, 4, FALSE), " ")</f>
        <v xml:space="preserve"> </v>
      </c>
      <c r="Z1540" s="12" t="str">
        <f>IFERROR(VLOOKUP(B1540, PlumX_snapshot!$A:$E, 5, FALSE), " ")</f>
        <v xml:space="preserve"> </v>
      </c>
      <c r="AA1540" s="12" t="str">
        <f>IFERROR(VLOOKUP(B1540, PlumX_snapshot!$A:$F, 6, FALSE), " ")</f>
        <v xml:space="preserve"> </v>
      </c>
      <c r="AB1540" s="13"/>
      <c r="AC1540" s="9" t="s">
        <v>7640</v>
      </c>
      <c r="AH1540" s="18">
        <v>2930</v>
      </c>
      <c r="AI1540" s="19" t="s">
        <v>875</v>
      </c>
      <c r="AJ1540" s="11" t="s">
        <v>301</v>
      </c>
      <c r="AK1540" s="11" t="str">
        <f t="shared" si="12"/>
        <v>2022GBP</v>
      </c>
      <c r="AL1540" s="11">
        <f>VLOOKUP(AK1540, Exchange_rates!$C:$D, 2, FALSE)</f>
        <v>1</v>
      </c>
      <c r="AM1540" s="14">
        <f t="shared" si="13"/>
        <v>3516</v>
      </c>
      <c r="AN1540" s="9"/>
      <c r="AO1540" s="9"/>
      <c r="AP1540" s="9"/>
      <c r="AQ1540" s="15" t="s">
        <v>49</v>
      </c>
      <c r="AS1540" s="16" t="s">
        <v>7641</v>
      </c>
    </row>
    <row r="1541" spans="1:45" ht="14.5">
      <c r="A1541" s="9" t="s">
        <v>7642</v>
      </c>
      <c r="B1541" s="9" t="s">
        <v>7643</v>
      </c>
      <c r="C1541" s="9" t="s">
        <v>7644</v>
      </c>
      <c r="D1541" s="9" t="s">
        <v>870</v>
      </c>
      <c r="E1541" s="9" t="s">
        <v>49</v>
      </c>
      <c r="F1541" s="9" t="s">
        <v>69</v>
      </c>
      <c r="G1541" s="9" t="s">
        <v>70</v>
      </c>
      <c r="H1541" s="9" t="s">
        <v>871</v>
      </c>
      <c r="I1541" s="9" t="s">
        <v>72</v>
      </c>
      <c r="J1541" s="10"/>
      <c r="K1541" s="10"/>
      <c r="L1541" s="10">
        <v>44900</v>
      </c>
      <c r="M1541" s="10"/>
      <c r="N1541" s="9">
        <v>2022</v>
      </c>
      <c r="O1541" s="9" t="s">
        <v>7445</v>
      </c>
      <c r="P1541" s="9" t="s">
        <v>53</v>
      </c>
      <c r="Q1541" s="9" t="s">
        <v>53</v>
      </c>
      <c r="R1541" s="9" t="s">
        <v>7645</v>
      </c>
      <c r="T1541" s="9"/>
      <c r="V1541" s="9"/>
      <c r="W1541" s="11" t="str">
        <f>IFERROR(VLOOKUP(B1541, PlumX_snapshot!$A:$B, 2, FALSE), " ")</f>
        <v xml:space="preserve"> </v>
      </c>
      <c r="X1541" s="11" t="str">
        <f>IFERROR(VLOOKUP(B1541, PlumX_snapshot!$A:$C, 3, FALSE), " ")</f>
        <v xml:space="preserve"> </v>
      </c>
      <c r="Y1541" s="12" t="str">
        <f>IFERROR(VLOOKUP(B1541, PlumX_snapshot!$A:$D, 4, FALSE), " ")</f>
        <v xml:space="preserve"> </v>
      </c>
      <c r="Z1541" s="12" t="str">
        <f>IFERROR(VLOOKUP(B1541, PlumX_snapshot!$A:$E, 5, FALSE), " ")</f>
        <v xml:space="preserve"> </v>
      </c>
      <c r="AA1541" s="12" t="str">
        <f>IFERROR(VLOOKUP(B1541, PlumX_snapshot!$A:$F, 6, FALSE), " ")</f>
        <v xml:space="preserve"> </v>
      </c>
      <c r="AB1541" s="13"/>
      <c r="AC1541" s="9" t="s">
        <v>1065</v>
      </c>
      <c r="AH1541" s="18">
        <v>1830</v>
      </c>
      <c r="AI1541" s="19" t="s">
        <v>875</v>
      </c>
      <c r="AJ1541" s="11" t="s">
        <v>301</v>
      </c>
      <c r="AK1541" s="11" t="str">
        <f t="shared" si="12"/>
        <v>2022GBP</v>
      </c>
      <c r="AL1541" s="11">
        <f>VLOOKUP(AK1541, Exchange_rates!$C:$D, 2, FALSE)</f>
        <v>1</v>
      </c>
      <c r="AM1541" s="14">
        <f t="shared" si="13"/>
        <v>2196</v>
      </c>
      <c r="AN1541" s="9"/>
      <c r="AO1541" s="9"/>
      <c r="AP1541" s="9"/>
      <c r="AQ1541" s="15" t="s">
        <v>49</v>
      </c>
      <c r="AS1541" s="16" t="s">
        <v>7646</v>
      </c>
    </row>
    <row r="1542" spans="1:45" ht="14.5">
      <c r="A1542" s="9" t="s">
        <v>7647</v>
      </c>
      <c r="B1542" s="9" t="s">
        <v>7648</v>
      </c>
      <c r="C1542" s="9" t="s">
        <v>7649</v>
      </c>
      <c r="D1542" s="9" t="s">
        <v>870</v>
      </c>
      <c r="E1542" s="9" t="s">
        <v>49</v>
      </c>
      <c r="F1542" s="9" t="s">
        <v>69</v>
      </c>
      <c r="G1542" s="9" t="s">
        <v>70</v>
      </c>
      <c r="H1542" s="9" t="s">
        <v>7452</v>
      </c>
      <c r="I1542" s="9" t="s">
        <v>72</v>
      </c>
      <c r="J1542" s="10"/>
      <c r="K1542" s="10"/>
      <c r="L1542" s="10">
        <v>44957</v>
      </c>
      <c r="M1542" s="10"/>
      <c r="N1542" s="9">
        <v>2023</v>
      </c>
      <c r="O1542" s="9" t="s">
        <v>7445</v>
      </c>
      <c r="P1542" s="9" t="s">
        <v>83</v>
      </c>
      <c r="Q1542" s="9" t="s">
        <v>53</v>
      </c>
      <c r="R1542" s="9" t="s">
        <v>7650</v>
      </c>
      <c r="T1542" s="9"/>
      <c r="V1542" s="9"/>
      <c r="W1542" s="11" t="str">
        <f>IFERROR(VLOOKUP(B1542, PlumX_snapshot!$A:$B, 2, FALSE), " ")</f>
        <v xml:space="preserve"> </v>
      </c>
      <c r="X1542" s="11" t="str">
        <f>IFERROR(VLOOKUP(B1542, PlumX_snapshot!$A:$C, 3, FALSE), " ")</f>
        <v xml:space="preserve"> </v>
      </c>
      <c r="Y1542" s="12" t="str">
        <f>IFERROR(VLOOKUP(B1542, PlumX_snapshot!$A:$D, 4, FALSE), " ")</f>
        <v xml:space="preserve"> </v>
      </c>
      <c r="Z1542" s="12" t="str">
        <f>IFERROR(VLOOKUP(B1542, PlumX_snapshot!$A:$E, 5, FALSE), " ")</f>
        <v xml:space="preserve"> </v>
      </c>
      <c r="AA1542" s="12" t="str">
        <f>IFERROR(VLOOKUP(B1542, PlumX_snapshot!$A:$F, 6, FALSE), " ")</f>
        <v xml:space="preserve"> </v>
      </c>
      <c r="AB1542" s="13"/>
      <c r="AC1542" s="9" t="s">
        <v>7651</v>
      </c>
      <c r="AH1542" s="18">
        <v>2400</v>
      </c>
      <c r="AI1542" s="19" t="s">
        <v>875</v>
      </c>
      <c r="AJ1542" s="11" t="s">
        <v>301</v>
      </c>
      <c r="AK1542" s="11" t="str">
        <f t="shared" si="12"/>
        <v>2023GBP</v>
      </c>
      <c r="AL1542" s="11">
        <f>VLOOKUP(AK1542, Exchange_rates!$C:$D, 2, FALSE)</f>
        <v>1</v>
      </c>
      <c r="AM1542" s="14">
        <f t="shared" si="13"/>
        <v>2880</v>
      </c>
      <c r="AN1542" s="9"/>
      <c r="AO1542" s="9"/>
      <c r="AP1542" s="9"/>
      <c r="AQ1542" s="15" t="s">
        <v>49</v>
      </c>
      <c r="AS1542" s="16" t="s">
        <v>7652</v>
      </c>
    </row>
    <row r="1543" spans="1:45" ht="14.5">
      <c r="A1543" s="9" t="s">
        <v>7653</v>
      </c>
      <c r="B1543" s="9" t="s">
        <v>7654</v>
      </c>
      <c r="C1543" s="9" t="s">
        <v>7556</v>
      </c>
      <c r="D1543" s="9" t="s">
        <v>870</v>
      </c>
      <c r="E1543" s="9" t="s">
        <v>49</v>
      </c>
      <c r="F1543" s="9" t="s">
        <v>69</v>
      </c>
      <c r="G1543" s="9" t="s">
        <v>70</v>
      </c>
      <c r="H1543" s="9" t="s">
        <v>7452</v>
      </c>
      <c r="I1543" s="9" t="s">
        <v>72</v>
      </c>
      <c r="J1543" s="10"/>
      <c r="K1543" s="10"/>
      <c r="L1543" s="10">
        <v>44959</v>
      </c>
      <c r="M1543" s="10"/>
      <c r="N1543" s="9">
        <v>2023</v>
      </c>
      <c r="O1543" s="9" t="s">
        <v>7445</v>
      </c>
      <c r="P1543" s="9" t="s">
        <v>53</v>
      </c>
      <c r="Q1543" s="9" t="s">
        <v>53</v>
      </c>
      <c r="T1543" s="9"/>
      <c r="V1543" s="9"/>
      <c r="W1543" s="11" t="str">
        <f>IFERROR(VLOOKUP(B1543, PlumX_snapshot!$A:$B, 2, FALSE), " ")</f>
        <v xml:space="preserve"> </v>
      </c>
      <c r="X1543" s="11" t="str">
        <f>IFERROR(VLOOKUP(B1543, PlumX_snapshot!$A:$C, 3, FALSE), " ")</f>
        <v xml:space="preserve"> </v>
      </c>
      <c r="Y1543" s="12" t="str">
        <f>IFERROR(VLOOKUP(B1543, PlumX_snapshot!$A:$D, 4, FALSE), " ")</f>
        <v xml:space="preserve"> </v>
      </c>
      <c r="Z1543" s="12" t="str">
        <f>IFERROR(VLOOKUP(B1543, PlumX_snapshot!$A:$E, 5, FALSE), " ")</f>
        <v xml:space="preserve"> </v>
      </c>
      <c r="AA1543" s="12" t="str">
        <f>IFERROR(VLOOKUP(B1543, PlumX_snapshot!$A:$F, 6, FALSE), " ")</f>
        <v xml:space="preserve"> </v>
      </c>
      <c r="AB1543" s="13"/>
      <c r="AC1543" s="9" t="s">
        <v>7558</v>
      </c>
      <c r="AH1543" s="18">
        <v>2570</v>
      </c>
      <c r="AI1543" s="19" t="s">
        <v>875</v>
      </c>
      <c r="AJ1543" s="11" t="s">
        <v>301</v>
      </c>
      <c r="AK1543" s="11" t="str">
        <f t="shared" si="12"/>
        <v>2023GBP</v>
      </c>
      <c r="AL1543" s="11">
        <f>VLOOKUP(AK1543, Exchange_rates!$C:$D, 2, FALSE)</f>
        <v>1</v>
      </c>
      <c r="AM1543" s="14">
        <f t="shared" si="13"/>
        <v>3084</v>
      </c>
      <c r="AN1543" s="9"/>
      <c r="AO1543" s="9"/>
      <c r="AP1543" s="9"/>
      <c r="AQ1543" s="15" t="s">
        <v>49</v>
      </c>
      <c r="AS1543" s="16" t="s">
        <v>7559</v>
      </c>
    </row>
    <row r="1544" spans="1:45" ht="14.5">
      <c r="A1544" s="9" t="s">
        <v>7655</v>
      </c>
      <c r="B1544" s="9" t="s">
        <v>7656</v>
      </c>
      <c r="C1544" s="9" t="s">
        <v>7657</v>
      </c>
      <c r="D1544" s="9" t="s">
        <v>870</v>
      </c>
      <c r="E1544" s="9" t="s">
        <v>49</v>
      </c>
      <c r="F1544" s="9" t="s">
        <v>69</v>
      </c>
      <c r="G1544" s="9" t="s">
        <v>70</v>
      </c>
      <c r="H1544" s="9" t="s">
        <v>871</v>
      </c>
      <c r="I1544" s="9" t="s">
        <v>72</v>
      </c>
      <c r="J1544" s="10"/>
      <c r="K1544" s="10"/>
      <c r="L1544" s="10">
        <v>44750</v>
      </c>
      <c r="M1544" s="10"/>
      <c r="N1544" s="9">
        <v>2022</v>
      </c>
      <c r="O1544" s="9" t="s">
        <v>7445</v>
      </c>
      <c r="P1544" s="9" t="s">
        <v>53</v>
      </c>
      <c r="Q1544" s="9" t="s">
        <v>53</v>
      </c>
      <c r="T1544" s="9"/>
      <c r="V1544" s="9"/>
      <c r="W1544" s="11" t="str">
        <f>IFERROR(VLOOKUP(B1544, PlumX_snapshot!$A:$B, 2, FALSE), " ")</f>
        <v xml:space="preserve"> </v>
      </c>
      <c r="X1544" s="11" t="str">
        <f>IFERROR(VLOOKUP(B1544, PlumX_snapshot!$A:$C, 3, FALSE), " ")</f>
        <v xml:space="preserve"> </v>
      </c>
      <c r="Y1544" s="12" t="str">
        <f>IFERROR(VLOOKUP(B1544, PlumX_snapshot!$A:$D, 4, FALSE), " ")</f>
        <v xml:space="preserve"> </v>
      </c>
      <c r="Z1544" s="12" t="str">
        <f>IFERROR(VLOOKUP(B1544, PlumX_snapshot!$A:$E, 5, FALSE), " ")</f>
        <v xml:space="preserve"> </v>
      </c>
      <c r="AA1544" s="12" t="str">
        <f>IFERROR(VLOOKUP(B1544, PlumX_snapshot!$A:$F, 6, FALSE), " ")</f>
        <v xml:space="preserve"> </v>
      </c>
      <c r="AB1544" s="13"/>
      <c r="AC1544" s="9" t="s">
        <v>7658</v>
      </c>
      <c r="AH1544" s="18">
        <v>2540</v>
      </c>
      <c r="AI1544" s="19" t="s">
        <v>875</v>
      </c>
      <c r="AJ1544" s="11" t="s">
        <v>301</v>
      </c>
      <c r="AK1544" s="11" t="str">
        <f t="shared" si="12"/>
        <v>2022GBP</v>
      </c>
      <c r="AL1544" s="11">
        <f>VLOOKUP(AK1544, Exchange_rates!$C:$D, 2, FALSE)</f>
        <v>1</v>
      </c>
      <c r="AM1544" s="14">
        <f t="shared" si="13"/>
        <v>3048</v>
      </c>
      <c r="AN1544" s="9"/>
      <c r="AO1544" s="9"/>
      <c r="AP1544" s="9"/>
      <c r="AQ1544" s="15" t="s">
        <v>49</v>
      </c>
      <c r="AS1544" s="16" t="s">
        <v>7659</v>
      </c>
    </row>
    <row r="1545" spans="1:45" ht="14.5">
      <c r="A1545" s="9" t="s">
        <v>7660</v>
      </c>
      <c r="B1545" s="9" t="s">
        <v>7661</v>
      </c>
      <c r="C1545" s="9" t="s">
        <v>7662</v>
      </c>
      <c r="D1545" s="9" t="s">
        <v>870</v>
      </c>
      <c r="E1545" s="9" t="s">
        <v>49</v>
      </c>
      <c r="F1545" s="9" t="s">
        <v>69</v>
      </c>
      <c r="G1545" s="9" t="s">
        <v>70</v>
      </c>
      <c r="H1545" s="9" t="s">
        <v>871</v>
      </c>
      <c r="I1545" s="9" t="s">
        <v>72</v>
      </c>
      <c r="J1545" s="10"/>
      <c r="K1545" s="10"/>
      <c r="L1545" s="10">
        <v>44868</v>
      </c>
      <c r="M1545" s="10"/>
      <c r="N1545" s="9">
        <v>2022</v>
      </c>
      <c r="O1545" s="9" t="s">
        <v>7445</v>
      </c>
      <c r="P1545" s="9" t="s">
        <v>53</v>
      </c>
      <c r="Q1545" s="9" t="s">
        <v>53</v>
      </c>
      <c r="T1545" s="9"/>
      <c r="V1545" s="9"/>
      <c r="W1545" s="11" t="str">
        <f>IFERROR(VLOOKUP(B1545, PlumX_snapshot!$A:$B, 2, FALSE), " ")</f>
        <v xml:space="preserve"> </v>
      </c>
      <c r="X1545" s="11" t="str">
        <f>IFERROR(VLOOKUP(B1545, PlumX_snapshot!$A:$C, 3, FALSE), " ")</f>
        <v xml:space="preserve"> </v>
      </c>
      <c r="Y1545" s="12" t="str">
        <f>IFERROR(VLOOKUP(B1545, PlumX_snapshot!$A:$D, 4, FALSE), " ")</f>
        <v xml:space="preserve"> </v>
      </c>
      <c r="Z1545" s="12" t="str">
        <f>IFERROR(VLOOKUP(B1545, PlumX_snapshot!$A:$E, 5, FALSE), " ")</f>
        <v xml:space="preserve"> </v>
      </c>
      <c r="AA1545" s="12" t="str">
        <f>IFERROR(VLOOKUP(B1545, PlumX_snapshot!$A:$F, 6, FALSE), " ")</f>
        <v xml:space="preserve"> </v>
      </c>
      <c r="AB1545" s="13"/>
      <c r="AC1545" s="9" t="s">
        <v>1020</v>
      </c>
      <c r="AH1545" s="18">
        <v>7130</v>
      </c>
      <c r="AI1545" s="19" t="s">
        <v>875</v>
      </c>
      <c r="AJ1545" s="11" t="s">
        <v>301</v>
      </c>
      <c r="AK1545" s="11" t="str">
        <f t="shared" si="12"/>
        <v>2022GBP</v>
      </c>
      <c r="AL1545" s="11">
        <f>VLOOKUP(AK1545, Exchange_rates!$C:$D, 2, FALSE)</f>
        <v>1</v>
      </c>
      <c r="AM1545" s="14">
        <f t="shared" si="13"/>
        <v>8556</v>
      </c>
      <c r="AN1545" s="9"/>
      <c r="AO1545" s="9"/>
      <c r="AP1545" s="9"/>
      <c r="AQ1545" s="15" t="s">
        <v>49</v>
      </c>
      <c r="AS1545" s="16" t="s">
        <v>7663</v>
      </c>
    </row>
    <row r="1546" spans="1:45" ht="14.5">
      <c r="A1546" s="9" t="s">
        <v>7664</v>
      </c>
      <c r="B1546" s="9" t="s">
        <v>7665</v>
      </c>
      <c r="C1546" s="9" t="s">
        <v>901</v>
      </c>
      <c r="D1546" s="9" t="s">
        <v>870</v>
      </c>
      <c r="E1546" s="9" t="s">
        <v>49</v>
      </c>
      <c r="F1546" s="9" t="s">
        <v>69</v>
      </c>
      <c r="G1546" s="9" t="s">
        <v>70</v>
      </c>
      <c r="H1546" s="9" t="s">
        <v>871</v>
      </c>
      <c r="I1546" s="9" t="s">
        <v>72</v>
      </c>
      <c r="J1546" s="10"/>
      <c r="K1546" s="10"/>
      <c r="L1546" s="10">
        <v>44872</v>
      </c>
      <c r="M1546" s="10"/>
      <c r="N1546" s="9">
        <v>2022</v>
      </c>
      <c r="O1546" s="9" t="s">
        <v>7445</v>
      </c>
      <c r="P1546" s="9" t="s">
        <v>83</v>
      </c>
      <c r="Q1546" s="9" t="s">
        <v>53</v>
      </c>
      <c r="R1546" s="9" t="s">
        <v>7666</v>
      </c>
      <c r="T1546" s="9"/>
      <c r="V1546" s="9"/>
      <c r="W1546" s="11" t="str">
        <f>IFERROR(VLOOKUP(B1546, PlumX_snapshot!$A:$B, 2, FALSE), " ")</f>
        <v xml:space="preserve"> </v>
      </c>
      <c r="X1546" s="11" t="str">
        <f>IFERROR(VLOOKUP(B1546, PlumX_snapshot!$A:$C, 3, FALSE), " ")</f>
        <v xml:space="preserve"> </v>
      </c>
      <c r="Y1546" s="12" t="str">
        <f>IFERROR(VLOOKUP(B1546, PlumX_snapshot!$A:$D, 4, FALSE), " ")</f>
        <v xml:space="preserve"> </v>
      </c>
      <c r="Z1546" s="12" t="str">
        <f>IFERROR(VLOOKUP(B1546, PlumX_snapshot!$A:$E, 5, FALSE), " ")</f>
        <v xml:space="preserve"> </v>
      </c>
      <c r="AA1546" s="12" t="str">
        <f>IFERROR(VLOOKUP(B1546, PlumX_snapshot!$A:$F, 6, FALSE), " ")</f>
        <v xml:space="preserve"> </v>
      </c>
      <c r="AB1546" s="13"/>
      <c r="AC1546" s="9" t="s">
        <v>7667</v>
      </c>
      <c r="AH1546" s="18">
        <v>2770</v>
      </c>
      <c r="AI1546" s="19" t="s">
        <v>875</v>
      </c>
      <c r="AJ1546" s="11" t="s">
        <v>301</v>
      </c>
      <c r="AK1546" s="11" t="str">
        <f t="shared" si="12"/>
        <v>2022GBP</v>
      </c>
      <c r="AL1546" s="11">
        <f>VLOOKUP(AK1546, Exchange_rates!$C:$D, 2, FALSE)</f>
        <v>1</v>
      </c>
      <c r="AM1546" s="14">
        <f t="shared" si="13"/>
        <v>3324</v>
      </c>
      <c r="AN1546" s="9"/>
      <c r="AO1546" s="9"/>
      <c r="AP1546" s="9"/>
      <c r="AQ1546" s="15" t="s">
        <v>49</v>
      </c>
      <c r="AR1546" t="s">
        <v>903</v>
      </c>
      <c r="AS1546" s="16" t="s">
        <v>904</v>
      </c>
    </row>
    <row r="1547" spans="1:45" ht="14.5">
      <c r="A1547" s="9" t="s">
        <v>7668</v>
      </c>
      <c r="B1547" s="9" t="s">
        <v>7669</v>
      </c>
      <c r="C1547" s="9" t="s">
        <v>7670</v>
      </c>
      <c r="D1547" s="9" t="s">
        <v>870</v>
      </c>
      <c r="E1547" s="9" t="s">
        <v>49</v>
      </c>
      <c r="F1547" s="9" t="s">
        <v>69</v>
      </c>
      <c r="G1547" s="9" t="s">
        <v>70</v>
      </c>
      <c r="H1547" s="9" t="s">
        <v>871</v>
      </c>
      <c r="I1547" s="9" t="s">
        <v>72</v>
      </c>
      <c r="J1547" s="10"/>
      <c r="K1547" s="10"/>
      <c r="L1547" s="10">
        <v>44869</v>
      </c>
      <c r="M1547" s="10"/>
      <c r="N1547" s="9">
        <v>2022</v>
      </c>
      <c r="O1547" s="9" t="s">
        <v>7445</v>
      </c>
      <c r="P1547" s="9" t="s">
        <v>83</v>
      </c>
      <c r="Q1547" s="9" t="s">
        <v>53</v>
      </c>
      <c r="R1547" s="9" t="s">
        <v>7671</v>
      </c>
      <c r="T1547" s="9"/>
      <c r="V1547" s="9"/>
      <c r="W1547" s="11" t="str">
        <f>IFERROR(VLOOKUP(B1547, PlumX_snapshot!$A:$B, 2, FALSE), " ")</f>
        <v xml:space="preserve"> </v>
      </c>
      <c r="X1547" s="11" t="str">
        <f>IFERROR(VLOOKUP(B1547, PlumX_snapshot!$A:$C, 3, FALSE), " ")</f>
        <v xml:space="preserve"> </v>
      </c>
      <c r="Y1547" s="12" t="str">
        <f>IFERROR(VLOOKUP(B1547, PlumX_snapshot!$A:$D, 4, FALSE), " ")</f>
        <v xml:space="preserve"> </v>
      </c>
      <c r="Z1547" s="12" t="str">
        <f>IFERROR(VLOOKUP(B1547, PlumX_snapshot!$A:$E, 5, FALSE), " ")</f>
        <v xml:space="preserve"> </v>
      </c>
      <c r="AA1547" s="12" t="str">
        <f>IFERROR(VLOOKUP(B1547, PlumX_snapshot!$A:$F, 6, FALSE), " ")</f>
        <v xml:space="preserve"> </v>
      </c>
      <c r="AB1547" s="13"/>
      <c r="AC1547" s="9" t="s">
        <v>7672</v>
      </c>
      <c r="AH1547" s="18">
        <v>2100</v>
      </c>
      <c r="AI1547" s="19" t="s">
        <v>875</v>
      </c>
      <c r="AJ1547" s="11" t="s">
        <v>301</v>
      </c>
      <c r="AK1547" s="11" t="str">
        <f t="shared" si="12"/>
        <v>2022GBP</v>
      </c>
      <c r="AL1547" s="11">
        <f>VLOOKUP(AK1547, Exchange_rates!$C:$D, 2, FALSE)</f>
        <v>1</v>
      </c>
      <c r="AM1547" s="14">
        <f t="shared" si="13"/>
        <v>2520</v>
      </c>
      <c r="AN1547" s="9"/>
      <c r="AO1547" s="9"/>
      <c r="AP1547" s="9"/>
      <c r="AQ1547" s="15" t="s">
        <v>49</v>
      </c>
      <c r="AS1547" s="16" t="s">
        <v>7673</v>
      </c>
    </row>
    <row r="1548" spans="1:45" ht="14.5">
      <c r="A1548" s="9" t="s">
        <v>7674</v>
      </c>
      <c r="B1548" s="9" t="s">
        <v>7675</v>
      </c>
      <c r="C1548" s="9" t="s">
        <v>7676</v>
      </c>
      <c r="D1548" s="9" t="s">
        <v>870</v>
      </c>
      <c r="E1548" s="9" t="s">
        <v>49</v>
      </c>
      <c r="F1548" s="9" t="s">
        <v>69</v>
      </c>
      <c r="G1548" s="9" t="s">
        <v>70</v>
      </c>
      <c r="H1548" s="9" t="s">
        <v>871</v>
      </c>
      <c r="I1548" s="9" t="s">
        <v>72</v>
      </c>
      <c r="J1548" s="10"/>
      <c r="K1548" s="10"/>
      <c r="L1548" s="10">
        <v>44903</v>
      </c>
      <c r="M1548" s="10"/>
      <c r="N1548" s="9">
        <v>2022</v>
      </c>
      <c r="O1548" s="9" t="s">
        <v>7445</v>
      </c>
      <c r="P1548" s="9" t="s">
        <v>83</v>
      </c>
      <c r="Q1548" s="9" t="s">
        <v>53</v>
      </c>
      <c r="R1548" s="9" t="s">
        <v>7677</v>
      </c>
      <c r="T1548" s="9"/>
      <c r="V1548" s="9"/>
      <c r="W1548" s="11" t="str">
        <f>IFERROR(VLOOKUP(B1548, PlumX_snapshot!$A:$B, 2, FALSE), " ")</f>
        <v xml:space="preserve"> </v>
      </c>
      <c r="X1548" s="11" t="str">
        <f>IFERROR(VLOOKUP(B1548, PlumX_snapshot!$A:$C, 3, FALSE), " ")</f>
        <v xml:space="preserve"> </v>
      </c>
      <c r="Y1548" s="12" t="str">
        <f>IFERROR(VLOOKUP(B1548, PlumX_snapshot!$A:$D, 4, FALSE), " ")</f>
        <v xml:space="preserve"> </v>
      </c>
      <c r="Z1548" s="12" t="str">
        <f>IFERROR(VLOOKUP(B1548, PlumX_snapshot!$A:$E, 5, FALSE), " ")</f>
        <v xml:space="preserve"> </v>
      </c>
      <c r="AA1548" s="12" t="str">
        <f>IFERROR(VLOOKUP(B1548, PlumX_snapshot!$A:$F, 6, FALSE), " ")</f>
        <v xml:space="preserve"> </v>
      </c>
      <c r="AB1548" s="13"/>
      <c r="AC1548" s="9" t="s">
        <v>7678</v>
      </c>
      <c r="AH1548" s="18">
        <v>3140</v>
      </c>
      <c r="AI1548" s="19" t="s">
        <v>875</v>
      </c>
      <c r="AJ1548" s="11" t="s">
        <v>301</v>
      </c>
      <c r="AK1548" s="11" t="str">
        <f t="shared" si="12"/>
        <v>2022GBP</v>
      </c>
      <c r="AL1548" s="11">
        <f>VLOOKUP(AK1548, Exchange_rates!$C:$D, 2, FALSE)</f>
        <v>1</v>
      </c>
      <c r="AM1548" s="14">
        <f t="shared" si="13"/>
        <v>3768</v>
      </c>
      <c r="AN1548" s="9"/>
      <c r="AO1548" s="9"/>
      <c r="AP1548" s="9"/>
      <c r="AQ1548" s="15" t="s">
        <v>49</v>
      </c>
      <c r="AS1548" s="16" t="s">
        <v>7679</v>
      </c>
    </row>
    <row r="1549" spans="1:45" ht="14.5">
      <c r="A1549" s="9" t="s">
        <v>7680</v>
      </c>
      <c r="B1549" s="9" t="s">
        <v>7681</v>
      </c>
      <c r="C1549" s="9" t="s">
        <v>7682</v>
      </c>
      <c r="D1549" s="9" t="s">
        <v>870</v>
      </c>
      <c r="E1549" s="9" t="s">
        <v>125</v>
      </c>
      <c r="F1549" s="9" t="s">
        <v>69</v>
      </c>
      <c r="G1549" s="9" t="s">
        <v>51</v>
      </c>
      <c r="H1549" s="9"/>
      <c r="I1549" s="9" t="s">
        <v>291</v>
      </c>
      <c r="J1549" s="10"/>
      <c r="K1549" s="10"/>
      <c r="L1549" s="10">
        <v>44971</v>
      </c>
      <c r="M1549" s="10"/>
      <c r="N1549" s="9">
        <v>2023</v>
      </c>
      <c r="O1549" s="9" t="s">
        <v>7445</v>
      </c>
      <c r="P1549" s="9" t="s">
        <v>53</v>
      </c>
      <c r="Q1549" s="9" t="s">
        <v>53</v>
      </c>
      <c r="R1549" s="9" t="s">
        <v>7683</v>
      </c>
      <c r="S1549" s="9" t="s">
        <v>7684</v>
      </c>
      <c r="T1549" s="9" t="s">
        <v>279</v>
      </c>
      <c r="V1549" s="9"/>
      <c r="W1549" s="11" t="str">
        <f>IFERROR(VLOOKUP(B1549, PlumX_snapshot!$A:$B, 2, FALSE), " ")</f>
        <v xml:space="preserve"> </v>
      </c>
      <c r="X1549" s="11" t="str">
        <f>IFERROR(VLOOKUP(B1549, PlumX_snapshot!$A:$C, 3, FALSE), " ")</f>
        <v xml:space="preserve"> </v>
      </c>
      <c r="Y1549" s="12" t="str">
        <f>IFERROR(VLOOKUP(B1549, PlumX_snapshot!$A:$D, 4, FALSE), " ")</f>
        <v xml:space="preserve"> </v>
      </c>
      <c r="Z1549" s="12" t="str">
        <f>IFERROR(VLOOKUP(B1549, PlumX_snapshot!$A:$E, 5, FALSE), " ")</f>
        <v xml:space="preserve"> </v>
      </c>
      <c r="AA1549" s="12" t="str">
        <f>IFERROR(VLOOKUP(B1549, PlumX_snapshot!$A:$F, 6, FALSE), " ")</f>
        <v xml:space="preserve"> </v>
      </c>
      <c r="AB1549" s="13"/>
      <c r="AC1549" s="9" t="s">
        <v>7685</v>
      </c>
      <c r="AH1549" s="18">
        <v>2760</v>
      </c>
      <c r="AI1549" s="19" t="s">
        <v>875</v>
      </c>
      <c r="AJ1549" s="11" t="s">
        <v>301</v>
      </c>
      <c r="AK1549" s="11" t="str">
        <f t="shared" si="12"/>
        <v>2023GBP</v>
      </c>
      <c r="AL1549" s="11">
        <f>VLOOKUP(AK1549, Exchange_rates!$C:$D, 2, FALSE)</f>
        <v>1</v>
      </c>
      <c r="AM1549" s="14">
        <f t="shared" si="13"/>
        <v>3312</v>
      </c>
      <c r="AN1549" s="9"/>
      <c r="AO1549" s="9"/>
      <c r="AP1549" s="9"/>
      <c r="AQ1549" s="15" t="s">
        <v>125</v>
      </c>
      <c r="AR1549" t="s">
        <v>7686</v>
      </c>
      <c r="AS1549" s="16" t="s">
        <v>7687</v>
      </c>
    </row>
    <row r="1550" spans="1:45" ht="14.5">
      <c r="A1550" s="9" t="s">
        <v>7688</v>
      </c>
      <c r="B1550" s="9" t="s">
        <v>7689</v>
      </c>
      <c r="C1550" s="9" t="s">
        <v>7690</v>
      </c>
      <c r="D1550" s="9" t="s">
        <v>870</v>
      </c>
      <c r="E1550" s="9" t="s">
        <v>125</v>
      </c>
      <c r="F1550" s="9" t="s">
        <v>69</v>
      </c>
      <c r="G1550" s="9" t="s">
        <v>51</v>
      </c>
      <c r="H1550" s="9"/>
      <c r="I1550" s="9" t="s">
        <v>72</v>
      </c>
      <c r="J1550" s="10"/>
      <c r="K1550" s="10"/>
      <c r="L1550" s="10">
        <v>44902</v>
      </c>
      <c r="M1550" s="10"/>
      <c r="N1550" s="9">
        <v>2022</v>
      </c>
      <c r="O1550" s="9" t="s">
        <v>7445</v>
      </c>
      <c r="P1550" s="9" t="s">
        <v>83</v>
      </c>
      <c r="Q1550" s="9" t="s">
        <v>53</v>
      </c>
      <c r="R1550" s="9" t="s">
        <v>7691</v>
      </c>
      <c r="T1550" s="9" t="s">
        <v>279</v>
      </c>
      <c r="V1550" s="9"/>
      <c r="W1550" s="11" t="str">
        <f>IFERROR(VLOOKUP(B1550, PlumX_snapshot!$A:$B, 2, FALSE), " ")</f>
        <v xml:space="preserve"> </v>
      </c>
      <c r="X1550" s="11" t="str">
        <f>IFERROR(VLOOKUP(B1550, PlumX_snapshot!$A:$C, 3, FALSE), " ")</f>
        <v xml:space="preserve"> </v>
      </c>
      <c r="Y1550" s="12" t="str">
        <f>IFERROR(VLOOKUP(B1550, PlumX_snapshot!$A:$D, 4, FALSE), " ")</f>
        <v xml:space="preserve"> </v>
      </c>
      <c r="Z1550" s="12" t="str">
        <f>IFERROR(VLOOKUP(B1550, PlumX_snapshot!$A:$E, 5, FALSE), " ")</f>
        <v xml:space="preserve"> </v>
      </c>
      <c r="AA1550" s="12" t="str">
        <f>IFERROR(VLOOKUP(B1550, PlumX_snapshot!$A:$F, 6, FALSE), " ")</f>
        <v xml:space="preserve"> </v>
      </c>
      <c r="AB1550" s="13"/>
      <c r="AC1550" s="9" t="s">
        <v>7692</v>
      </c>
      <c r="AH1550" s="18">
        <v>1760</v>
      </c>
      <c r="AI1550" s="19" t="s">
        <v>875</v>
      </c>
      <c r="AJ1550" s="11" t="s">
        <v>301</v>
      </c>
      <c r="AK1550" s="11" t="str">
        <f t="shared" si="12"/>
        <v>2022GBP</v>
      </c>
      <c r="AL1550" s="11">
        <f>VLOOKUP(AK1550, Exchange_rates!$C:$D, 2, FALSE)</f>
        <v>1</v>
      </c>
      <c r="AM1550" s="14">
        <f t="shared" si="13"/>
        <v>2112</v>
      </c>
      <c r="AN1550" s="9"/>
      <c r="AO1550" s="9"/>
      <c r="AP1550" s="9"/>
      <c r="AQ1550" s="15" t="s">
        <v>125</v>
      </c>
      <c r="AR1550" t="s">
        <v>7693</v>
      </c>
      <c r="AS1550" s="16"/>
    </row>
    <row r="1551" spans="1:45" ht="14.5">
      <c r="A1551" s="9" t="s">
        <v>7694</v>
      </c>
      <c r="B1551" s="9" t="s">
        <v>7695</v>
      </c>
      <c r="C1551" s="9" t="s">
        <v>7696</v>
      </c>
      <c r="D1551" s="9" t="s">
        <v>870</v>
      </c>
      <c r="E1551" s="9" t="s">
        <v>125</v>
      </c>
      <c r="F1551" s="9" t="s">
        <v>69</v>
      </c>
      <c r="G1551" s="9" t="s">
        <v>51</v>
      </c>
      <c r="H1551" s="9"/>
      <c r="I1551" s="9" t="s">
        <v>72</v>
      </c>
      <c r="J1551" s="10"/>
      <c r="K1551" s="10"/>
      <c r="L1551" s="10">
        <v>44865</v>
      </c>
      <c r="M1551" s="10"/>
      <c r="N1551" s="9">
        <v>2022</v>
      </c>
      <c r="O1551" s="9" t="s">
        <v>7445</v>
      </c>
      <c r="P1551" s="9" t="s">
        <v>53</v>
      </c>
      <c r="Q1551" s="9" t="s">
        <v>53</v>
      </c>
      <c r="S1551" s="9" t="s">
        <v>7697</v>
      </c>
      <c r="T1551" s="9" t="s">
        <v>279</v>
      </c>
      <c r="V1551" s="9"/>
      <c r="W1551" s="11" t="str">
        <f>IFERROR(VLOOKUP(B1551, PlumX_snapshot!$A:$B, 2, FALSE), " ")</f>
        <v xml:space="preserve"> </v>
      </c>
      <c r="X1551" s="11" t="str">
        <f>IFERROR(VLOOKUP(B1551, PlumX_snapshot!$A:$C, 3, FALSE), " ")</f>
        <v xml:space="preserve"> </v>
      </c>
      <c r="Y1551" s="12" t="str">
        <f>IFERROR(VLOOKUP(B1551, PlumX_snapshot!$A:$D, 4, FALSE), " ")</f>
        <v xml:space="preserve"> </v>
      </c>
      <c r="Z1551" s="12" t="str">
        <f>IFERROR(VLOOKUP(B1551, PlumX_snapshot!$A:$E, 5, FALSE), " ")</f>
        <v xml:space="preserve"> </v>
      </c>
      <c r="AA1551" s="12" t="str">
        <f>IFERROR(VLOOKUP(B1551, PlumX_snapshot!$A:$F, 6, FALSE), " ")</f>
        <v xml:space="preserve"> </v>
      </c>
      <c r="AB1551" s="13"/>
      <c r="AC1551" s="9" t="s">
        <v>1111</v>
      </c>
      <c r="AH1551" s="18">
        <v>2000</v>
      </c>
      <c r="AI1551" s="19" t="s">
        <v>875</v>
      </c>
      <c r="AJ1551" s="11" t="s">
        <v>301</v>
      </c>
      <c r="AK1551" s="11" t="str">
        <f t="shared" si="12"/>
        <v>2022GBP</v>
      </c>
      <c r="AL1551" s="11">
        <f>VLOOKUP(AK1551, Exchange_rates!$C:$D, 2, FALSE)</f>
        <v>1</v>
      </c>
      <c r="AM1551" s="14">
        <f t="shared" si="13"/>
        <v>2400</v>
      </c>
      <c r="AN1551" s="9"/>
      <c r="AO1551" s="9"/>
      <c r="AP1551" s="9"/>
      <c r="AQ1551" s="15" t="s">
        <v>125</v>
      </c>
      <c r="AR1551" t="s">
        <v>7698</v>
      </c>
      <c r="AS1551" s="16"/>
    </row>
    <row r="1552" spans="1:45" ht="14.5">
      <c r="A1552" s="9" t="s">
        <v>7699</v>
      </c>
      <c r="B1552" s="9" t="s">
        <v>7700</v>
      </c>
      <c r="C1552" s="9" t="s">
        <v>7701</v>
      </c>
      <c r="D1552" s="9" t="s">
        <v>870</v>
      </c>
      <c r="E1552" s="9" t="s">
        <v>125</v>
      </c>
      <c r="F1552" s="9" t="s">
        <v>69</v>
      </c>
      <c r="G1552" s="9" t="s">
        <v>51</v>
      </c>
      <c r="H1552" s="9"/>
      <c r="I1552" s="9" t="s">
        <v>72</v>
      </c>
      <c r="J1552" s="10"/>
      <c r="K1552" s="10"/>
      <c r="L1552" s="10">
        <v>44866</v>
      </c>
      <c r="M1552" s="10"/>
      <c r="N1552" s="9">
        <v>2022</v>
      </c>
      <c r="O1552" s="9" t="s">
        <v>7445</v>
      </c>
      <c r="P1552" s="9" t="s">
        <v>53</v>
      </c>
      <c r="Q1552" s="9" t="s">
        <v>53</v>
      </c>
      <c r="R1552" s="9" t="s">
        <v>7702</v>
      </c>
      <c r="S1552" s="9" t="s">
        <v>7697</v>
      </c>
      <c r="T1552" s="9" t="s">
        <v>279</v>
      </c>
      <c r="V1552" s="9"/>
      <c r="W1552" s="11" t="str">
        <f>IFERROR(VLOOKUP(B1552, PlumX_snapshot!$A:$B, 2, FALSE), " ")</f>
        <v xml:space="preserve"> </v>
      </c>
      <c r="X1552" s="11" t="str">
        <f>IFERROR(VLOOKUP(B1552, PlumX_snapshot!$A:$C, 3, FALSE), " ")</f>
        <v xml:space="preserve"> </v>
      </c>
      <c r="Y1552" s="12" t="str">
        <f>IFERROR(VLOOKUP(B1552, PlumX_snapshot!$A:$D, 4, FALSE), " ")</f>
        <v xml:space="preserve"> </v>
      </c>
      <c r="Z1552" s="12" t="str">
        <f>IFERROR(VLOOKUP(B1552, PlumX_snapshot!$A:$E, 5, FALSE), " ")</f>
        <v xml:space="preserve"> </v>
      </c>
      <c r="AA1552" s="12" t="str">
        <f>IFERROR(VLOOKUP(B1552, PlumX_snapshot!$A:$F, 6, FALSE), " ")</f>
        <v xml:space="preserve"> </v>
      </c>
      <c r="AB1552" s="13"/>
      <c r="AC1552" s="9" t="s">
        <v>7703</v>
      </c>
      <c r="AH1552" s="18">
        <v>1460</v>
      </c>
      <c r="AI1552" s="19" t="s">
        <v>875</v>
      </c>
      <c r="AJ1552" s="11" t="s">
        <v>301</v>
      </c>
      <c r="AK1552" s="11" t="str">
        <f t="shared" si="12"/>
        <v>2022GBP</v>
      </c>
      <c r="AL1552" s="11">
        <f>VLOOKUP(AK1552, Exchange_rates!$C:$D, 2, FALSE)</f>
        <v>1</v>
      </c>
      <c r="AM1552" s="14">
        <f t="shared" si="13"/>
        <v>1752</v>
      </c>
      <c r="AN1552" s="9"/>
      <c r="AO1552" s="9"/>
      <c r="AP1552" s="9"/>
      <c r="AQ1552" s="15" t="s">
        <v>125</v>
      </c>
      <c r="AR1552" t="s">
        <v>7704</v>
      </c>
      <c r="AS1552" s="16"/>
    </row>
    <row r="1553" spans="1:45" ht="14.5">
      <c r="A1553" s="9" t="s">
        <v>7705</v>
      </c>
      <c r="B1553" s="9" t="s">
        <v>7706</v>
      </c>
      <c r="C1553" s="9" t="s">
        <v>7707</v>
      </c>
      <c r="D1553" s="9" t="s">
        <v>870</v>
      </c>
      <c r="E1553" s="9" t="s">
        <v>125</v>
      </c>
      <c r="F1553" s="9" t="s">
        <v>69</v>
      </c>
      <c r="G1553" s="9" t="s">
        <v>51</v>
      </c>
      <c r="H1553" s="9"/>
      <c r="I1553" s="9" t="s">
        <v>291</v>
      </c>
      <c r="J1553" s="10"/>
      <c r="K1553" s="10"/>
      <c r="L1553" s="10">
        <v>44816</v>
      </c>
      <c r="M1553" s="10"/>
      <c r="N1553" s="9">
        <v>2022</v>
      </c>
      <c r="O1553" s="9" t="s">
        <v>7445</v>
      </c>
      <c r="P1553" s="9" t="s">
        <v>53</v>
      </c>
      <c r="Q1553" s="9" t="s">
        <v>53</v>
      </c>
      <c r="R1553" s="9" t="s">
        <v>7708</v>
      </c>
      <c r="S1553" s="9" t="s">
        <v>7697</v>
      </c>
      <c r="T1553" s="9" t="s">
        <v>279</v>
      </c>
      <c r="V1553" s="9"/>
      <c r="W1553" s="11" t="str">
        <f>IFERROR(VLOOKUP(B1553, PlumX_snapshot!$A:$B, 2, FALSE), " ")</f>
        <v xml:space="preserve"> </v>
      </c>
      <c r="X1553" s="11" t="str">
        <f>IFERROR(VLOOKUP(B1553, PlumX_snapshot!$A:$C, 3, FALSE), " ")</f>
        <v xml:space="preserve"> </v>
      </c>
      <c r="Y1553" s="12" t="str">
        <f>IFERROR(VLOOKUP(B1553, PlumX_snapshot!$A:$D, 4, FALSE), " ")</f>
        <v xml:space="preserve"> </v>
      </c>
      <c r="Z1553" s="12" t="str">
        <f>IFERROR(VLOOKUP(B1553, PlumX_snapshot!$A:$E, 5, FALSE), " ")</f>
        <v xml:space="preserve"> </v>
      </c>
      <c r="AA1553" s="12" t="str">
        <f>IFERROR(VLOOKUP(B1553, PlumX_snapshot!$A:$F, 6, FALSE), " ")</f>
        <v xml:space="preserve"> </v>
      </c>
      <c r="AB1553" s="13"/>
      <c r="AC1553" s="9" t="s">
        <v>7709</v>
      </c>
      <c r="AH1553" s="18">
        <v>1160</v>
      </c>
      <c r="AI1553" s="19" t="s">
        <v>875</v>
      </c>
      <c r="AJ1553" s="11" t="s">
        <v>301</v>
      </c>
      <c r="AK1553" s="11" t="str">
        <f t="shared" si="12"/>
        <v>2022GBP</v>
      </c>
      <c r="AL1553" s="11">
        <f>VLOOKUP(AK1553, Exchange_rates!$C:$D, 2, FALSE)</f>
        <v>1</v>
      </c>
      <c r="AM1553" s="14">
        <f t="shared" si="13"/>
        <v>1392</v>
      </c>
      <c r="AN1553" s="9"/>
      <c r="AO1553" s="9"/>
      <c r="AP1553" s="9"/>
      <c r="AQ1553" s="15" t="s">
        <v>125</v>
      </c>
      <c r="AR1553" t="s">
        <v>7710</v>
      </c>
      <c r="AS1553" s="16"/>
    </row>
    <row r="1554" spans="1:45" ht="14.5">
      <c r="A1554" s="9" t="s">
        <v>7711</v>
      </c>
      <c r="B1554" s="9" t="s">
        <v>7712</v>
      </c>
      <c r="C1554" s="9" t="s">
        <v>1911</v>
      </c>
      <c r="D1554" s="9" t="s">
        <v>1895</v>
      </c>
      <c r="E1554" s="17" t="s">
        <v>125</v>
      </c>
      <c r="F1554" s="9" t="s">
        <v>69</v>
      </c>
      <c r="G1554" s="9" t="s">
        <v>70</v>
      </c>
      <c r="H1554" s="9" t="s">
        <v>7713</v>
      </c>
      <c r="I1554" s="9" t="s">
        <v>72</v>
      </c>
      <c r="J1554" s="10">
        <v>44866</v>
      </c>
      <c r="K1554" s="10">
        <v>44964</v>
      </c>
      <c r="L1554" s="10">
        <v>44964</v>
      </c>
      <c r="M1554" s="10">
        <v>45000</v>
      </c>
      <c r="N1554" s="9">
        <v>2023</v>
      </c>
      <c r="O1554" s="9" t="s">
        <v>7714</v>
      </c>
      <c r="P1554" s="9" t="s">
        <v>83</v>
      </c>
      <c r="Q1554" s="9" t="s">
        <v>53</v>
      </c>
      <c r="R1554" s="9" t="s">
        <v>1456</v>
      </c>
      <c r="T1554" s="9"/>
      <c r="V1554" s="9"/>
      <c r="W1554" s="11" t="str">
        <f>IFERROR(VLOOKUP(B1554, PlumX_snapshot!$A:$B, 2, FALSE), " ")</f>
        <v xml:space="preserve"> </v>
      </c>
      <c r="X1554" s="11" t="str">
        <f>IFERROR(VLOOKUP(B1554, PlumX_snapshot!$A:$C, 3, FALSE), " ")</f>
        <v xml:space="preserve"> </v>
      </c>
      <c r="Y1554" s="12" t="str">
        <f>IFERROR(VLOOKUP(B1554, PlumX_snapshot!$A:$D, 4, FALSE), " ")</f>
        <v xml:space="preserve"> </v>
      </c>
      <c r="Z1554" s="12" t="str">
        <f>IFERROR(VLOOKUP(B1554, PlumX_snapshot!$A:$E, 5, FALSE), " ")</f>
        <v xml:space="preserve"> </v>
      </c>
      <c r="AA1554" s="12" t="str">
        <f>IFERROR(VLOOKUP(B1554, PlumX_snapshot!$A:$F, 6, FALSE), " ")</f>
        <v xml:space="preserve"> </v>
      </c>
      <c r="AB1554" s="13"/>
      <c r="AC1554" s="9" t="s">
        <v>1942</v>
      </c>
      <c r="AD1554" s="9" t="s">
        <v>1943</v>
      </c>
      <c r="AH1554" s="9">
        <v>2100</v>
      </c>
      <c r="AI1554" s="9" t="s">
        <v>77</v>
      </c>
      <c r="AJ1554" s="9" t="s">
        <v>301</v>
      </c>
      <c r="AK1554" s="11" t="str">
        <f t="shared" si="12"/>
        <v>2023GBP</v>
      </c>
      <c r="AL1554" s="11">
        <f>VLOOKUP(AK1554, Exchange_rates!$C:$D, 2, FALSE)</f>
        <v>1</v>
      </c>
      <c r="AM1554" s="14">
        <f t="shared" si="13"/>
        <v>2520</v>
      </c>
      <c r="AN1554" s="9"/>
      <c r="AO1554" s="9"/>
      <c r="AP1554" s="17"/>
      <c r="AQ1554" s="15" t="s">
        <v>125</v>
      </c>
      <c r="AR1554" t="s">
        <v>1914</v>
      </c>
      <c r="AS1554" s="16"/>
    </row>
    <row r="1555" spans="1:45" ht="14.5">
      <c r="A1555" s="9" t="s">
        <v>7715</v>
      </c>
      <c r="B1555" s="9" t="s">
        <v>7716</v>
      </c>
      <c r="C1555" s="9" t="s">
        <v>1911</v>
      </c>
      <c r="D1555" s="9" t="s">
        <v>1895</v>
      </c>
      <c r="E1555" s="17" t="s">
        <v>49</v>
      </c>
      <c r="F1555" s="9" t="s">
        <v>69</v>
      </c>
      <c r="G1555" s="9" t="s">
        <v>51</v>
      </c>
      <c r="H1555" s="9"/>
      <c r="I1555" s="9" t="s">
        <v>72</v>
      </c>
      <c r="J1555" s="10">
        <v>44901</v>
      </c>
      <c r="K1555" s="10">
        <v>44903</v>
      </c>
      <c r="L1555" s="10">
        <v>44903</v>
      </c>
      <c r="M1555" s="10"/>
      <c r="N1555" s="9">
        <v>2022</v>
      </c>
      <c r="O1555" s="9" t="s">
        <v>7714</v>
      </c>
      <c r="P1555" s="9" t="s">
        <v>53</v>
      </c>
      <c r="Q1555" s="9" t="s">
        <v>53</v>
      </c>
      <c r="T1555" s="9" t="s">
        <v>1912</v>
      </c>
      <c r="U1555" s="9" t="s">
        <v>1913</v>
      </c>
      <c r="V1555" s="9"/>
      <c r="W1555" s="11" t="str">
        <f>IFERROR(VLOOKUP(B1555, PlumX_snapshot!$A:$B, 2, FALSE), " ")</f>
        <v xml:space="preserve"> </v>
      </c>
      <c r="X1555" s="11" t="str">
        <f>IFERROR(VLOOKUP(B1555, PlumX_snapshot!$A:$C, 3, FALSE), " ")</f>
        <v xml:space="preserve"> </v>
      </c>
      <c r="Y1555" s="12" t="str">
        <f>IFERROR(VLOOKUP(B1555, PlumX_snapshot!$A:$D, 4, FALSE), " ")</f>
        <v xml:space="preserve"> </v>
      </c>
      <c r="Z1555" s="12" t="str">
        <f>IFERROR(VLOOKUP(B1555, PlumX_snapshot!$A:$E, 5, FALSE), " ")</f>
        <v xml:space="preserve"> </v>
      </c>
      <c r="AA1555" s="12" t="str">
        <f>IFERROR(VLOOKUP(B1555, PlumX_snapshot!$A:$F, 6, FALSE), " ")</f>
        <v xml:space="preserve"> </v>
      </c>
      <c r="AB1555" s="13"/>
      <c r="AC1555" s="9" t="s">
        <v>1942</v>
      </c>
      <c r="AD1555" s="9" t="s">
        <v>1943</v>
      </c>
      <c r="AH1555" s="9">
        <v>2100</v>
      </c>
      <c r="AI1555" s="9" t="s">
        <v>77</v>
      </c>
      <c r="AJ1555" s="9" t="s">
        <v>301</v>
      </c>
      <c r="AK1555" s="11" t="str">
        <f t="shared" si="12"/>
        <v>2022GBP</v>
      </c>
      <c r="AL1555" s="11">
        <f>VLOOKUP(AK1555, Exchange_rates!$C:$D, 2, FALSE)</f>
        <v>1</v>
      </c>
      <c r="AM1555" s="14">
        <f t="shared" si="13"/>
        <v>2520</v>
      </c>
      <c r="AN1555" s="9"/>
      <c r="AO1555" s="9"/>
      <c r="AP1555" s="17"/>
      <c r="AQ1555" s="15" t="s">
        <v>125</v>
      </c>
      <c r="AR1555" t="s">
        <v>1914</v>
      </c>
      <c r="AS1555" s="16"/>
    </row>
    <row r="1556" spans="1:45" ht="14.5">
      <c r="A1556" s="9" t="s">
        <v>7717</v>
      </c>
      <c r="B1556" s="9" t="s">
        <v>7718</v>
      </c>
      <c r="C1556" s="9" t="s">
        <v>1911</v>
      </c>
      <c r="D1556" s="9" t="s">
        <v>1895</v>
      </c>
      <c r="E1556" s="17" t="s">
        <v>49</v>
      </c>
      <c r="F1556" s="9" t="s">
        <v>69</v>
      </c>
      <c r="G1556" s="9" t="s">
        <v>70</v>
      </c>
      <c r="H1556" s="9" t="s">
        <v>1959</v>
      </c>
      <c r="I1556" s="9" t="s">
        <v>72</v>
      </c>
      <c r="J1556" s="10">
        <v>44841</v>
      </c>
      <c r="K1556" s="10">
        <v>44879</v>
      </c>
      <c r="L1556" s="10">
        <v>44879</v>
      </c>
      <c r="M1556" s="10"/>
      <c r="N1556" s="9">
        <v>2022</v>
      </c>
      <c r="O1556" s="9" t="s">
        <v>7714</v>
      </c>
      <c r="P1556" s="9" t="s">
        <v>83</v>
      </c>
      <c r="Q1556" s="9" t="s">
        <v>53</v>
      </c>
      <c r="R1556" s="9" t="s">
        <v>1456</v>
      </c>
      <c r="T1556" s="9"/>
      <c r="V1556" s="9"/>
      <c r="W1556" s="11" t="str">
        <f>IFERROR(VLOOKUP(B1556, PlumX_snapshot!$A:$B, 2, FALSE), " ")</f>
        <v xml:space="preserve"> </v>
      </c>
      <c r="X1556" s="11" t="str">
        <f>IFERROR(VLOOKUP(B1556, PlumX_snapshot!$A:$C, 3, FALSE), " ")</f>
        <v xml:space="preserve"> </v>
      </c>
      <c r="Y1556" s="12" t="str">
        <f>IFERROR(VLOOKUP(B1556, PlumX_snapshot!$A:$D, 4, FALSE), " ")</f>
        <v xml:space="preserve"> </v>
      </c>
      <c r="Z1556" s="12" t="str">
        <f>IFERROR(VLOOKUP(B1556, PlumX_snapshot!$A:$E, 5, FALSE), " ")</f>
        <v xml:space="preserve"> </v>
      </c>
      <c r="AA1556" s="12" t="str">
        <f>IFERROR(VLOOKUP(B1556, PlumX_snapshot!$A:$F, 6, FALSE), " ")</f>
        <v xml:space="preserve"> </v>
      </c>
      <c r="AB1556" s="13"/>
      <c r="AC1556" s="9" t="s">
        <v>1948</v>
      </c>
      <c r="AD1556" s="9" t="s">
        <v>1949</v>
      </c>
      <c r="AH1556" s="9">
        <v>2100</v>
      </c>
      <c r="AI1556" s="9" t="s">
        <v>77</v>
      </c>
      <c r="AJ1556" s="9" t="s">
        <v>301</v>
      </c>
      <c r="AK1556" s="11" t="str">
        <f t="shared" si="12"/>
        <v>2022GBP</v>
      </c>
      <c r="AL1556" s="11">
        <f>VLOOKUP(AK1556, Exchange_rates!$C:$D, 2, FALSE)</f>
        <v>1</v>
      </c>
      <c r="AM1556" s="14">
        <f t="shared" si="13"/>
        <v>2520</v>
      </c>
      <c r="AN1556" s="9"/>
      <c r="AO1556" s="9"/>
      <c r="AP1556" s="17"/>
      <c r="AQ1556" s="15" t="s">
        <v>125</v>
      </c>
      <c r="AR1556" t="s">
        <v>1914</v>
      </c>
      <c r="AS1556" s="16"/>
    </row>
    <row r="1557" spans="1:45" ht="14.5">
      <c r="A1557" s="9" t="s">
        <v>7719</v>
      </c>
      <c r="B1557" s="9" t="s">
        <v>7720</v>
      </c>
      <c r="C1557" s="9" t="s">
        <v>7721</v>
      </c>
      <c r="D1557" s="9" t="s">
        <v>1560</v>
      </c>
      <c r="E1557" s="9" t="s">
        <v>49</v>
      </c>
      <c r="F1557" s="9" t="s">
        <v>50</v>
      </c>
      <c r="G1557" s="9" t="s">
        <v>51</v>
      </c>
      <c r="H1557" s="9"/>
      <c r="I1557" s="9" t="s">
        <v>1647</v>
      </c>
      <c r="J1557" s="10"/>
      <c r="K1557" s="10">
        <v>44805</v>
      </c>
      <c r="L1557" s="10"/>
      <c r="M1557" s="10"/>
      <c r="N1557" s="9">
        <v>2022</v>
      </c>
      <c r="O1557" s="9" t="s">
        <v>7722</v>
      </c>
      <c r="P1557" s="9" t="s">
        <v>53</v>
      </c>
      <c r="Q1557" s="9" t="s">
        <v>53</v>
      </c>
      <c r="R1557" s="9" t="e">
        <v>#N/A</v>
      </c>
      <c r="T1557" s="9" t="s">
        <v>723</v>
      </c>
      <c r="V1557" s="9"/>
      <c r="W1557" s="11" t="str">
        <f>IFERROR(VLOOKUP(B1557, PlumX_snapshot!$A:$B, 2, FALSE), " ")</f>
        <v xml:space="preserve"> </v>
      </c>
      <c r="X1557" s="11" t="str">
        <f>IFERROR(VLOOKUP(B1557, PlumX_snapshot!$A:$C, 3, FALSE), " ")</f>
        <v xml:space="preserve"> </v>
      </c>
      <c r="Y1557" s="12" t="str">
        <f>IFERROR(VLOOKUP(B1557, PlumX_snapshot!$A:$D, 4, FALSE), " ")</f>
        <v xml:space="preserve"> </v>
      </c>
      <c r="Z1557" s="12" t="str">
        <f>IFERROR(VLOOKUP(B1557, PlumX_snapshot!$A:$E, 5, FALSE), " ")</f>
        <v xml:space="preserve"> </v>
      </c>
      <c r="AA1557" s="12" t="str">
        <f>IFERROR(VLOOKUP(B1557, PlumX_snapshot!$A:$F, 6, FALSE), " ")</f>
        <v xml:space="preserve"> </v>
      </c>
      <c r="AB1557" s="13"/>
      <c r="AC1557" s="9" t="s">
        <v>7723</v>
      </c>
      <c r="AD1557" s="9" t="s">
        <v>7724</v>
      </c>
      <c r="AH1557" s="9">
        <v>4151.3900000000003</v>
      </c>
      <c r="AI1557" s="9" t="s">
        <v>77</v>
      </c>
      <c r="AJ1557" s="9" t="s">
        <v>57</v>
      </c>
      <c r="AK1557" s="11" t="str">
        <f t="shared" si="12"/>
        <v>2022USD</v>
      </c>
      <c r="AL1557" s="11">
        <f>VLOOKUP(AK1557, Exchange_rates!$C:$D, 2, FALSE)</f>
        <v>0.8115</v>
      </c>
      <c r="AM1557" s="14">
        <f t="shared" si="13"/>
        <v>4042.6235820000002</v>
      </c>
      <c r="AN1557" s="9"/>
      <c r="AO1557" s="9"/>
      <c r="AP1557" s="9"/>
      <c r="AQ1557" s="15" t="s">
        <v>49</v>
      </c>
      <c r="AR1557" t="s">
        <v>7725</v>
      </c>
      <c r="AS1557" s="16" t="s">
        <v>7726</v>
      </c>
    </row>
    <row r="1558" spans="1:45" ht="14.5">
      <c r="A1558" s="9" t="s">
        <v>7727</v>
      </c>
      <c r="B1558" s="9" t="s">
        <v>7728</v>
      </c>
      <c r="C1558" s="9" t="s">
        <v>7721</v>
      </c>
      <c r="D1558" s="9" t="s">
        <v>1560</v>
      </c>
      <c r="E1558" s="9" t="s">
        <v>49</v>
      </c>
      <c r="F1558" s="9" t="s">
        <v>50</v>
      </c>
      <c r="G1558" s="9" t="s">
        <v>51</v>
      </c>
      <c r="H1558" s="9"/>
      <c r="I1558" s="9" t="s">
        <v>1647</v>
      </c>
      <c r="J1558" s="10"/>
      <c r="K1558" s="10">
        <v>44805</v>
      </c>
      <c r="L1558" s="10"/>
      <c r="M1558" s="10"/>
      <c r="N1558" s="9">
        <v>2022</v>
      </c>
      <c r="O1558" s="9" t="s">
        <v>7722</v>
      </c>
      <c r="P1558" s="9" t="s">
        <v>53</v>
      </c>
      <c r="Q1558" s="9" t="s">
        <v>53</v>
      </c>
      <c r="R1558" s="9" t="e">
        <v>#N/A</v>
      </c>
      <c r="T1558" s="9" t="s">
        <v>723</v>
      </c>
      <c r="V1558" s="9"/>
      <c r="W1558" s="11" t="str">
        <f>IFERROR(VLOOKUP(B1558, PlumX_snapshot!$A:$B, 2, FALSE), " ")</f>
        <v xml:space="preserve"> </v>
      </c>
      <c r="X1558" s="11" t="str">
        <f>IFERROR(VLOOKUP(B1558, PlumX_snapshot!$A:$C, 3, FALSE), " ")</f>
        <v xml:space="preserve"> </v>
      </c>
      <c r="Y1558" s="12" t="str">
        <f>IFERROR(VLOOKUP(B1558, PlumX_snapshot!$A:$D, 4, FALSE), " ")</f>
        <v xml:space="preserve"> </v>
      </c>
      <c r="Z1558" s="12" t="str">
        <f>IFERROR(VLOOKUP(B1558, PlumX_snapshot!$A:$E, 5, FALSE), " ")</f>
        <v xml:space="preserve"> </v>
      </c>
      <c r="AA1558" s="12" t="str">
        <f>IFERROR(VLOOKUP(B1558, PlumX_snapshot!$A:$F, 6, FALSE), " ")</f>
        <v xml:space="preserve"> </v>
      </c>
      <c r="AB1558" s="13"/>
      <c r="AC1558" s="9" t="s">
        <v>7729</v>
      </c>
      <c r="AD1558" s="9" t="s">
        <v>7730</v>
      </c>
      <c r="AH1558" s="9">
        <v>4151.3900000000003</v>
      </c>
      <c r="AI1558" s="9" t="s">
        <v>77</v>
      </c>
      <c r="AJ1558" s="9" t="s">
        <v>57</v>
      </c>
      <c r="AK1558" s="11" t="str">
        <f t="shared" si="12"/>
        <v>2022USD</v>
      </c>
      <c r="AL1558" s="11">
        <f>VLOOKUP(AK1558, Exchange_rates!$C:$D, 2, FALSE)</f>
        <v>0.8115</v>
      </c>
      <c r="AM1558" s="14">
        <f t="shared" si="13"/>
        <v>4042.6235820000002</v>
      </c>
      <c r="AN1558" s="9"/>
      <c r="AO1558" s="9"/>
      <c r="AP1558" s="9"/>
      <c r="AQ1558" s="15" t="s">
        <v>49</v>
      </c>
      <c r="AR1558" t="s">
        <v>7725</v>
      </c>
      <c r="AS1558" s="16" t="s">
        <v>7726</v>
      </c>
    </row>
    <row r="1559" spans="1:45" ht="14.5">
      <c r="A1559" s="9" t="s">
        <v>7731</v>
      </c>
      <c r="B1559" s="9" t="s">
        <v>7732</v>
      </c>
      <c r="C1559" s="9" t="s">
        <v>1743</v>
      </c>
      <c r="D1559" s="9" t="s">
        <v>1560</v>
      </c>
      <c r="E1559" s="9" t="s">
        <v>49</v>
      </c>
      <c r="F1559" s="9" t="s">
        <v>69</v>
      </c>
      <c r="G1559" s="9" t="s">
        <v>70</v>
      </c>
      <c r="H1559" s="9" t="s">
        <v>1744</v>
      </c>
      <c r="I1559" s="9" t="s">
        <v>72</v>
      </c>
      <c r="J1559" s="10"/>
      <c r="K1559" s="10">
        <v>44824</v>
      </c>
      <c r="L1559" s="10"/>
      <c r="M1559" s="10"/>
      <c r="N1559" s="9">
        <v>2022</v>
      </c>
      <c r="O1559" s="9" t="s">
        <v>7722</v>
      </c>
      <c r="P1559" s="9" t="s">
        <v>83</v>
      </c>
      <c r="Q1559" s="9" t="s">
        <v>53</v>
      </c>
      <c r="R1559" s="9" t="s">
        <v>7733</v>
      </c>
      <c r="T1559" s="9"/>
      <c r="V1559" s="9"/>
      <c r="W1559" s="11" t="str">
        <f>IFERROR(VLOOKUP(B1559, PlumX_snapshot!$A:$B, 2, FALSE), " ")</f>
        <v xml:space="preserve"> </v>
      </c>
      <c r="X1559" s="11" t="str">
        <f>IFERROR(VLOOKUP(B1559, PlumX_snapshot!$A:$C, 3, FALSE), " ")</f>
        <v xml:space="preserve"> </v>
      </c>
      <c r="Y1559" s="12" t="str">
        <f>IFERROR(VLOOKUP(B1559, PlumX_snapshot!$A:$D, 4, FALSE), " ")</f>
        <v xml:space="preserve"> </v>
      </c>
      <c r="Z1559" s="12" t="str">
        <f>IFERROR(VLOOKUP(B1559, PlumX_snapshot!$A:$E, 5, FALSE), " ")</f>
        <v xml:space="preserve"> </v>
      </c>
      <c r="AA1559" s="12" t="str">
        <f>IFERROR(VLOOKUP(B1559, PlumX_snapshot!$A:$F, 6, FALSE), " ")</f>
        <v xml:space="preserve"> </v>
      </c>
      <c r="AB1559" s="13"/>
      <c r="AC1559" s="9" t="s">
        <v>7734</v>
      </c>
      <c r="AD1559" s="9" t="s">
        <v>7735</v>
      </c>
      <c r="AH1559" s="9">
        <v>4797.74</v>
      </c>
      <c r="AI1559" s="9" t="s">
        <v>77</v>
      </c>
      <c r="AJ1559" s="9" t="s">
        <v>57</v>
      </c>
      <c r="AK1559" s="11" t="str">
        <f t="shared" si="12"/>
        <v>2022USD</v>
      </c>
      <c r="AL1559" s="11">
        <f>VLOOKUP(AK1559, Exchange_rates!$C:$D, 2, FALSE)</f>
        <v>0.8115</v>
      </c>
      <c r="AM1559" s="14">
        <f t="shared" si="13"/>
        <v>4672.0392119999997</v>
      </c>
      <c r="AN1559" s="9"/>
      <c r="AO1559" s="9"/>
      <c r="AP1559" s="9"/>
      <c r="AQ1559" s="15" t="s">
        <v>49</v>
      </c>
      <c r="AS1559" s="16" t="s">
        <v>1748</v>
      </c>
    </row>
    <row r="1560" spans="1:45" ht="14.5">
      <c r="A1560" s="9" t="s">
        <v>7736</v>
      </c>
      <c r="B1560" s="9" t="s">
        <v>7737</v>
      </c>
      <c r="C1560" s="9" t="s">
        <v>7738</v>
      </c>
      <c r="D1560" s="9" t="s">
        <v>1560</v>
      </c>
      <c r="E1560" s="9" t="s">
        <v>49</v>
      </c>
      <c r="F1560" s="9" t="s">
        <v>69</v>
      </c>
      <c r="G1560" s="9" t="s">
        <v>70</v>
      </c>
      <c r="H1560" s="9" t="s">
        <v>1744</v>
      </c>
      <c r="I1560" s="9" t="s">
        <v>72</v>
      </c>
      <c r="J1560" s="10"/>
      <c r="K1560" s="10">
        <v>44846</v>
      </c>
      <c r="L1560" s="10"/>
      <c r="M1560" s="10"/>
      <c r="N1560" s="9">
        <v>2022</v>
      </c>
      <c r="O1560" s="9" t="s">
        <v>7722</v>
      </c>
      <c r="P1560" s="9" t="s">
        <v>53</v>
      </c>
      <c r="Q1560" s="9" t="s">
        <v>53</v>
      </c>
      <c r="R1560" s="9" t="s">
        <v>307</v>
      </c>
      <c r="T1560" s="9"/>
      <c r="V1560" s="9"/>
      <c r="W1560" s="11" t="str">
        <f>IFERROR(VLOOKUP(B1560, PlumX_snapshot!$A:$B, 2, FALSE), " ")</f>
        <v xml:space="preserve"> </v>
      </c>
      <c r="X1560" s="11" t="str">
        <f>IFERROR(VLOOKUP(B1560, PlumX_snapshot!$A:$C, 3, FALSE), " ")</f>
        <v xml:space="preserve"> </v>
      </c>
      <c r="Y1560" s="12" t="str">
        <f>IFERROR(VLOOKUP(B1560, PlumX_snapshot!$A:$D, 4, FALSE), " ")</f>
        <v xml:space="preserve"> </v>
      </c>
      <c r="Z1560" s="12" t="str">
        <f>IFERROR(VLOOKUP(B1560, PlumX_snapshot!$A:$E, 5, FALSE), " ")</f>
        <v xml:space="preserve"> </v>
      </c>
      <c r="AA1560" s="12" t="str">
        <f>IFERROR(VLOOKUP(B1560, PlumX_snapshot!$A:$F, 6, FALSE), " ")</f>
        <v xml:space="preserve"> </v>
      </c>
      <c r="AB1560" s="13"/>
      <c r="AC1560" s="9" t="s">
        <v>1773</v>
      </c>
      <c r="AD1560" s="9" t="s">
        <v>1774</v>
      </c>
      <c r="AH1560" s="9">
        <v>2212.83</v>
      </c>
      <c r="AI1560" s="9" t="s">
        <v>77</v>
      </c>
      <c r="AJ1560" s="9" t="s">
        <v>301</v>
      </c>
      <c r="AK1560" s="11" t="str">
        <f t="shared" si="12"/>
        <v>2022GBP</v>
      </c>
      <c r="AL1560" s="11">
        <f>VLOOKUP(AK1560, Exchange_rates!$C:$D, 2, FALSE)</f>
        <v>1</v>
      </c>
      <c r="AM1560" s="14">
        <f t="shared" si="13"/>
        <v>2655.3959999999997</v>
      </c>
      <c r="AN1560" s="9"/>
      <c r="AO1560" s="9"/>
      <c r="AP1560" s="9"/>
      <c r="AQ1560" s="15" t="s">
        <v>49</v>
      </c>
      <c r="AS1560" s="16" t="s">
        <v>3452</v>
      </c>
    </row>
    <row r="1561" spans="1:45" ht="14.5">
      <c r="A1561" s="9" t="s">
        <v>7739</v>
      </c>
      <c r="B1561" s="9" t="s">
        <v>7740</v>
      </c>
      <c r="C1561" s="9" t="s">
        <v>1583</v>
      </c>
      <c r="D1561" s="9" t="s">
        <v>1560</v>
      </c>
      <c r="E1561" s="9" t="s">
        <v>49</v>
      </c>
      <c r="F1561" s="9" t="s">
        <v>69</v>
      </c>
      <c r="G1561" s="9" t="s">
        <v>70</v>
      </c>
      <c r="H1561" s="9" t="s">
        <v>1744</v>
      </c>
      <c r="I1561" s="9" t="s">
        <v>72</v>
      </c>
      <c r="J1561" s="10"/>
      <c r="K1561" s="10">
        <v>44848</v>
      </c>
      <c r="L1561" s="10"/>
      <c r="M1561" s="10"/>
      <c r="N1561" s="9">
        <v>2022</v>
      </c>
      <c r="O1561" s="9" t="s">
        <v>7722</v>
      </c>
      <c r="P1561" s="9" t="s">
        <v>83</v>
      </c>
      <c r="Q1561" s="9" t="s">
        <v>53</v>
      </c>
      <c r="R1561" s="9" t="s">
        <v>7741</v>
      </c>
      <c r="T1561" s="9"/>
      <c r="V1561" s="9"/>
      <c r="W1561" s="11" t="str">
        <f>IFERROR(VLOOKUP(B1561, PlumX_snapshot!$A:$B, 2, FALSE), " ")</f>
        <v xml:space="preserve"> </v>
      </c>
      <c r="X1561" s="11" t="str">
        <f>IFERROR(VLOOKUP(B1561, PlumX_snapshot!$A:$C, 3, FALSE), " ")</f>
        <v xml:space="preserve"> </v>
      </c>
      <c r="Y1561" s="12" t="str">
        <f>IFERROR(VLOOKUP(B1561, PlumX_snapshot!$A:$D, 4, FALSE), " ")</f>
        <v xml:space="preserve"> </v>
      </c>
      <c r="Z1561" s="12" t="str">
        <f>IFERROR(VLOOKUP(B1561, PlumX_snapshot!$A:$E, 5, FALSE), " ")</f>
        <v xml:space="preserve"> </v>
      </c>
      <c r="AA1561" s="12" t="str">
        <f>IFERROR(VLOOKUP(B1561, PlumX_snapshot!$A:$F, 6, FALSE), " ")</f>
        <v xml:space="preserve"> </v>
      </c>
      <c r="AB1561" s="13"/>
      <c r="AC1561" s="9" t="s">
        <v>1773</v>
      </c>
      <c r="AD1561" s="9" t="s">
        <v>1774</v>
      </c>
      <c r="AH1561" s="9">
        <v>4941.09</v>
      </c>
      <c r="AI1561" s="9" t="s">
        <v>77</v>
      </c>
      <c r="AJ1561" s="9" t="s">
        <v>57</v>
      </c>
      <c r="AK1561" s="11" t="str">
        <f t="shared" si="12"/>
        <v>2022USD</v>
      </c>
      <c r="AL1561" s="11">
        <f>VLOOKUP(AK1561, Exchange_rates!$C:$D, 2, FALSE)</f>
        <v>0.8115</v>
      </c>
      <c r="AM1561" s="14">
        <f t="shared" si="13"/>
        <v>4811.6334420000003</v>
      </c>
      <c r="AN1561" s="9"/>
      <c r="AO1561" s="9"/>
      <c r="AP1561" s="9"/>
      <c r="AQ1561" s="15" t="s">
        <v>49</v>
      </c>
      <c r="AR1561" t="s">
        <v>1587</v>
      </c>
      <c r="AS1561" s="16" t="s">
        <v>1588</v>
      </c>
    </row>
    <row r="1562" spans="1:45" ht="14.5">
      <c r="A1562" s="9" t="s">
        <v>7742</v>
      </c>
      <c r="B1562" s="9" t="s">
        <v>7743</v>
      </c>
      <c r="C1562" s="9" t="s">
        <v>7744</v>
      </c>
      <c r="D1562" s="9" t="s">
        <v>1560</v>
      </c>
      <c r="E1562" s="9" t="s">
        <v>49</v>
      </c>
      <c r="F1562" s="9" t="s">
        <v>50</v>
      </c>
      <c r="G1562" s="9" t="s">
        <v>51</v>
      </c>
      <c r="H1562" s="9"/>
      <c r="I1562" s="9" t="s">
        <v>1647</v>
      </c>
      <c r="J1562" s="10"/>
      <c r="K1562" s="10">
        <v>44851</v>
      </c>
      <c r="L1562" s="10"/>
      <c r="M1562" s="10"/>
      <c r="N1562" s="9">
        <v>2022</v>
      </c>
      <c r="O1562" s="9" t="s">
        <v>7722</v>
      </c>
      <c r="P1562" s="9" t="s">
        <v>53</v>
      </c>
      <c r="Q1562" s="9" t="s">
        <v>53</v>
      </c>
      <c r="R1562" s="9" t="e">
        <v>#N/A</v>
      </c>
      <c r="T1562" s="9" t="s">
        <v>723</v>
      </c>
      <c r="V1562" s="9"/>
      <c r="W1562" s="11" t="str">
        <f>IFERROR(VLOOKUP(B1562, PlumX_snapshot!$A:$B, 2, FALSE), " ")</f>
        <v xml:space="preserve"> </v>
      </c>
      <c r="X1562" s="11" t="str">
        <f>IFERROR(VLOOKUP(B1562, PlumX_snapshot!$A:$C, 3, FALSE), " ")</f>
        <v xml:space="preserve"> </v>
      </c>
      <c r="Y1562" s="12" t="str">
        <f>IFERROR(VLOOKUP(B1562, PlumX_snapshot!$A:$D, 4, FALSE), " ")</f>
        <v xml:space="preserve"> </v>
      </c>
      <c r="Z1562" s="12" t="str">
        <f>IFERROR(VLOOKUP(B1562, PlumX_snapshot!$A:$E, 5, FALSE), " ")</f>
        <v xml:space="preserve"> </v>
      </c>
      <c r="AA1562" s="12" t="str">
        <f>IFERROR(VLOOKUP(B1562, PlumX_snapshot!$A:$F, 6, FALSE), " ")</f>
        <v xml:space="preserve"> </v>
      </c>
      <c r="AB1562" s="13"/>
      <c r="AC1562" s="9" t="s">
        <v>7745</v>
      </c>
      <c r="AD1562" s="9" t="s">
        <v>7746</v>
      </c>
      <c r="AH1562" s="9">
        <v>2132.1</v>
      </c>
      <c r="AI1562" s="9" t="s">
        <v>77</v>
      </c>
      <c r="AJ1562" s="9" t="s">
        <v>301</v>
      </c>
      <c r="AK1562" s="11" t="str">
        <f t="shared" si="12"/>
        <v>2022GBP</v>
      </c>
      <c r="AL1562" s="11">
        <f>VLOOKUP(AK1562, Exchange_rates!$C:$D, 2, FALSE)</f>
        <v>1</v>
      </c>
      <c r="AM1562" s="14">
        <f t="shared" si="13"/>
        <v>2558.52</v>
      </c>
      <c r="AN1562" s="9"/>
      <c r="AO1562" s="9"/>
      <c r="AP1562" s="9"/>
      <c r="AQ1562" s="15" t="s">
        <v>49</v>
      </c>
      <c r="AS1562" s="16" t="s">
        <v>7747</v>
      </c>
    </row>
    <row r="1563" spans="1:45" ht="14.5">
      <c r="A1563" s="9" t="s">
        <v>7748</v>
      </c>
      <c r="B1563" s="9" t="s">
        <v>7749</v>
      </c>
      <c r="C1563" s="9" t="s">
        <v>1887</v>
      </c>
      <c r="D1563" s="9" t="s">
        <v>1560</v>
      </c>
      <c r="E1563" s="9" t="s">
        <v>49</v>
      </c>
      <c r="F1563" s="9" t="s">
        <v>50</v>
      </c>
      <c r="G1563" s="9" t="s">
        <v>51</v>
      </c>
      <c r="H1563" s="9"/>
      <c r="I1563" s="9" t="s">
        <v>1647</v>
      </c>
      <c r="J1563" s="10"/>
      <c r="K1563" s="10">
        <v>44855</v>
      </c>
      <c r="L1563" s="10"/>
      <c r="M1563" s="10"/>
      <c r="N1563" s="9">
        <v>2022</v>
      </c>
      <c r="O1563" s="9" t="s">
        <v>7722</v>
      </c>
      <c r="P1563" s="9" t="s">
        <v>53</v>
      </c>
      <c r="Q1563" s="9" t="s">
        <v>53</v>
      </c>
      <c r="R1563" s="9" t="e">
        <v>#N/A</v>
      </c>
      <c r="T1563" s="9" t="s">
        <v>723</v>
      </c>
      <c r="V1563" s="9"/>
      <c r="W1563" s="11" t="str">
        <f>IFERROR(VLOOKUP(B1563, PlumX_snapshot!$A:$B, 2, FALSE), " ")</f>
        <v xml:space="preserve"> </v>
      </c>
      <c r="X1563" s="11" t="str">
        <f>IFERROR(VLOOKUP(B1563, PlumX_snapshot!$A:$C, 3, FALSE), " ")</f>
        <v xml:space="preserve"> </v>
      </c>
      <c r="Y1563" s="12" t="str">
        <f>IFERROR(VLOOKUP(B1563, PlumX_snapshot!$A:$D, 4, FALSE), " ")</f>
        <v xml:space="preserve"> </v>
      </c>
      <c r="Z1563" s="12" t="str">
        <f>IFERROR(VLOOKUP(B1563, PlumX_snapshot!$A:$E, 5, FALSE), " ")</f>
        <v xml:space="preserve"> </v>
      </c>
      <c r="AA1563" s="12" t="str">
        <f>IFERROR(VLOOKUP(B1563, PlumX_snapshot!$A:$F, 6, FALSE), " ")</f>
        <v xml:space="preserve"> </v>
      </c>
      <c r="AB1563" s="13"/>
      <c r="AC1563" s="9" t="s">
        <v>7750</v>
      </c>
      <c r="AD1563" s="9" t="s">
        <v>7751</v>
      </c>
      <c r="AH1563" s="9">
        <v>2891.79</v>
      </c>
      <c r="AI1563" s="9" t="s">
        <v>77</v>
      </c>
      <c r="AJ1563" s="9" t="s">
        <v>301</v>
      </c>
      <c r="AK1563" s="11" t="str">
        <f t="shared" si="12"/>
        <v>2022GBP</v>
      </c>
      <c r="AL1563" s="11">
        <f>VLOOKUP(AK1563, Exchange_rates!$C:$D, 2, FALSE)</f>
        <v>1</v>
      </c>
      <c r="AM1563" s="14">
        <f t="shared" si="13"/>
        <v>3470.1479999999997</v>
      </c>
      <c r="AN1563" s="9"/>
      <c r="AO1563" s="9"/>
      <c r="AP1563" s="9"/>
      <c r="AQ1563" s="15" t="s">
        <v>49</v>
      </c>
      <c r="AR1563" t="s">
        <v>1890</v>
      </c>
      <c r="AS1563" s="16" t="s">
        <v>1891</v>
      </c>
    </row>
    <row r="1564" spans="1:45" ht="14.5">
      <c r="A1564" s="9" t="s">
        <v>7752</v>
      </c>
      <c r="B1564" s="9" t="s">
        <v>7753</v>
      </c>
      <c r="C1564" s="9" t="s">
        <v>1840</v>
      </c>
      <c r="D1564" s="9" t="s">
        <v>1560</v>
      </c>
      <c r="E1564" s="9" t="s">
        <v>49</v>
      </c>
      <c r="F1564" s="9" t="s">
        <v>50</v>
      </c>
      <c r="G1564" s="9" t="s">
        <v>51</v>
      </c>
      <c r="H1564" s="9"/>
      <c r="I1564" s="9" t="s">
        <v>1841</v>
      </c>
      <c r="J1564" s="10"/>
      <c r="K1564" s="10">
        <v>44859</v>
      </c>
      <c r="L1564" s="10"/>
      <c r="M1564" s="10"/>
      <c r="N1564" s="9">
        <v>2022</v>
      </c>
      <c r="O1564" s="9" t="s">
        <v>7722</v>
      </c>
      <c r="P1564" s="9" t="s">
        <v>53</v>
      </c>
      <c r="Q1564" s="9" t="s">
        <v>53</v>
      </c>
      <c r="R1564" s="9" t="e">
        <v>#N/A</v>
      </c>
      <c r="T1564" s="9"/>
      <c r="V1564" s="9"/>
      <c r="W1564" s="11" t="str">
        <f>IFERROR(VLOOKUP(B1564, PlumX_snapshot!$A:$B, 2, FALSE), " ")</f>
        <v xml:space="preserve"> </v>
      </c>
      <c r="X1564" s="11" t="str">
        <f>IFERROR(VLOOKUP(B1564, PlumX_snapshot!$A:$C, 3, FALSE), " ")</f>
        <v xml:space="preserve"> </v>
      </c>
      <c r="Y1564" s="12" t="str">
        <f>IFERROR(VLOOKUP(B1564, PlumX_snapshot!$A:$D, 4, FALSE), " ")</f>
        <v xml:space="preserve"> </v>
      </c>
      <c r="Z1564" s="12" t="str">
        <f>IFERROR(VLOOKUP(B1564, PlumX_snapshot!$A:$E, 5, FALSE), " ")</f>
        <v xml:space="preserve"> </v>
      </c>
      <c r="AA1564" s="12" t="str">
        <f>IFERROR(VLOOKUP(B1564, PlumX_snapshot!$A:$F, 6, FALSE), " ")</f>
        <v xml:space="preserve"> </v>
      </c>
      <c r="AB1564" s="13"/>
      <c r="AC1564" s="9" t="s">
        <v>7754</v>
      </c>
      <c r="AD1564" s="9" t="s">
        <v>7212</v>
      </c>
      <c r="AH1564" s="9">
        <v>2551.2800000000002</v>
      </c>
      <c r="AI1564" s="9" t="s">
        <v>77</v>
      </c>
      <c r="AJ1564" s="9" t="s">
        <v>301</v>
      </c>
      <c r="AK1564" s="11" t="str">
        <f t="shared" si="12"/>
        <v>2022GBP</v>
      </c>
      <c r="AL1564" s="11">
        <f>VLOOKUP(AK1564, Exchange_rates!$C:$D, 2, FALSE)</f>
        <v>1</v>
      </c>
      <c r="AM1564" s="14">
        <f t="shared" si="13"/>
        <v>3061.5360000000001</v>
      </c>
      <c r="AN1564" s="9"/>
      <c r="AO1564" s="9"/>
      <c r="AP1564" s="9"/>
      <c r="AQ1564" s="15" t="s">
        <v>49</v>
      </c>
      <c r="AS1564" s="16" t="s">
        <v>1844</v>
      </c>
    </row>
    <row r="1565" spans="1:45" ht="14.5">
      <c r="A1565" s="9" t="s">
        <v>7755</v>
      </c>
      <c r="B1565" s="9" t="s">
        <v>7756</v>
      </c>
      <c r="C1565" s="9" t="s">
        <v>1828</v>
      </c>
      <c r="D1565" s="9" t="s">
        <v>1560</v>
      </c>
      <c r="E1565" s="9" t="s">
        <v>49</v>
      </c>
      <c r="F1565" s="9" t="s">
        <v>50</v>
      </c>
      <c r="G1565" s="9" t="s">
        <v>51</v>
      </c>
      <c r="H1565" s="9"/>
      <c r="I1565" s="9" t="s">
        <v>1647</v>
      </c>
      <c r="J1565" s="10"/>
      <c r="K1565" s="10">
        <v>44874</v>
      </c>
      <c r="L1565" s="10"/>
      <c r="M1565" s="10"/>
      <c r="N1565" s="9">
        <v>2022</v>
      </c>
      <c r="O1565" s="9" t="s">
        <v>7722</v>
      </c>
      <c r="P1565" s="9" t="s">
        <v>53</v>
      </c>
      <c r="Q1565" s="9" t="s">
        <v>53</v>
      </c>
      <c r="R1565" s="9" t="e">
        <v>#N/A</v>
      </c>
      <c r="T1565" s="9" t="s">
        <v>723</v>
      </c>
      <c r="V1565" s="9"/>
      <c r="W1565" s="11" t="str">
        <f>IFERROR(VLOOKUP(B1565, PlumX_snapshot!$A:$B, 2, FALSE), " ")</f>
        <v xml:space="preserve"> </v>
      </c>
      <c r="X1565" s="11" t="str">
        <f>IFERROR(VLOOKUP(B1565, PlumX_snapshot!$A:$C, 3, FALSE), " ")</f>
        <v xml:space="preserve"> </v>
      </c>
      <c r="Y1565" s="12" t="str">
        <f>IFERROR(VLOOKUP(B1565, PlumX_snapshot!$A:$D, 4, FALSE), " ")</f>
        <v xml:space="preserve"> </v>
      </c>
      <c r="Z1565" s="12" t="str">
        <f>IFERROR(VLOOKUP(B1565, PlumX_snapshot!$A:$E, 5, FALSE), " ")</f>
        <v xml:space="preserve"> </v>
      </c>
      <c r="AA1565" s="12" t="str">
        <f>IFERROR(VLOOKUP(B1565, PlumX_snapshot!$A:$F, 6, FALSE), " ")</f>
        <v xml:space="preserve"> </v>
      </c>
      <c r="AB1565" s="13"/>
      <c r="AC1565" s="9" t="s">
        <v>7757</v>
      </c>
      <c r="AD1565" s="9" t="s">
        <v>7758</v>
      </c>
      <c r="AH1565" s="9">
        <v>3428.25</v>
      </c>
      <c r="AI1565" s="9" t="s">
        <v>77</v>
      </c>
      <c r="AJ1565" s="9" t="s">
        <v>301</v>
      </c>
      <c r="AK1565" s="11" t="str">
        <f t="shared" si="12"/>
        <v>2022GBP</v>
      </c>
      <c r="AL1565" s="11">
        <f>VLOOKUP(AK1565, Exchange_rates!$C:$D, 2, FALSE)</f>
        <v>1</v>
      </c>
      <c r="AM1565" s="14">
        <f t="shared" si="13"/>
        <v>4113.8999999999996</v>
      </c>
      <c r="AN1565" s="9"/>
      <c r="AO1565" s="9"/>
      <c r="AP1565" s="9"/>
      <c r="AQ1565" s="15" t="s">
        <v>49</v>
      </c>
      <c r="AS1565" s="16" t="s">
        <v>1831</v>
      </c>
    </row>
    <row r="1566" spans="1:45" ht="14.5">
      <c r="A1566" s="9" t="s">
        <v>7759</v>
      </c>
      <c r="B1566" s="9" t="s">
        <v>7760</v>
      </c>
      <c r="C1566" s="9" t="s">
        <v>7761</v>
      </c>
      <c r="D1566" s="9" t="s">
        <v>1560</v>
      </c>
      <c r="E1566" s="9" t="s">
        <v>49</v>
      </c>
      <c r="F1566" s="9" t="s">
        <v>69</v>
      </c>
      <c r="G1566" s="9" t="s">
        <v>70</v>
      </c>
      <c r="H1566" s="9" t="s">
        <v>1744</v>
      </c>
      <c r="I1566" s="9" t="s">
        <v>72</v>
      </c>
      <c r="J1566" s="10"/>
      <c r="K1566" s="10">
        <v>44881</v>
      </c>
      <c r="L1566" s="10"/>
      <c r="M1566" s="10"/>
      <c r="N1566" s="9">
        <v>2022</v>
      </c>
      <c r="O1566" s="9" t="s">
        <v>7722</v>
      </c>
      <c r="P1566" s="9" t="s">
        <v>53</v>
      </c>
      <c r="Q1566" s="9" t="s">
        <v>53</v>
      </c>
      <c r="R1566" s="9" t="s">
        <v>307</v>
      </c>
      <c r="T1566" s="9"/>
      <c r="V1566" s="9"/>
      <c r="W1566" s="11" t="str">
        <f>IFERROR(VLOOKUP(B1566, PlumX_snapshot!$A:$B, 2, FALSE), " ")</f>
        <v xml:space="preserve"> </v>
      </c>
      <c r="X1566" s="11" t="str">
        <f>IFERROR(VLOOKUP(B1566, PlumX_snapshot!$A:$C, 3, FALSE), " ")</f>
        <v xml:space="preserve"> </v>
      </c>
      <c r="Y1566" s="12" t="str">
        <f>IFERROR(VLOOKUP(B1566, PlumX_snapshot!$A:$D, 4, FALSE), " ")</f>
        <v xml:space="preserve"> </v>
      </c>
      <c r="Z1566" s="12" t="str">
        <f>IFERROR(VLOOKUP(B1566, PlumX_snapshot!$A:$E, 5, FALSE), " ")</f>
        <v xml:space="preserve"> </v>
      </c>
      <c r="AA1566" s="12" t="str">
        <f>IFERROR(VLOOKUP(B1566, PlumX_snapshot!$A:$F, 6, FALSE), " ")</f>
        <v xml:space="preserve"> </v>
      </c>
      <c r="AB1566" s="13"/>
      <c r="AC1566" s="9" t="s">
        <v>7762</v>
      </c>
      <c r="AD1566" s="9" t="s">
        <v>7763</v>
      </c>
      <c r="AH1566" s="9">
        <v>3029</v>
      </c>
      <c r="AI1566" s="9" t="s">
        <v>77</v>
      </c>
      <c r="AJ1566" s="9" t="s">
        <v>57</v>
      </c>
      <c r="AK1566" s="11" t="str">
        <f t="shared" si="12"/>
        <v>2022USD</v>
      </c>
      <c r="AL1566" s="11">
        <f>VLOOKUP(AK1566, Exchange_rates!$C:$D, 2, FALSE)</f>
        <v>0.8115</v>
      </c>
      <c r="AM1566" s="14">
        <f t="shared" si="13"/>
        <v>2949.6401999999998</v>
      </c>
      <c r="AN1566" s="9"/>
      <c r="AO1566" s="9"/>
      <c r="AP1566" s="9"/>
      <c r="AQ1566" s="15" t="s">
        <v>49</v>
      </c>
      <c r="AS1566" s="16" t="s">
        <v>7764</v>
      </c>
    </row>
    <row r="1567" spans="1:45" ht="14.5">
      <c r="A1567" s="9" t="s">
        <v>7765</v>
      </c>
      <c r="B1567" s="9" t="s">
        <v>7766</v>
      </c>
      <c r="C1567" s="9" t="s">
        <v>7767</v>
      </c>
      <c r="D1567" s="9" t="s">
        <v>1560</v>
      </c>
      <c r="E1567" s="9" t="s">
        <v>49</v>
      </c>
      <c r="F1567" s="9" t="s">
        <v>50</v>
      </c>
      <c r="G1567" s="9" t="s">
        <v>51</v>
      </c>
      <c r="H1567" s="9"/>
      <c r="I1567" s="9" t="s">
        <v>1647</v>
      </c>
      <c r="J1567" s="10"/>
      <c r="K1567" s="10">
        <v>44893</v>
      </c>
      <c r="L1567" s="10"/>
      <c r="M1567" s="10"/>
      <c r="N1567" s="9">
        <v>2022</v>
      </c>
      <c r="O1567" s="9" t="s">
        <v>7722</v>
      </c>
      <c r="P1567" s="9" t="s">
        <v>53</v>
      </c>
      <c r="Q1567" s="9" t="s">
        <v>53</v>
      </c>
      <c r="R1567" s="9" t="e">
        <v>#N/A</v>
      </c>
      <c r="T1567" s="9" t="s">
        <v>723</v>
      </c>
      <c r="V1567" s="9"/>
      <c r="W1567" s="11" t="str">
        <f>IFERROR(VLOOKUP(B1567, PlumX_snapshot!$A:$B, 2, FALSE), " ")</f>
        <v xml:space="preserve"> </v>
      </c>
      <c r="X1567" s="11" t="str">
        <f>IFERROR(VLOOKUP(B1567, PlumX_snapshot!$A:$C, 3, FALSE), " ")</f>
        <v xml:space="preserve"> </v>
      </c>
      <c r="Y1567" s="12" t="str">
        <f>IFERROR(VLOOKUP(B1567, PlumX_snapshot!$A:$D, 4, FALSE), " ")</f>
        <v xml:space="preserve"> </v>
      </c>
      <c r="Z1567" s="12" t="str">
        <f>IFERROR(VLOOKUP(B1567, PlumX_snapshot!$A:$E, 5, FALSE), " ")</f>
        <v xml:space="preserve"> </v>
      </c>
      <c r="AA1567" s="12" t="str">
        <f>IFERROR(VLOOKUP(B1567, PlumX_snapshot!$A:$F, 6, FALSE), " ")</f>
        <v xml:space="preserve"> </v>
      </c>
      <c r="AB1567" s="13"/>
      <c r="AC1567" s="9" t="s">
        <v>7768</v>
      </c>
      <c r="AD1567" s="9" t="s">
        <v>7769</v>
      </c>
      <c r="AH1567" s="9">
        <v>2244.92</v>
      </c>
      <c r="AI1567" s="9" t="s">
        <v>77</v>
      </c>
      <c r="AJ1567" s="9" t="s">
        <v>57</v>
      </c>
      <c r="AK1567" s="11" t="str">
        <f t="shared" si="12"/>
        <v>2022USD</v>
      </c>
      <c r="AL1567" s="11">
        <f>VLOOKUP(AK1567, Exchange_rates!$C:$D, 2, FALSE)</f>
        <v>0.8115</v>
      </c>
      <c r="AM1567" s="14">
        <f t="shared" si="13"/>
        <v>2186.1030959999998</v>
      </c>
      <c r="AN1567" s="9"/>
      <c r="AO1567" s="9"/>
      <c r="AP1567" s="9"/>
      <c r="AQ1567" s="15" t="s">
        <v>49</v>
      </c>
      <c r="AS1567" s="16" t="s">
        <v>7770</v>
      </c>
    </row>
    <row r="1568" spans="1:45" ht="14.5">
      <c r="A1568" s="9" t="s">
        <v>7771</v>
      </c>
      <c r="B1568" s="9" t="s">
        <v>7772</v>
      </c>
      <c r="C1568" s="9" t="s">
        <v>1591</v>
      </c>
      <c r="D1568" s="9" t="s">
        <v>1560</v>
      </c>
      <c r="E1568" s="9" t="s">
        <v>49</v>
      </c>
      <c r="F1568" s="9" t="s">
        <v>69</v>
      </c>
      <c r="G1568" s="9" t="s">
        <v>70</v>
      </c>
      <c r="H1568" s="9" t="s">
        <v>1744</v>
      </c>
      <c r="I1568" s="9" t="s">
        <v>72</v>
      </c>
      <c r="J1568" s="10"/>
      <c r="K1568" s="10">
        <v>44902</v>
      </c>
      <c r="L1568" s="10"/>
      <c r="M1568" s="10"/>
      <c r="N1568" s="9">
        <v>2022</v>
      </c>
      <c r="O1568" s="9" t="s">
        <v>7722</v>
      </c>
      <c r="P1568" s="9" t="s">
        <v>53</v>
      </c>
      <c r="Q1568" s="9" t="s">
        <v>53</v>
      </c>
      <c r="R1568" s="9" t="e">
        <v>#N/A</v>
      </c>
      <c r="T1568" s="9"/>
      <c r="V1568" s="9"/>
      <c r="W1568" s="11" t="str">
        <f>IFERROR(VLOOKUP(B1568, PlumX_snapshot!$A:$B, 2, FALSE), " ")</f>
        <v xml:space="preserve"> </v>
      </c>
      <c r="X1568" s="11" t="str">
        <f>IFERROR(VLOOKUP(B1568, PlumX_snapshot!$A:$C, 3, FALSE), " ")</f>
        <v xml:space="preserve"> </v>
      </c>
      <c r="Y1568" s="12" t="str">
        <f>IFERROR(VLOOKUP(B1568, PlumX_snapshot!$A:$D, 4, FALSE), " ")</f>
        <v xml:space="preserve"> </v>
      </c>
      <c r="Z1568" s="12" t="str">
        <f>IFERROR(VLOOKUP(B1568, PlumX_snapshot!$A:$E, 5, FALSE), " ")</f>
        <v xml:space="preserve"> </v>
      </c>
      <c r="AA1568" s="12" t="str">
        <f>IFERROR(VLOOKUP(B1568, PlumX_snapshot!$A:$F, 6, FALSE), " ")</f>
        <v xml:space="preserve"> </v>
      </c>
      <c r="AB1568" s="13"/>
      <c r="AC1568" s="9" t="s">
        <v>7773</v>
      </c>
      <c r="AD1568" s="9" t="s">
        <v>7774</v>
      </c>
      <c r="AH1568" s="9">
        <v>2582.33</v>
      </c>
      <c r="AI1568" s="9" t="s">
        <v>77</v>
      </c>
      <c r="AJ1568" s="9" t="s">
        <v>301</v>
      </c>
      <c r="AK1568" s="11" t="str">
        <f t="shared" si="12"/>
        <v>2022GBP</v>
      </c>
      <c r="AL1568" s="11">
        <f>VLOOKUP(AK1568, Exchange_rates!$C:$D, 2, FALSE)</f>
        <v>1</v>
      </c>
      <c r="AM1568" s="14">
        <f t="shared" si="13"/>
        <v>3098.7959999999998</v>
      </c>
      <c r="AN1568" s="9"/>
      <c r="AO1568" s="9"/>
      <c r="AP1568" s="9"/>
      <c r="AQ1568" s="15" t="s">
        <v>49</v>
      </c>
      <c r="AS1568" s="16" t="s">
        <v>1594</v>
      </c>
    </row>
    <row r="1569" spans="1:60" ht="14.5">
      <c r="A1569" s="9" t="s">
        <v>7775</v>
      </c>
      <c r="B1569" s="9" t="s">
        <v>7776</v>
      </c>
      <c r="C1569" s="9" t="s">
        <v>7777</v>
      </c>
      <c r="D1569" s="9" t="s">
        <v>1560</v>
      </c>
      <c r="E1569" s="9" t="s">
        <v>49</v>
      </c>
      <c r="F1569" s="9" t="s">
        <v>69</v>
      </c>
      <c r="G1569" s="9" t="s">
        <v>70</v>
      </c>
      <c r="H1569" s="9" t="s">
        <v>1744</v>
      </c>
      <c r="I1569" s="9" t="s">
        <v>238</v>
      </c>
      <c r="J1569" s="10"/>
      <c r="K1569" s="10">
        <v>44903</v>
      </c>
      <c r="L1569" s="10"/>
      <c r="M1569" s="10"/>
      <c r="N1569" s="9">
        <v>2022</v>
      </c>
      <c r="O1569" s="9" t="s">
        <v>7722</v>
      </c>
      <c r="P1569" s="9" t="s">
        <v>53</v>
      </c>
      <c r="Q1569" s="9" t="s">
        <v>53</v>
      </c>
      <c r="R1569" s="9" t="e">
        <v>#N/A</v>
      </c>
      <c r="T1569" s="9"/>
      <c r="V1569" s="9"/>
      <c r="W1569" s="11" t="str">
        <f>IFERROR(VLOOKUP(B1569, PlumX_snapshot!$A:$B, 2, FALSE), " ")</f>
        <v xml:space="preserve"> </v>
      </c>
      <c r="X1569" s="11" t="str">
        <f>IFERROR(VLOOKUP(B1569, PlumX_snapshot!$A:$C, 3, FALSE), " ")</f>
        <v xml:space="preserve"> </v>
      </c>
      <c r="Y1569" s="12" t="str">
        <f>IFERROR(VLOOKUP(B1569, PlumX_snapshot!$A:$D, 4, FALSE), " ")</f>
        <v xml:space="preserve"> </v>
      </c>
      <c r="Z1569" s="12" t="str">
        <f>IFERROR(VLOOKUP(B1569, PlumX_snapshot!$A:$E, 5, FALSE), " ")</f>
        <v xml:space="preserve"> </v>
      </c>
      <c r="AA1569" s="12" t="str">
        <f>IFERROR(VLOOKUP(B1569, PlumX_snapshot!$A:$F, 6, FALSE), " ")</f>
        <v xml:space="preserve"> </v>
      </c>
      <c r="AB1569" s="13"/>
      <c r="AC1569" s="9" t="s">
        <v>7778</v>
      </c>
      <c r="AD1569" s="9" t="s">
        <v>591</v>
      </c>
      <c r="AH1569" s="9">
        <v>3695.99</v>
      </c>
      <c r="AI1569" s="9" t="s">
        <v>77</v>
      </c>
      <c r="AJ1569" s="9" t="s">
        <v>57</v>
      </c>
      <c r="AK1569" s="11" t="str">
        <f t="shared" si="12"/>
        <v>2022USD</v>
      </c>
      <c r="AL1569" s="11">
        <f>VLOOKUP(AK1569, Exchange_rates!$C:$D, 2, FALSE)</f>
        <v>0.8115</v>
      </c>
      <c r="AM1569" s="14">
        <f t="shared" si="13"/>
        <v>3599.1550619999998</v>
      </c>
      <c r="AN1569" s="9"/>
      <c r="AO1569" s="9"/>
      <c r="AP1569" s="9"/>
      <c r="AQ1569" s="15" t="s">
        <v>49</v>
      </c>
      <c r="AR1569" t="s">
        <v>7779</v>
      </c>
      <c r="AS1569" s="16" t="s">
        <v>7780</v>
      </c>
    </row>
    <row r="1570" spans="1:60" ht="14.5">
      <c r="A1570" s="9" t="s">
        <v>7781</v>
      </c>
      <c r="B1570" s="9" t="s">
        <v>7782</v>
      </c>
      <c r="C1570" s="9" t="s">
        <v>7783</v>
      </c>
      <c r="D1570" s="9" t="s">
        <v>1560</v>
      </c>
      <c r="E1570" s="9" t="s">
        <v>49</v>
      </c>
      <c r="F1570" s="9" t="s">
        <v>69</v>
      </c>
      <c r="G1570" s="9" t="s">
        <v>70</v>
      </c>
      <c r="H1570" s="9" t="s">
        <v>1744</v>
      </c>
      <c r="I1570" s="9" t="s">
        <v>72</v>
      </c>
      <c r="J1570" s="10"/>
      <c r="K1570" s="10">
        <v>44911</v>
      </c>
      <c r="L1570" s="10"/>
      <c r="M1570" s="10"/>
      <c r="N1570" s="9">
        <v>2022</v>
      </c>
      <c r="O1570" s="9" t="s">
        <v>7722</v>
      </c>
      <c r="P1570" s="9" t="s">
        <v>53</v>
      </c>
      <c r="Q1570" s="9" t="s">
        <v>53</v>
      </c>
      <c r="R1570" s="9" t="e">
        <v>#N/A</v>
      </c>
      <c r="T1570" s="9"/>
      <c r="V1570" s="9"/>
      <c r="W1570" s="11" t="str">
        <f>IFERROR(VLOOKUP(B1570, PlumX_snapshot!$A:$B, 2, FALSE), " ")</f>
        <v xml:space="preserve"> </v>
      </c>
      <c r="X1570" s="11" t="str">
        <f>IFERROR(VLOOKUP(B1570, PlumX_snapshot!$A:$C, 3, FALSE), " ")</f>
        <v xml:space="preserve"> </v>
      </c>
      <c r="Y1570" s="12" t="str">
        <f>IFERROR(VLOOKUP(B1570, PlumX_snapshot!$A:$D, 4, FALSE), " ")</f>
        <v xml:space="preserve"> </v>
      </c>
      <c r="Z1570" s="12" t="str">
        <f>IFERROR(VLOOKUP(B1570, PlumX_snapshot!$A:$E, 5, FALSE), " ")</f>
        <v xml:space="preserve"> </v>
      </c>
      <c r="AA1570" s="12" t="str">
        <f>IFERROR(VLOOKUP(B1570, PlumX_snapshot!$A:$F, 6, FALSE), " ")</f>
        <v xml:space="preserve"> </v>
      </c>
      <c r="AB1570" s="13"/>
      <c r="AC1570" s="9" t="s">
        <v>7784</v>
      </c>
      <c r="AD1570" s="9" t="s">
        <v>7785</v>
      </c>
      <c r="AH1570" s="9">
        <v>2326</v>
      </c>
      <c r="AI1570" s="9" t="s">
        <v>77</v>
      </c>
      <c r="AJ1570" s="9" t="s">
        <v>301</v>
      </c>
      <c r="AK1570" s="11" t="str">
        <f t="shared" si="12"/>
        <v>2022GBP</v>
      </c>
      <c r="AL1570" s="11">
        <f>VLOOKUP(AK1570, Exchange_rates!$C:$D, 2, FALSE)</f>
        <v>1</v>
      </c>
      <c r="AM1570" s="14">
        <f t="shared" si="13"/>
        <v>2791.2</v>
      </c>
      <c r="AN1570" s="9"/>
      <c r="AO1570" s="9"/>
      <c r="AP1570" s="9"/>
      <c r="AQ1570" s="15" t="s">
        <v>49</v>
      </c>
      <c r="AS1570" s="16" t="s">
        <v>7786</v>
      </c>
    </row>
    <row r="1571" spans="1:60" ht="14.5">
      <c r="A1571" s="20" t="s">
        <v>7787</v>
      </c>
      <c r="B1571" s="20" t="s">
        <v>7788</v>
      </c>
      <c r="C1571" s="20" t="s">
        <v>7789</v>
      </c>
      <c r="D1571" s="20" t="s">
        <v>1560</v>
      </c>
      <c r="E1571" s="20" t="s">
        <v>49</v>
      </c>
      <c r="F1571" s="20" t="s">
        <v>50</v>
      </c>
      <c r="G1571" s="20" t="s">
        <v>51</v>
      </c>
      <c r="H1571" s="20"/>
      <c r="I1571" s="20" t="s">
        <v>1647</v>
      </c>
      <c r="J1571" s="22"/>
      <c r="K1571" s="22">
        <v>44916</v>
      </c>
      <c r="L1571" s="22"/>
      <c r="M1571" s="22"/>
      <c r="N1571" s="20">
        <v>2022</v>
      </c>
      <c r="O1571" s="20" t="s">
        <v>7722</v>
      </c>
      <c r="P1571" s="20" t="s">
        <v>53</v>
      </c>
      <c r="Q1571" s="20" t="s">
        <v>53</v>
      </c>
      <c r="R1571" s="20" t="e">
        <v>#N/A</v>
      </c>
      <c r="S1571" s="20"/>
      <c r="T1571" s="9" t="s">
        <v>723</v>
      </c>
      <c r="U1571" s="9" t="s">
        <v>7790</v>
      </c>
      <c r="V1571" s="20"/>
      <c r="W1571" s="23" t="str">
        <f>IFERROR(VLOOKUP(B1571, PlumX_snapshot!$A:$B, 2, FALSE), " ")</f>
        <v xml:space="preserve"> </v>
      </c>
      <c r="X1571" s="23" t="str">
        <f>IFERROR(VLOOKUP(B1571, PlumX_snapshot!$A:$C, 3, FALSE), " ")</f>
        <v xml:space="preserve"> </v>
      </c>
      <c r="Y1571" s="24" t="str">
        <f>IFERROR(VLOOKUP(B1571, PlumX_snapshot!$A:$D, 4, FALSE), " ")</f>
        <v xml:space="preserve"> </v>
      </c>
      <c r="Z1571" s="24" t="str">
        <f>IFERROR(VLOOKUP(B1571, PlumX_snapshot!$A:$E, 5, FALSE), " ")</f>
        <v xml:space="preserve"> </v>
      </c>
      <c r="AA1571" s="24" t="str">
        <f>IFERROR(VLOOKUP(B1571, PlumX_snapshot!$A:$F, 6, FALSE), " ")</f>
        <v xml:space="preserve"> </v>
      </c>
      <c r="AB1571" s="25"/>
      <c r="AC1571" s="20" t="s">
        <v>7791</v>
      </c>
      <c r="AD1571" s="20" t="s">
        <v>7792</v>
      </c>
      <c r="AE1571" s="20"/>
      <c r="AF1571" s="20"/>
      <c r="AG1571" s="20"/>
      <c r="AH1571" s="20">
        <v>3658</v>
      </c>
      <c r="AI1571" s="9" t="s">
        <v>77</v>
      </c>
      <c r="AJ1571" s="20" t="s">
        <v>301</v>
      </c>
      <c r="AK1571" s="23" t="str">
        <f t="shared" si="12"/>
        <v>2022GBP</v>
      </c>
      <c r="AL1571" s="23">
        <f>VLOOKUP(AK1571, Exchange_rates!$C:$D, 2, FALSE)</f>
        <v>1</v>
      </c>
      <c r="AM1571" s="14">
        <f t="shared" si="13"/>
        <v>4389.5999999999995</v>
      </c>
      <c r="AN1571" s="20"/>
      <c r="AO1571" s="20"/>
      <c r="AP1571" s="20"/>
      <c r="AQ1571" s="27" t="s">
        <v>49</v>
      </c>
      <c r="AS1571" s="16" t="s">
        <v>7793</v>
      </c>
      <c r="AT1571" s="20"/>
      <c r="AU1571" s="20"/>
      <c r="AV1571" s="20"/>
      <c r="AW1571" s="20"/>
      <c r="AX1571" s="20"/>
      <c r="AY1571" s="20"/>
      <c r="AZ1571" s="20"/>
      <c r="BA1571" s="20"/>
      <c r="BB1571" s="20"/>
      <c r="BC1571" s="20"/>
      <c r="BD1571" s="20"/>
      <c r="BE1571" s="20"/>
      <c r="BF1571" s="20"/>
      <c r="BG1571" s="20"/>
      <c r="BH1571" s="20"/>
    </row>
    <row r="1572" spans="1:60" ht="14.5">
      <c r="A1572" s="9" t="s">
        <v>7794</v>
      </c>
      <c r="B1572" s="9" t="s">
        <v>7795</v>
      </c>
      <c r="C1572" s="9" t="s">
        <v>7796</v>
      </c>
      <c r="D1572" s="9" t="s">
        <v>361</v>
      </c>
      <c r="E1572" s="9" t="s">
        <v>49</v>
      </c>
      <c r="F1572" s="9" t="s">
        <v>50</v>
      </c>
      <c r="G1572" s="9" t="s">
        <v>51</v>
      </c>
      <c r="H1572" s="9"/>
      <c r="J1572" s="10"/>
      <c r="K1572" s="10"/>
      <c r="L1572" s="10"/>
      <c r="M1572" s="10">
        <v>44957</v>
      </c>
      <c r="N1572" s="9">
        <v>2023</v>
      </c>
      <c r="O1572" s="9" t="s">
        <v>7797</v>
      </c>
      <c r="P1572" s="9" t="s">
        <v>53</v>
      </c>
      <c r="Q1572" s="9" t="s">
        <v>53</v>
      </c>
      <c r="R1572" s="9" t="s">
        <v>92</v>
      </c>
      <c r="S1572" s="9" t="s">
        <v>7798</v>
      </c>
      <c r="T1572" s="9" t="s">
        <v>661</v>
      </c>
      <c r="V1572" s="9"/>
      <c r="W1572" s="11"/>
      <c r="X1572" s="11"/>
      <c r="Y1572" s="12"/>
      <c r="Z1572" s="12"/>
      <c r="AA1572" s="12"/>
      <c r="AI1572" s="9"/>
      <c r="AJ1572" s="9"/>
      <c r="AK1572" s="11" t="str">
        <f t="shared" si="12"/>
        <v>2023</v>
      </c>
      <c r="AL1572" s="11" t="e">
        <f>VLOOKUP(AK1572, Exchange_rates!$C:$D, 2, FALSE)</f>
        <v>#N/A</v>
      </c>
      <c r="AM1572" s="14" t="str">
        <f t="shared" si="13"/>
        <v/>
      </c>
      <c r="AN1572" s="9"/>
      <c r="AO1572" s="9"/>
      <c r="AP1572" s="9"/>
      <c r="AQ1572" s="15" t="s">
        <v>49</v>
      </c>
      <c r="AR1572" t="s">
        <v>7799</v>
      </c>
      <c r="AS1572" s="16" t="s">
        <v>7800</v>
      </c>
    </row>
    <row r="1573" spans="1:60" ht="14.5">
      <c r="A1573" s="9" t="s">
        <v>7801</v>
      </c>
      <c r="B1573" s="9" t="s">
        <v>7802</v>
      </c>
      <c r="C1573" s="9" t="s">
        <v>1993</v>
      </c>
      <c r="D1573" s="9" t="s">
        <v>1994</v>
      </c>
      <c r="E1573" s="9" t="s">
        <v>125</v>
      </c>
      <c r="F1573" s="9" t="s">
        <v>69</v>
      </c>
      <c r="G1573" s="9" t="s">
        <v>70</v>
      </c>
      <c r="H1573" s="9" t="s">
        <v>2110</v>
      </c>
      <c r="I1573" s="9" t="s">
        <v>72</v>
      </c>
      <c r="J1573" s="10">
        <v>44512</v>
      </c>
      <c r="K1573" s="28">
        <v>44889</v>
      </c>
      <c r="L1573" s="10"/>
      <c r="M1573" s="10"/>
      <c r="N1573" s="9">
        <v>2022</v>
      </c>
      <c r="O1573" s="9" t="s">
        <v>7803</v>
      </c>
      <c r="P1573" s="9" t="s">
        <v>53</v>
      </c>
      <c r="Q1573" s="9" t="s">
        <v>53</v>
      </c>
      <c r="R1573" s="9" t="s">
        <v>7804</v>
      </c>
      <c r="T1573" s="9"/>
      <c r="V1573" s="9"/>
      <c r="W1573" s="11"/>
      <c r="X1573" s="11"/>
      <c r="Y1573" s="12"/>
      <c r="Z1573" s="12"/>
      <c r="AA1573" s="12"/>
      <c r="AC1573" s="9" t="s">
        <v>7805</v>
      </c>
      <c r="AD1573" s="9" t="s">
        <v>7806</v>
      </c>
      <c r="AH1573" s="9">
        <v>1749</v>
      </c>
      <c r="AI1573" s="9" t="s">
        <v>77</v>
      </c>
      <c r="AJ1573" s="9" t="s">
        <v>57</v>
      </c>
      <c r="AK1573" s="11" t="str">
        <f t="shared" si="12"/>
        <v>2022USD</v>
      </c>
      <c r="AL1573" s="11">
        <f>VLOOKUP(AK1573, Exchange_rates!$C:$D, 2, FALSE)</f>
        <v>0.8115</v>
      </c>
      <c r="AM1573" s="14">
        <f t="shared" si="13"/>
        <v>1703.1761999999999</v>
      </c>
      <c r="AN1573" s="9"/>
      <c r="AO1573" s="9"/>
      <c r="AP1573" s="9"/>
      <c r="AQ1573" s="15" t="s">
        <v>125</v>
      </c>
      <c r="AR1573" t="s">
        <v>2000</v>
      </c>
      <c r="AS1573" s="16"/>
    </row>
    <row r="1574" spans="1:60" ht="14.5">
      <c r="A1574" s="9" t="s">
        <v>7807</v>
      </c>
      <c r="B1574" s="9" t="s">
        <v>7808</v>
      </c>
      <c r="C1574" s="9" t="s">
        <v>1993</v>
      </c>
      <c r="D1574" s="9" t="s">
        <v>1994</v>
      </c>
      <c r="E1574" s="9" t="s">
        <v>125</v>
      </c>
      <c r="F1574" s="9" t="s">
        <v>69</v>
      </c>
      <c r="G1574" s="9" t="s">
        <v>70</v>
      </c>
      <c r="H1574" s="9" t="s">
        <v>2110</v>
      </c>
      <c r="I1574" s="9" t="s">
        <v>72</v>
      </c>
      <c r="J1574" s="10">
        <v>44455</v>
      </c>
      <c r="K1574" s="28">
        <v>44889</v>
      </c>
      <c r="L1574" s="10"/>
      <c r="M1574" s="10"/>
      <c r="N1574" s="9">
        <v>2022</v>
      </c>
      <c r="O1574" s="9" t="s">
        <v>7803</v>
      </c>
      <c r="P1574" s="9" t="s">
        <v>53</v>
      </c>
      <c r="Q1574" s="9" t="s">
        <v>53</v>
      </c>
      <c r="R1574" s="9" t="s">
        <v>7809</v>
      </c>
      <c r="T1574" s="9"/>
      <c r="V1574" s="9"/>
      <c r="W1574" s="11"/>
      <c r="X1574" s="11"/>
      <c r="Y1574" s="12"/>
      <c r="Z1574" s="12"/>
      <c r="AA1574" s="12"/>
      <c r="AC1574" s="9" t="s">
        <v>7810</v>
      </c>
      <c r="AD1574" s="9" t="s">
        <v>7811</v>
      </c>
      <c r="AH1574" s="9">
        <v>1749</v>
      </c>
      <c r="AI1574" s="9" t="s">
        <v>77</v>
      </c>
      <c r="AJ1574" s="9" t="s">
        <v>57</v>
      </c>
      <c r="AK1574" s="11" t="str">
        <f t="shared" si="12"/>
        <v>2022USD</v>
      </c>
      <c r="AL1574" s="11">
        <f>VLOOKUP(AK1574, Exchange_rates!$C:$D, 2, FALSE)</f>
        <v>0.8115</v>
      </c>
      <c r="AM1574" s="14">
        <f t="shared" si="13"/>
        <v>1703.1761999999999</v>
      </c>
      <c r="AN1574" s="9"/>
      <c r="AO1574" s="9"/>
      <c r="AP1574" s="9"/>
      <c r="AQ1574" s="15" t="s">
        <v>125</v>
      </c>
      <c r="AR1574" t="s">
        <v>2000</v>
      </c>
      <c r="AS1574" s="16"/>
    </row>
    <row r="1575" spans="1:60" ht="14.5">
      <c r="A1575" s="9" t="s">
        <v>7812</v>
      </c>
      <c r="B1575" s="9" t="s">
        <v>7813</v>
      </c>
      <c r="C1575" s="9" t="s">
        <v>1993</v>
      </c>
      <c r="D1575" s="9" t="s">
        <v>1994</v>
      </c>
      <c r="E1575" s="9" t="s">
        <v>125</v>
      </c>
      <c r="F1575" s="9" t="s">
        <v>69</v>
      </c>
      <c r="G1575" s="9" t="s">
        <v>70</v>
      </c>
      <c r="H1575" s="9" t="s">
        <v>2110</v>
      </c>
      <c r="I1575" s="9" t="s">
        <v>72</v>
      </c>
      <c r="J1575" s="10">
        <v>44616</v>
      </c>
      <c r="K1575" s="10">
        <v>44870</v>
      </c>
      <c r="L1575" s="10"/>
      <c r="M1575" s="10"/>
      <c r="N1575" s="9">
        <v>2022</v>
      </c>
      <c r="O1575" s="9" t="s">
        <v>7803</v>
      </c>
      <c r="P1575" s="9" t="s">
        <v>53</v>
      </c>
      <c r="Q1575" s="9" t="s">
        <v>53</v>
      </c>
      <c r="R1575" s="9" t="s">
        <v>2101</v>
      </c>
      <c r="T1575" s="9"/>
      <c r="V1575" s="9"/>
      <c r="W1575" s="11"/>
      <c r="X1575" s="11"/>
      <c r="Y1575" s="12"/>
      <c r="Z1575" s="12"/>
      <c r="AA1575" s="12"/>
      <c r="AC1575" s="9" t="s">
        <v>6842</v>
      </c>
      <c r="AD1575" s="9" t="s">
        <v>6843</v>
      </c>
      <c r="AH1575" s="9">
        <v>1749</v>
      </c>
      <c r="AI1575" s="9" t="s">
        <v>77</v>
      </c>
      <c r="AJ1575" s="9" t="s">
        <v>57</v>
      </c>
      <c r="AK1575" s="11" t="str">
        <f t="shared" si="12"/>
        <v>2022USD</v>
      </c>
      <c r="AL1575" s="11">
        <f>VLOOKUP(AK1575, Exchange_rates!$C:$D, 2, FALSE)</f>
        <v>0.8115</v>
      </c>
      <c r="AM1575" s="14">
        <f t="shared" si="13"/>
        <v>1703.1761999999999</v>
      </c>
      <c r="AN1575" s="9"/>
      <c r="AO1575" s="9"/>
      <c r="AP1575" s="9"/>
      <c r="AQ1575" s="15" t="s">
        <v>125</v>
      </c>
      <c r="AR1575" t="s">
        <v>2000</v>
      </c>
      <c r="AS1575" s="16"/>
    </row>
    <row r="1576" spans="1:60" ht="14.5">
      <c r="A1576" s="9" t="s">
        <v>7814</v>
      </c>
      <c r="B1576" s="9" t="s">
        <v>7815</v>
      </c>
      <c r="C1576" s="9" t="s">
        <v>1993</v>
      </c>
      <c r="D1576" s="9" t="s">
        <v>1994</v>
      </c>
      <c r="E1576" s="9" t="s">
        <v>125</v>
      </c>
      <c r="F1576" s="9" t="s">
        <v>69</v>
      </c>
      <c r="G1576" s="9" t="s">
        <v>70</v>
      </c>
      <c r="H1576" s="9" t="s">
        <v>2110</v>
      </c>
      <c r="I1576" s="9" t="s">
        <v>72</v>
      </c>
      <c r="J1576" s="10">
        <v>44628</v>
      </c>
      <c r="K1576" s="28">
        <v>44886</v>
      </c>
      <c r="L1576" s="10"/>
      <c r="M1576" s="10"/>
      <c r="N1576" s="9">
        <v>2022</v>
      </c>
      <c r="O1576" s="9" t="s">
        <v>7803</v>
      </c>
      <c r="P1576" s="9" t="s">
        <v>53</v>
      </c>
      <c r="Q1576" s="9" t="s">
        <v>53</v>
      </c>
      <c r="R1576" s="9" t="s">
        <v>7816</v>
      </c>
      <c r="T1576" s="9"/>
      <c r="V1576" s="9"/>
      <c r="W1576" s="11"/>
      <c r="X1576" s="11"/>
      <c r="Y1576" s="12"/>
      <c r="Z1576" s="12"/>
      <c r="AA1576" s="12"/>
      <c r="AC1576" s="9" t="s">
        <v>7817</v>
      </c>
      <c r="AD1576" s="9" t="s">
        <v>7818</v>
      </c>
      <c r="AH1576" s="9">
        <v>1805</v>
      </c>
      <c r="AI1576" s="9" t="s">
        <v>77</v>
      </c>
      <c r="AJ1576" s="9" t="s">
        <v>57</v>
      </c>
      <c r="AK1576" s="11" t="str">
        <f t="shared" si="12"/>
        <v>2022USD</v>
      </c>
      <c r="AL1576" s="11">
        <f>VLOOKUP(AK1576, Exchange_rates!$C:$D, 2, FALSE)</f>
        <v>0.8115</v>
      </c>
      <c r="AM1576" s="14">
        <f t="shared" si="13"/>
        <v>1757.7089999999998</v>
      </c>
      <c r="AN1576" s="9"/>
      <c r="AO1576" s="9"/>
      <c r="AP1576" s="9"/>
      <c r="AQ1576" s="15" t="s">
        <v>125</v>
      </c>
      <c r="AR1576" t="s">
        <v>2000</v>
      </c>
      <c r="AS1576" s="16"/>
    </row>
    <row r="1577" spans="1:60" ht="14.5">
      <c r="A1577" s="9" t="s">
        <v>7819</v>
      </c>
      <c r="B1577" s="9" t="s">
        <v>7820</v>
      </c>
      <c r="C1577" s="9" t="s">
        <v>1993</v>
      </c>
      <c r="D1577" s="9" t="s">
        <v>1994</v>
      </c>
      <c r="E1577" s="9" t="s">
        <v>125</v>
      </c>
      <c r="F1577" s="9" t="s">
        <v>69</v>
      </c>
      <c r="G1577" s="9" t="s">
        <v>70</v>
      </c>
      <c r="H1577" s="9" t="s">
        <v>2110</v>
      </c>
      <c r="I1577" s="9" t="s">
        <v>72</v>
      </c>
      <c r="J1577" s="10">
        <v>44796</v>
      </c>
      <c r="K1577" s="28">
        <v>44883</v>
      </c>
      <c r="L1577" s="10"/>
      <c r="M1577" s="10"/>
      <c r="N1577" s="9">
        <v>2022</v>
      </c>
      <c r="O1577" s="9" t="s">
        <v>7803</v>
      </c>
      <c r="P1577" s="9" t="s">
        <v>53</v>
      </c>
      <c r="Q1577" s="9" t="s">
        <v>53</v>
      </c>
      <c r="R1577" s="9" t="s">
        <v>7821</v>
      </c>
      <c r="T1577" s="9"/>
      <c r="V1577" s="9"/>
      <c r="W1577" s="11"/>
      <c r="X1577" s="11"/>
      <c r="Y1577" s="12"/>
      <c r="Z1577" s="12"/>
      <c r="AA1577" s="12"/>
      <c r="AC1577" s="9" t="s">
        <v>7822</v>
      </c>
      <c r="AD1577" s="9" t="s">
        <v>5302</v>
      </c>
      <c r="AH1577" s="9">
        <v>1805</v>
      </c>
      <c r="AI1577" s="9" t="s">
        <v>77</v>
      </c>
      <c r="AJ1577" s="9" t="s">
        <v>57</v>
      </c>
      <c r="AK1577" s="11" t="str">
        <f t="shared" si="12"/>
        <v>2022USD</v>
      </c>
      <c r="AL1577" s="11">
        <f>VLOOKUP(AK1577, Exchange_rates!$C:$D, 2, FALSE)</f>
        <v>0.8115</v>
      </c>
      <c r="AM1577" s="14">
        <f t="shared" si="13"/>
        <v>1757.7089999999998</v>
      </c>
      <c r="AN1577" s="9"/>
      <c r="AO1577" s="9"/>
      <c r="AP1577" s="9"/>
      <c r="AQ1577" s="15" t="s">
        <v>125</v>
      </c>
      <c r="AR1577" t="s">
        <v>2000</v>
      </c>
      <c r="AS1577" s="16"/>
    </row>
    <row r="1578" spans="1:60" ht="14.5">
      <c r="A1578" s="9" t="s">
        <v>7823</v>
      </c>
      <c r="B1578" s="9" t="s">
        <v>7824</v>
      </c>
      <c r="C1578" s="9" t="s">
        <v>1993</v>
      </c>
      <c r="D1578" s="9" t="s">
        <v>1994</v>
      </c>
      <c r="E1578" s="9" t="s">
        <v>125</v>
      </c>
      <c r="F1578" s="9" t="s">
        <v>69</v>
      </c>
      <c r="G1578" s="9" t="s">
        <v>70</v>
      </c>
      <c r="H1578" s="9" t="s">
        <v>2110</v>
      </c>
      <c r="I1578" s="9" t="s">
        <v>72</v>
      </c>
      <c r="J1578" s="28">
        <v>44525</v>
      </c>
      <c r="K1578" s="10">
        <v>44840</v>
      </c>
      <c r="L1578" s="10"/>
      <c r="M1578" s="10"/>
      <c r="N1578" s="9">
        <v>2022</v>
      </c>
      <c r="O1578" s="9" t="s">
        <v>7825</v>
      </c>
      <c r="P1578" s="9" t="s">
        <v>83</v>
      </c>
      <c r="Q1578" s="9" t="s">
        <v>53</v>
      </c>
      <c r="R1578" s="9" t="s">
        <v>7826</v>
      </c>
      <c r="T1578" s="9"/>
      <c r="V1578" s="9"/>
      <c r="W1578" s="11"/>
      <c r="X1578" s="11"/>
      <c r="Y1578" s="12"/>
      <c r="Z1578" s="12"/>
      <c r="AA1578" s="12"/>
      <c r="AC1578" s="9" t="s">
        <v>7827</v>
      </c>
      <c r="AD1578" s="9" t="s">
        <v>7828</v>
      </c>
      <c r="AH1578" s="9">
        <v>1749</v>
      </c>
      <c r="AI1578" s="9" t="s">
        <v>77</v>
      </c>
      <c r="AJ1578" s="9" t="s">
        <v>57</v>
      </c>
      <c r="AK1578" s="11" t="str">
        <f t="shared" si="12"/>
        <v>2022USD</v>
      </c>
      <c r="AL1578" s="11">
        <f>VLOOKUP(AK1578, Exchange_rates!$C:$D, 2, FALSE)</f>
        <v>0.8115</v>
      </c>
      <c r="AM1578" s="14">
        <f t="shared" si="13"/>
        <v>1703.1761999999999</v>
      </c>
      <c r="AN1578" s="9"/>
      <c r="AO1578" s="9"/>
      <c r="AP1578" s="9"/>
      <c r="AQ1578" s="15" t="s">
        <v>125</v>
      </c>
      <c r="AR1578" t="s">
        <v>2000</v>
      </c>
      <c r="AS1578" s="16"/>
    </row>
    <row r="1579" spans="1:60" ht="14.5">
      <c r="A1579" s="9" t="s">
        <v>7829</v>
      </c>
      <c r="B1579" s="9" t="s">
        <v>7830</v>
      </c>
      <c r="C1579" s="9" t="s">
        <v>7831</v>
      </c>
      <c r="D1579" s="9" t="s">
        <v>1994</v>
      </c>
      <c r="E1579" s="9" t="s">
        <v>125</v>
      </c>
      <c r="F1579" s="9" t="s">
        <v>69</v>
      </c>
      <c r="G1579" s="9" t="s">
        <v>70</v>
      </c>
      <c r="H1579" s="9" t="s">
        <v>2110</v>
      </c>
      <c r="I1579" s="9" t="s">
        <v>72</v>
      </c>
      <c r="J1579" s="10">
        <v>44804</v>
      </c>
      <c r="K1579" s="28">
        <v>44923</v>
      </c>
      <c r="L1579" s="10"/>
      <c r="M1579" s="10"/>
      <c r="N1579" s="9">
        <v>2022</v>
      </c>
      <c r="O1579" s="9" t="s">
        <v>7832</v>
      </c>
      <c r="P1579" s="9" t="s">
        <v>53</v>
      </c>
      <c r="Q1579" s="9" t="s">
        <v>53</v>
      </c>
      <c r="R1579" s="9" t="s">
        <v>2090</v>
      </c>
      <c r="T1579" s="9"/>
      <c r="V1579" s="9"/>
      <c r="W1579" s="11"/>
      <c r="X1579" s="11"/>
      <c r="Y1579" s="12"/>
      <c r="Z1579" s="12"/>
      <c r="AA1579" s="12"/>
      <c r="AC1579" s="9" t="s">
        <v>7833</v>
      </c>
      <c r="AD1579" s="9" t="s">
        <v>7834</v>
      </c>
      <c r="AH1579" s="9">
        <v>2100</v>
      </c>
      <c r="AI1579" s="9" t="s">
        <v>77</v>
      </c>
      <c r="AJ1579" s="9" t="s">
        <v>57</v>
      </c>
      <c r="AK1579" s="11" t="str">
        <f t="shared" si="12"/>
        <v>2022USD</v>
      </c>
      <c r="AL1579" s="11">
        <f>VLOOKUP(AK1579, Exchange_rates!$C:$D, 2, FALSE)</f>
        <v>0.8115</v>
      </c>
      <c r="AM1579" s="14">
        <f t="shared" si="13"/>
        <v>2044.98</v>
      </c>
      <c r="AN1579" s="9"/>
      <c r="AO1579" s="9"/>
      <c r="AP1579" s="9"/>
      <c r="AQ1579" s="15" t="s">
        <v>125</v>
      </c>
      <c r="AR1579" t="s">
        <v>7835</v>
      </c>
      <c r="AS1579" s="16"/>
    </row>
    <row r="1580" spans="1:60" ht="14.5">
      <c r="A1580" s="9" t="s">
        <v>7836</v>
      </c>
      <c r="B1580" s="9" t="s">
        <v>7837</v>
      </c>
      <c r="C1580" s="9" t="s">
        <v>1993</v>
      </c>
      <c r="D1580" s="9" t="s">
        <v>1994</v>
      </c>
      <c r="E1580" s="9" t="s">
        <v>125</v>
      </c>
      <c r="F1580" s="9" t="s">
        <v>69</v>
      </c>
      <c r="G1580" s="9" t="s">
        <v>70</v>
      </c>
      <c r="H1580" s="9" t="s">
        <v>2110</v>
      </c>
      <c r="I1580" s="9" t="s">
        <v>72</v>
      </c>
      <c r="J1580" s="10">
        <v>44651</v>
      </c>
      <c r="K1580" s="10">
        <v>44901</v>
      </c>
      <c r="L1580" s="10"/>
      <c r="M1580" s="10"/>
      <c r="N1580" s="9">
        <v>2022</v>
      </c>
      <c r="O1580" s="9" t="s">
        <v>7832</v>
      </c>
      <c r="P1580" s="9" t="s">
        <v>53</v>
      </c>
      <c r="Q1580" s="9" t="s">
        <v>53</v>
      </c>
      <c r="R1580" s="9" t="s">
        <v>7838</v>
      </c>
      <c r="T1580" s="9"/>
      <c r="V1580" s="9"/>
      <c r="W1580" s="11"/>
      <c r="X1580" s="11"/>
      <c r="Y1580" s="12"/>
      <c r="Z1580" s="12"/>
      <c r="AA1580" s="12"/>
      <c r="AC1580" s="9" t="s">
        <v>7061</v>
      </c>
      <c r="AD1580" s="9" t="s">
        <v>7062</v>
      </c>
      <c r="AH1580" s="9">
        <v>1805</v>
      </c>
      <c r="AI1580" s="9" t="s">
        <v>77</v>
      </c>
      <c r="AJ1580" s="9" t="s">
        <v>57</v>
      </c>
      <c r="AK1580" s="11" t="str">
        <f t="shared" si="12"/>
        <v>2022USD</v>
      </c>
      <c r="AL1580" s="11">
        <f>VLOOKUP(AK1580, Exchange_rates!$C:$D, 2, FALSE)</f>
        <v>0.8115</v>
      </c>
      <c r="AM1580" s="14">
        <f t="shared" si="13"/>
        <v>1757.7089999999998</v>
      </c>
      <c r="AN1580" s="9"/>
      <c r="AO1580" s="9"/>
      <c r="AP1580" s="9"/>
      <c r="AQ1580" s="15" t="s">
        <v>125</v>
      </c>
      <c r="AR1580" t="s">
        <v>2000</v>
      </c>
      <c r="AS1580" s="16"/>
    </row>
    <row r="1581" spans="1:60" ht="14.5">
      <c r="A1581" s="9" t="s">
        <v>7839</v>
      </c>
      <c r="B1581" s="9" t="s">
        <v>7840</v>
      </c>
      <c r="C1581" s="9" t="s">
        <v>1993</v>
      </c>
      <c r="D1581" s="9" t="s">
        <v>1994</v>
      </c>
      <c r="E1581" s="9" t="s">
        <v>125</v>
      </c>
      <c r="F1581" s="9" t="s">
        <v>69</v>
      </c>
      <c r="G1581" s="9" t="s">
        <v>70</v>
      </c>
      <c r="H1581" s="9" t="s">
        <v>2110</v>
      </c>
      <c r="I1581" s="9" t="s">
        <v>72</v>
      </c>
      <c r="J1581" s="10">
        <v>44679</v>
      </c>
      <c r="K1581" s="10">
        <v>44907</v>
      </c>
      <c r="L1581" s="10"/>
      <c r="M1581" s="10"/>
      <c r="N1581" s="9">
        <v>2022</v>
      </c>
      <c r="O1581" s="9" t="s">
        <v>7832</v>
      </c>
      <c r="P1581" s="9" t="s">
        <v>53</v>
      </c>
      <c r="Q1581" s="9" t="s">
        <v>53</v>
      </c>
      <c r="R1581" s="9" t="s">
        <v>7841</v>
      </c>
      <c r="T1581" s="9"/>
      <c r="V1581" s="9"/>
      <c r="AC1581" s="9" t="s">
        <v>7842</v>
      </c>
      <c r="AD1581" s="9" t="s">
        <v>7843</v>
      </c>
      <c r="AH1581" s="9">
        <v>1805</v>
      </c>
      <c r="AI1581" s="9" t="s">
        <v>77</v>
      </c>
      <c r="AJ1581" s="9" t="s">
        <v>57</v>
      </c>
      <c r="AK1581" s="11" t="str">
        <f t="shared" si="12"/>
        <v>2022USD</v>
      </c>
      <c r="AL1581" s="11">
        <f>VLOOKUP(AK1581, Exchange_rates!$C:$D, 2, FALSE)</f>
        <v>0.8115</v>
      </c>
      <c r="AM1581" s="14">
        <f t="shared" si="13"/>
        <v>1757.7089999999998</v>
      </c>
      <c r="AN1581" s="9"/>
      <c r="AO1581" s="9"/>
      <c r="AP1581" s="9"/>
      <c r="AQ1581" s="15" t="s">
        <v>125</v>
      </c>
      <c r="AR1581" t="s">
        <v>2000</v>
      </c>
      <c r="AS1581" s="16"/>
    </row>
    <row r="1582" spans="1:60" ht="14.5">
      <c r="A1582" s="9" t="s">
        <v>7844</v>
      </c>
      <c r="B1582" s="9" t="s">
        <v>7845</v>
      </c>
      <c r="C1582" s="9" t="s">
        <v>1993</v>
      </c>
      <c r="D1582" s="9" t="s">
        <v>1994</v>
      </c>
      <c r="E1582" s="9" t="s">
        <v>125</v>
      </c>
      <c r="F1582" s="9" t="s">
        <v>69</v>
      </c>
      <c r="G1582" s="9" t="s">
        <v>70</v>
      </c>
      <c r="H1582" s="9" t="s">
        <v>2110</v>
      </c>
      <c r="I1582" s="9" t="s">
        <v>72</v>
      </c>
      <c r="J1582" s="10">
        <v>44767</v>
      </c>
      <c r="K1582" s="28">
        <v>44914</v>
      </c>
      <c r="L1582" s="10"/>
      <c r="M1582" s="10"/>
      <c r="N1582" s="9">
        <v>2022</v>
      </c>
      <c r="O1582" s="9" t="s">
        <v>7832</v>
      </c>
      <c r="P1582" s="9" t="s">
        <v>53</v>
      </c>
      <c r="Q1582" s="9" t="s">
        <v>53</v>
      </c>
      <c r="R1582" s="9" t="s">
        <v>7846</v>
      </c>
      <c r="T1582" s="9"/>
      <c r="V1582" s="9"/>
      <c r="AC1582" s="9" t="s">
        <v>787</v>
      </c>
      <c r="AD1582" s="9" t="s">
        <v>788</v>
      </c>
      <c r="AH1582" s="9">
        <v>1805</v>
      </c>
      <c r="AI1582" s="9" t="s">
        <v>77</v>
      </c>
      <c r="AJ1582" s="9" t="s">
        <v>57</v>
      </c>
      <c r="AK1582" s="11" t="str">
        <f t="shared" si="12"/>
        <v>2022USD</v>
      </c>
      <c r="AL1582" s="11">
        <f>VLOOKUP(AK1582, Exchange_rates!$C:$D, 2, FALSE)</f>
        <v>0.8115</v>
      </c>
      <c r="AM1582" s="14">
        <f t="shared" si="13"/>
        <v>1757.7089999999998</v>
      </c>
      <c r="AN1582" s="9"/>
      <c r="AO1582" s="9"/>
      <c r="AP1582" s="9"/>
      <c r="AQ1582" s="15" t="s">
        <v>125</v>
      </c>
      <c r="AR1582" t="s">
        <v>2000</v>
      </c>
      <c r="AS1582" s="16"/>
    </row>
    <row r="1583" spans="1:60" ht="14.5">
      <c r="A1583" s="9" t="s">
        <v>7847</v>
      </c>
      <c r="B1583" s="9" t="s">
        <v>7848</v>
      </c>
      <c r="C1583" s="9" t="s">
        <v>1993</v>
      </c>
      <c r="D1583" s="9" t="s">
        <v>1994</v>
      </c>
      <c r="E1583" s="9" t="s">
        <v>125</v>
      </c>
      <c r="F1583" s="9" t="s">
        <v>69</v>
      </c>
      <c r="G1583" s="9" t="s">
        <v>70</v>
      </c>
      <c r="H1583" s="9" t="s">
        <v>2110</v>
      </c>
      <c r="I1583" s="9" t="s">
        <v>72</v>
      </c>
      <c r="J1583" s="10">
        <v>44777</v>
      </c>
      <c r="K1583" s="28">
        <v>44915</v>
      </c>
      <c r="L1583" s="10"/>
      <c r="M1583" s="10"/>
      <c r="N1583" s="9">
        <v>2022</v>
      </c>
      <c r="O1583" s="9" t="s">
        <v>7832</v>
      </c>
      <c r="P1583" s="9" t="s">
        <v>53</v>
      </c>
      <c r="Q1583" s="9" t="s">
        <v>53</v>
      </c>
      <c r="R1583" s="9" t="s">
        <v>7849</v>
      </c>
      <c r="T1583" s="9"/>
      <c r="V1583" s="9"/>
      <c r="AC1583" s="9" t="s">
        <v>7850</v>
      </c>
      <c r="AD1583" s="9" t="s">
        <v>827</v>
      </c>
      <c r="AH1583" s="9">
        <v>1805</v>
      </c>
      <c r="AI1583" s="9" t="s">
        <v>77</v>
      </c>
      <c r="AJ1583" s="9" t="s">
        <v>57</v>
      </c>
      <c r="AK1583" s="11" t="str">
        <f t="shared" si="12"/>
        <v>2022USD</v>
      </c>
      <c r="AL1583" s="11">
        <f>VLOOKUP(AK1583, Exchange_rates!$C:$D, 2, FALSE)</f>
        <v>0.8115</v>
      </c>
      <c r="AM1583" s="14">
        <f t="shared" si="13"/>
        <v>1757.7089999999998</v>
      </c>
      <c r="AN1583" s="9"/>
      <c r="AO1583" s="9"/>
      <c r="AP1583" s="9"/>
      <c r="AQ1583" s="15" t="s">
        <v>125</v>
      </c>
      <c r="AR1583" t="s">
        <v>2000</v>
      </c>
      <c r="AS1583" s="16"/>
    </row>
    <row r="1584" spans="1:60" ht="14.5">
      <c r="A1584" s="9" t="s">
        <v>7851</v>
      </c>
      <c r="B1584" s="9" t="s">
        <v>7852</v>
      </c>
      <c r="C1584" s="9" t="s">
        <v>2267</v>
      </c>
      <c r="D1584" s="9" t="s">
        <v>2268</v>
      </c>
      <c r="E1584" s="17" t="s">
        <v>49</v>
      </c>
      <c r="F1584" s="9" t="s">
        <v>69</v>
      </c>
      <c r="G1584" s="9" t="s">
        <v>70</v>
      </c>
      <c r="H1584" s="9" t="s">
        <v>7853</v>
      </c>
      <c r="I1584" s="9" t="s">
        <v>72</v>
      </c>
      <c r="J1584" s="10">
        <v>44866</v>
      </c>
      <c r="K1584" s="10">
        <v>44929</v>
      </c>
      <c r="L1584" s="10"/>
      <c r="M1584" s="10">
        <v>44938</v>
      </c>
      <c r="N1584" s="9">
        <v>2023</v>
      </c>
      <c r="O1584" s="9" t="s">
        <v>7854</v>
      </c>
      <c r="P1584" s="9" t="s">
        <v>53</v>
      </c>
      <c r="Q1584" s="9" t="s">
        <v>53</v>
      </c>
      <c r="R1584" s="9" t="s">
        <v>178</v>
      </c>
      <c r="T1584" s="9"/>
      <c r="V1584" s="9"/>
      <c r="AH1584" s="9">
        <v>2500</v>
      </c>
      <c r="AI1584" s="9" t="s">
        <v>875</v>
      </c>
      <c r="AJ1584" s="9" t="s">
        <v>301</v>
      </c>
      <c r="AK1584" s="11" t="str">
        <f t="shared" si="12"/>
        <v>2023GBP</v>
      </c>
      <c r="AL1584" s="11">
        <f>VLOOKUP(AK1584, Exchange_rates!$C:$D, 2, FALSE)</f>
        <v>1</v>
      </c>
      <c r="AM1584" s="14">
        <f t="shared" si="13"/>
        <v>3000</v>
      </c>
      <c r="AN1584" s="9"/>
      <c r="AO1584" s="9"/>
      <c r="AP1584" s="17"/>
      <c r="AQ1584" s="15" t="s">
        <v>49</v>
      </c>
      <c r="AR1584" t="s">
        <v>2272</v>
      </c>
      <c r="AS1584" s="16"/>
    </row>
    <row r="1585" spans="1:60" ht="14.5">
      <c r="A1585" s="9" t="s">
        <v>7855</v>
      </c>
      <c r="B1585" s="9" t="s">
        <v>7856</v>
      </c>
      <c r="C1585" s="9" t="s">
        <v>2356</v>
      </c>
      <c r="D1585" s="9" t="s">
        <v>2268</v>
      </c>
      <c r="E1585" s="17" t="s">
        <v>49</v>
      </c>
      <c r="F1585" s="9" t="s">
        <v>69</v>
      </c>
      <c r="G1585" s="9" t="s">
        <v>70</v>
      </c>
      <c r="H1585" s="9" t="s">
        <v>7853</v>
      </c>
      <c r="I1585" s="9" t="s">
        <v>238</v>
      </c>
      <c r="J1585" s="10">
        <v>44887</v>
      </c>
      <c r="K1585" s="10">
        <v>44938</v>
      </c>
      <c r="L1585" s="10"/>
      <c r="M1585" s="10">
        <v>44945</v>
      </c>
      <c r="N1585" s="9">
        <v>2023</v>
      </c>
      <c r="O1585" s="9" t="s">
        <v>7854</v>
      </c>
      <c r="P1585" s="9" t="s">
        <v>83</v>
      </c>
      <c r="Q1585" s="9" t="s">
        <v>53</v>
      </c>
      <c r="R1585" s="9" t="s">
        <v>7857</v>
      </c>
      <c r="T1585" s="9"/>
      <c r="V1585" s="9"/>
      <c r="AH1585" s="9">
        <v>2500</v>
      </c>
      <c r="AI1585" s="9" t="s">
        <v>875</v>
      </c>
      <c r="AJ1585" s="9" t="s">
        <v>301</v>
      </c>
      <c r="AK1585" s="11" t="str">
        <f t="shared" si="12"/>
        <v>2023GBP</v>
      </c>
      <c r="AL1585" s="11">
        <f>VLOOKUP(AK1585, Exchange_rates!$C:$D, 2, FALSE)</f>
        <v>1</v>
      </c>
      <c r="AM1585" s="14">
        <f t="shared" si="13"/>
        <v>3000</v>
      </c>
      <c r="AN1585" s="9"/>
      <c r="AO1585" s="9"/>
      <c r="AP1585" s="17"/>
      <c r="AQ1585" s="15" t="s">
        <v>49</v>
      </c>
      <c r="AR1585" t="s">
        <v>2358</v>
      </c>
      <c r="AS1585" s="16"/>
    </row>
    <row r="1586" spans="1:60" ht="14.5">
      <c r="A1586" s="9" t="s">
        <v>7858</v>
      </c>
      <c r="B1586" s="9" t="s">
        <v>7859</v>
      </c>
      <c r="C1586" s="9" t="s">
        <v>2292</v>
      </c>
      <c r="D1586" s="9" t="s">
        <v>2268</v>
      </c>
      <c r="E1586" s="17" t="s">
        <v>49</v>
      </c>
      <c r="F1586" s="9" t="s">
        <v>69</v>
      </c>
      <c r="G1586" s="9" t="s">
        <v>70</v>
      </c>
      <c r="H1586" s="9" t="s">
        <v>2429</v>
      </c>
      <c r="I1586" s="9" t="s">
        <v>72</v>
      </c>
      <c r="J1586" s="10">
        <v>44725</v>
      </c>
      <c r="K1586" s="10">
        <v>44801</v>
      </c>
      <c r="L1586" s="10"/>
      <c r="M1586" s="10">
        <v>44812</v>
      </c>
      <c r="N1586" s="9">
        <v>2022</v>
      </c>
      <c r="O1586" s="9" t="s">
        <v>7860</v>
      </c>
      <c r="P1586" s="9" t="s">
        <v>53</v>
      </c>
      <c r="Q1586" s="9" t="s">
        <v>53</v>
      </c>
      <c r="R1586" s="9" t="s">
        <v>7861</v>
      </c>
      <c r="T1586" s="9"/>
      <c r="V1586" s="9"/>
      <c r="AH1586" s="9">
        <v>2500</v>
      </c>
      <c r="AI1586" s="9" t="s">
        <v>875</v>
      </c>
      <c r="AJ1586" s="9" t="s">
        <v>301</v>
      </c>
      <c r="AK1586" s="11" t="str">
        <f t="shared" si="12"/>
        <v>2022GBP</v>
      </c>
      <c r="AL1586" s="11">
        <f>VLOOKUP(AK1586, Exchange_rates!$C:$D, 2, FALSE)</f>
        <v>1</v>
      </c>
      <c r="AM1586" s="14">
        <f t="shared" si="13"/>
        <v>3000</v>
      </c>
      <c r="AN1586" s="9"/>
      <c r="AO1586" s="9"/>
      <c r="AP1586" s="17"/>
      <c r="AQ1586" s="15" t="s">
        <v>49</v>
      </c>
      <c r="AR1586" t="s">
        <v>2294</v>
      </c>
      <c r="AS1586" s="16"/>
    </row>
    <row r="1587" spans="1:60" ht="14.5">
      <c r="A1587" s="9" t="s">
        <v>7862</v>
      </c>
      <c r="B1587" s="9" t="s">
        <v>7863</v>
      </c>
      <c r="C1587" s="9" t="s">
        <v>2388</v>
      </c>
      <c r="D1587" s="9" t="s">
        <v>2268</v>
      </c>
      <c r="E1587" s="17" t="s">
        <v>49</v>
      </c>
      <c r="F1587" s="9" t="s">
        <v>69</v>
      </c>
      <c r="G1587" s="9" t="s">
        <v>70</v>
      </c>
      <c r="H1587" s="9" t="s">
        <v>2429</v>
      </c>
      <c r="I1587" s="9" t="s">
        <v>72</v>
      </c>
      <c r="J1587" s="10">
        <v>44760</v>
      </c>
      <c r="K1587" s="10">
        <v>44810</v>
      </c>
      <c r="L1587" s="10"/>
      <c r="M1587" s="10">
        <v>44818</v>
      </c>
      <c r="N1587" s="9">
        <v>2022</v>
      </c>
      <c r="O1587" s="9" t="s">
        <v>7860</v>
      </c>
      <c r="P1587" s="9" t="s">
        <v>53</v>
      </c>
      <c r="Q1587" s="9" t="s">
        <v>53</v>
      </c>
      <c r="R1587" s="9" t="s">
        <v>2268</v>
      </c>
      <c r="T1587" s="9"/>
      <c r="V1587" s="9"/>
      <c r="AH1587" s="9">
        <v>2500</v>
      </c>
      <c r="AI1587" s="9" t="s">
        <v>875</v>
      </c>
      <c r="AJ1587" s="9" t="s">
        <v>301</v>
      </c>
      <c r="AK1587" s="11" t="str">
        <f t="shared" si="12"/>
        <v>2022GBP</v>
      </c>
      <c r="AL1587" s="11">
        <f>VLOOKUP(AK1587, Exchange_rates!$C:$D, 2, FALSE)</f>
        <v>1</v>
      </c>
      <c r="AM1587" s="14">
        <f t="shared" si="13"/>
        <v>3000</v>
      </c>
      <c r="AN1587" s="9"/>
      <c r="AO1587" s="9"/>
      <c r="AP1587" s="17"/>
      <c r="AQ1587" s="15" t="s">
        <v>49</v>
      </c>
      <c r="AR1587" t="s">
        <v>2277</v>
      </c>
      <c r="AS1587" s="16" t="s">
        <v>2390</v>
      </c>
    </row>
    <row r="1588" spans="1:60" ht="14.5">
      <c r="A1588" s="9" t="s">
        <v>7864</v>
      </c>
      <c r="B1588" s="9" t="s">
        <v>7865</v>
      </c>
      <c r="C1588" s="9" t="s">
        <v>2292</v>
      </c>
      <c r="D1588" s="9" t="s">
        <v>2268</v>
      </c>
      <c r="E1588" s="17" t="s">
        <v>49</v>
      </c>
      <c r="F1588" s="9" t="s">
        <v>69</v>
      </c>
      <c r="G1588" s="9" t="s">
        <v>70</v>
      </c>
      <c r="H1588" s="9" t="s">
        <v>2429</v>
      </c>
      <c r="I1588" s="9" t="s">
        <v>72</v>
      </c>
      <c r="J1588" s="10">
        <v>44812</v>
      </c>
      <c r="K1588" s="10">
        <v>44833</v>
      </c>
      <c r="L1588" s="10"/>
      <c r="M1588" s="10">
        <v>44840</v>
      </c>
      <c r="N1588" s="9">
        <v>2022</v>
      </c>
      <c r="O1588" s="9" t="s">
        <v>7860</v>
      </c>
      <c r="P1588" s="9" t="s">
        <v>53</v>
      </c>
      <c r="Q1588" s="9" t="s">
        <v>53</v>
      </c>
      <c r="R1588" s="9" t="s">
        <v>7866</v>
      </c>
      <c r="T1588" s="9"/>
      <c r="V1588" s="9"/>
      <c r="AH1588" s="9">
        <v>2500</v>
      </c>
      <c r="AI1588" s="9" t="s">
        <v>875</v>
      </c>
      <c r="AJ1588" s="9" t="s">
        <v>301</v>
      </c>
      <c r="AK1588" s="11" t="str">
        <f t="shared" si="12"/>
        <v>2022GBP</v>
      </c>
      <c r="AL1588" s="11">
        <f>VLOOKUP(AK1588, Exchange_rates!$C:$D, 2, FALSE)</f>
        <v>1</v>
      </c>
      <c r="AM1588" s="14">
        <f t="shared" si="13"/>
        <v>3000</v>
      </c>
      <c r="AN1588" s="9"/>
      <c r="AO1588" s="9"/>
      <c r="AP1588" s="17"/>
      <c r="AQ1588" s="15" t="s">
        <v>49</v>
      </c>
      <c r="AR1588" t="s">
        <v>2294</v>
      </c>
      <c r="AS1588" s="16"/>
    </row>
    <row r="1589" spans="1:60" ht="14.5">
      <c r="A1589" s="9" t="s">
        <v>7867</v>
      </c>
      <c r="B1589" s="9" t="s">
        <v>7868</v>
      </c>
      <c r="C1589" s="9" t="s">
        <v>2356</v>
      </c>
      <c r="D1589" s="9" t="s">
        <v>2268</v>
      </c>
      <c r="E1589" s="17" t="s">
        <v>49</v>
      </c>
      <c r="F1589" s="9" t="s">
        <v>69</v>
      </c>
      <c r="G1589" s="9" t="s">
        <v>70</v>
      </c>
      <c r="H1589" s="9" t="s">
        <v>2429</v>
      </c>
      <c r="I1589" s="9" t="s">
        <v>72</v>
      </c>
      <c r="J1589" s="10">
        <v>44728</v>
      </c>
      <c r="K1589" s="10">
        <v>44820</v>
      </c>
      <c r="L1589" s="10"/>
      <c r="M1589" s="10">
        <v>44831</v>
      </c>
      <c r="N1589" s="9">
        <v>2022</v>
      </c>
      <c r="O1589" s="9" t="s">
        <v>7860</v>
      </c>
      <c r="P1589" s="9" t="s">
        <v>83</v>
      </c>
      <c r="Q1589" s="9" t="s">
        <v>53</v>
      </c>
      <c r="R1589" s="9" t="s">
        <v>2300</v>
      </c>
      <c r="T1589" s="9"/>
      <c r="V1589" s="9"/>
      <c r="AH1589" s="9">
        <v>2500</v>
      </c>
      <c r="AI1589" s="9" t="s">
        <v>875</v>
      </c>
      <c r="AJ1589" s="9" t="s">
        <v>301</v>
      </c>
      <c r="AK1589" s="11" t="str">
        <f t="shared" si="12"/>
        <v>2022GBP</v>
      </c>
      <c r="AL1589" s="11">
        <f>VLOOKUP(AK1589, Exchange_rates!$C:$D, 2, FALSE)</f>
        <v>1</v>
      </c>
      <c r="AM1589" s="14">
        <f t="shared" si="13"/>
        <v>3000</v>
      </c>
      <c r="AN1589" s="9"/>
      <c r="AO1589" s="9"/>
      <c r="AP1589" s="17"/>
      <c r="AQ1589" s="15" t="s">
        <v>49</v>
      </c>
      <c r="AR1589" t="s">
        <v>2358</v>
      </c>
      <c r="AS1589" s="16"/>
    </row>
    <row r="1590" spans="1:60" ht="14.5">
      <c r="A1590" s="9" t="s">
        <v>7869</v>
      </c>
      <c r="B1590" s="9" t="s">
        <v>7870</v>
      </c>
      <c r="C1590" s="9" t="s">
        <v>2398</v>
      </c>
      <c r="D1590" s="9" t="s">
        <v>2268</v>
      </c>
      <c r="E1590" s="17" t="s">
        <v>49</v>
      </c>
      <c r="F1590" s="9" t="s">
        <v>69</v>
      </c>
      <c r="G1590" s="9" t="s">
        <v>70</v>
      </c>
      <c r="H1590" s="9" t="s">
        <v>2429</v>
      </c>
      <c r="I1590" s="9" t="s">
        <v>72</v>
      </c>
      <c r="J1590" s="10">
        <v>44764</v>
      </c>
      <c r="K1590" s="10">
        <v>44830</v>
      </c>
      <c r="L1590" s="10"/>
      <c r="M1590" s="10"/>
      <c r="N1590" s="9">
        <v>2022</v>
      </c>
      <c r="O1590" s="9" t="s">
        <v>7860</v>
      </c>
      <c r="P1590" s="9" t="s">
        <v>83</v>
      </c>
      <c r="Q1590" s="9" t="s">
        <v>53</v>
      </c>
      <c r="R1590" s="9" t="s">
        <v>7871</v>
      </c>
      <c r="T1590" s="9"/>
      <c r="V1590" s="9"/>
      <c r="AH1590" s="9">
        <v>2500</v>
      </c>
      <c r="AI1590" s="9" t="s">
        <v>875</v>
      </c>
      <c r="AJ1590" s="9" t="s">
        <v>301</v>
      </c>
      <c r="AK1590" s="11" t="str">
        <f t="shared" si="12"/>
        <v>2022GBP</v>
      </c>
      <c r="AL1590" s="11">
        <f>VLOOKUP(AK1590, Exchange_rates!$C:$D, 2, FALSE)</f>
        <v>1</v>
      </c>
      <c r="AM1590" s="14">
        <f t="shared" si="13"/>
        <v>3000</v>
      </c>
      <c r="AN1590" s="9"/>
      <c r="AO1590" s="9"/>
      <c r="AP1590" s="17"/>
      <c r="AQ1590" s="15" t="s">
        <v>49</v>
      </c>
      <c r="AR1590" t="s">
        <v>2401</v>
      </c>
      <c r="AS1590" s="16"/>
    </row>
    <row r="1591" spans="1:60" ht="14.5">
      <c r="A1591" s="9" t="s">
        <v>7872</v>
      </c>
      <c r="B1591" s="9" t="s">
        <v>7873</v>
      </c>
      <c r="C1591" s="9" t="s">
        <v>2292</v>
      </c>
      <c r="D1591" s="9" t="s">
        <v>2268</v>
      </c>
      <c r="E1591" s="17" t="s">
        <v>49</v>
      </c>
      <c r="F1591" s="9" t="s">
        <v>69</v>
      </c>
      <c r="G1591" s="9" t="s">
        <v>70</v>
      </c>
      <c r="H1591" s="9" t="s">
        <v>2429</v>
      </c>
      <c r="I1591" s="9" t="s">
        <v>72</v>
      </c>
      <c r="J1591" s="10">
        <v>44726</v>
      </c>
      <c r="K1591" s="10">
        <v>44810</v>
      </c>
      <c r="L1591" s="10"/>
      <c r="M1591" s="10">
        <v>44819</v>
      </c>
      <c r="N1591" s="9">
        <v>2022</v>
      </c>
      <c r="O1591" s="9" t="s">
        <v>7860</v>
      </c>
      <c r="P1591" s="9" t="s">
        <v>83</v>
      </c>
      <c r="Q1591" s="9" t="s">
        <v>53</v>
      </c>
      <c r="R1591" s="9" t="s">
        <v>117</v>
      </c>
      <c r="T1591" s="9"/>
      <c r="V1591" s="9"/>
      <c r="AH1591" s="9">
        <v>2500</v>
      </c>
      <c r="AI1591" s="9" t="s">
        <v>875</v>
      </c>
      <c r="AJ1591" s="9" t="s">
        <v>301</v>
      </c>
      <c r="AK1591" s="11" t="str">
        <f t="shared" si="12"/>
        <v>2022GBP</v>
      </c>
      <c r="AL1591" s="11">
        <f>VLOOKUP(AK1591, Exchange_rates!$C:$D, 2, FALSE)</f>
        <v>1</v>
      </c>
      <c r="AM1591" s="14">
        <f t="shared" si="13"/>
        <v>3000</v>
      </c>
      <c r="AN1591" s="9"/>
      <c r="AO1591" s="9"/>
      <c r="AP1591" s="17"/>
      <c r="AQ1591" s="15" t="s">
        <v>49</v>
      </c>
      <c r="AR1591" t="s">
        <v>2294</v>
      </c>
      <c r="AS1591" s="16"/>
    </row>
    <row r="1592" spans="1:60" ht="14.5">
      <c r="A1592" s="9" t="s">
        <v>7874</v>
      </c>
      <c r="B1592" s="9" t="s">
        <v>7875</v>
      </c>
      <c r="C1592" s="9" t="s">
        <v>7876</v>
      </c>
      <c r="D1592" s="9" t="s">
        <v>2268</v>
      </c>
      <c r="E1592" s="17" t="s">
        <v>49</v>
      </c>
      <c r="F1592" s="9" t="s">
        <v>69</v>
      </c>
      <c r="G1592" s="9" t="s">
        <v>70</v>
      </c>
      <c r="H1592" s="9" t="s">
        <v>2429</v>
      </c>
      <c r="I1592" s="9" t="s">
        <v>72</v>
      </c>
      <c r="J1592" s="10">
        <v>44833</v>
      </c>
      <c r="K1592" s="10">
        <v>44854</v>
      </c>
      <c r="L1592" s="10"/>
      <c r="M1592" s="10">
        <v>44862</v>
      </c>
      <c r="N1592" s="9">
        <v>2022</v>
      </c>
      <c r="O1592" s="9" t="s">
        <v>7860</v>
      </c>
      <c r="P1592" s="9" t="s">
        <v>53</v>
      </c>
      <c r="Q1592" s="9" t="s">
        <v>53</v>
      </c>
      <c r="R1592" s="9" t="s">
        <v>7877</v>
      </c>
      <c r="T1592" s="9"/>
      <c r="V1592" s="9"/>
      <c r="AH1592" s="9">
        <v>2500</v>
      </c>
      <c r="AI1592" s="9" t="s">
        <v>875</v>
      </c>
      <c r="AJ1592" s="9" t="s">
        <v>301</v>
      </c>
      <c r="AK1592" s="11" t="str">
        <f t="shared" si="12"/>
        <v>2022GBP</v>
      </c>
      <c r="AL1592" s="11">
        <f>VLOOKUP(AK1592, Exchange_rates!$C:$D, 2, FALSE)</f>
        <v>1</v>
      </c>
      <c r="AM1592" s="14">
        <f t="shared" si="13"/>
        <v>3000</v>
      </c>
      <c r="AN1592" s="9"/>
      <c r="AO1592" s="9"/>
      <c r="AP1592" s="17"/>
      <c r="AQ1592" s="15" t="s">
        <v>49</v>
      </c>
      <c r="AR1592" t="s">
        <v>7878</v>
      </c>
      <c r="AS1592" s="16"/>
    </row>
    <row r="1593" spans="1:60" ht="14.5">
      <c r="A1593" s="9" t="s">
        <v>7879</v>
      </c>
      <c r="B1593" s="9" t="s">
        <v>7880</v>
      </c>
      <c r="C1593" s="9" t="s">
        <v>2292</v>
      </c>
      <c r="D1593" s="9" t="s">
        <v>2268</v>
      </c>
      <c r="E1593" s="17" t="s">
        <v>49</v>
      </c>
      <c r="F1593" s="9" t="s">
        <v>69</v>
      </c>
      <c r="G1593" s="9" t="s">
        <v>70</v>
      </c>
      <c r="H1593" s="9" t="s">
        <v>2429</v>
      </c>
      <c r="I1593" s="9" t="s">
        <v>72</v>
      </c>
      <c r="J1593" s="10">
        <v>44792</v>
      </c>
      <c r="K1593" s="10">
        <v>44866</v>
      </c>
      <c r="L1593" s="10"/>
      <c r="M1593" s="10">
        <v>44875</v>
      </c>
      <c r="N1593" s="9">
        <v>2022</v>
      </c>
      <c r="O1593" s="9" t="s">
        <v>7860</v>
      </c>
      <c r="P1593" s="9" t="s">
        <v>53</v>
      </c>
      <c r="Q1593" s="9" t="s">
        <v>53</v>
      </c>
      <c r="T1593" s="9"/>
      <c r="V1593" s="9"/>
      <c r="AH1593" s="9">
        <v>2500</v>
      </c>
      <c r="AI1593" s="9" t="s">
        <v>875</v>
      </c>
      <c r="AJ1593" s="9" t="s">
        <v>301</v>
      </c>
      <c r="AK1593" s="11" t="str">
        <f t="shared" si="12"/>
        <v>2022GBP</v>
      </c>
      <c r="AL1593" s="11">
        <f>VLOOKUP(AK1593, Exchange_rates!$C:$D, 2, FALSE)</f>
        <v>1</v>
      </c>
      <c r="AM1593" s="14">
        <f t="shared" si="13"/>
        <v>3000</v>
      </c>
      <c r="AN1593" s="9"/>
      <c r="AO1593" s="9"/>
      <c r="AP1593" s="17"/>
      <c r="AQ1593" s="15" t="s">
        <v>49</v>
      </c>
      <c r="AR1593" t="s">
        <v>2294</v>
      </c>
      <c r="AS1593" s="16"/>
    </row>
    <row r="1594" spans="1:60" ht="14.5">
      <c r="A1594" s="20" t="s">
        <v>7881</v>
      </c>
      <c r="B1594" s="20" t="s">
        <v>7882</v>
      </c>
      <c r="C1594" s="20" t="s">
        <v>7883</v>
      </c>
      <c r="D1594" s="20" t="s">
        <v>2268</v>
      </c>
      <c r="E1594" s="21" t="s">
        <v>49</v>
      </c>
      <c r="F1594" s="20" t="s">
        <v>69</v>
      </c>
      <c r="G1594" s="20" t="s">
        <v>70</v>
      </c>
      <c r="H1594" s="20" t="s">
        <v>2429</v>
      </c>
      <c r="I1594" s="20" t="s">
        <v>238</v>
      </c>
      <c r="J1594" s="22">
        <v>44781</v>
      </c>
      <c r="K1594" s="22">
        <v>44921</v>
      </c>
      <c r="L1594" s="22"/>
      <c r="M1594" s="22">
        <v>44939</v>
      </c>
      <c r="N1594" s="20">
        <v>2022</v>
      </c>
      <c r="O1594" s="20" t="s">
        <v>7860</v>
      </c>
      <c r="P1594" s="20" t="s">
        <v>53</v>
      </c>
      <c r="Q1594" s="20" t="s">
        <v>53</v>
      </c>
      <c r="R1594" s="20" t="s">
        <v>7884</v>
      </c>
      <c r="S1594" s="20"/>
      <c r="T1594" s="20"/>
      <c r="V1594" s="20"/>
      <c r="W1594" s="20"/>
      <c r="X1594" s="20"/>
      <c r="Y1594" s="20"/>
      <c r="Z1594" s="20"/>
      <c r="AA1594" s="20"/>
      <c r="AB1594" s="20"/>
      <c r="AC1594" s="20"/>
      <c r="AD1594" s="20"/>
      <c r="AE1594" s="20"/>
      <c r="AF1594" s="20"/>
      <c r="AG1594" s="20"/>
      <c r="AH1594" s="9">
        <v>2500</v>
      </c>
      <c r="AI1594" s="9" t="s">
        <v>875</v>
      </c>
      <c r="AJ1594" s="9" t="s">
        <v>301</v>
      </c>
      <c r="AK1594" s="23" t="str">
        <f t="shared" si="12"/>
        <v>2022GBP</v>
      </c>
      <c r="AL1594" s="23">
        <f>VLOOKUP(AK1594, Exchange_rates!$C:$D, 2, FALSE)</f>
        <v>1</v>
      </c>
      <c r="AM1594" s="14">
        <f t="shared" si="13"/>
        <v>3000</v>
      </c>
      <c r="AN1594" s="20"/>
      <c r="AO1594" s="20"/>
      <c r="AP1594" s="21"/>
      <c r="AQ1594" s="27" t="s">
        <v>49</v>
      </c>
      <c r="AR1594" t="s">
        <v>7885</v>
      </c>
      <c r="AS1594" s="16"/>
      <c r="AT1594" s="20"/>
      <c r="AU1594" s="20"/>
      <c r="AV1594" s="20"/>
      <c r="AW1594" s="20"/>
      <c r="AX1594" s="20"/>
      <c r="AY1594" s="20"/>
      <c r="AZ1594" s="20"/>
      <c r="BA1594" s="20"/>
      <c r="BB1594" s="20"/>
      <c r="BC1594" s="20"/>
      <c r="BD1594" s="20"/>
      <c r="BE1594" s="20"/>
      <c r="BF1594" s="20"/>
      <c r="BG1594" s="20"/>
      <c r="BH1594" s="20"/>
    </row>
    <row r="1595" spans="1:60" ht="14.5">
      <c r="A1595" s="9" t="s">
        <v>7886</v>
      </c>
      <c r="B1595" s="9" t="s">
        <v>7887</v>
      </c>
      <c r="C1595" s="9" t="s">
        <v>7888</v>
      </c>
      <c r="D1595" s="9" t="s">
        <v>4371</v>
      </c>
      <c r="E1595" s="17" t="s">
        <v>49</v>
      </c>
      <c r="F1595" s="9" t="s">
        <v>69</v>
      </c>
      <c r="G1595" s="9" t="s">
        <v>70</v>
      </c>
      <c r="H1595" s="9" t="s">
        <v>7152</v>
      </c>
      <c r="I1595" s="9" t="s">
        <v>72</v>
      </c>
      <c r="J1595" s="10">
        <v>44825</v>
      </c>
      <c r="K1595" s="10">
        <v>44981</v>
      </c>
      <c r="L1595" s="10">
        <v>44987</v>
      </c>
      <c r="M1595" s="10">
        <v>45009</v>
      </c>
      <c r="N1595" s="9">
        <v>2023</v>
      </c>
      <c r="O1595" s="9" t="s">
        <v>7889</v>
      </c>
      <c r="P1595" s="9" t="s">
        <v>83</v>
      </c>
      <c r="Q1595" s="9" t="s">
        <v>53</v>
      </c>
      <c r="R1595" s="9" t="s">
        <v>2314</v>
      </c>
      <c r="T1595" s="9"/>
      <c r="V1595" s="9" t="s">
        <v>7155</v>
      </c>
      <c r="AC1595" s="9" t="s">
        <v>7890</v>
      </c>
      <c r="AD1595" s="9" t="s">
        <v>7891</v>
      </c>
      <c r="AE1595" s="9"/>
      <c r="AH1595" s="9">
        <v>2435</v>
      </c>
      <c r="AI1595" s="9" t="s">
        <v>7159</v>
      </c>
      <c r="AJ1595" s="9" t="s">
        <v>301</v>
      </c>
      <c r="AK1595" s="11" t="str">
        <f t="shared" si="12"/>
        <v>2023GBP</v>
      </c>
      <c r="AL1595" s="11">
        <f>VLOOKUP(AK1595, Exchange_rates!$C:$D, 2, FALSE)</f>
        <v>1</v>
      </c>
      <c r="AM1595" s="14">
        <f t="shared" si="13"/>
        <v>2922</v>
      </c>
      <c r="AN1595" s="9"/>
      <c r="AO1595" s="9"/>
      <c r="AP1595" s="17"/>
      <c r="AQ1595" s="15" t="s">
        <v>49</v>
      </c>
      <c r="AR1595" t="s">
        <v>7892</v>
      </c>
      <c r="AS1595" s="16" t="s">
        <v>7893</v>
      </c>
    </row>
    <row r="1596" spans="1:60" ht="14.5">
      <c r="A1596" s="9" t="s">
        <v>7894</v>
      </c>
      <c r="B1596" s="9" t="s">
        <v>7895</v>
      </c>
      <c r="C1596" s="9" t="s">
        <v>7896</v>
      </c>
      <c r="D1596" s="9" t="s">
        <v>4371</v>
      </c>
      <c r="E1596" s="17" t="s">
        <v>49</v>
      </c>
      <c r="F1596" s="9" t="s">
        <v>69</v>
      </c>
      <c r="G1596" s="9" t="s">
        <v>70</v>
      </c>
      <c r="H1596" s="9" t="s">
        <v>7152</v>
      </c>
      <c r="I1596" s="9" t="s">
        <v>291</v>
      </c>
      <c r="J1596" s="10">
        <v>44805</v>
      </c>
      <c r="K1596" s="10">
        <v>44982</v>
      </c>
      <c r="L1596" s="10">
        <v>44987</v>
      </c>
      <c r="M1596" s="10">
        <v>44995</v>
      </c>
      <c r="N1596" s="9">
        <v>2023</v>
      </c>
      <c r="O1596" s="9" t="s">
        <v>7889</v>
      </c>
      <c r="P1596" s="9" t="s">
        <v>53</v>
      </c>
      <c r="Q1596" s="9" t="s">
        <v>53</v>
      </c>
      <c r="R1596" s="9" t="s">
        <v>7897</v>
      </c>
      <c r="T1596" s="9"/>
      <c r="V1596" s="9" t="s">
        <v>7155</v>
      </c>
      <c r="AC1596" s="9" t="s">
        <v>7898</v>
      </c>
      <c r="AD1596" s="9" t="s">
        <v>7899</v>
      </c>
      <c r="AE1596" s="9"/>
      <c r="AH1596" s="9">
        <v>2435</v>
      </c>
      <c r="AI1596" s="9" t="s">
        <v>7159</v>
      </c>
      <c r="AJ1596" s="9" t="s">
        <v>301</v>
      </c>
      <c r="AK1596" s="11" t="str">
        <f t="shared" si="12"/>
        <v>2023GBP</v>
      </c>
      <c r="AL1596" s="11">
        <f>VLOOKUP(AK1596, Exchange_rates!$C:$D, 2, FALSE)</f>
        <v>1</v>
      </c>
      <c r="AM1596" s="14">
        <f t="shared" si="13"/>
        <v>2922</v>
      </c>
      <c r="AN1596" s="9"/>
      <c r="AO1596" s="9"/>
      <c r="AP1596" s="17"/>
      <c r="AQ1596" s="15" t="s">
        <v>49</v>
      </c>
      <c r="AR1596" t="s">
        <v>7900</v>
      </c>
      <c r="AS1596" s="16" t="s">
        <v>7901</v>
      </c>
    </row>
    <row r="1597" spans="1:60" ht="14.5">
      <c r="A1597" s="9" t="s">
        <v>7902</v>
      </c>
      <c r="B1597" s="9" t="s">
        <v>7903</v>
      </c>
      <c r="C1597" s="9" t="s">
        <v>7904</v>
      </c>
      <c r="D1597" s="9" t="s">
        <v>4371</v>
      </c>
      <c r="E1597" s="17" t="s">
        <v>49</v>
      </c>
      <c r="F1597" s="9" t="s">
        <v>69</v>
      </c>
      <c r="G1597" s="9" t="s">
        <v>70</v>
      </c>
      <c r="H1597" s="9" t="s">
        <v>7152</v>
      </c>
      <c r="I1597" s="9" t="s">
        <v>291</v>
      </c>
      <c r="J1597" s="10">
        <v>44915</v>
      </c>
      <c r="K1597" s="10">
        <v>44973</v>
      </c>
      <c r="L1597" s="10">
        <v>44986</v>
      </c>
      <c r="M1597" s="10">
        <v>44994</v>
      </c>
      <c r="N1597" s="9">
        <v>2023</v>
      </c>
      <c r="O1597" s="9" t="s">
        <v>7889</v>
      </c>
      <c r="P1597" s="9" t="s">
        <v>53</v>
      </c>
      <c r="Q1597" s="9" t="s">
        <v>53</v>
      </c>
      <c r="R1597" s="9" t="s">
        <v>7905</v>
      </c>
      <c r="T1597" s="9"/>
      <c r="V1597" s="9" t="s">
        <v>7155</v>
      </c>
      <c r="AC1597" s="9" t="s">
        <v>7906</v>
      </c>
      <c r="AD1597" s="9" t="s">
        <v>6308</v>
      </c>
      <c r="AE1597" s="9" t="s">
        <v>6309</v>
      </c>
      <c r="AH1597" s="9">
        <v>2435</v>
      </c>
      <c r="AI1597" s="9" t="s">
        <v>7159</v>
      </c>
      <c r="AJ1597" s="9" t="s">
        <v>301</v>
      </c>
      <c r="AK1597" s="11" t="str">
        <f t="shared" si="12"/>
        <v>2023GBP</v>
      </c>
      <c r="AL1597" s="11">
        <f>VLOOKUP(AK1597, Exchange_rates!$C:$D, 2, FALSE)</f>
        <v>1</v>
      </c>
      <c r="AM1597" s="14">
        <f t="shared" si="13"/>
        <v>2922</v>
      </c>
      <c r="AN1597" s="9"/>
      <c r="AO1597" s="9"/>
      <c r="AP1597" s="17"/>
      <c r="AQ1597" s="15" t="s">
        <v>49</v>
      </c>
      <c r="AR1597" t="s">
        <v>7907</v>
      </c>
      <c r="AS1597" s="16" t="s">
        <v>7908</v>
      </c>
    </row>
    <row r="1598" spans="1:60" ht="14.5">
      <c r="A1598" s="9" t="s">
        <v>7909</v>
      </c>
      <c r="B1598" s="9" t="s">
        <v>7910</v>
      </c>
      <c r="C1598" s="9" t="s">
        <v>5261</v>
      </c>
      <c r="D1598" s="9" t="s">
        <v>4371</v>
      </c>
      <c r="E1598" s="17" t="s">
        <v>49</v>
      </c>
      <c r="F1598" s="9" t="s">
        <v>69</v>
      </c>
      <c r="G1598" s="9" t="s">
        <v>70</v>
      </c>
      <c r="H1598" s="9" t="s">
        <v>7152</v>
      </c>
      <c r="I1598" s="9" t="s">
        <v>72</v>
      </c>
      <c r="J1598" s="10">
        <v>44763</v>
      </c>
      <c r="K1598" s="10">
        <v>44946</v>
      </c>
      <c r="L1598" s="10">
        <v>44959</v>
      </c>
      <c r="M1598" s="10"/>
      <c r="N1598" s="9">
        <v>2023</v>
      </c>
      <c r="O1598" s="9" t="s">
        <v>7889</v>
      </c>
      <c r="P1598" s="9" t="s">
        <v>83</v>
      </c>
      <c r="Q1598" s="9" t="s">
        <v>53</v>
      </c>
      <c r="R1598" s="9" t="s">
        <v>7911</v>
      </c>
      <c r="T1598" s="9"/>
      <c r="V1598" s="9" t="s">
        <v>7155</v>
      </c>
      <c r="AC1598" s="9" t="s">
        <v>604</v>
      </c>
      <c r="AD1598" s="9" t="s">
        <v>7912</v>
      </c>
      <c r="AE1598" s="9"/>
      <c r="AH1598" s="9">
        <v>2435</v>
      </c>
      <c r="AI1598" s="9" t="s">
        <v>7159</v>
      </c>
      <c r="AJ1598" s="9" t="s">
        <v>301</v>
      </c>
      <c r="AK1598" s="11" t="str">
        <f t="shared" si="12"/>
        <v>2023GBP</v>
      </c>
      <c r="AL1598" s="11">
        <f>VLOOKUP(AK1598, Exchange_rates!$C:$D, 2, FALSE)</f>
        <v>1</v>
      </c>
      <c r="AM1598" s="14">
        <f t="shared" si="13"/>
        <v>2922</v>
      </c>
      <c r="AN1598" s="9"/>
      <c r="AO1598" s="9"/>
      <c r="AP1598" s="17"/>
      <c r="AQ1598" s="15" t="s">
        <v>49</v>
      </c>
      <c r="AR1598" t="s">
        <v>5264</v>
      </c>
      <c r="AS1598" s="16" t="s">
        <v>5265</v>
      </c>
    </row>
    <row r="1599" spans="1:60" ht="14.5">
      <c r="A1599" s="9" t="s">
        <v>7913</v>
      </c>
      <c r="B1599" s="9" t="s">
        <v>7914</v>
      </c>
      <c r="C1599" s="9" t="s">
        <v>5427</v>
      </c>
      <c r="D1599" s="9" t="s">
        <v>4371</v>
      </c>
      <c r="E1599" s="17" t="s">
        <v>49</v>
      </c>
      <c r="F1599" s="9" t="s">
        <v>69</v>
      </c>
      <c r="G1599" s="9" t="s">
        <v>70</v>
      </c>
      <c r="H1599" s="9" t="s">
        <v>7152</v>
      </c>
      <c r="I1599" s="9" t="s">
        <v>72</v>
      </c>
      <c r="J1599" s="10">
        <v>44328</v>
      </c>
      <c r="K1599" s="10">
        <v>44967</v>
      </c>
      <c r="L1599" s="10">
        <v>44972</v>
      </c>
      <c r="M1599" s="10"/>
      <c r="N1599" s="9">
        <v>2023</v>
      </c>
      <c r="O1599" s="9" t="s">
        <v>7889</v>
      </c>
      <c r="P1599" s="9" t="s">
        <v>83</v>
      </c>
      <c r="Q1599" s="9" t="s">
        <v>53</v>
      </c>
      <c r="R1599" s="9" t="s">
        <v>4005</v>
      </c>
      <c r="T1599" s="9"/>
      <c r="V1599" s="9" t="s">
        <v>7155</v>
      </c>
      <c r="AC1599" s="9" t="s">
        <v>7915</v>
      </c>
      <c r="AD1599" s="9" t="s">
        <v>7916</v>
      </c>
      <c r="AE1599" s="9" t="s">
        <v>7917</v>
      </c>
      <c r="AH1599" s="9">
        <v>2435</v>
      </c>
      <c r="AI1599" s="9" t="s">
        <v>7159</v>
      </c>
      <c r="AJ1599" s="9" t="s">
        <v>301</v>
      </c>
      <c r="AK1599" s="11" t="str">
        <f t="shared" si="12"/>
        <v>2023GBP</v>
      </c>
      <c r="AL1599" s="11">
        <f>VLOOKUP(AK1599, Exchange_rates!$C:$D, 2, FALSE)</f>
        <v>1</v>
      </c>
      <c r="AM1599" s="14">
        <f t="shared" si="13"/>
        <v>2922</v>
      </c>
      <c r="AN1599" s="9"/>
      <c r="AO1599" s="9"/>
      <c r="AP1599" s="17"/>
      <c r="AQ1599" s="15" t="s">
        <v>49</v>
      </c>
      <c r="AR1599" t="s">
        <v>5429</v>
      </c>
      <c r="AS1599" s="16" t="s">
        <v>5430</v>
      </c>
    </row>
    <row r="1600" spans="1:60" ht="14.5">
      <c r="A1600" s="9" t="s">
        <v>7918</v>
      </c>
      <c r="B1600" s="9" t="s">
        <v>7919</v>
      </c>
      <c r="C1600" s="9" t="s">
        <v>5123</v>
      </c>
      <c r="D1600" s="9" t="s">
        <v>4371</v>
      </c>
      <c r="E1600" s="17" t="s">
        <v>49</v>
      </c>
      <c r="F1600" s="9" t="s">
        <v>69</v>
      </c>
      <c r="G1600" s="9" t="s">
        <v>70</v>
      </c>
      <c r="H1600" s="9" t="s">
        <v>7152</v>
      </c>
      <c r="I1600" s="9" t="s">
        <v>291</v>
      </c>
      <c r="J1600" s="10"/>
      <c r="K1600" s="10"/>
      <c r="L1600" s="10">
        <v>44966</v>
      </c>
      <c r="M1600" s="10"/>
      <c r="N1600" s="9">
        <v>2023</v>
      </c>
      <c r="O1600" s="9" t="s">
        <v>7889</v>
      </c>
      <c r="P1600" s="9" t="s">
        <v>53</v>
      </c>
      <c r="Q1600" s="9" t="s">
        <v>53</v>
      </c>
      <c r="T1600" s="9"/>
      <c r="V1600" s="9" t="s">
        <v>7155</v>
      </c>
      <c r="AC1600" s="9" t="s">
        <v>433</v>
      </c>
      <c r="AD1600" s="9" t="s">
        <v>434</v>
      </c>
      <c r="AE1600" s="9"/>
      <c r="AH1600" s="9">
        <v>2435</v>
      </c>
      <c r="AI1600" s="9" t="s">
        <v>7159</v>
      </c>
      <c r="AJ1600" s="9" t="s">
        <v>301</v>
      </c>
      <c r="AK1600" s="11" t="str">
        <f t="shared" si="12"/>
        <v>2023GBP</v>
      </c>
      <c r="AL1600" s="11">
        <f>VLOOKUP(AK1600, Exchange_rates!$C:$D, 2, FALSE)</f>
        <v>1</v>
      </c>
      <c r="AM1600" s="14">
        <f t="shared" si="13"/>
        <v>2922</v>
      </c>
      <c r="AN1600" s="9"/>
      <c r="AO1600" s="9"/>
      <c r="AP1600" s="17"/>
      <c r="AQ1600" s="15" t="s">
        <v>49</v>
      </c>
      <c r="AR1600" t="s">
        <v>5125</v>
      </c>
      <c r="AS1600" s="16" t="s">
        <v>5126</v>
      </c>
    </row>
    <row r="1601" spans="1:45" ht="14.5">
      <c r="A1601" s="9" t="s">
        <v>7920</v>
      </c>
      <c r="B1601" s="9" t="s">
        <v>7921</v>
      </c>
      <c r="C1601" s="9" t="s">
        <v>7922</v>
      </c>
      <c r="D1601" s="9" t="s">
        <v>4371</v>
      </c>
      <c r="E1601" s="17" t="s">
        <v>49</v>
      </c>
      <c r="F1601" s="9" t="s">
        <v>69</v>
      </c>
      <c r="G1601" s="9" t="s">
        <v>70</v>
      </c>
      <c r="H1601" s="9" t="s">
        <v>7152</v>
      </c>
      <c r="I1601" s="9" t="s">
        <v>291</v>
      </c>
      <c r="J1601" s="10">
        <v>44875</v>
      </c>
      <c r="K1601" s="10">
        <v>44958</v>
      </c>
      <c r="L1601" s="10">
        <v>44964</v>
      </c>
      <c r="M1601" s="10"/>
      <c r="N1601" s="9">
        <v>2023</v>
      </c>
      <c r="O1601" s="9" t="s">
        <v>7889</v>
      </c>
      <c r="P1601" s="9" t="s">
        <v>53</v>
      </c>
      <c r="Q1601" s="9" t="s">
        <v>53</v>
      </c>
      <c r="T1601" s="9"/>
      <c r="V1601" s="9" t="s">
        <v>7155</v>
      </c>
      <c r="AC1601" s="9" t="s">
        <v>7923</v>
      </c>
      <c r="AD1601" s="9" t="s">
        <v>7924</v>
      </c>
      <c r="AE1601" s="9"/>
      <c r="AH1601" s="9">
        <v>2435</v>
      </c>
      <c r="AI1601" s="9" t="s">
        <v>7159</v>
      </c>
      <c r="AJ1601" s="9" t="s">
        <v>301</v>
      </c>
      <c r="AK1601" s="11" t="str">
        <f t="shared" si="12"/>
        <v>2023GBP</v>
      </c>
      <c r="AL1601" s="11">
        <f>VLOOKUP(AK1601, Exchange_rates!$C:$D, 2, FALSE)</f>
        <v>1</v>
      </c>
      <c r="AM1601" s="14">
        <f t="shared" si="13"/>
        <v>2922</v>
      </c>
      <c r="AN1601" s="9"/>
      <c r="AO1601" s="9"/>
      <c r="AP1601" s="17"/>
      <c r="AQ1601" s="15" t="s">
        <v>49</v>
      </c>
      <c r="AR1601" t="s">
        <v>7925</v>
      </c>
      <c r="AS1601" s="16" t="s">
        <v>7926</v>
      </c>
    </row>
    <row r="1602" spans="1:45" ht="14.5">
      <c r="A1602" s="9" t="s">
        <v>7927</v>
      </c>
      <c r="B1602" s="9" t="s">
        <v>7928</v>
      </c>
      <c r="C1602" s="9" t="s">
        <v>7929</v>
      </c>
      <c r="D1602" s="9" t="s">
        <v>7930</v>
      </c>
      <c r="E1602" s="9" t="s">
        <v>49</v>
      </c>
      <c r="F1602" s="9" t="s">
        <v>69</v>
      </c>
      <c r="G1602" s="9" t="s">
        <v>51</v>
      </c>
      <c r="H1602" s="9"/>
      <c r="I1602" s="9" t="s">
        <v>72</v>
      </c>
      <c r="J1602" s="10"/>
      <c r="K1602" s="10">
        <v>44927</v>
      </c>
      <c r="L1602" s="10"/>
      <c r="M1602" s="10">
        <v>44944</v>
      </c>
      <c r="N1602" s="9">
        <v>2023</v>
      </c>
      <c r="O1602" s="9" t="s">
        <v>7931</v>
      </c>
      <c r="P1602" s="9" t="s">
        <v>53</v>
      </c>
      <c r="Q1602" s="9" t="s">
        <v>53</v>
      </c>
      <c r="R1602" s="9" t="s">
        <v>7932</v>
      </c>
      <c r="T1602" s="9" t="s">
        <v>328</v>
      </c>
      <c r="V1602" s="9"/>
      <c r="AC1602" s="9" t="s">
        <v>7933</v>
      </c>
      <c r="AD1602" s="9" t="s">
        <v>7934</v>
      </c>
      <c r="AE1602" s="9"/>
      <c r="AF1602" s="9"/>
      <c r="AH1602" s="9">
        <v>3500</v>
      </c>
      <c r="AI1602" s="9" t="s">
        <v>77</v>
      </c>
      <c r="AJ1602" s="9" t="s">
        <v>57</v>
      </c>
      <c r="AK1602" s="11" t="str">
        <f t="shared" si="12"/>
        <v>2023USD</v>
      </c>
      <c r="AL1602" s="11">
        <f>VLOOKUP(AK1602, Exchange_rates!$C:$D, 2, FALSE)</f>
        <v>0.80430000000000001</v>
      </c>
      <c r="AM1602" s="14">
        <f t="shared" si="13"/>
        <v>3378.06</v>
      </c>
      <c r="AN1602" s="9"/>
      <c r="AO1602" s="9"/>
      <c r="AP1602" s="9"/>
      <c r="AQ1602" s="15" t="s">
        <v>49</v>
      </c>
      <c r="AR1602" t="s">
        <v>7935</v>
      </c>
      <c r="AS1602" s="16" t="s">
        <v>7936</v>
      </c>
    </row>
    <row r="1603" spans="1:45" ht="14.5">
      <c r="A1603" s="9" t="s">
        <v>7937</v>
      </c>
      <c r="B1603" s="9" t="s">
        <v>7938</v>
      </c>
      <c r="C1603" s="9" t="s">
        <v>7939</v>
      </c>
      <c r="D1603" s="9" t="s">
        <v>7930</v>
      </c>
      <c r="E1603" s="9" t="s">
        <v>49</v>
      </c>
      <c r="F1603" s="9" t="s">
        <v>69</v>
      </c>
      <c r="G1603" s="9" t="s">
        <v>70</v>
      </c>
      <c r="H1603" s="9" t="s">
        <v>7940</v>
      </c>
      <c r="I1603" s="9" t="s">
        <v>72</v>
      </c>
      <c r="J1603" s="10"/>
      <c r="K1603" s="10">
        <v>44949</v>
      </c>
      <c r="M1603" s="10">
        <v>44986</v>
      </c>
      <c r="N1603" s="9">
        <v>2023</v>
      </c>
      <c r="O1603" s="9" t="s">
        <v>7931</v>
      </c>
      <c r="P1603" s="9" t="s">
        <v>83</v>
      </c>
      <c r="Q1603" s="9" t="s">
        <v>53</v>
      </c>
      <c r="R1603" s="9" t="s">
        <v>7941</v>
      </c>
      <c r="T1603" s="9"/>
      <c r="V1603" s="9"/>
      <c r="AC1603" s="9" t="s">
        <v>7942</v>
      </c>
      <c r="AD1603" s="9" t="s">
        <v>7943</v>
      </c>
      <c r="AE1603" s="9"/>
      <c r="AF1603" s="9"/>
      <c r="AH1603" s="9">
        <v>3500</v>
      </c>
      <c r="AI1603" s="9" t="s">
        <v>77</v>
      </c>
      <c r="AJ1603" s="9" t="s">
        <v>57</v>
      </c>
      <c r="AK1603" s="11" t="str">
        <f t="shared" si="12"/>
        <v>2023USD</v>
      </c>
      <c r="AL1603" s="11">
        <f>VLOOKUP(AK1603, Exchange_rates!$C:$D, 2, FALSE)</f>
        <v>0.80430000000000001</v>
      </c>
      <c r="AM1603" s="14">
        <f t="shared" si="13"/>
        <v>3378.06</v>
      </c>
      <c r="AN1603" s="9"/>
      <c r="AO1603" s="9"/>
      <c r="AP1603" s="9"/>
      <c r="AQ1603" s="15" t="s">
        <v>49</v>
      </c>
      <c r="AR1603" t="s">
        <v>7944</v>
      </c>
      <c r="AS1603" s="16" t="s">
        <v>7945</v>
      </c>
    </row>
    <row r="1604" spans="1:45" ht="14.5">
      <c r="A1604" s="9" t="s">
        <v>7946</v>
      </c>
      <c r="B1604" s="9" t="s">
        <v>7947</v>
      </c>
      <c r="C1604" s="9" t="s">
        <v>975</v>
      </c>
      <c r="D1604" s="9" t="s">
        <v>870</v>
      </c>
      <c r="E1604" s="9" t="s">
        <v>49</v>
      </c>
      <c r="F1604" s="9" t="s">
        <v>69</v>
      </c>
      <c r="G1604" s="9" t="s">
        <v>70</v>
      </c>
      <c r="H1604" s="9" t="s">
        <v>7452</v>
      </c>
      <c r="I1604" s="9" t="s">
        <v>72</v>
      </c>
      <c r="J1604" s="10"/>
      <c r="K1604" s="10"/>
      <c r="L1604" s="10">
        <v>44981</v>
      </c>
      <c r="M1604" s="10"/>
      <c r="N1604" s="9">
        <v>2023</v>
      </c>
      <c r="O1604" s="9" t="s">
        <v>7948</v>
      </c>
      <c r="P1604" s="9" t="s">
        <v>83</v>
      </c>
      <c r="Q1604" s="9" t="s">
        <v>53</v>
      </c>
      <c r="R1604" s="9" t="s">
        <v>7949</v>
      </c>
      <c r="T1604" s="9"/>
      <c r="V1604" s="9"/>
      <c r="AC1604" s="9" t="s">
        <v>7950</v>
      </c>
      <c r="AH1604" s="18">
        <v>2400</v>
      </c>
      <c r="AI1604" s="19" t="s">
        <v>875</v>
      </c>
      <c r="AJ1604" s="11" t="s">
        <v>301</v>
      </c>
      <c r="AK1604" s="11" t="str">
        <f t="shared" si="12"/>
        <v>2023GBP</v>
      </c>
      <c r="AL1604" s="11">
        <f>VLOOKUP(AK1604, Exchange_rates!$C:$D, 2, FALSE)</f>
        <v>1</v>
      </c>
      <c r="AM1604" s="14">
        <f t="shared" si="13"/>
        <v>2880</v>
      </c>
      <c r="AN1604" s="9"/>
      <c r="AO1604" s="9"/>
      <c r="AP1604" s="9"/>
      <c r="AQ1604" s="15" t="s">
        <v>49</v>
      </c>
      <c r="AS1604" s="16" t="s">
        <v>978</v>
      </c>
    </row>
    <row r="1605" spans="1:45" ht="14.5">
      <c r="A1605" s="9" t="s">
        <v>7951</v>
      </c>
      <c r="B1605" s="9" t="s">
        <v>7952</v>
      </c>
      <c r="C1605" s="9" t="s">
        <v>7953</v>
      </c>
      <c r="D1605" s="9" t="s">
        <v>870</v>
      </c>
      <c r="E1605" s="9" t="s">
        <v>49</v>
      </c>
      <c r="F1605" s="9" t="s">
        <v>69</v>
      </c>
      <c r="G1605" s="9" t="s">
        <v>70</v>
      </c>
      <c r="H1605" s="9" t="s">
        <v>7452</v>
      </c>
      <c r="I1605" s="9" t="s">
        <v>72</v>
      </c>
      <c r="J1605" s="10"/>
      <c r="K1605" s="10"/>
      <c r="L1605" s="10">
        <v>44999</v>
      </c>
      <c r="M1605" s="10"/>
      <c r="N1605" s="9">
        <v>2023</v>
      </c>
      <c r="O1605" s="9" t="s">
        <v>7948</v>
      </c>
      <c r="P1605" s="9" t="s">
        <v>53</v>
      </c>
      <c r="Q1605" s="9" t="s">
        <v>53</v>
      </c>
      <c r="T1605" s="9"/>
      <c r="V1605" s="9"/>
      <c r="AC1605" s="9" t="s">
        <v>7954</v>
      </c>
      <c r="AH1605" s="18">
        <v>2240</v>
      </c>
      <c r="AI1605" s="19" t="s">
        <v>875</v>
      </c>
      <c r="AJ1605" s="11" t="s">
        <v>301</v>
      </c>
      <c r="AK1605" s="11" t="str">
        <f t="shared" si="12"/>
        <v>2023GBP</v>
      </c>
      <c r="AL1605" s="11">
        <f>VLOOKUP(AK1605, Exchange_rates!$C:$D, 2, FALSE)</f>
        <v>1</v>
      </c>
      <c r="AM1605" s="14">
        <f t="shared" si="13"/>
        <v>2688</v>
      </c>
      <c r="AN1605" s="9"/>
      <c r="AO1605" s="9"/>
      <c r="AP1605" s="9"/>
      <c r="AQ1605" s="15" t="s">
        <v>49</v>
      </c>
      <c r="AS1605" s="16" t="s">
        <v>7955</v>
      </c>
    </row>
    <row r="1606" spans="1:45" ht="14.5">
      <c r="A1606" s="9" t="s">
        <v>7956</v>
      </c>
      <c r="B1606" s="9" t="s">
        <v>7957</v>
      </c>
      <c r="C1606" s="9" t="s">
        <v>7958</v>
      </c>
      <c r="D1606" s="9" t="s">
        <v>870</v>
      </c>
      <c r="E1606" s="9" t="s">
        <v>49</v>
      </c>
      <c r="F1606" s="9" t="s">
        <v>69</v>
      </c>
      <c r="G1606" s="9" t="s">
        <v>70</v>
      </c>
      <c r="H1606" s="9" t="s">
        <v>7452</v>
      </c>
      <c r="I1606" s="9" t="s">
        <v>72</v>
      </c>
      <c r="J1606" s="10"/>
      <c r="K1606" s="10"/>
      <c r="L1606" s="10">
        <v>44972</v>
      </c>
      <c r="M1606" s="10"/>
      <c r="N1606" s="9">
        <v>2023</v>
      </c>
      <c r="O1606" s="9" t="s">
        <v>7948</v>
      </c>
      <c r="P1606" s="9" t="s">
        <v>53</v>
      </c>
      <c r="Q1606" s="9" t="s">
        <v>53</v>
      </c>
      <c r="R1606" s="9" t="s">
        <v>7959</v>
      </c>
      <c r="T1606" s="9"/>
      <c r="V1606" s="9"/>
      <c r="AC1606" s="9" t="s">
        <v>7960</v>
      </c>
      <c r="AH1606" s="18">
        <v>2470</v>
      </c>
      <c r="AI1606" s="19" t="s">
        <v>875</v>
      </c>
      <c r="AJ1606" s="11" t="s">
        <v>301</v>
      </c>
      <c r="AK1606" s="11" t="str">
        <f t="shared" si="12"/>
        <v>2023GBP</v>
      </c>
      <c r="AL1606" s="11">
        <f>VLOOKUP(AK1606, Exchange_rates!$C:$D, 2, FALSE)</f>
        <v>1</v>
      </c>
      <c r="AM1606" s="14">
        <f t="shared" si="13"/>
        <v>2964</v>
      </c>
      <c r="AN1606" s="9"/>
      <c r="AO1606" s="9"/>
      <c r="AP1606" s="9"/>
      <c r="AQ1606" s="15" t="s">
        <v>49</v>
      </c>
      <c r="AS1606" s="16" t="s">
        <v>7961</v>
      </c>
    </row>
    <row r="1607" spans="1:45" ht="14.5">
      <c r="A1607" s="9" t="s">
        <v>7962</v>
      </c>
      <c r="B1607" s="9" t="s">
        <v>7963</v>
      </c>
      <c r="C1607" s="9" t="s">
        <v>7964</v>
      </c>
      <c r="D1607" s="9" t="s">
        <v>870</v>
      </c>
      <c r="E1607" s="9" t="s">
        <v>49</v>
      </c>
      <c r="F1607" s="9" t="s">
        <v>69</v>
      </c>
      <c r="G1607" s="9" t="s">
        <v>70</v>
      </c>
      <c r="H1607" s="9" t="s">
        <v>7452</v>
      </c>
      <c r="I1607" s="9" t="s">
        <v>72</v>
      </c>
      <c r="J1607" s="10"/>
      <c r="K1607" s="10"/>
      <c r="L1607" s="10">
        <v>44981</v>
      </c>
      <c r="M1607" s="10"/>
      <c r="N1607" s="9">
        <v>2023</v>
      </c>
      <c r="O1607" s="9" t="s">
        <v>7948</v>
      </c>
      <c r="P1607" s="9" t="s">
        <v>83</v>
      </c>
      <c r="Q1607" s="9" t="s">
        <v>53</v>
      </c>
      <c r="R1607" s="9" t="s">
        <v>7965</v>
      </c>
      <c r="T1607" s="9"/>
      <c r="V1607" s="9"/>
      <c r="AC1607" s="9" t="s">
        <v>7966</v>
      </c>
      <c r="AH1607" s="18">
        <v>2400</v>
      </c>
      <c r="AI1607" s="19" t="s">
        <v>875</v>
      </c>
      <c r="AJ1607" s="11" t="s">
        <v>301</v>
      </c>
      <c r="AK1607" s="11" t="str">
        <f t="shared" si="12"/>
        <v>2023GBP</v>
      </c>
      <c r="AL1607" s="11">
        <f>VLOOKUP(AK1607, Exchange_rates!$C:$D, 2, FALSE)</f>
        <v>1</v>
      </c>
      <c r="AM1607" s="14">
        <f t="shared" si="13"/>
        <v>2880</v>
      </c>
      <c r="AN1607" s="9"/>
      <c r="AO1607" s="9"/>
      <c r="AP1607" s="9"/>
      <c r="AQ1607" s="15" t="s">
        <v>49</v>
      </c>
      <c r="AS1607" s="16" t="s">
        <v>7967</v>
      </c>
    </row>
    <row r="1608" spans="1:45" ht="14.5">
      <c r="A1608" s="9" t="s">
        <v>7968</v>
      </c>
      <c r="B1608" s="9" t="s">
        <v>7969</v>
      </c>
      <c r="C1608" s="9" t="s">
        <v>7970</v>
      </c>
      <c r="D1608" s="9" t="s">
        <v>870</v>
      </c>
      <c r="E1608" s="9" t="s">
        <v>49</v>
      </c>
      <c r="F1608" s="9" t="s">
        <v>69</v>
      </c>
      <c r="G1608" s="9" t="s">
        <v>70</v>
      </c>
      <c r="H1608" s="9" t="s">
        <v>7452</v>
      </c>
      <c r="I1608" s="9" t="s">
        <v>72</v>
      </c>
      <c r="J1608" s="10"/>
      <c r="K1608" s="10"/>
      <c r="L1608" s="10">
        <v>44992</v>
      </c>
      <c r="M1608" s="10"/>
      <c r="N1608" s="9">
        <v>2023</v>
      </c>
      <c r="O1608" s="9" t="s">
        <v>7948</v>
      </c>
      <c r="P1608" s="9" t="s">
        <v>53</v>
      </c>
      <c r="Q1608" s="9" t="s">
        <v>53</v>
      </c>
      <c r="R1608" s="9" t="s">
        <v>7971</v>
      </c>
      <c r="T1608" s="9"/>
      <c r="V1608" s="9"/>
      <c r="AC1608" s="9" t="s">
        <v>7972</v>
      </c>
      <c r="AH1608" s="18">
        <v>2640</v>
      </c>
      <c r="AI1608" s="19" t="s">
        <v>875</v>
      </c>
      <c r="AJ1608" s="11" t="s">
        <v>301</v>
      </c>
      <c r="AK1608" s="11" t="str">
        <f t="shared" si="12"/>
        <v>2023GBP</v>
      </c>
      <c r="AL1608" s="11">
        <f>VLOOKUP(AK1608, Exchange_rates!$C:$D, 2, FALSE)</f>
        <v>1</v>
      </c>
      <c r="AM1608" s="14">
        <f t="shared" si="13"/>
        <v>3168</v>
      </c>
      <c r="AN1608" s="9"/>
      <c r="AO1608" s="9"/>
      <c r="AP1608" s="9"/>
      <c r="AQ1608" s="15" t="s">
        <v>49</v>
      </c>
      <c r="AS1608" s="16" t="s">
        <v>7973</v>
      </c>
    </row>
    <row r="1609" spans="1:45" ht="14.5">
      <c r="A1609" s="9" t="s">
        <v>7974</v>
      </c>
      <c r="B1609" s="9" t="s">
        <v>7975</v>
      </c>
      <c r="C1609" s="9" t="s">
        <v>7976</v>
      </c>
      <c r="D1609" s="9" t="s">
        <v>870</v>
      </c>
      <c r="E1609" s="9" t="s">
        <v>49</v>
      </c>
      <c r="F1609" s="9" t="s">
        <v>69</v>
      </c>
      <c r="G1609" s="9" t="s">
        <v>70</v>
      </c>
      <c r="H1609" s="9" t="s">
        <v>7452</v>
      </c>
      <c r="I1609" s="9" t="s">
        <v>72</v>
      </c>
      <c r="J1609" s="10"/>
      <c r="K1609" s="10"/>
      <c r="L1609" s="10">
        <v>44987</v>
      </c>
      <c r="M1609" s="10"/>
      <c r="N1609" s="9">
        <v>2023</v>
      </c>
      <c r="O1609" s="9" t="s">
        <v>7948</v>
      </c>
      <c r="P1609" s="9" t="s">
        <v>53</v>
      </c>
      <c r="Q1609" s="9" t="s">
        <v>53</v>
      </c>
      <c r="T1609" s="9"/>
      <c r="V1609" s="9"/>
      <c r="AC1609" s="9" t="s">
        <v>7977</v>
      </c>
      <c r="AH1609" s="18">
        <v>1900</v>
      </c>
      <c r="AI1609" s="19" t="s">
        <v>875</v>
      </c>
      <c r="AJ1609" s="11" t="s">
        <v>301</v>
      </c>
      <c r="AK1609" s="11" t="str">
        <f t="shared" si="12"/>
        <v>2023GBP</v>
      </c>
      <c r="AL1609" s="11">
        <f>VLOOKUP(AK1609, Exchange_rates!$C:$D, 2, FALSE)</f>
        <v>1</v>
      </c>
      <c r="AM1609" s="14">
        <f t="shared" si="13"/>
        <v>2280</v>
      </c>
      <c r="AN1609" s="9"/>
      <c r="AO1609" s="9"/>
      <c r="AP1609" s="9"/>
      <c r="AQ1609" s="15" t="s">
        <v>49</v>
      </c>
      <c r="AS1609" s="16" t="s">
        <v>7978</v>
      </c>
    </row>
    <row r="1610" spans="1:45" ht="14.5">
      <c r="A1610" s="9" t="s">
        <v>964</v>
      </c>
      <c r="B1610" s="9" t="s">
        <v>7979</v>
      </c>
      <c r="C1610" s="9" t="s">
        <v>964</v>
      </c>
      <c r="D1610" s="9" t="s">
        <v>870</v>
      </c>
      <c r="E1610" s="9" t="s">
        <v>49</v>
      </c>
      <c r="F1610" s="9" t="s">
        <v>69</v>
      </c>
      <c r="G1610" s="9" t="s">
        <v>70</v>
      </c>
      <c r="H1610" s="9" t="s">
        <v>7452</v>
      </c>
      <c r="I1610" s="9" t="s">
        <v>72</v>
      </c>
      <c r="J1610" s="10"/>
      <c r="K1610" s="10"/>
      <c r="L1610" s="10">
        <v>44987</v>
      </c>
      <c r="M1610" s="10"/>
      <c r="N1610" s="9">
        <v>2023</v>
      </c>
      <c r="O1610" s="9" t="s">
        <v>7948</v>
      </c>
      <c r="P1610" s="9" t="s">
        <v>53</v>
      </c>
      <c r="Q1610" s="9" t="s">
        <v>53</v>
      </c>
      <c r="R1610" s="9" t="s">
        <v>7980</v>
      </c>
      <c r="T1610" s="9"/>
      <c r="V1610" s="9"/>
      <c r="AC1610" s="9" t="s">
        <v>7981</v>
      </c>
      <c r="AH1610" s="18">
        <v>2480</v>
      </c>
      <c r="AI1610" s="19" t="s">
        <v>875</v>
      </c>
      <c r="AJ1610" s="11" t="s">
        <v>301</v>
      </c>
      <c r="AK1610" s="11" t="str">
        <f t="shared" si="12"/>
        <v>2023GBP</v>
      </c>
      <c r="AL1610" s="11">
        <f>VLOOKUP(AK1610, Exchange_rates!$C:$D, 2, FALSE)</f>
        <v>1</v>
      </c>
      <c r="AM1610" s="14">
        <f t="shared" si="13"/>
        <v>2976</v>
      </c>
      <c r="AN1610" s="9"/>
      <c r="AO1610" s="9"/>
      <c r="AP1610" s="9"/>
      <c r="AQ1610" s="15" t="s">
        <v>49</v>
      </c>
      <c r="AS1610" s="16" t="s">
        <v>967</v>
      </c>
    </row>
    <row r="1611" spans="1:45" ht="14.5">
      <c r="A1611" s="9" t="s">
        <v>7982</v>
      </c>
      <c r="B1611" s="9" t="s">
        <v>7983</v>
      </c>
      <c r="C1611" s="9" t="s">
        <v>7984</v>
      </c>
      <c r="D1611" s="9" t="s">
        <v>870</v>
      </c>
      <c r="E1611" s="9" t="s">
        <v>49</v>
      </c>
      <c r="F1611" s="9" t="s">
        <v>69</v>
      </c>
      <c r="G1611" s="9" t="s">
        <v>70</v>
      </c>
      <c r="H1611" s="9" t="s">
        <v>7452</v>
      </c>
      <c r="I1611" s="9" t="s">
        <v>72</v>
      </c>
      <c r="J1611" s="10"/>
      <c r="K1611" s="10"/>
      <c r="L1611" s="10">
        <v>44988</v>
      </c>
      <c r="M1611" s="10"/>
      <c r="N1611" s="9">
        <v>2023</v>
      </c>
      <c r="O1611" s="9" t="s">
        <v>7948</v>
      </c>
      <c r="P1611" s="9" t="s">
        <v>53</v>
      </c>
      <c r="Q1611" s="9" t="s">
        <v>53</v>
      </c>
      <c r="T1611" s="9"/>
      <c r="V1611" s="9"/>
      <c r="AC1611" s="9" t="s">
        <v>7985</v>
      </c>
      <c r="AH1611" s="18">
        <v>2680</v>
      </c>
      <c r="AI1611" s="19" t="s">
        <v>875</v>
      </c>
      <c r="AJ1611" s="11" t="s">
        <v>301</v>
      </c>
      <c r="AK1611" s="11" t="str">
        <f t="shared" si="12"/>
        <v>2023GBP</v>
      </c>
      <c r="AL1611" s="11">
        <f>VLOOKUP(AK1611, Exchange_rates!$C:$D, 2, FALSE)</f>
        <v>1</v>
      </c>
      <c r="AM1611" s="14">
        <f t="shared" si="13"/>
        <v>3216</v>
      </c>
      <c r="AN1611" s="9"/>
      <c r="AO1611" s="9"/>
      <c r="AP1611" s="9"/>
      <c r="AQ1611" s="15" t="s">
        <v>49</v>
      </c>
      <c r="AS1611" s="16" t="s">
        <v>7986</v>
      </c>
    </row>
    <row r="1612" spans="1:45" ht="14.5">
      <c r="A1612" s="9" t="s">
        <v>7987</v>
      </c>
      <c r="B1612" s="9" t="s">
        <v>7988</v>
      </c>
      <c r="C1612" s="9" t="s">
        <v>7989</v>
      </c>
      <c r="D1612" s="9" t="s">
        <v>870</v>
      </c>
      <c r="E1612" s="9" t="s">
        <v>49</v>
      </c>
      <c r="F1612" s="9" t="s">
        <v>69</v>
      </c>
      <c r="G1612" s="9" t="s">
        <v>70</v>
      </c>
      <c r="H1612" s="9" t="s">
        <v>7452</v>
      </c>
      <c r="I1612" s="9" t="s">
        <v>291</v>
      </c>
      <c r="J1612" s="10"/>
      <c r="K1612" s="10"/>
      <c r="L1612" s="10">
        <v>44980</v>
      </c>
      <c r="M1612" s="10"/>
      <c r="N1612" s="9">
        <v>2023</v>
      </c>
      <c r="O1612" s="9" t="s">
        <v>7948</v>
      </c>
      <c r="P1612" s="9" t="s">
        <v>53</v>
      </c>
      <c r="Q1612" s="9" t="s">
        <v>53</v>
      </c>
      <c r="T1612" s="9"/>
      <c r="V1612" s="9"/>
      <c r="AC1612" s="9" t="s">
        <v>7990</v>
      </c>
      <c r="AH1612" s="18">
        <v>2790</v>
      </c>
      <c r="AI1612" s="19" t="s">
        <v>875</v>
      </c>
      <c r="AJ1612" s="11" t="s">
        <v>301</v>
      </c>
      <c r="AK1612" s="11" t="str">
        <f t="shared" si="12"/>
        <v>2023GBP</v>
      </c>
      <c r="AL1612" s="11">
        <f>VLOOKUP(AK1612, Exchange_rates!$C:$D, 2, FALSE)</f>
        <v>1</v>
      </c>
      <c r="AM1612" s="14">
        <f t="shared" si="13"/>
        <v>3348</v>
      </c>
      <c r="AN1612" s="9"/>
      <c r="AO1612" s="9"/>
      <c r="AP1612" s="9"/>
      <c r="AQ1612" s="15" t="s">
        <v>49</v>
      </c>
      <c r="AS1612" s="16" t="s">
        <v>7991</v>
      </c>
    </row>
    <row r="1613" spans="1:45" ht="14.5">
      <c r="A1613" s="9" t="s">
        <v>7992</v>
      </c>
      <c r="B1613" s="9" t="s">
        <v>7993</v>
      </c>
      <c r="C1613" s="9" t="s">
        <v>7994</v>
      </c>
      <c r="D1613" s="9" t="s">
        <v>870</v>
      </c>
      <c r="E1613" s="9" t="s">
        <v>49</v>
      </c>
      <c r="F1613" s="9" t="s">
        <v>69</v>
      </c>
      <c r="G1613" s="9" t="s">
        <v>70</v>
      </c>
      <c r="H1613" s="9" t="s">
        <v>7452</v>
      </c>
      <c r="I1613" s="9" t="s">
        <v>238</v>
      </c>
      <c r="J1613" s="10"/>
      <c r="K1613" s="10"/>
      <c r="L1613" s="10">
        <v>44986</v>
      </c>
      <c r="M1613" s="10"/>
      <c r="N1613" s="9">
        <v>2023</v>
      </c>
      <c r="O1613" s="9" t="s">
        <v>7948</v>
      </c>
      <c r="P1613" s="9" t="s">
        <v>53</v>
      </c>
      <c r="Q1613" s="9" t="s">
        <v>53</v>
      </c>
      <c r="T1613" s="9"/>
      <c r="V1613" s="9"/>
      <c r="AC1613" s="9" t="s">
        <v>7995</v>
      </c>
      <c r="AH1613" s="18">
        <v>2570</v>
      </c>
      <c r="AI1613" s="19" t="s">
        <v>875</v>
      </c>
      <c r="AJ1613" s="11" t="s">
        <v>301</v>
      </c>
      <c r="AK1613" s="11" t="str">
        <f t="shared" si="12"/>
        <v>2023GBP</v>
      </c>
      <c r="AL1613" s="11">
        <f>VLOOKUP(AK1613, Exchange_rates!$C:$D, 2, FALSE)</f>
        <v>1</v>
      </c>
      <c r="AM1613" s="14">
        <f t="shared" si="13"/>
        <v>3084</v>
      </c>
      <c r="AN1613" s="9"/>
      <c r="AO1613" s="9"/>
      <c r="AP1613" s="9"/>
      <c r="AQ1613" s="15" t="s">
        <v>49</v>
      </c>
      <c r="AS1613" s="16" t="s">
        <v>7996</v>
      </c>
    </row>
    <row r="1614" spans="1:45" ht="14.5">
      <c r="A1614" s="9" t="s">
        <v>7997</v>
      </c>
      <c r="B1614" s="9" t="s">
        <v>7998</v>
      </c>
      <c r="C1614" s="9" t="s">
        <v>7999</v>
      </c>
      <c r="D1614" s="9" t="s">
        <v>870</v>
      </c>
      <c r="E1614" s="9" t="s">
        <v>125</v>
      </c>
      <c r="F1614" s="9" t="s">
        <v>69</v>
      </c>
      <c r="G1614" s="9" t="s">
        <v>51</v>
      </c>
      <c r="H1614" s="9"/>
      <c r="I1614" s="9" t="s">
        <v>72</v>
      </c>
      <c r="J1614" s="10"/>
      <c r="K1614" s="10"/>
      <c r="L1614" s="10">
        <v>44995</v>
      </c>
      <c r="M1614" s="10"/>
      <c r="N1614" s="9">
        <v>2023</v>
      </c>
      <c r="O1614" s="9" t="s">
        <v>7948</v>
      </c>
      <c r="P1614" s="9" t="s">
        <v>53</v>
      </c>
      <c r="Q1614" s="9" t="s">
        <v>53</v>
      </c>
      <c r="T1614" s="9" t="s">
        <v>279</v>
      </c>
      <c r="V1614" s="9"/>
      <c r="AC1614" s="9" t="s">
        <v>8000</v>
      </c>
      <c r="AH1614" s="18">
        <v>2240</v>
      </c>
      <c r="AI1614" s="19" t="s">
        <v>875</v>
      </c>
      <c r="AJ1614" s="11" t="s">
        <v>301</v>
      </c>
      <c r="AK1614" s="11" t="str">
        <f t="shared" si="12"/>
        <v>2023GBP</v>
      </c>
      <c r="AL1614" s="11">
        <f>VLOOKUP(AK1614, Exchange_rates!$C:$D, 2, FALSE)</f>
        <v>1</v>
      </c>
      <c r="AM1614" s="14">
        <f t="shared" si="13"/>
        <v>2688</v>
      </c>
      <c r="AN1614" s="9"/>
      <c r="AO1614" s="9"/>
      <c r="AP1614" s="9"/>
      <c r="AQ1614" s="15" t="s">
        <v>125</v>
      </c>
      <c r="AS1614" s="16" t="s">
        <v>8001</v>
      </c>
    </row>
    <row r="1615" spans="1:45" ht="14.5">
      <c r="A1615" s="9" t="s">
        <v>8002</v>
      </c>
      <c r="B1615" s="9" t="s">
        <v>8003</v>
      </c>
      <c r="C1615" s="9" t="s">
        <v>8004</v>
      </c>
      <c r="D1615" s="9" t="s">
        <v>870</v>
      </c>
      <c r="E1615" s="9" t="s">
        <v>49</v>
      </c>
      <c r="F1615" s="9" t="s">
        <v>69</v>
      </c>
      <c r="G1615" s="9" t="s">
        <v>70</v>
      </c>
      <c r="H1615" s="9" t="s">
        <v>7452</v>
      </c>
      <c r="I1615" s="9" t="s">
        <v>72</v>
      </c>
      <c r="J1615" s="10"/>
      <c r="K1615" s="10"/>
      <c r="L1615" s="10">
        <v>44973</v>
      </c>
      <c r="M1615" s="10"/>
      <c r="N1615" s="9">
        <v>2023</v>
      </c>
      <c r="O1615" s="9" t="s">
        <v>7948</v>
      </c>
      <c r="P1615" s="9" t="s">
        <v>53</v>
      </c>
      <c r="Q1615" s="9" t="s">
        <v>53</v>
      </c>
      <c r="T1615" s="9"/>
      <c r="V1615" s="9"/>
      <c r="AC1615" s="9" t="s">
        <v>8005</v>
      </c>
      <c r="AH1615" s="18">
        <v>4030</v>
      </c>
      <c r="AI1615" s="19" t="s">
        <v>875</v>
      </c>
      <c r="AJ1615" s="11" t="s">
        <v>301</v>
      </c>
      <c r="AK1615" s="11" t="str">
        <f t="shared" si="12"/>
        <v>2023GBP</v>
      </c>
      <c r="AL1615" s="11">
        <f>VLOOKUP(AK1615, Exchange_rates!$C:$D, 2, FALSE)</f>
        <v>1</v>
      </c>
      <c r="AM1615" s="14">
        <f t="shared" si="13"/>
        <v>4836</v>
      </c>
      <c r="AN1615" s="9"/>
      <c r="AO1615" s="9"/>
      <c r="AP1615" s="9"/>
      <c r="AQ1615" s="15" t="s">
        <v>49</v>
      </c>
      <c r="AS1615" s="16" t="s">
        <v>8006</v>
      </c>
    </row>
    <row r="1616" spans="1:45" ht="14.5">
      <c r="A1616" s="9" t="s">
        <v>8007</v>
      </c>
      <c r="B1616" s="9" t="s">
        <v>8008</v>
      </c>
      <c r="C1616" s="9" t="s">
        <v>7488</v>
      </c>
      <c r="D1616" s="9" t="s">
        <v>870</v>
      </c>
      <c r="E1616" s="9" t="s">
        <v>49</v>
      </c>
      <c r="F1616" s="9" t="s">
        <v>69</v>
      </c>
      <c r="G1616" s="9" t="s">
        <v>70</v>
      </c>
      <c r="H1616" s="9" t="s">
        <v>7452</v>
      </c>
      <c r="I1616" s="9" t="s">
        <v>72</v>
      </c>
      <c r="J1616" s="10"/>
      <c r="K1616" s="10"/>
      <c r="L1616" s="10">
        <v>44973</v>
      </c>
      <c r="M1616" s="10"/>
      <c r="N1616" s="9">
        <v>2023</v>
      </c>
      <c r="O1616" s="9" t="s">
        <v>7948</v>
      </c>
      <c r="P1616" s="9" t="s">
        <v>83</v>
      </c>
      <c r="Q1616" s="9" t="s">
        <v>53</v>
      </c>
      <c r="R1616" s="9" t="s">
        <v>8009</v>
      </c>
      <c r="T1616" s="9"/>
      <c r="V1616" s="9"/>
      <c r="AC1616" s="9" t="s">
        <v>8010</v>
      </c>
      <c r="AH1616" s="18">
        <v>4070</v>
      </c>
      <c r="AI1616" s="19" t="s">
        <v>875</v>
      </c>
      <c r="AJ1616" s="11" t="s">
        <v>301</v>
      </c>
      <c r="AK1616" s="11" t="str">
        <f t="shared" si="12"/>
        <v>2023GBP</v>
      </c>
      <c r="AL1616" s="11">
        <f>VLOOKUP(AK1616, Exchange_rates!$C:$D, 2, FALSE)</f>
        <v>1</v>
      </c>
      <c r="AM1616" s="14">
        <f t="shared" si="13"/>
        <v>4884</v>
      </c>
      <c r="AN1616" s="9"/>
      <c r="AO1616" s="9"/>
      <c r="AP1616" s="9"/>
      <c r="AQ1616" s="15" t="s">
        <v>49</v>
      </c>
      <c r="AS1616" s="16" t="s">
        <v>7491</v>
      </c>
    </row>
    <row r="1617" spans="1:45" ht="14.5">
      <c r="A1617" s="9" t="s">
        <v>8011</v>
      </c>
      <c r="B1617" s="9" t="s">
        <v>8012</v>
      </c>
      <c r="C1617" s="9" t="s">
        <v>8013</v>
      </c>
      <c r="D1617" s="9" t="s">
        <v>870</v>
      </c>
      <c r="E1617" s="9" t="s">
        <v>49</v>
      </c>
      <c r="F1617" s="9" t="s">
        <v>69</v>
      </c>
      <c r="G1617" s="9" t="s">
        <v>70</v>
      </c>
      <c r="H1617" s="9" t="s">
        <v>7452</v>
      </c>
      <c r="I1617" s="9" t="s">
        <v>72</v>
      </c>
      <c r="J1617" s="10"/>
      <c r="K1617" s="10"/>
      <c r="L1617" s="10">
        <v>44973</v>
      </c>
      <c r="M1617" s="10"/>
      <c r="N1617" s="9">
        <v>2023</v>
      </c>
      <c r="O1617" s="9" t="s">
        <v>7948</v>
      </c>
      <c r="P1617" s="9" t="s">
        <v>83</v>
      </c>
      <c r="Q1617" s="9" t="s">
        <v>53</v>
      </c>
      <c r="R1617" s="9" t="s">
        <v>8014</v>
      </c>
      <c r="T1617" s="9"/>
      <c r="V1617" s="9"/>
      <c r="AC1617" s="9" t="s">
        <v>8015</v>
      </c>
      <c r="AH1617" s="18">
        <v>2230</v>
      </c>
      <c r="AI1617" s="19" t="s">
        <v>875</v>
      </c>
      <c r="AJ1617" s="11" t="s">
        <v>301</v>
      </c>
      <c r="AK1617" s="11" t="str">
        <f t="shared" si="12"/>
        <v>2023GBP</v>
      </c>
      <c r="AL1617" s="11">
        <f>VLOOKUP(AK1617, Exchange_rates!$C:$D, 2, FALSE)</f>
        <v>1</v>
      </c>
      <c r="AM1617" s="14">
        <f t="shared" si="13"/>
        <v>2676</v>
      </c>
      <c r="AN1617" s="9"/>
      <c r="AO1617" s="9"/>
      <c r="AP1617" s="9"/>
      <c r="AQ1617" s="15" t="s">
        <v>49</v>
      </c>
      <c r="AS1617" s="16" t="s">
        <v>8016</v>
      </c>
    </row>
    <row r="1618" spans="1:45" ht="14.5">
      <c r="A1618" s="9" t="s">
        <v>8017</v>
      </c>
      <c r="B1618" s="9" t="s">
        <v>8018</v>
      </c>
      <c r="C1618" s="9" t="s">
        <v>1091</v>
      </c>
      <c r="D1618" s="9" t="s">
        <v>870</v>
      </c>
      <c r="E1618" s="9" t="s">
        <v>49</v>
      </c>
      <c r="F1618" s="9" t="s">
        <v>69</v>
      </c>
      <c r="G1618" s="9" t="s">
        <v>70</v>
      </c>
      <c r="H1618" s="9" t="s">
        <v>7452</v>
      </c>
      <c r="I1618" s="9" t="s">
        <v>72</v>
      </c>
      <c r="J1618" s="10"/>
      <c r="K1618" s="10"/>
      <c r="L1618" s="10">
        <v>44991</v>
      </c>
      <c r="M1618" s="10"/>
      <c r="N1618" s="9">
        <v>2023</v>
      </c>
      <c r="O1618" s="9" t="s">
        <v>7948</v>
      </c>
      <c r="P1618" s="9" t="s">
        <v>53</v>
      </c>
      <c r="Q1618" s="9" t="s">
        <v>53</v>
      </c>
      <c r="R1618" s="9" t="s">
        <v>8019</v>
      </c>
      <c r="T1618" s="9"/>
      <c r="V1618" s="9"/>
      <c r="AC1618" s="9" t="s">
        <v>8020</v>
      </c>
      <c r="AH1618" s="18">
        <v>3030</v>
      </c>
      <c r="AI1618" s="19" t="s">
        <v>875</v>
      </c>
      <c r="AJ1618" s="11" t="s">
        <v>301</v>
      </c>
      <c r="AK1618" s="11" t="str">
        <f t="shared" si="12"/>
        <v>2023GBP</v>
      </c>
      <c r="AL1618" s="11">
        <f>VLOOKUP(AK1618, Exchange_rates!$C:$D, 2, FALSE)</f>
        <v>1</v>
      </c>
      <c r="AM1618" s="14">
        <f t="shared" si="13"/>
        <v>3636</v>
      </c>
      <c r="AN1618" s="9"/>
      <c r="AO1618" s="9"/>
      <c r="AP1618" s="9"/>
      <c r="AQ1618" s="15" t="s">
        <v>49</v>
      </c>
      <c r="AS1618" s="16" t="s">
        <v>1094</v>
      </c>
    </row>
    <row r="1619" spans="1:45" ht="14.5">
      <c r="A1619" s="9" t="s">
        <v>8021</v>
      </c>
      <c r="B1619" s="38" t="s">
        <v>8022</v>
      </c>
      <c r="C1619" s="9" t="s">
        <v>8023</v>
      </c>
      <c r="D1619" s="9" t="s">
        <v>207</v>
      </c>
      <c r="E1619" s="9" t="s">
        <v>49</v>
      </c>
      <c r="F1619" s="9" t="s">
        <v>69</v>
      </c>
      <c r="G1619" s="9" t="s">
        <v>70</v>
      </c>
      <c r="H1619" s="9" t="s">
        <v>8024</v>
      </c>
      <c r="I1619" s="9" t="s">
        <v>72</v>
      </c>
      <c r="J1619" s="10"/>
      <c r="K1619" s="10"/>
      <c r="L1619" s="10"/>
      <c r="M1619" s="10">
        <v>44708</v>
      </c>
      <c r="N1619" s="9">
        <v>2022</v>
      </c>
      <c r="O1619" s="9" t="s">
        <v>8025</v>
      </c>
      <c r="P1619" s="9" t="s">
        <v>53</v>
      </c>
      <c r="Q1619" s="9" t="s">
        <v>53</v>
      </c>
      <c r="R1619" s="9" t="s">
        <v>210</v>
      </c>
      <c r="T1619" s="9"/>
      <c r="V1619" s="9"/>
      <c r="AH1619" s="9">
        <v>2295</v>
      </c>
      <c r="AI1619" s="9" t="s">
        <v>875</v>
      </c>
      <c r="AJ1619" s="9" t="s">
        <v>1823</v>
      </c>
      <c r="AK1619" s="11" t="str">
        <f t="shared" si="12"/>
        <v>2022EUR</v>
      </c>
      <c r="AL1619" s="11">
        <f>VLOOKUP(AK1619, Exchange_rates!$C:$D, 2, FALSE)</f>
        <v>0.8528</v>
      </c>
      <c r="AM1619" s="14">
        <f t="shared" si="13"/>
        <v>2348.6111999999998</v>
      </c>
      <c r="AN1619" s="9"/>
      <c r="AO1619" s="9"/>
      <c r="AP1619" s="9"/>
      <c r="AQ1619" s="15" t="s">
        <v>49</v>
      </c>
      <c r="AR1619" t="s">
        <v>8026</v>
      </c>
      <c r="AS1619" s="16" t="s">
        <v>8027</v>
      </c>
    </row>
    <row r="1620" spans="1:45" ht="14.5">
      <c r="A1620" s="9" t="s">
        <v>8028</v>
      </c>
      <c r="B1620" s="9" t="s">
        <v>8029</v>
      </c>
      <c r="C1620" s="9" t="s">
        <v>8030</v>
      </c>
      <c r="D1620" s="9" t="s">
        <v>207</v>
      </c>
      <c r="E1620" s="9" t="s">
        <v>49</v>
      </c>
      <c r="F1620" s="9" t="s">
        <v>69</v>
      </c>
      <c r="G1620" s="9" t="s">
        <v>70</v>
      </c>
      <c r="H1620" s="9" t="s">
        <v>8024</v>
      </c>
      <c r="I1620" s="9" t="s">
        <v>72</v>
      </c>
      <c r="J1620" s="10"/>
      <c r="K1620" s="10"/>
      <c r="L1620" s="10"/>
      <c r="M1620" s="10">
        <v>44852</v>
      </c>
      <c r="N1620" s="9">
        <v>2022</v>
      </c>
      <c r="O1620" s="9" t="s">
        <v>8025</v>
      </c>
      <c r="P1620" s="9" t="s">
        <v>53</v>
      </c>
      <c r="Q1620" s="9" t="s">
        <v>53</v>
      </c>
      <c r="R1620" s="9" t="s">
        <v>210</v>
      </c>
      <c r="T1620" s="9"/>
      <c r="V1620" s="9"/>
      <c r="AH1620" s="9">
        <v>2295</v>
      </c>
      <c r="AI1620" s="9" t="s">
        <v>875</v>
      </c>
      <c r="AJ1620" s="9" t="s">
        <v>1823</v>
      </c>
      <c r="AK1620" s="11" t="str">
        <f t="shared" si="12"/>
        <v>2022EUR</v>
      </c>
      <c r="AL1620" s="11">
        <f>VLOOKUP(AK1620, Exchange_rates!$C:$D, 2, FALSE)</f>
        <v>0.8528</v>
      </c>
      <c r="AM1620" s="14">
        <f t="shared" si="13"/>
        <v>2348.6111999999998</v>
      </c>
      <c r="AN1620" s="9"/>
      <c r="AO1620" s="9"/>
      <c r="AP1620" s="9"/>
      <c r="AQ1620" s="15" t="s">
        <v>49</v>
      </c>
      <c r="AR1620" t="s">
        <v>8031</v>
      </c>
      <c r="AS1620" s="16" t="s">
        <v>8032</v>
      </c>
    </row>
    <row r="1621" spans="1:45" ht="14.5">
      <c r="A1621" s="9" t="s">
        <v>8033</v>
      </c>
      <c r="B1621" s="9" t="s">
        <v>8034</v>
      </c>
      <c r="C1621" s="9" t="s">
        <v>8035</v>
      </c>
      <c r="D1621" s="9" t="s">
        <v>207</v>
      </c>
      <c r="E1621" s="9" t="s">
        <v>49</v>
      </c>
      <c r="F1621" s="9" t="s">
        <v>69</v>
      </c>
      <c r="G1621" s="9" t="s">
        <v>70</v>
      </c>
      <c r="H1621" s="9" t="s">
        <v>8024</v>
      </c>
      <c r="I1621" s="9" t="s">
        <v>72</v>
      </c>
      <c r="J1621" s="10"/>
      <c r="K1621" s="10"/>
      <c r="L1621" s="10"/>
      <c r="M1621" s="10">
        <v>44868</v>
      </c>
      <c r="N1621" s="9">
        <v>2022</v>
      </c>
      <c r="O1621" s="9" t="s">
        <v>8025</v>
      </c>
      <c r="P1621" s="9" t="s">
        <v>53</v>
      </c>
      <c r="Q1621" s="9" t="s">
        <v>53</v>
      </c>
      <c r="R1621" s="9" t="s">
        <v>210</v>
      </c>
      <c r="T1621" s="9"/>
      <c r="V1621" s="9"/>
      <c r="AH1621" s="9">
        <v>2295</v>
      </c>
      <c r="AI1621" s="9" t="s">
        <v>875</v>
      </c>
      <c r="AJ1621" s="9" t="s">
        <v>1823</v>
      </c>
      <c r="AK1621" s="11" t="str">
        <f t="shared" si="12"/>
        <v>2022EUR</v>
      </c>
      <c r="AL1621" s="11">
        <f>VLOOKUP(AK1621, Exchange_rates!$C:$D, 2, FALSE)</f>
        <v>0.8528</v>
      </c>
      <c r="AM1621" s="14">
        <f t="shared" si="13"/>
        <v>2348.6111999999998</v>
      </c>
      <c r="AN1621" s="9"/>
      <c r="AO1621" s="9"/>
      <c r="AP1621" s="9"/>
      <c r="AQ1621" s="15" t="s">
        <v>49</v>
      </c>
      <c r="AR1621" t="s">
        <v>8036</v>
      </c>
      <c r="AS1621" s="16" t="s">
        <v>8037</v>
      </c>
    </row>
    <row r="1622" spans="1:45" ht="14.5">
      <c r="A1622" s="9" t="s">
        <v>8038</v>
      </c>
      <c r="B1622" s="9" t="s">
        <v>8039</v>
      </c>
      <c r="C1622" s="9" t="s">
        <v>8040</v>
      </c>
      <c r="D1622" s="9" t="s">
        <v>207</v>
      </c>
      <c r="E1622" s="9" t="s">
        <v>49</v>
      </c>
      <c r="F1622" s="9" t="s">
        <v>69</v>
      </c>
      <c r="G1622" s="9" t="s">
        <v>70</v>
      </c>
      <c r="H1622" s="9" t="s">
        <v>8024</v>
      </c>
      <c r="I1622" s="9" t="s">
        <v>72</v>
      </c>
      <c r="J1622" s="10"/>
      <c r="K1622" s="10"/>
      <c r="L1622" s="10"/>
      <c r="M1622" s="10">
        <v>44902</v>
      </c>
      <c r="N1622" s="9">
        <v>2022</v>
      </c>
      <c r="O1622" s="9" t="s">
        <v>8025</v>
      </c>
      <c r="P1622" s="9" t="s">
        <v>53</v>
      </c>
      <c r="Q1622" s="9" t="s">
        <v>53</v>
      </c>
      <c r="R1622" s="9" t="s">
        <v>210</v>
      </c>
      <c r="T1622" s="9"/>
      <c r="V1622" s="9"/>
      <c r="AH1622" s="9">
        <v>2295</v>
      </c>
      <c r="AI1622" s="9" t="s">
        <v>875</v>
      </c>
      <c r="AJ1622" s="9" t="s">
        <v>1823</v>
      </c>
      <c r="AK1622" s="11" t="str">
        <f t="shared" si="12"/>
        <v>2022EUR</v>
      </c>
      <c r="AL1622" s="11">
        <f>VLOOKUP(AK1622, Exchange_rates!$C:$D, 2, FALSE)</f>
        <v>0.8528</v>
      </c>
      <c r="AM1622" s="14">
        <f t="shared" si="13"/>
        <v>2348.6111999999998</v>
      </c>
      <c r="AN1622" s="9"/>
      <c r="AO1622" s="9"/>
      <c r="AP1622" s="9"/>
      <c r="AQ1622" s="15" t="s">
        <v>49</v>
      </c>
      <c r="AR1622" t="s">
        <v>8041</v>
      </c>
      <c r="AS1622" s="16"/>
    </row>
    <row r="1623" spans="1:45" ht="14.5">
      <c r="A1623" s="9" t="s">
        <v>8042</v>
      </c>
      <c r="B1623" s="9" t="s">
        <v>8043</v>
      </c>
      <c r="C1623" s="9" t="s">
        <v>8044</v>
      </c>
      <c r="D1623" s="9" t="s">
        <v>7930</v>
      </c>
      <c r="E1623" s="9" t="s">
        <v>49</v>
      </c>
      <c r="F1623" s="9" t="s">
        <v>69</v>
      </c>
      <c r="G1623" s="9" t="s">
        <v>70</v>
      </c>
      <c r="H1623" s="9" t="s">
        <v>8045</v>
      </c>
      <c r="I1623" s="9" t="s">
        <v>72</v>
      </c>
      <c r="J1623" s="10"/>
      <c r="K1623" s="10"/>
      <c r="L1623" s="10">
        <v>44565</v>
      </c>
      <c r="M1623" s="10">
        <v>44562</v>
      </c>
      <c r="N1623" s="9">
        <v>2022</v>
      </c>
      <c r="O1623" s="9" t="s">
        <v>8046</v>
      </c>
      <c r="P1623" s="9" t="s">
        <v>53</v>
      </c>
      <c r="Q1623" s="9" t="s">
        <v>53</v>
      </c>
      <c r="T1623" s="9"/>
      <c r="V1623" s="9"/>
      <c r="AC1623" s="9" t="s">
        <v>8047</v>
      </c>
      <c r="AD1623" s="9" t="s">
        <v>8048</v>
      </c>
      <c r="AE1623" s="9"/>
      <c r="AF1623" s="9"/>
      <c r="AH1623" s="9">
        <v>3500</v>
      </c>
      <c r="AI1623" s="9" t="s">
        <v>77</v>
      </c>
      <c r="AJ1623" s="9" t="s">
        <v>57</v>
      </c>
      <c r="AK1623" s="11" t="str">
        <f t="shared" si="12"/>
        <v>2022USD</v>
      </c>
      <c r="AL1623" s="11">
        <f>VLOOKUP(AK1623, Exchange_rates!$C:$D, 2, FALSE)</f>
        <v>0.8115</v>
      </c>
      <c r="AM1623" s="14">
        <f t="shared" si="13"/>
        <v>3408.2999999999997</v>
      </c>
      <c r="AN1623" s="9"/>
      <c r="AO1623" s="9"/>
      <c r="AP1623" s="9"/>
      <c r="AQ1623" s="15" t="s">
        <v>49</v>
      </c>
      <c r="AR1623" t="s">
        <v>8049</v>
      </c>
      <c r="AS1623" s="16" t="s">
        <v>8050</v>
      </c>
    </row>
    <row r="1624" spans="1:45" ht="26">
      <c r="A1624" s="39" t="s">
        <v>8051</v>
      </c>
      <c r="B1624" s="9" t="s">
        <v>8052</v>
      </c>
      <c r="C1624" s="9" t="s">
        <v>8053</v>
      </c>
      <c r="D1624" s="9" t="s">
        <v>7930</v>
      </c>
      <c r="E1624" s="9" t="s">
        <v>49</v>
      </c>
      <c r="F1624" s="9" t="s">
        <v>69</v>
      </c>
      <c r="G1624" s="9" t="s">
        <v>70</v>
      </c>
      <c r="H1624" s="9" t="s">
        <v>8045</v>
      </c>
      <c r="I1624" s="9" t="s">
        <v>72</v>
      </c>
      <c r="J1624" s="10"/>
      <c r="K1624" s="10"/>
      <c r="L1624" s="10">
        <v>44615</v>
      </c>
      <c r="M1624" s="10">
        <v>44682</v>
      </c>
      <c r="N1624" s="9">
        <v>2022</v>
      </c>
      <c r="O1624" s="9" t="s">
        <v>8046</v>
      </c>
      <c r="P1624" s="9" t="s">
        <v>83</v>
      </c>
      <c r="Q1624" s="9" t="s">
        <v>53</v>
      </c>
      <c r="R1624" s="9" t="s">
        <v>7911</v>
      </c>
      <c r="T1624" s="9"/>
      <c r="V1624" s="9"/>
      <c r="AC1624" s="9" t="s">
        <v>8054</v>
      </c>
      <c r="AD1624" s="9" t="s">
        <v>8055</v>
      </c>
      <c r="AE1624" s="9"/>
      <c r="AF1624" s="9"/>
      <c r="AH1624" s="9">
        <v>2500</v>
      </c>
      <c r="AI1624" s="9" t="s">
        <v>77</v>
      </c>
      <c r="AJ1624" s="9" t="s">
        <v>57</v>
      </c>
      <c r="AK1624" s="11" t="str">
        <f t="shared" si="12"/>
        <v>2022USD</v>
      </c>
      <c r="AL1624" s="11">
        <f>VLOOKUP(AK1624, Exchange_rates!$C:$D, 2, FALSE)</f>
        <v>0.8115</v>
      </c>
      <c r="AM1624" s="14">
        <f t="shared" si="13"/>
        <v>2434.5</v>
      </c>
      <c r="AN1624" s="9"/>
      <c r="AO1624" s="9"/>
      <c r="AP1624" s="9"/>
      <c r="AQ1624" s="15" t="s">
        <v>49</v>
      </c>
      <c r="AR1624" t="s">
        <v>8056</v>
      </c>
      <c r="AS1624" s="16" t="s">
        <v>8057</v>
      </c>
    </row>
    <row r="1625" spans="1:45" ht="14.5">
      <c r="A1625" s="9" t="s">
        <v>8058</v>
      </c>
      <c r="B1625" s="9" t="s">
        <v>8059</v>
      </c>
      <c r="C1625" s="9" t="s">
        <v>8060</v>
      </c>
      <c r="D1625" s="9" t="s">
        <v>7930</v>
      </c>
      <c r="E1625" s="9" t="s">
        <v>49</v>
      </c>
      <c r="F1625" s="9" t="s">
        <v>69</v>
      </c>
      <c r="G1625" s="9" t="s">
        <v>70</v>
      </c>
      <c r="H1625" s="9" t="s">
        <v>8045</v>
      </c>
      <c r="I1625" s="9" t="s">
        <v>72</v>
      </c>
      <c r="J1625" s="10"/>
      <c r="K1625" s="10"/>
      <c r="L1625" s="10">
        <v>44722</v>
      </c>
      <c r="M1625" s="10">
        <v>44805</v>
      </c>
      <c r="N1625" s="9">
        <v>2022</v>
      </c>
      <c r="O1625" s="9" t="s">
        <v>8046</v>
      </c>
      <c r="P1625" s="9" t="s">
        <v>53</v>
      </c>
      <c r="Q1625" s="9" t="s">
        <v>53</v>
      </c>
      <c r="R1625" s="9" t="s">
        <v>1400</v>
      </c>
      <c r="T1625" s="9"/>
      <c r="V1625" s="9"/>
      <c r="AC1625" s="9" t="s">
        <v>8061</v>
      </c>
      <c r="AD1625" s="9" t="s">
        <v>8062</v>
      </c>
      <c r="AE1625" s="9"/>
      <c r="AF1625" s="9"/>
      <c r="AH1625" s="9">
        <v>3500</v>
      </c>
      <c r="AI1625" s="9" t="s">
        <v>77</v>
      </c>
      <c r="AJ1625" s="9" t="s">
        <v>57</v>
      </c>
      <c r="AK1625" s="11" t="str">
        <f t="shared" si="12"/>
        <v>2022USD</v>
      </c>
      <c r="AL1625" s="11">
        <f>VLOOKUP(AK1625, Exchange_rates!$C:$D, 2, FALSE)</f>
        <v>0.8115</v>
      </c>
      <c r="AM1625" s="14">
        <f t="shared" si="13"/>
        <v>3408.2999999999997</v>
      </c>
      <c r="AN1625" s="9"/>
      <c r="AO1625" s="9"/>
      <c r="AP1625" s="9"/>
      <c r="AQ1625" s="15" t="s">
        <v>49</v>
      </c>
      <c r="AS1625" s="16" t="s">
        <v>8063</v>
      </c>
    </row>
    <row r="1626" spans="1:45" ht="26">
      <c r="A1626" s="39" t="s">
        <v>8064</v>
      </c>
      <c r="B1626" s="9" t="s">
        <v>8065</v>
      </c>
      <c r="C1626" s="9" t="s">
        <v>7929</v>
      </c>
      <c r="D1626" s="9" t="s">
        <v>7930</v>
      </c>
      <c r="E1626" s="9" t="s">
        <v>49</v>
      </c>
      <c r="F1626" s="9" t="s">
        <v>69</v>
      </c>
      <c r="G1626" s="9" t="s">
        <v>70</v>
      </c>
      <c r="H1626" s="9" t="s">
        <v>8045</v>
      </c>
      <c r="I1626" s="9" t="s">
        <v>72</v>
      </c>
      <c r="J1626" s="10"/>
      <c r="K1626" s="10"/>
      <c r="L1626" s="10">
        <v>44747</v>
      </c>
      <c r="M1626" s="10">
        <v>44743</v>
      </c>
      <c r="N1626" s="9">
        <v>2022</v>
      </c>
      <c r="O1626" s="9" t="s">
        <v>8046</v>
      </c>
      <c r="P1626" s="9" t="s">
        <v>53</v>
      </c>
      <c r="Q1626" s="9" t="s">
        <v>53</v>
      </c>
      <c r="T1626" s="9"/>
      <c r="V1626" s="9"/>
      <c r="AC1626" s="9" t="s">
        <v>8066</v>
      </c>
      <c r="AD1626" s="9" t="s">
        <v>8067</v>
      </c>
      <c r="AE1626" s="9"/>
      <c r="AF1626" s="9"/>
      <c r="AH1626" s="9">
        <v>3500</v>
      </c>
      <c r="AI1626" s="9" t="s">
        <v>77</v>
      </c>
      <c r="AJ1626" s="9" t="s">
        <v>57</v>
      </c>
      <c r="AK1626" s="11" t="str">
        <f t="shared" si="12"/>
        <v>2022USD</v>
      </c>
      <c r="AL1626" s="11">
        <f>VLOOKUP(AK1626, Exchange_rates!$C:$D, 2, FALSE)</f>
        <v>0.8115</v>
      </c>
      <c r="AM1626" s="14">
        <f t="shared" si="13"/>
        <v>3408.2999999999997</v>
      </c>
      <c r="AN1626" s="9"/>
      <c r="AO1626" s="9"/>
      <c r="AP1626" s="9"/>
      <c r="AQ1626" s="15" t="s">
        <v>49</v>
      </c>
      <c r="AR1626" t="s">
        <v>7935</v>
      </c>
      <c r="AS1626" s="16" t="s">
        <v>7936</v>
      </c>
    </row>
    <row r="1627" spans="1:45" ht="14.5">
      <c r="A1627" s="39" t="s">
        <v>8068</v>
      </c>
      <c r="B1627" s="9" t="s">
        <v>8069</v>
      </c>
      <c r="C1627" s="9" t="s">
        <v>8070</v>
      </c>
      <c r="D1627" s="9" t="s">
        <v>7930</v>
      </c>
      <c r="E1627" s="9" t="s">
        <v>49</v>
      </c>
      <c r="F1627" s="9" t="s">
        <v>69</v>
      </c>
      <c r="G1627" s="9" t="s">
        <v>70</v>
      </c>
      <c r="H1627" s="9" t="s">
        <v>8045</v>
      </c>
      <c r="I1627" s="9" t="s">
        <v>72</v>
      </c>
      <c r="J1627" s="10"/>
      <c r="K1627" s="10"/>
      <c r="L1627" s="10">
        <v>44748</v>
      </c>
      <c r="M1627" s="10">
        <v>44774</v>
      </c>
      <c r="N1627" s="9">
        <v>2022</v>
      </c>
      <c r="O1627" s="9" t="s">
        <v>8046</v>
      </c>
      <c r="P1627" s="9" t="s">
        <v>53</v>
      </c>
      <c r="Q1627" s="9" t="s">
        <v>53</v>
      </c>
      <c r="T1627" s="9"/>
      <c r="V1627" s="9"/>
      <c r="AC1627" s="9" t="s">
        <v>8071</v>
      </c>
      <c r="AD1627" s="9" t="s">
        <v>8072</v>
      </c>
      <c r="AE1627" s="9"/>
      <c r="AF1627" s="9"/>
      <c r="AH1627" s="9">
        <v>3500</v>
      </c>
      <c r="AI1627" s="9" t="s">
        <v>77</v>
      </c>
      <c r="AJ1627" s="9" t="s">
        <v>57</v>
      </c>
      <c r="AK1627" s="11" t="str">
        <f t="shared" si="12"/>
        <v>2022USD</v>
      </c>
      <c r="AL1627" s="11">
        <f>VLOOKUP(AK1627, Exchange_rates!$C:$D, 2, FALSE)</f>
        <v>0.8115</v>
      </c>
      <c r="AM1627" s="14">
        <f t="shared" si="13"/>
        <v>3408.2999999999997</v>
      </c>
      <c r="AN1627" s="9"/>
      <c r="AO1627" s="9"/>
      <c r="AP1627" s="9"/>
      <c r="AQ1627" s="15" t="s">
        <v>49</v>
      </c>
      <c r="AR1627" t="s">
        <v>8073</v>
      </c>
      <c r="AS1627" s="16" t="s">
        <v>8074</v>
      </c>
    </row>
    <row r="1628" spans="1:45" ht="14.5">
      <c r="A1628" s="39" t="s">
        <v>8075</v>
      </c>
      <c r="B1628" s="9" t="s">
        <v>8076</v>
      </c>
      <c r="C1628" s="9" t="s">
        <v>8077</v>
      </c>
      <c r="D1628" s="9" t="s">
        <v>7930</v>
      </c>
      <c r="E1628" s="9" t="s">
        <v>49</v>
      </c>
      <c r="F1628" s="9" t="s">
        <v>69</v>
      </c>
      <c r="G1628" s="9" t="s">
        <v>70</v>
      </c>
      <c r="H1628" s="9" t="s">
        <v>8045</v>
      </c>
      <c r="I1628" s="9" t="s">
        <v>72</v>
      </c>
      <c r="J1628" s="10"/>
      <c r="K1628" s="10"/>
      <c r="L1628" s="10">
        <v>44785</v>
      </c>
      <c r="M1628" s="10">
        <v>44818</v>
      </c>
      <c r="N1628" s="9">
        <v>2022</v>
      </c>
      <c r="O1628" s="9" t="s">
        <v>8046</v>
      </c>
      <c r="P1628" s="9" t="s">
        <v>53</v>
      </c>
      <c r="Q1628" s="9" t="s">
        <v>53</v>
      </c>
      <c r="T1628" s="9"/>
      <c r="V1628" s="9"/>
      <c r="AC1628" s="9" t="s">
        <v>8078</v>
      </c>
      <c r="AD1628" s="9" t="s">
        <v>8079</v>
      </c>
      <c r="AE1628" s="9"/>
      <c r="AF1628" s="9"/>
      <c r="AH1628" s="9">
        <v>3500</v>
      </c>
      <c r="AI1628" s="9" t="s">
        <v>77</v>
      </c>
      <c r="AJ1628" s="9" t="s">
        <v>57</v>
      </c>
      <c r="AK1628" s="11" t="str">
        <f t="shared" si="12"/>
        <v>2022USD</v>
      </c>
      <c r="AL1628" s="11">
        <f>VLOOKUP(AK1628, Exchange_rates!$C:$D, 2, FALSE)</f>
        <v>0.8115</v>
      </c>
      <c r="AM1628" s="14">
        <f t="shared" si="13"/>
        <v>3408.2999999999997</v>
      </c>
      <c r="AN1628" s="9"/>
      <c r="AO1628" s="9"/>
      <c r="AP1628" s="9"/>
      <c r="AQ1628" s="15" t="s">
        <v>49</v>
      </c>
      <c r="AR1628" t="s">
        <v>8080</v>
      </c>
      <c r="AS1628" s="16" t="s">
        <v>8081</v>
      </c>
    </row>
    <row r="1629" spans="1:45" ht="14.5">
      <c r="A1629" s="9" t="s">
        <v>8082</v>
      </c>
      <c r="B1629" s="9" t="s">
        <v>8083</v>
      </c>
      <c r="C1629" s="9" t="s">
        <v>8077</v>
      </c>
      <c r="D1629" s="9" t="s">
        <v>7930</v>
      </c>
      <c r="E1629" s="9" t="s">
        <v>49</v>
      </c>
      <c r="F1629" s="9" t="s">
        <v>69</v>
      </c>
      <c r="G1629" s="9" t="s">
        <v>70</v>
      </c>
      <c r="H1629" s="9" t="s">
        <v>8045</v>
      </c>
      <c r="I1629" s="9" t="s">
        <v>72</v>
      </c>
      <c r="J1629" s="10"/>
      <c r="K1629" s="10"/>
      <c r="L1629" s="10">
        <v>44845</v>
      </c>
      <c r="M1629" s="10">
        <v>44872</v>
      </c>
      <c r="N1629" s="9">
        <v>2022</v>
      </c>
      <c r="O1629" s="9" t="s">
        <v>8046</v>
      </c>
      <c r="P1629" s="9" t="s">
        <v>53</v>
      </c>
      <c r="Q1629" s="9" t="s">
        <v>53</v>
      </c>
      <c r="T1629" s="9"/>
      <c r="V1629" s="9"/>
      <c r="AC1629" s="9" t="s">
        <v>8084</v>
      </c>
      <c r="AD1629" s="9" t="s">
        <v>8085</v>
      </c>
      <c r="AE1629" s="9"/>
      <c r="AF1629" s="9"/>
      <c r="AH1629" s="9">
        <v>3500</v>
      </c>
      <c r="AI1629" s="9" t="s">
        <v>77</v>
      </c>
      <c r="AJ1629" s="9" t="s">
        <v>57</v>
      </c>
      <c r="AK1629" s="11" t="str">
        <f t="shared" si="12"/>
        <v>2022USD</v>
      </c>
      <c r="AL1629" s="11">
        <f>VLOOKUP(AK1629, Exchange_rates!$C:$D, 2, FALSE)</f>
        <v>0.8115</v>
      </c>
      <c r="AM1629" s="14">
        <f t="shared" si="13"/>
        <v>3408.2999999999997</v>
      </c>
      <c r="AN1629" s="9"/>
      <c r="AO1629" s="9"/>
      <c r="AP1629" s="9"/>
      <c r="AQ1629" s="15" t="s">
        <v>49</v>
      </c>
      <c r="AR1629" t="s">
        <v>8080</v>
      </c>
      <c r="AS1629" s="16" t="s">
        <v>8081</v>
      </c>
    </row>
    <row r="1630" spans="1:45" ht="26">
      <c r="A1630" s="39" t="s">
        <v>8086</v>
      </c>
      <c r="B1630" s="9" t="s">
        <v>8087</v>
      </c>
      <c r="C1630" s="9" t="s">
        <v>8088</v>
      </c>
      <c r="D1630" s="9" t="s">
        <v>7930</v>
      </c>
      <c r="E1630" s="9" t="s">
        <v>49</v>
      </c>
      <c r="F1630" s="9" t="s">
        <v>69</v>
      </c>
      <c r="G1630" s="9" t="s">
        <v>70</v>
      </c>
      <c r="H1630" s="9" t="s">
        <v>8045</v>
      </c>
      <c r="I1630" s="9" t="s">
        <v>72</v>
      </c>
      <c r="J1630" s="10"/>
      <c r="K1630" s="10"/>
      <c r="L1630" s="10">
        <v>44868</v>
      </c>
      <c r="M1630" s="10">
        <v>44774</v>
      </c>
      <c r="N1630" s="9">
        <v>2022</v>
      </c>
      <c r="O1630" s="9" t="s">
        <v>8046</v>
      </c>
      <c r="P1630" s="9" t="s">
        <v>53</v>
      </c>
      <c r="Q1630" s="9" t="s">
        <v>53</v>
      </c>
      <c r="R1630" s="9" t="s">
        <v>1400</v>
      </c>
      <c r="T1630" s="9"/>
      <c r="V1630" s="9"/>
      <c r="AC1630" s="9" t="s">
        <v>8089</v>
      </c>
      <c r="AD1630" s="9" t="s">
        <v>8090</v>
      </c>
      <c r="AE1630" s="9"/>
      <c r="AF1630" s="9"/>
      <c r="AH1630" s="9">
        <v>2200</v>
      </c>
      <c r="AI1630" s="9" t="s">
        <v>77</v>
      </c>
      <c r="AJ1630" s="9" t="s">
        <v>57</v>
      </c>
      <c r="AK1630" s="11" t="str">
        <f t="shared" si="12"/>
        <v>2022USD</v>
      </c>
      <c r="AL1630" s="11">
        <f>VLOOKUP(AK1630, Exchange_rates!$C:$D, 2, FALSE)</f>
        <v>0.8115</v>
      </c>
      <c r="AM1630" s="14">
        <f t="shared" si="13"/>
        <v>2142.3599999999997</v>
      </c>
      <c r="AN1630" s="9"/>
      <c r="AO1630" s="9"/>
      <c r="AP1630" s="9"/>
      <c r="AQ1630" s="15" t="s">
        <v>49</v>
      </c>
      <c r="AS1630" s="16" t="s">
        <v>8091</v>
      </c>
    </row>
    <row r="1631" spans="1:45" ht="63.5">
      <c r="A1631" s="39" t="s">
        <v>8092</v>
      </c>
      <c r="B1631" s="9" t="s">
        <v>8093</v>
      </c>
      <c r="C1631" s="9" t="s">
        <v>8094</v>
      </c>
      <c r="D1631" s="9" t="s">
        <v>7930</v>
      </c>
      <c r="E1631" s="9" t="s">
        <v>49</v>
      </c>
      <c r="F1631" s="9" t="s">
        <v>69</v>
      </c>
      <c r="G1631" s="9" t="s">
        <v>70</v>
      </c>
      <c r="H1631" s="9" t="s">
        <v>8045</v>
      </c>
      <c r="I1631" s="9" t="s">
        <v>72</v>
      </c>
      <c r="J1631" s="10"/>
      <c r="K1631" s="10"/>
      <c r="L1631" s="10">
        <v>44902</v>
      </c>
      <c r="M1631" s="10">
        <v>44494</v>
      </c>
      <c r="N1631" s="9">
        <v>2022</v>
      </c>
      <c r="O1631" s="9" t="s">
        <v>8046</v>
      </c>
      <c r="P1631" s="9" t="s">
        <v>83</v>
      </c>
      <c r="Q1631" s="9" t="s">
        <v>53</v>
      </c>
      <c r="R1631" s="39" t="s">
        <v>8095</v>
      </c>
      <c r="T1631" s="9"/>
      <c r="V1631" s="9"/>
      <c r="AC1631" s="9" t="s">
        <v>8078</v>
      </c>
      <c r="AD1631" s="9" t="s">
        <v>8079</v>
      </c>
      <c r="AE1631" s="9"/>
      <c r="AF1631" s="9"/>
      <c r="AH1631" s="9">
        <v>3500</v>
      </c>
      <c r="AI1631" s="9" t="s">
        <v>77</v>
      </c>
      <c r="AJ1631" s="9" t="s">
        <v>57</v>
      </c>
      <c r="AK1631" s="11" t="str">
        <f t="shared" si="12"/>
        <v>2022USD</v>
      </c>
      <c r="AL1631" s="11">
        <f>VLOOKUP(AK1631, Exchange_rates!$C:$D, 2, FALSE)</f>
        <v>0.8115</v>
      </c>
      <c r="AM1631" s="14">
        <f t="shared" si="13"/>
        <v>3408.2999999999997</v>
      </c>
      <c r="AN1631" s="9"/>
      <c r="AO1631" s="9"/>
      <c r="AP1631" s="9"/>
      <c r="AQ1631" s="15" t="s">
        <v>49</v>
      </c>
      <c r="AR1631" t="s">
        <v>8096</v>
      </c>
      <c r="AS1631" s="16" t="s">
        <v>8097</v>
      </c>
    </row>
    <row r="1632" spans="1:45" ht="14.5">
      <c r="A1632" s="9" t="s">
        <v>8098</v>
      </c>
      <c r="B1632" s="9" t="s">
        <v>8099</v>
      </c>
      <c r="C1632" s="9" t="s">
        <v>8070</v>
      </c>
      <c r="D1632" s="9" t="s">
        <v>7930</v>
      </c>
      <c r="E1632" s="9" t="s">
        <v>49</v>
      </c>
      <c r="F1632" s="9" t="s">
        <v>69</v>
      </c>
      <c r="G1632" s="9" t="s">
        <v>70</v>
      </c>
      <c r="H1632" s="9" t="s">
        <v>8045</v>
      </c>
      <c r="I1632" s="9" t="s">
        <v>72</v>
      </c>
      <c r="J1632" s="10"/>
      <c r="K1632" s="10"/>
      <c r="L1632" s="10">
        <v>44903</v>
      </c>
      <c r="M1632" s="10">
        <v>44256</v>
      </c>
      <c r="N1632" s="9">
        <v>2022</v>
      </c>
      <c r="O1632" s="9" t="s">
        <v>8046</v>
      </c>
      <c r="P1632" s="9" t="s">
        <v>53</v>
      </c>
      <c r="Q1632" s="9" t="s">
        <v>53</v>
      </c>
      <c r="R1632" s="9" t="s">
        <v>92</v>
      </c>
      <c r="T1632" s="9"/>
      <c r="V1632" s="9"/>
      <c r="AC1632" s="9" t="s">
        <v>8100</v>
      </c>
      <c r="AD1632" s="9" t="s">
        <v>8101</v>
      </c>
      <c r="AE1632" s="9"/>
      <c r="AF1632" s="9"/>
      <c r="AH1632" s="9">
        <v>3500</v>
      </c>
      <c r="AI1632" s="9" t="s">
        <v>77</v>
      </c>
      <c r="AJ1632" s="9" t="s">
        <v>57</v>
      </c>
      <c r="AK1632" s="11" t="str">
        <f t="shared" si="12"/>
        <v>2022USD</v>
      </c>
      <c r="AL1632" s="11">
        <f>VLOOKUP(AK1632, Exchange_rates!$C:$D, 2, FALSE)</f>
        <v>0.8115</v>
      </c>
      <c r="AM1632" s="14">
        <f t="shared" si="13"/>
        <v>3408.2999999999997</v>
      </c>
      <c r="AN1632" s="9"/>
      <c r="AO1632" s="9"/>
      <c r="AP1632" s="9"/>
      <c r="AQ1632" s="15" t="s">
        <v>49</v>
      </c>
      <c r="AR1632" t="s">
        <v>8073</v>
      </c>
      <c r="AS1632" s="16" t="s">
        <v>8074</v>
      </c>
    </row>
    <row r="1633" spans="1:60" ht="26">
      <c r="A1633" s="39" t="s">
        <v>8102</v>
      </c>
      <c r="B1633" s="9" t="s">
        <v>8103</v>
      </c>
      <c r="C1633" s="9" t="s">
        <v>8104</v>
      </c>
      <c r="D1633" s="9" t="s">
        <v>7930</v>
      </c>
      <c r="E1633" s="9" t="s">
        <v>49</v>
      </c>
      <c r="F1633" s="9" t="s">
        <v>69</v>
      </c>
      <c r="G1633" s="9" t="s">
        <v>70</v>
      </c>
      <c r="H1633" s="9" t="s">
        <v>8045</v>
      </c>
      <c r="I1633" s="9" t="s">
        <v>72</v>
      </c>
      <c r="J1633" s="10"/>
      <c r="K1633" s="10"/>
      <c r="L1633" s="10">
        <v>44903</v>
      </c>
      <c r="M1633" s="10">
        <v>44470</v>
      </c>
      <c r="N1633" s="9">
        <v>2022</v>
      </c>
      <c r="O1633" s="9" t="s">
        <v>8046</v>
      </c>
      <c r="P1633" s="9" t="s">
        <v>83</v>
      </c>
      <c r="Q1633" s="9" t="s">
        <v>53</v>
      </c>
      <c r="R1633" s="9" t="s">
        <v>8105</v>
      </c>
      <c r="T1633" s="9"/>
      <c r="V1633" s="9"/>
      <c r="AC1633" s="9" t="s">
        <v>8106</v>
      </c>
      <c r="AD1633" s="9" t="s">
        <v>8107</v>
      </c>
      <c r="AE1633" s="9"/>
      <c r="AF1633" s="9"/>
      <c r="AH1633" s="9">
        <v>3500</v>
      </c>
      <c r="AI1633" s="9" t="s">
        <v>77</v>
      </c>
      <c r="AJ1633" s="9" t="s">
        <v>57</v>
      </c>
      <c r="AK1633" s="11" t="str">
        <f t="shared" si="12"/>
        <v>2022USD</v>
      </c>
      <c r="AL1633" s="11">
        <f>VLOOKUP(AK1633, Exchange_rates!$C:$D, 2, FALSE)</f>
        <v>0.8115</v>
      </c>
      <c r="AM1633" s="14">
        <f t="shared" si="13"/>
        <v>3408.2999999999997</v>
      </c>
      <c r="AN1633" s="9"/>
      <c r="AO1633" s="9"/>
      <c r="AP1633" s="9"/>
      <c r="AQ1633" s="15" t="s">
        <v>49</v>
      </c>
      <c r="AR1633" t="s">
        <v>8108</v>
      </c>
      <c r="AS1633" s="16" t="s">
        <v>8109</v>
      </c>
    </row>
    <row r="1634" spans="1:60" ht="14.5">
      <c r="A1634" s="9" t="s">
        <v>8110</v>
      </c>
      <c r="B1634" s="9" t="s">
        <v>8111</v>
      </c>
      <c r="C1634" s="9" t="s">
        <v>8070</v>
      </c>
      <c r="D1634" s="9" t="s">
        <v>7930</v>
      </c>
      <c r="E1634" s="9" t="s">
        <v>49</v>
      </c>
      <c r="F1634" s="9" t="s">
        <v>69</v>
      </c>
      <c r="G1634" s="9" t="s">
        <v>70</v>
      </c>
      <c r="H1634" s="9" t="s">
        <v>8045</v>
      </c>
      <c r="I1634" s="9" t="s">
        <v>72</v>
      </c>
      <c r="J1634" s="10"/>
      <c r="K1634" s="10"/>
      <c r="L1634" s="10">
        <v>44917</v>
      </c>
      <c r="M1634" s="10">
        <v>44896</v>
      </c>
      <c r="N1634" s="9">
        <v>2022</v>
      </c>
      <c r="O1634" s="9" t="s">
        <v>8046</v>
      </c>
      <c r="P1634" s="9" t="s">
        <v>83</v>
      </c>
      <c r="Q1634" s="9" t="s">
        <v>53</v>
      </c>
      <c r="R1634" s="9" t="s">
        <v>7911</v>
      </c>
      <c r="T1634" s="9"/>
      <c r="V1634" s="9"/>
      <c r="AC1634" s="9" t="s">
        <v>8112</v>
      </c>
      <c r="AD1634" s="9" t="s">
        <v>8113</v>
      </c>
      <c r="AE1634" s="9"/>
      <c r="AF1634" s="9"/>
      <c r="AH1634" s="9">
        <v>3500</v>
      </c>
      <c r="AI1634" s="9" t="s">
        <v>77</v>
      </c>
      <c r="AJ1634" s="9" t="s">
        <v>57</v>
      </c>
      <c r="AK1634" s="11" t="str">
        <f t="shared" si="12"/>
        <v>2022USD</v>
      </c>
      <c r="AL1634" s="11">
        <f>VLOOKUP(AK1634, Exchange_rates!$C:$D, 2, FALSE)</f>
        <v>0.8115</v>
      </c>
      <c r="AM1634" s="14">
        <f t="shared" si="13"/>
        <v>3408.2999999999997</v>
      </c>
      <c r="AN1634" s="9"/>
      <c r="AO1634" s="9"/>
      <c r="AP1634" s="9"/>
      <c r="AQ1634" s="15" t="s">
        <v>49</v>
      </c>
      <c r="AR1634" t="s">
        <v>8073</v>
      </c>
      <c r="AS1634" s="16" t="s">
        <v>8074</v>
      </c>
    </row>
    <row r="1635" spans="1:60" ht="14.5">
      <c r="A1635" s="9" t="s">
        <v>8114</v>
      </c>
      <c r="B1635" s="9" t="s">
        <v>8115</v>
      </c>
      <c r="C1635" s="9" t="s">
        <v>8116</v>
      </c>
      <c r="D1635" s="9" t="s">
        <v>7930</v>
      </c>
      <c r="E1635" s="9" t="s">
        <v>49</v>
      </c>
      <c r="F1635" s="9" t="s">
        <v>69</v>
      </c>
      <c r="G1635" s="9" t="s">
        <v>70</v>
      </c>
      <c r="H1635" s="9" t="s">
        <v>8045</v>
      </c>
      <c r="I1635" s="9" t="s">
        <v>72</v>
      </c>
      <c r="J1635" s="10"/>
      <c r="K1635" s="10"/>
      <c r="L1635" s="10">
        <v>44917</v>
      </c>
      <c r="M1635" s="10">
        <v>44893</v>
      </c>
      <c r="N1635" s="9">
        <v>2022</v>
      </c>
      <c r="O1635" s="9" t="s">
        <v>8046</v>
      </c>
      <c r="P1635" s="9" t="s">
        <v>83</v>
      </c>
      <c r="Q1635" s="9" t="s">
        <v>53</v>
      </c>
      <c r="R1635" s="9" t="s">
        <v>7911</v>
      </c>
      <c r="T1635" s="9"/>
      <c r="V1635" s="9"/>
      <c r="AC1635" s="9" t="s">
        <v>8117</v>
      </c>
      <c r="AD1635" s="9" t="s">
        <v>180</v>
      </c>
      <c r="AE1635" s="9"/>
      <c r="AF1635" s="9"/>
      <c r="AH1635" s="9">
        <v>3500</v>
      </c>
      <c r="AI1635" s="9" t="s">
        <v>77</v>
      </c>
      <c r="AJ1635" s="9" t="s">
        <v>57</v>
      </c>
      <c r="AK1635" s="11" t="str">
        <f t="shared" si="12"/>
        <v>2022USD</v>
      </c>
      <c r="AL1635" s="11">
        <f>VLOOKUP(AK1635, Exchange_rates!$C:$D, 2, FALSE)</f>
        <v>0.8115</v>
      </c>
      <c r="AM1635" s="14">
        <f t="shared" si="13"/>
        <v>3408.2999999999997</v>
      </c>
      <c r="AN1635" s="9"/>
      <c r="AO1635" s="9"/>
      <c r="AP1635" s="9"/>
      <c r="AQ1635" s="15" t="s">
        <v>49</v>
      </c>
      <c r="AR1635" t="s">
        <v>8118</v>
      </c>
      <c r="AS1635" s="16" t="s">
        <v>8119</v>
      </c>
    </row>
    <row r="1636" spans="1:60" ht="14.5">
      <c r="A1636" s="9" t="s">
        <v>8120</v>
      </c>
      <c r="B1636" s="9" t="s">
        <v>8121</v>
      </c>
      <c r="C1636" s="9" t="s">
        <v>8116</v>
      </c>
      <c r="D1636" s="9" t="s">
        <v>7930</v>
      </c>
      <c r="E1636" s="9" t="s">
        <v>49</v>
      </c>
      <c r="F1636" s="9" t="s">
        <v>69</v>
      </c>
      <c r="G1636" s="9" t="s">
        <v>70</v>
      </c>
      <c r="H1636" s="9" t="s">
        <v>8045</v>
      </c>
      <c r="I1636" s="9" t="s">
        <v>72</v>
      </c>
      <c r="J1636" s="10"/>
      <c r="K1636" s="10"/>
      <c r="L1636" s="10">
        <v>44922</v>
      </c>
      <c r="M1636" s="10">
        <v>44947</v>
      </c>
      <c r="N1636" s="9">
        <v>2022</v>
      </c>
      <c r="O1636" s="9" t="s">
        <v>8046</v>
      </c>
      <c r="P1636" s="9" t="s">
        <v>83</v>
      </c>
      <c r="Q1636" s="9" t="s">
        <v>53</v>
      </c>
      <c r="R1636" s="9" t="s">
        <v>7911</v>
      </c>
      <c r="T1636" s="9"/>
      <c r="V1636" s="9"/>
      <c r="AC1636" s="9" t="s">
        <v>8117</v>
      </c>
      <c r="AD1636" s="9" t="s">
        <v>180</v>
      </c>
      <c r="AE1636" s="9"/>
      <c r="AF1636" s="9"/>
      <c r="AH1636" s="9">
        <v>3500</v>
      </c>
      <c r="AI1636" s="9" t="s">
        <v>77</v>
      </c>
      <c r="AJ1636" s="9" t="s">
        <v>57</v>
      </c>
      <c r="AK1636" s="11" t="str">
        <f t="shared" si="12"/>
        <v>2022USD</v>
      </c>
      <c r="AL1636" s="11">
        <f>VLOOKUP(AK1636, Exchange_rates!$C:$D, 2, FALSE)</f>
        <v>0.8115</v>
      </c>
      <c r="AM1636" s="14">
        <f t="shared" si="13"/>
        <v>3408.2999999999997</v>
      </c>
      <c r="AN1636" s="9"/>
      <c r="AO1636" s="9"/>
      <c r="AP1636" s="9"/>
      <c r="AQ1636" s="15" t="s">
        <v>49</v>
      </c>
      <c r="AR1636" t="s">
        <v>8118</v>
      </c>
      <c r="AS1636" s="16" t="s">
        <v>8119</v>
      </c>
    </row>
    <row r="1637" spans="1:60" ht="14.5">
      <c r="A1637" s="9" t="s">
        <v>8122</v>
      </c>
      <c r="B1637" s="9" t="s">
        <v>8123</v>
      </c>
      <c r="C1637" s="9" t="s">
        <v>8124</v>
      </c>
      <c r="D1637" s="9" t="s">
        <v>361</v>
      </c>
      <c r="E1637" s="9" t="s">
        <v>49</v>
      </c>
      <c r="F1637" s="9" t="s">
        <v>69</v>
      </c>
      <c r="G1637" s="9" t="s">
        <v>70</v>
      </c>
      <c r="H1637" s="9" t="s">
        <v>7424</v>
      </c>
      <c r="I1637" s="9" t="s">
        <v>72</v>
      </c>
      <c r="J1637" s="10"/>
      <c r="K1637" s="10"/>
      <c r="L1637" s="10"/>
      <c r="M1637" s="10">
        <v>44965</v>
      </c>
      <c r="N1637" s="9">
        <v>2023</v>
      </c>
      <c r="O1637" s="9" t="s">
        <v>8125</v>
      </c>
      <c r="P1637" s="9" t="s">
        <v>53</v>
      </c>
      <c r="Q1637" s="9" t="s">
        <v>53</v>
      </c>
      <c r="R1637" s="9" t="s">
        <v>92</v>
      </c>
      <c r="T1637" s="9"/>
      <c r="V1637" s="9"/>
      <c r="AC1637" s="9" t="s">
        <v>8126</v>
      </c>
      <c r="AH1637" s="9">
        <v>2110</v>
      </c>
      <c r="AI1637" s="11" t="s">
        <v>77</v>
      </c>
      <c r="AJ1637" s="9" t="s">
        <v>301</v>
      </c>
      <c r="AK1637" s="11" t="str">
        <f t="shared" si="12"/>
        <v>2023GBP</v>
      </c>
      <c r="AL1637" s="11">
        <f>VLOOKUP(AK1637, Exchange_rates!$C:$D, 2, FALSE)</f>
        <v>1</v>
      </c>
      <c r="AM1637" s="14">
        <f t="shared" si="13"/>
        <v>2532</v>
      </c>
      <c r="AN1637" s="9"/>
      <c r="AO1637" s="9"/>
      <c r="AP1637" s="9"/>
      <c r="AQ1637" s="15" t="s">
        <v>49</v>
      </c>
      <c r="AR1637" t="s">
        <v>8127</v>
      </c>
      <c r="AS1637" s="16" t="s">
        <v>8128</v>
      </c>
    </row>
    <row r="1638" spans="1:60" ht="14.5">
      <c r="A1638" s="9" t="s">
        <v>8129</v>
      </c>
      <c r="B1638" s="9" t="s">
        <v>8130</v>
      </c>
      <c r="C1638" s="9" t="s">
        <v>8131</v>
      </c>
      <c r="D1638" s="9" t="s">
        <v>361</v>
      </c>
      <c r="E1638" s="9" t="s">
        <v>49</v>
      </c>
      <c r="F1638" s="9" t="s">
        <v>50</v>
      </c>
      <c r="G1638" s="9" t="s">
        <v>51</v>
      </c>
      <c r="H1638" s="9"/>
      <c r="I1638" s="9"/>
      <c r="J1638" s="10"/>
      <c r="K1638" s="10"/>
      <c r="L1638" s="10"/>
      <c r="M1638" s="10">
        <v>45002</v>
      </c>
      <c r="N1638" s="9">
        <v>2023</v>
      </c>
      <c r="O1638" s="9" t="s">
        <v>8132</v>
      </c>
      <c r="P1638" s="9" t="s">
        <v>53</v>
      </c>
      <c r="Q1638" s="9" t="s">
        <v>53</v>
      </c>
      <c r="T1638" s="9" t="s">
        <v>661</v>
      </c>
      <c r="V1638" s="9"/>
      <c r="AI1638" s="9"/>
      <c r="AJ1638" s="9"/>
      <c r="AK1638" s="11" t="str">
        <f t="shared" si="12"/>
        <v>2023</v>
      </c>
      <c r="AL1638" s="11" t="e">
        <f>VLOOKUP(AK1638, Exchange_rates!$C:$D, 2, FALSE)</f>
        <v>#N/A</v>
      </c>
      <c r="AM1638" s="14" t="str">
        <f t="shared" si="13"/>
        <v/>
      </c>
      <c r="AN1638" s="9"/>
      <c r="AO1638" s="9"/>
      <c r="AP1638" s="9"/>
      <c r="AQ1638" s="15" t="s">
        <v>49</v>
      </c>
      <c r="AR1638" t="s">
        <v>477</v>
      </c>
      <c r="AS1638" s="16" t="s">
        <v>478</v>
      </c>
    </row>
    <row r="1639" spans="1:60" ht="14.5">
      <c r="A1639" s="40" t="s">
        <v>8133</v>
      </c>
      <c r="B1639" s="20" t="s">
        <v>8134</v>
      </c>
      <c r="C1639" s="20" t="s">
        <v>8135</v>
      </c>
      <c r="D1639" s="20" t="s">
        <v>8136</v>
      </c>
      <c r="E1639" s="20" t="s">
        <v>49</v>
      </c>
      <c r="F1639" s="20" t="s">
        <v>69</v>
      </c>
      <c r="G1639" s="20" t="s">
        <v>70</v>
      </c>
      <c r="H1639" s="20" t="s">
        <v>8137</v>
      </c>
      <c r="I1639" s="20" t="s">
        <v>72</v>
      </c>
      <c r="J1639" s="22">
        <v>44594</v>
      </c>
      <c r="K1639" s="22">
        <v>44750</v>
      </c>
      <c r="L1639" s="22"/>
      <c r="M1639" s="22">
        <v>44865</v>
      </c>
      <c r="N1639" s="20">
        <v>2022</v>
      </c>
      <c r="O1639" s="20" t="s">
        <v>8138</v>
      </c>
      <c r="P1639" s="9" t="s">
        <v>53</v>
      </c>
      <c r="Q1639" s="9" t="s">
        <v>53</v>
      </c>
      <c r="R1639" s="20" t="s">
        <v>8139</v>
      </c>
      <c r="S1639" s="20"/>
      <c r="T1639" s="20"/>
      <c r="V1639" s="20"/>
      <c r="W1639" s="20"/>
      <c r="X1639" s="20"/>
      <c r="Y1639" s="20"/>
      <c r="Z1639" s="20"/>
      <c r="AA1639" s="20"/>
      <c r="AB1639" s="20"/>
      <c r="AC1639" s="20" t="s">
        <v>8140</v>
      </c>
      <c r="AD1639" s="20"/>
      <c r="AE1639" s="20"/>
      <c r="AF1639" s="20"/>
      <c r="AG1639" s="20"/>
      <c r="AH1639" s="20">
        <v>1800</v>
      </c>
      <c r="AI1639" s="9" t="s">
        <v>77</v>
      </c>
      <c r="AJ1639" s="20" t="s">
        <v>1823</v>
      </c>
      <c r="AK1639" s="11" t="str">
        <f t="shared" si="12"/>
        <v>2022EUR</v>
      </c>
      <c r="AL1639" s="11">
        <f>VLOOKUP(AK1639, Exchange_rates!$C:$D, 2, FALSE)</f>
        <v>0.8528</v>
      </c>
      <c r="AM1639" s="14">
        <f t="shared" si="13"/>
        <v>1842.0479999999998</v>
      </c>
      <c r="AN1639" s="20"/>
      <c r="AO1639" s="20"/>
      <c r="AP1639" s="20"/>
      <c r="AQ1639" s="27" t="s">
        <v>49</v>
      </c>
      <c r="AR1639" t="s">
        <v>8141</v>
      </c>
      <c r="AS1639" s="16" t="s">
        <v>8142</v>
      </c>
      <c r="AT1639" s="20"/>
      <c r="AU1639" s="20"/>
      <c r="AV1639" s="20"/>
      <c r="AW1639" s="20"/>
      <c r="AX1639" s="20"/>
      <c r="AY1639" s="20"/>
      <c r="AZ1639" s="20"/>
      <c r="BA1639" s="20"/>
      <c r="BB1639" s="20"/>
      <c r="BC1639" s="20"/>
      <c r="BD1639" s="20"/>
      <c r="BE1639" s="20"/>
      <c r="BF1639" s="20"/>
      <c r="BG1639" s="20"/>
      <c r="BH1639" s="20"/>
    </row>
    <row r="1640" spans="1:60" ht="14.5">
      <c r="A1640" s="9" t="s">
        <v>8143</v>
      </c>
      <c r="B1640" s="9" t="s">
        <v>8144</v>
      </c>
      <c r="C1640" s="9" t="s">
        <v>2568</v>
      </c>
      <c r="D1640" s="9" t="s">
        <v>2479</v>
      </c>
      <c r="E1640" s="9" t="s">
        <v>49</v>
      </c>
      <c r="F1640" s="9" t="s">
        <v>69</v>
      </c>
      <c r="G1640" s="9" t="s">
        <v>70</v>
      </c>
      <c r="H1640" s="9" t="s">
        <v>2491</v>
      </c>
      <c r="I1640" s="9" t="s">
        <v>72</v>
      </c>
      <c r="J1640" s="10"/>
      <c r="K1640" s="10"/>
      <c r="L1640" s="10"/>
      <c r="M1640" s="10">
        <v>44252</v>
      </c>
      <c r="N1640" s="9">
        <v>2021</v>
      </c>
      <c r="O1640" s="9" t="s">
        <v>8145</v>
      </c>
      <c r="P1640" s="9" t="s">
        <v>53</v>
      </c>
      <c r="Q1640" s="9" t="s">
        <v>53</v>
      </c>
      <c r="T1640" s="9"/>
      <c r="V1640" s="9"/>
      <c r="AC1640" s="9" t="s">
        <v>8146</v>
      </c>
      <c r="AD1640" s="9" t="s">
        <v>8147</v>
      </c>
      <c r="AH1640" s="9">
        <v>1100</v>
      </c>
      <c r="AI1640" s="9" t="s">
        <v>77</v>
      </c>
      <c r="AJ1640" s="9" t="s">
        <v>301</v>
      </c>
      <c r="AK1640" s="11" t="str">
        <f t="shared" si="12"/>
        <v>2021GBP</v>
      </c>
      <c r="AL1640" s="11">
        <f>VLOOKUP(AK1640, Exchange_rates!$C:$D, 2, FALSE)</f>
        <v>1</v>
      </c>
      <c r="AM1640" s="14">
        <f t="shared" si="13"/>
        <v>1320</v>
      </c>
      <c r="AN1640" s="9"/>
      <c r="AO1640" s="9"/>
      <c r="AP1640" s="9"/>
      <c r="AQ1640" s="15" t="s">
        <v>49</v>
      </c>
      <c r="AR1640" t="s">
        <v>2570</v>
      </c>
      <c r="AS1640" s="16" t="s">
        <v>2571</v>
      </c>
    </row>
    <row r="1641" spans="1:60" ht="14.5">
      <c r="A1641" s="9" t="s">
        <v>8148</v>
      </c>
      <c r="B1641" s="9" t="s">
        <v>8149</v>
      </c>
      <c r="C1641" s="9" t="s">
        <v>8150</v>
      </c>
      <c r="D1641" s="9" t="s">
        <v>2479</v>
      </c>
      <c r="E1641" s="9" t="s">
        <v>49</v>
      </c>
      <c r="F1641" s="9" t="s">
        <v>69</v>
      </c>
      <c r="G1641" s="9" t="s">
        <v>70</v>
      </c>
      <c r="H1641" s="9" t="s">
        <v>2491</v>
      </c>
      <c r="I1641" s="9" t="s">
        <v>72</v>
      </c>
      <c r="J1641" s="10"/>
      <c r="K1641" s="10"/>
      <c r="L1641" s="10"/>
      <c r="M1641" s="10">
        <v>44211</v>
      </c>
      <c r="N1641" s="9">
        <v>2021</v>
      </c>
      <c r="O1641" s="9" t="s">
        <v>8145</v>
      </c>
      <c r="P1641" s="9" t="s">
        <v>53</v>
      </c>
      <c r="Q1641" s="9" t="s">
        <v>53</v>
      </c>
      <c r="R1641" s="9" t="s">
        <v>5015</v>
      </c>
      <c r="T1641" s="9"/>
      <c r="V1641" s="9"/>
      <c r="AC1641" s="9" t="s">
        <v>7165</v>
      </c>
      <c r="AD1641" s="9" t="s">
        <v>7166</v>
      </c>
      <c r="AH1641" s="9">
        <v>2200</v>
      </c>
      <c r="AI1641" s="9" t="s">
        <v>77</v>
      </c>
      <c r="AJ1641" s="9" t="s">
        <v>301</v>
      </c>
      <c r="AK1641" s="11" t="str">
        <f t="shared" si="12"/>
        <v>2021GBP</v>
      </c>
      <c r="AL1641" s="11">
        <f>VLOOKUP(AK1641, Exchange_rates!$C:$D, 2, FALSE)</f>
        <v>1</v>
      </c>
      <c r="AM1641" s="14">
        <f t="shared" si="13"/>
        <v>2640</v>
      </c>
      <c r="AN1641" s="9"/>
      <c r="AO1641" s="9"/>
      <c r="AP1641" s="9"/>
      <c r="AQ1641" s="15" t="s">
        <v>49</v>
      </c>
      <c r="AR1641" t="s">
        <v>8151</v>
      </c>
      <c r="AS1641" s="16" t="s">
        <v>8152</v>
      </c>
    </row>
    <row r="1642" spans="1:60" ht="14.5">
      <c r="A1642" s="9" t="s">
        <v>8153</v>
      </c>
      <c r="B1642" s="9" t="s">
        <v>8154</v>
      </c>
      <c r="C1642" s="9" t="s">
        <v>8155</v>
      </c>
      <c r="D1642" s="9" t="s">
        <v>2479</v>
      </c>
      <c r="E1642" s="9" t="s">
        <v>49</v>
      </c>
      <c r="F1642" s="9" t="s">
        <v>69</v>
      </c>
      <c r="G1642" s="9" t="s">
        <v>70</v>
      </c>
      <c r="H1642" s="9" t="s">
        <v>2491</v>
      </c>
      <c r="I1642" s="9" t="s">
        <v>72</v>
      </c>
      <c r="J1642" s="10"/>
      <c r="K1642" s="10"/>
      <c r="L1642" s="10"/>
      <c r="M1642" s="10">
        <v>44258</v>
      </c>
      <c r="N1642" s="9">
        <v>2021</v>
      </c>
      <c r="O1642" s="9" t="s">
        <v>8145</v>
      </c>
      <c r="P1642" s="9" t="s">
        <v>83</v>
      </c>
      <c r="Q1642" s="9" t="s">
        <v>53</v>
      </c>
      <c r="R1642" s="9" t="s">
        <v>8156</v>
      </c>
      <c r="T1642" s="9"/>
      <c r="V1642" s="9"/>
      <c r="AC1642" s="9" t="s">
        <v>8157</v>
      </c>
      <c r="AD1642" s="9" t="s">
        <v>8158</v>
      </c>
      <c r="AH1642" s="9">
        <v>2200</v>
      </c>
      <c r="AI1642" s="9" t="s">
        <v>77</v>
      </c>
      <c r="AJ1642" s="9" t="s">
        <v>301</v>
      </c>
      <c r="AK1642" s="11" t="str">
        <f t="shared" si="12"/>
        <v>2021GBP</v>
      </c>
      <c r="AL1642" s="11">
        <f>VLOOKUP(AK1642, Exchange_rates!$C:$D, 2, FALSE)</f>
        <v>1</v>
      </c>
      <c r="AM1642" s="14">
        <f t="shared" si="13"/>
        <v>2640</v>
      </c>
      <c r="AN1642" s="9"/>
      <c r="AO1642" s="9"/>
      <c r="AP1642" s="9"/>
      <c r="AQ1642" s="15" t="s">
        <v>49</v>
      </c>
      <c r="AR1642" t="s">
        <v>8159</v>
      </c>
      <c r="AS1642" s="16" t="s">
        <v>8160</v>
      </c>
    </row>
    <row r="1643" spans="1:60" ht="14.5">
      <c r="A1643" s="9" t="s">
        <v>8161</v>
      </c>
      <c r="B1643" s="9" t="s">
        <v>8162</v>
      </c>
      <c r="C1643" s="9" t="s">
        <v>8163</v>
      </c>
      <c r="D1643" s="9" t="s">
        <v>2479</v>
      </c>
      <c r="E1643" s="9" t="s">
        <v>49</v>
      </c>
      <c r="F1643" s="9" t="s">
        <v>69</v>
      </c>
      <c r="G1643" s="9" t="s">
        <v>70</v>
      </c>
      <c r="H1643" s="9" t="s">
        <v>2491</v>
      </c>
      <c r="I1643" s="9" t="s">
        <v>72</v>
      </c>
      <c r="J1643" s="10"/>
      <c r="K1643" s="10"/>
      <c r="L1643" s="10"/>
      <c r="M1643" s="10">
        <v>44410</v>
      </c>
      <c r="N1643" s="9">
        <v>2021</v>
      </c>
      <c r="O1643" s="9" t="s">
        <v>8145</v>
      </c>
      <c r="P1643" s="9" t="s">
        <v>53</v>
      </c>
      <c r="Q1643" s="9" t="s">
        <v>53</v>
      </c>
      <c r="R1643" s="9" t="s">
        <v>1400</v>
      </c>
      <c r="T1643" s="9"/>
      <c r="V1643" s="9"/>
      <c r="AC1643" s="9" t="s">
        <v>8164</v>
      </c>
      <c r="AD1643" s="9" t="s">
        <v>8165</v>
      </c>
      <c r="AH1643" s="9">
        <v>2200</v>
      </c>
      <c r="AI1643" s="9" t="s">
        <v>77</v>
      </c>
      <c r="AJ1643" s="9" t="s">
        <v>301</v>
      </c>
      <c r="AK1643" s="11" t="str">
        <f t="shared" si="12"/>
        <v>2021GBP</v>
      </c>
      <c r="AL1643" s="11">
        <f>VLOOKUP(AK1643, Exchange_rates!$C:$D, 2, FALSE)</f>
        <v>1</v>
      </c>
      <c r="AM1643" s="14">
        <f t="shared" si="13"/>
        <v>2640</v>
      </c>
      <c r="AN1643" s="9"/>
      <c r="AO1643" s="9"/>
      <c r="AP1643" s="9"/>
      <c r="AQ1643" s="15" t="s">
        <v>49</v>
      </c>
      <c r="AR1643" t="s">
        <v>8166</v>
      </c>
      <c r="AS1643" s="16" t="s">
        <v>8167</v>
      </c>
    </row>
    <row r="1644" spans="1:60" ht="14.5">
      <c r="A1644" s="9" t="s">
        <v>8168</v>
      </c>
      <c r="B1644" s="9" t="s">
        <v>8169</v>
      </c>
      <c r="C1644" s="9" t="s">
        <v>8170</v>
      </c>
      <c r="D1644" s="9" t="s">
        <v>2479</v>
      </c>
      <c r="E1644" s="9" t="s">
        <v>49</v>
      </c>
      <c r="F1644" s="9" t="s">
        <v>69</v>
      </c>
      <c r="G1644" s="9" t="s">
        <v>70</v>
      </c>
      <c r="H1644" s="9" t="s">
        <v>2491</v>
      </c>
      <c r="I1644" s="9" t="s">
        <v>72</v>
      </c>
      <c r="J1644" s="10"/>
      <c r="K1644" s="10"/>
      <c r="L1644" s="10"/>
      <c r="M1644" s="10">
        <v>44329</v>
      </c>
      <c r="N1644" s="9">
        <v>2021</v>
      </c>
      <c r="O1644" s="9" t="s">
        <v>8145</v>
      </c>
      <c r="P1644" s="9" t="s">
        <v>53</v>
      </c>
      <c r="Q1644" s="9" t="s">
        <v>53</v>
      </c>
      <c r="R1644" s="9" t="s">
        <v>5015</v>
      </c>
      <c r="T1644" s="9"/>
      <c r="V1644" s="9"/>
      <c r="AC1644" s="9" t="s">
        <v>8171</v>
      </c>
      <c r="AD1644" s="9" t="s">
        <v>8172</v>
      </c>
      <c r="AH1644" s="9">
        <v>2200</v>
      </c>
      <c r="AI1644" s="9" t="s">
        <v>77</v>
      </c>
      <c r="AJ1644" s="9" t="s">
        <v>301</v>
      </c>
      <c r="AK1644" s="11" t="str">
        <f t="shared" si="12"/>
        <v>2021GBP</v>
      </c>
      <c r="AL1644" s="11">
        <f>VLOOKUP(AK1644, Exchange_rates!$C:$D, 2, FALSE)</f>
        <v>1</v>
      </c>
      <c r="AM1644" s="14">
        <f t="shared" si="13"/>
        <v>2640</v>
      </c>
      <c r="AN1644" s="9"/>
      <c r="AO1644" s="9"/>
      <c r="AP1644" s="9"/>
      <c r="AQ1644" s="15" t="s">
        <v>49</v>
      </c>
      <c r="AR1644" t="s">
        <v>8173</v>
      </c>
      <c r="AS1644" s="16" t="s">
        <v>8174</v>
      </c>
    </row>
    <row r="1645" spans="1:60" ht="14.5">
      <c r="A1645" s="9" t="s">
        <v>8175</v>
      </c>
      <c r="B1645" s="9" t="s">
        <v>8176</v>
      </c>
      <c r="C1645" s="9" t="s">
        <v>8177</v>
      </c>
      <c r="D1645" s="9" t="s">
        <v>2479</v>
      </c>
      <c r="E1645" s="9" t="s">
        <v>49</v>
      </c>
      <c r="F1645" s="9" t="s">
        <v>69</v>
      </c>
      <c r="G1645" s="9" t="s">
        <v>70</v>
      </c>
      <c r="H1645" s="9" t="s">
        <v>2491</v>
      </c>
      <c r="I1645" s="9" t="s">
        <v>72</v>
      </c>
      <c r="J1645" s="10"/>
      <c r="K1645" s="10"/>
      <c r="L1645" s="10"/>
      <c r="M1645" s="10">
        <v>44509</v>
      </c>
      <c r="N1645" s="9">
        <v>2021</v>
      </c>
      <c r="O1645" s="9" t="s">
        <v>8145</v>
      </c>
      <c r="P1645" s="9" t="s">
        <v>83</v>
      </c>
      <c r="Q1645" s="9" t="s">
        <v>53</v>
      </c>
      <c r="R1645" s="9" t="s">
        <v>4005</v>
      </c>
      <c r="T1645" s="9"/>
      <c r="V1645" s="9"/>
      <c r="AC1645" s="9" t="s">
        <v>6011</v>
      </c>
      <c r="AD1645" s="9" t="s">
        <v>8178</v>
      </c>
      <c r="AH1645" s="9">
        <v>2200</v>
      </c>
      <c r="AI1645" s="9" t="s">
        <v>77</v>
      </c>
      <c r="AJ1645" s="9" t="s">
        <v>301</v>
      </c>
      <c r="AK1645" s="11" t="str">
        <f t="shared" si="12"/>
        <v>2021GBP</v>
      </c>
      <c r="AL1645" s="11">
        <f>VLOOKUP(AK1645, Exchange_rates!$C:$D, 2, FALSE)</f>
        <v>1</v>
      </c>
      <c r="AM1645" s="14">
        <f t="shared" si="13"/>
        <v>2640</v>
      </c>
      <c r="AN1645" s="9"/>
      <c r="AO1645" s="9"/>
      <c r="AP1645" s="9"/>
      <c r="AQ1645" s="15" t="s">
        <v>49</v>
      </c>
      <c r="AR1645" t="s">
        <v>8179</v>
      </c>
      <c r="AS1645" s="16" t="s">
        <v>8180</v>
      </c>
    </row>
    <row r="1646" spans="1:60" ht="14.5">
      <c r="A1646" s="9" t="s">
        <v>8181</v>
      </c>
      <c r="B1646" s="9" t="s">
        <v>8182</v>
      </c>
      <c r="C1646" s="9" t="s">
        <v>2568</v>
      </c>
      <c r="D1646" s="9" t="s">
        <v>2479</v>
      </c>
      <c r="E1646" s="9" t="s">
        <v>49</v>
      </c>
      <c r="F1646" s="9" t="s">
        <v>69</v>
      </c>
      <c r="G1646" s="9" t="s">
        <v>70</v>
      </c>
      <c r="H1646" s="9" t="s">
        <v>2491</v>
      </c>
      <c r="I1646" s="9" t="s">
        <v>238</v>
      </c>
      <c r="J1646" s="10"/>
      <c r="K1646" s="10"/>
      <c r="L1646" s="10"/>
      <c r="M1646" s="10">
        <v>44343</v>
      </c>
      <c r="N1646" s="9">
        <v>2021</v>
      </c>
      <c r="O1646" s="9" t="s">
        <v>8145</v>
      </c>
      <c r="P1646" s="9" t="s">
        <v>53</v>
      </c>
      <c r="Q1646" s="9" t="s">
        <v>53</v>
      </c>
      <c r="R1646" s="9" t="s">
        <v>8183</v>
      </c>
      <c r="T1646" s="9"/>
      <c r="V1646" s="9"/>
      <c r="AC1646" s="9" t="s">
        <v>8184</v>
      </c>
      <c r="AD1646" s="9" t="s">
        <v>8185</v>
      </c>
      <c r="AH1646" s="9">
        <v>1100</v>
      </c>
      <c r="AI1646" s="9" t="s">
        <v>77</v>
      </c>
      <c r="AJ1646" s="9" t="s">
        <v>301</v>
      </c>
      <c r="AK1646" s="11" t="str">
        <f t="shared" si="12"/>
        <v>2021GBP</v>
      </c>
      <c r="AL1646" s="11">
        <f>VLOOKUP(AK1646, Exchange_rates!$C:$D, 2, FALSE)</f>
        <v>1</v>
      </c>
      <c r="AM1646" s="14">
        <f t="shared" si="13"/>
        <v>1320</v>
      </c>
      <c r="AN1646" s="9"/>
      <c r="AO1646" s="9"/>
      <c r="AP1646" s="9"/>
      <c r="AQ1646" s="15" t="s">
        <v>49</v>
      </c>
      <c r="AR1646" t="s">
        <v>2570</v>
      </c>
      <c r="AS1646" s="16" t="s">
        <v>2571</v>
      </c>
    </row>
    <row r="1647" spans="1:60" ht="14.5">
      <c r="A1647" s="9" t="s">
        <v>8186</v>
      </c>
      <c r="B1647" s="9" t="s">
        <v>8187</v>
      </c>
      <c r="C1647" s="9" t="s">
        <v>8188</v>
      </c>
      <c r="D1647" s="9" t="s">
        <v>2479</v>
      </c>
      <c r="E1647" s="9" t="s">
        <v>49</v>
      </c>
      <c r="F1647" s="9" t="s">
        <v>69</v>
      </c>
      <c r="G1647" s="9" t="s">
        <v>70</v>
      </c>
      <c r="H1647" s="9" t="s">
        <v>2491</v>
      </c>
      <c r="I1647" s="9" t="s">
        <v>72</v>
      </c>
      <c r="J1647" s="10"/>
      <c r="K1647" s="10"/>
      <c r="L1647" s="10"/>
      <c r="M1647" s="10">
        <v>44328</v>
      </c>
      <c r="N1647" s="9">
        <v>2021</v>
      </c>
      <c r="O1647" s="9" t="s">
        <v>8145</v>
      </c>
      <c r="P1647" s="9" t="s">
        <v>53</v>
      </c>
      <c r="Q1647" s="9" t="s">
        <v>53</v>
      </c>
      <c r="T1647" s="9"/>
      <c r="V1647" s="9"/>
      <c r="AC1647" s="9" t="s">
        <v>8189</v>
      </c>
      <c r="AD1647" s="9" t="s">
        <v>8190</v>
      </c>
      <c r="AH1647" s="9">
        <v>2200</v>
      </c>
      <c r="AI1647" s="9" t="s">
        <v>77</v>
      </c>
      <c r="AJ1647" s="9" t="s">
        <v>301</v>
      </c>
      <c r="AK1647" s="11" t="str">
        <f t="shared" si="12"/>
        <v>2021GBP</v>
      </c>
      <c r="AL1647" s="11">
        <f>VLOOKUP(AK1647, Exchange_rates!$C:$D, 2, FALSE)</f>
        <v>1</v>
      </c>
      <c r="AM1647" s="14">
        <f t="shared" si="13"/>
        <v>2640</v>
      </c>
      <c r="AN1647" s="9"/>
      <c r="AO1647" s="9"/>
      <c r="AP1647" s="9"/>
      <c r="AQ1647" s="15" t="s">
        <v>49</v>
      </c>
      <c r="AR1647" t="s">
        <v>2786</v>
      </c>
      <c r="AS1647" s="16" t="s">
        <v>2787</v>
      </c>
    </row>
    <row r="1648" spans="1:60" ht="14.5">
      <c r="A1648" s="9" t="s">
        <v>8191</v>
      </c>
      <c r="B1648" s="9" t="s">
        <v>8192</v>
      </c>
      <c r="C1648" s="9" t="s">
        <v>8193</v>
      </c>
      <c r="D1648" s="9" t="s">
        <v>2479</v>
      </c>
      <c r="E1648" s="9" t="s">
        <v>125</v>
      </c>
      <c r="F1648" s="9" t="s">
        <v>69</v>
      </c>
      <c r="G1648" s="9" t="s">
        <v>51</v>
      </c>
      <c r="H1648" s="9"/>
      <c r="I1648" s="9" t="s">
        <v>238</v>
      </c>
      <c r="J1648" s="10"/>
      <c r="K1648" s="10"/>
      <c r="L1648" s="10"/>
      <c r="M1648" s="10">
        <v>44342</v>
      </c>
      <c r="N1648" s="9">
        <v>2021</v>
      </c>
      <c r="O1648" s="9" t="s">
        <v>8145</v>
      </c>
      <c r="P1648" s="9" t="s">
        <v>53</v>
      </c>
      <c r="Q1648" s="9" t="s">
        <v>53</v>
      </c>
      <c r="T1648" s="9" t="s">
        <v>279</v>
      </c>
      <c r="U1648" s="9" t="s">
        <v>8194</v>
      </c>
      <c r="V1648" s="9"/>
      <c r="AC1648" s="9" t="s">
        <v>8195</v>
      </c>
      <c r="AD1648" s="9" t="s">
        <v>8196</v>
      </c>
      <c r="AH1648" s="9">
        <v>295</v>
      </c>
      <c r="AI1648" s="9" t="s">
        <v>77</v>
      </c>
      <c r="AJ1648" s="9" t="s">
        <v>301</v>
      </c>
      <c r="AK1648" s="11" t="str">
        <f t="shared" si="12"/>
        <v>2021GBP</v>
      </c>
      <c r="AL1648" s="11">
        <f>VLOOKUP(AK1648, Exchange_rates!$C:$D, 2, FALSE)</f>
        <v>1</v>
      </c>
      <c r="AM1648" s="14">
        <f t="shared" si="13"/>
        <v>354</v>
      </c>
      <c r="AN1648" s="9"/>
      <c r="AO1648" s="9"/>
      <c r="AP1648" s="9"/>
      <c r="AQ1648" s="15" t="s">
        <v>125</v>
      </c>
      <c r="AR1648" t="s">
        <v>8197</v>
      </c>
      <c r="AS1648" s="16"/>
    </row>
    <row r="1649" spans="1:45" ht="14.5">
      <c r="A1649" s="9" t="s">
        <v>8198</v>
      </c>
      <c r="B1649" s="9" t="s">
        <v>8199</v>
      </c>
      <c r="C1649" s="9" t="s">
        <v>8170</v>
      </c>
      <c r="D1649" s="9" t="s">
        <v>2479</v>
      </c>
      <c r="E1649" s="9" t="s">
        <v>49</v>
      </c>
      <c r="F1649" s="9" t="s">
        <v>69</v>
      </c>
      <c r="G1649" s="9" t="s">
        <v>70</v>
      </c>
      <c r="H1649" s="9" t="s">
        <v>2491</v>
      </c>
      <c r="I1649" s="9" t="s">
        <v>238</v>
      </c>
      <c r="J1649" s="10"/>
      <c r="K1649" s="10"/>
      <c r="L1649" s="10"/>
      <c r="M1649" s="10">
        <v>44357</v>
      </c>
      <c r="N1649" s="9">
        <v>2021</v>
      </c>
      <c r="O1649" s="9" t="s">
        <v>8145</v>
      </c>
      <c r="P1649" s="9" t="s">
        <v>53</v>
      </c>
      <c r="Q1649" s="9" t="s">
        <v>53</v>
      </c>
      <c r="T1649" s="9"/>
      <c r="V1649" s="9"/>
      <c r="AC1649" s="9" t="s">
        <v>8200</v>
      </c>
      <c r="AD1649" s="9" t="s">
        <v>8201</v>
      </c>
      <c r="AH1649" s="9">
        <v>2200</v>
      </c>
      <c r="AI1649" s="9" t="s">
        <v>77</v>
      </c>
      <c r="AJ1649" s="9" t="s">
        <v>301</v>
      </c>
      <c r="AK1649" s="11" t="str">
        <f t="shared" si="12"/>
        <v>2021GBP</v>
      </c>
      <c r="AL1649" s="11">
        <f>VLOOKUP(AK1649, Exchange_rates!$C:$D, 2, FALSE)</f>
        <v>1</v>
      </c>
      <c r="AM1649" s="14">
        <f t="shared" si="13"/>
        <v>2640</v>
      </c>
      <c r="AN1649" s="9"/>
      <c r="AO1649" s="9"/>
      <c r="AP1649" s="9"/>
      <c r="AQ1649" s="15" t="s">
        <v>49</v>
      </c>
      <c r="AR1649" t="s">
        <v>8173</v>
      </c>
      <c r="AS1649" s="16" t="s">
        <v>8174</v>
      </c>
    </row>
    <row r="1650" spans="1:45" ht="14.5">
      <c r="A1650" s="9" t="s">
        <v>8202</v>
      </c>
      <c r="B1650" s="9" t="s">
        <v>8203</v>
      </c>
      <c r="C1650" s="9" t="s">
        <v>8204</v>
      </c>
      <c r="D1650" s="9" t="s">
        <v>2479</v>
      </c>
      <c r="E1650" s="9" t="s">
        <v>49</v>
      </c>
      <c r="F1650" s="9" t="s">
        <v>69</v>
      </c>
      <c r="G1650" s="9" t="s">
        <v>70</v>
      </c>
      <c r="H1650" s="9" t="s">
        <v>2491</v>
      </c>
      <c r="I1650" s="9" t="s">
        <v>72</v>
      </c>
      <c r="J1650" s="10"/>
      <c r="K1650" s="10"/>
      <c r="L1650" s="10"/>
      <c r="M1650" s="10">
        <v>44358</v>
      </c>
      <c r="N1650" s="9">
        <v>2021</v>
      </c>
      <c r="O1650" s="9" t="s">
        <v>8145</v>
      </c>
      <c r="P1650" s="9" t="s">
        <v>83</v>
      </c>
      <c r="Q1650" s="9" t="s">
        <v>53</v>
      </c>
      <c r="R1650" s="9" t="s">
        <v>8205</v>
      </c>
      <c r="T1650" s="9"/>
      <c r="V1650" s="9"/>
      <c r="AC1650" s="9" t="s">
        <v>787</v>
      </c>
      <c r="AD1650" s="9" t="s">
        <v>788</v>
      </c>
      <c r="AH1650" s="9">
        <v>2200</v>
      </c>
      <c r="AI1650" s="9" t="s">
        <v>77</v>
      </c>
      <c r="AJ1650" s="9" t="s">
        <v>301</v>
      </c>
      <c r="AK1650" s="11" t="str">
        <f t="shared" si="12"/>
        <v>2021GBP</v>
      </c>
      <c r="AL1650" s="11">
        <f>VLOOKUP(AK1650, Exchange_rates!$C:$D, 2, FALSE)</f>
        <v>1</v>
      </c>
      <c r="AM1650" s="14">
        <f t="shared" si="13"/>
        <v>2640</v>
      </c>
      <c r="AN1650" s="9"/>
      <c r="AO1650" s="9"/>
      <c r="AP1650" s="9"/>
      <c r="AQ1650" s="15" t="s">
        <v>49</v>
      </c>
      <c r="AR1650" t="s">
        <v>8206</v>
      </c>
      <c r="AS1650" s="16" t="s">
        <v>8207</v>
      </c>
    </row>
    <row r="1651" spans="1:45" ht="14.5">
      <c r="A1651" s="9" t="s">
        <v>8208</v>
      </c>
      <c r="B1651" s="9" t="s">
        <v>8209</v>
      </c>
      <c r="C1651" s="9" t="s">
        <v>8210</v>
      </c>
      <c r="D1651" s="9" t="s">
        <v>2479</v>
      </c>
      <c r="E1651" s="9" t="s">
        <v>49</v>
      </c>
      <c r="F1651" s="9" t="s">
        <v>50</v>
      </c>
      <c r="G1651" s="9" t="s">
        <v>51</v>
      </c>
      <c r="H1651" s="9"/>
      <c r="I1651" s="9"/>
      <c r="J1651" s="10"/>
      <c r="K1651" s="10"/>
      <c r="L1651" s="10"/>
      <c r="M1651" s="10">
        <v>44440</v>
      </c>
      <c r="N1651" s="9">
        <v>2021</v>
      </c>
      <c r="O1651" s="9" t="s">
        <v>8145</v>
      </c>
      <c r="P1651" s="9" t="s">
        <v>53</v>
      </c>
      <c r="Q1651" s="9" t="s">
        <v>53</v>
      </c>
      <c r="S1651" s="9" t="s">
        <v>8211</v>
      </c>
      <c r="T1651" s="9" t="s">
        <v>5541</v>
      </c>
      <c r="V1651" s="9"/>
      <c r="AC1651" s="9" t="s">
        <v>8212</v>
      </c>
      <c r="AD1651" s="9" t="s">
        <v>8213</v>
      </c>
      <c r="AH1651" s="9">
        <v>2200</v>
      </c>
      <c r="AI1651" s="9" t="s">
        <v>77</v>
      </c>
      <c r="AJ1651" s="9" t="s">
        <v>301</v>
      </c>
      <c r="AK1651" s="11" t="str">
        <f t="shared" si="12"/>
        <v>2021GBP</v>
      </c>
      <c r="AL1651" s="11">
        <f>VLOOKUP(AK1651, Exchange_rates!$C:$D, 2, FALSE)</f>
        <v>1</v>
      </c>
      <c r="AM1651" s="14">
        <f t="shared" si="13"/>
        <v>2640</v>
      </c>
      <c r="AN1651" s="9"/>
      <c r="AO1651" s="9"/>
      <c r="AP1651" s="9"/>
      <c r="AQ1651" s="15" t="s">
        <v>49</v>
      </c>
      <c r="AR1651" t="s">
        <v>8214</v>
      </c>
      <c r="AS1651" s="16" t="s">
        <v>8215</v>
      </c>
    </row>
    <row r="1652" spans="1:45" ht="14.5">
      <c r="A1652" s="9" t="s">
        <v>8216</v>
      </c>
      <c r="B1652" s="9" t="s">
        <v>8217</v>
      </c>
      <c r="C1652" s="9" t="s">
        <v>8218</v>
      </c>
      <c r="D1652" s="9" t="s">
        <v>2479</v>
      </c>
      <c r="E1652" s="9" t="s">
        <v>49</v>
      </c>
      <c r="F1652" s="9" t="s">
        <v>69</v>
      </c>
      <c r="G1652" s="9" t="s">
        <v>70</v>
      </c>
      <c r="H1652" s="9" t="s">
        <v>2491</v>
      </c>
      <c r="I1652" s="9" t="s">
        <v>72</v>
      </c>
      <c r="J1652" s="10"/>
      <c r="K1652" s="10"/>
      <c r="L1652" s="10"/>
      <c r="M1652" s="10">
        <v>44376</v>
      </c>
      <c r="N1652" s="9">
        <v>2021</v>
      </c>
      <c r="O1652" s="9" t="s">
        <v>8145</v>
      </c>
      <c r="P1652" s="9" t="s">
        <v>83</v>
      </c>
      <c r="Q1652" s="9" t="s">
        <v>53</v>
      </c>
      <c r="R1652" s="9" t="s">
        <v>1847</v>
      </c>
      <c r="T1652" s="9"/>
      <c r="V1652" s="9"/>
      <c r="AC1652" s="9" t="s">
        <v>6676</v>
      </c>
      <c r="AD1652" s="9" t="s">
        <v>1889</v>
      </c>
      <c r="AH1652" s="9">
        <v>2200</v>
      </c>
      <c r="AI1652" s="9" t="s">
        <v>77</v>
      </c>
      <c r="AJ1652" s="9" t="s">
        <v>301</v>
      </c>
      <c r="AK1652" s="11" t="str">
        <f t="shared" si="12"/>
        <v>2021GBP</v>
      </c>
      <c r="AL1652" s="11">
        <f>VLOOKUP(AK1652, Exchange_rates!$C:$D, 2, FALSE)</f>
        <v>1</v>
      </c>
      <c r="AM1652" s="14">
        <f t="shared" si="13"/>
        <v>2640</v>
      </c>
      <c r="AN1652" s="9"/>
      <c r="AO1652" s="9"/>
      <c r="AP1652" s="9"/>
      <c r="AQ1652" s="15" t="s">
        <v>49</v>
      </c>
      <c r="AR1652" t="s">
        <v>8219</v>
      </c>
      <c r="AS1652" s="16" t="s">
        <v>8220</v>
      </c>
    </row>
    <row r="1653" spans="1:45" ht="14.5">
      <c r="A1653" s="9" t="s">
        <v>8221</v>
      </c>
      <c r="B1653" s="9" t="s">
        <v>8222</v>
      </c>
      <c r="C1653" s="9" t="s">
        <v>8223</v>
      </c>
      <c r="D1653" s="9" t="s">
        <v>2479</v>
      </c>
      <c r="E1653" s="9" t="s">
        <v>49</v>
      </c>
      <c r="F1653" s="9" t="s">
        <v>69</v>
      </c>
      <c r="G1653" s="9" t="s">
        <v>70</v>
      </c>
      <c r="H1653" s="9" t="s">
        <v>2491</v>
      </c>
      <c r="I1653" s="9" t="s">
        <v>72</v>
      </c>
      <c r="J1653" s="10"/>
      <c r="K1653" s="10"/>
      <c r="L1653" s="10"/>
      <c r="M1653" s="10">
        <v>44495</v>
      </c>
      <c r="N1653" s="9">
        <v>2021</v>
      </c>
      <c r="O1653" s="9" t="s">
        <v>8145</v>
      </c>
      <c r="P1653" s="9" t="s">
        <v>83</v>
      </c>
      <c r="Q1653" s="9" t="s">
        <v>53</v>
      </c>
      <c r="R1653" s="9" t="s">
        <v>8224</v>
      </c>
      <c r="T1653" s="9"/>
      <c r="V1653" s="9"/>
      <c r="AC1653" s="9" t="s">
        <v>8225</v>
      </c>
      <c r="AD1653" s="9" t="s">
        <v>8226</v>
      </c>
      <c r="AH1653" s="9">
        <v>2200</v>
      </c>
      <c r="AI1653" s="9" t="s">
        <v>77</v>
      </c>
      <c r="AJ1653" s="9" t="s">
        <v>301</v>
      </c>
      <c r="AK1653" s="11" t="str">
        <f t="shared" si="12"/>
        <v>2021GBP</v>
      </c>
      <c r="AL1653" s="11">
        <f>VLOOKUP(AK1653, Exchange_rates!$C:$D, 2, FALSE)</f>
        <v>1</v>
      </c>
      <c r="AM1653" s="14">
        <f t="shared" si="13"/>
        <v>2640</v>
      </c>
      <c r="AN1653" s="9"/>
      <c r="AO1653" s="9"/>
      <c r="AP1653" s="9"/>
      <c r="AQ1653" s="15" t="s">
        <v>49</v>
      </c>
      <c r="AR1653" t="s">
        <v>2703</v>
      </c>
      <c r="AS1653" s="16" t="s">
        <v>2704</v>
      </c>
    </row>
    <row r="1654" spans="1:45" ht="14.5">
      <c r="A1654" s="9" t="s">
        <v>8227</v>
      </c>
      <c r="B1654" s="9" t="s">
        <v>8228</v>
      </c>
      <c r="C1654" s="9" t="s">
        <v>8229</v>
      </c>
      <c r="D1654" s="9" t="s">
        <v>2479</v>
      </c>
      <c r="E1654" s="9" t="s">
        <v>49</v>
      </c>
      <c r="F1654" s="9" t="s">
        <v>69</v>
      </c>
      <c r="G1654" s="9" t="s">
        <v>70</v>
      </c>
      <c r="H1654" s="9" t="s">
        <v>2491</v>
      </c>
      <c r="I1654" s="9" t="s">
        <v>72</v>
      </c>
      <c r="J1654" s="10"/>
      <c r="K1654" s="10"/>
      <c r="L1654" s="10"/>
      <c r="M1654" s="10">
        <v>44383</v>
      </c>
      <c r="N1654" s="9">
        <v>2021</v>
      </c>
      <c r="O1654" s="9" t="s">
        <v>8145</v>
      </c>
      <c r="P1654" s="9" t="s">
        <v>53</v>
      </c>
      <c r="Q1654" s="9" t="s">
        <v>53</v>
      </c>
      <c r="R1654" s="9" t="s">
        <v>318</v>
      </c>
      <c r="T1654" s="9"/>
      <c r="V1654" s="9"/>
      <c r="AC1654" s="9" t="s">
        <v>8230</v>
      </c>
      <c r="AD1654" s="9" t="s">
        <v>8231</v>
      </c>
      <c r="AH1654" s="9">
        <v>2200</v>
      </c>
      <c r="AI1654" s="9" t="s">
        <v>77</v>
      </c>
      <c r="AJ1654" s="9" t="s">
        <v>301</v>
      </c>
      <c r="AK1654" s="11" t="str">
        <f t="shared" si="12"/>
        <v>2021GBP</v>
      </c>
      <c r="AL1654" s="11">
        <f>VLOOKUP(AK1654, Exchange_rates!$C:$D, 2, FALSE)</f>
        <v>1</v>
      </c>
      <c r="AM1654" s="14">
        <f t="shared" si="13"/>
        <v>2640</v>
      </c>
      <c r="AN1654" s="9"/>
      <c r="AO1654" s="9"/>
      <c r="AP1654" s="9"/>
      <c r="AQ1654" s="15" t="s">
        <v>49</v>
      </c>
      <c r="AR1654" t="s">
        <v>8232</v>
      </c>
      <c r="AS1654" s="16" t="s">
        <v>8233</v>
      </c>
    </row>
    <row r="1655" spans="1:45" ht="14.5">
      <c r="A1655" s="9" t="s">
        <v>8234</v>
      </c>
      <c r="B1655" s="9" t="s">
        <v>8235</v>
      </c>
      <c r="C1655" s="9" t="s">
        <v>8236</v>
      </c>
      <c r="D1655" s="9" t="s">
        <v>2479</v>
      </c>
      <c r="E1655" s="9" t="s">
        <v>49</v>
      </c>
      <c r="F1655" s="9" t="s">
        <v>69</v>
      </c>
      <c r="G1655" s="9" t="s">
        <v>70</v>
      </c>
      <c r="H1655" s="9" t="s">
        <v>2491</v>
      </c>
      <c r="I1655" s="9" t="s">
        <v>72</v>
      </c>
      <c r="J1655" s="10"/>
      <c r="K1655" s="10"/>
      <c r="L1655" s="10"/>
      <c r="M1655" s="10">
        <v>44428</v>
      </c>
      <c r="N1655" s="9">
        <v>2021</v>
      </c>
      <c r="O1655" s="9" t="s">
        <v>8145</v>
      </c>
      <c r="P1655" s="9" t="s">
        <v>53</v>
      </c>
      <c r="Q1655" s="9" t="s">
        <v>53</v>
      </c>
      <c r="T1655" s="9"/>
      <c r="V1655" s="9"/>
      <c r="AC1655" s="9" t="s">
        <v>8237</v>
      </c>
      <c r="AD1655" s="9" t="s">
        <v>7751</v>
      </c>
      <c r="AH1655" s="9">
        <v>2200</v>
      </c>
      <c r="AI1655" s="9" t="s">
        <v>77</v>
      </c>
      <c r="AJ1655" s="9" t="s">
        <v>301</v>
      </c>
      <c r="AK1655" s="11" t="str">
        <f t="shared" si="12"/>
        <v>2021GBP</v>
      </c>
      <c r="AL1655" s="11">
        <f>VLOOKUP(AK1655, Exchange_rates!$C:$D, 2, FALSE)</f>
        <v>1</v>
      </c>
      <c r="AM1655" s="14">
        <f t="shared" si="13"/>
        <v>2640</v>
      </c>
      <c r="AN1655" s="9"/>
      <c r="AO1655" s="9"/>
      <c r="AP1655" s="9"/>
      <c r="AQ1655" s="15" t="s">
        <v>49</v>
      </c>
      <c r="AR1655" t="s">
        <v>8238</v>
      </c>
      <c r="AS1655" s="16" t="s">
        <v>8239</v>
      </c>
    </row>
    <row r="1656" spans="1:45" ht="14.5">
      <c r="A1656" s="9" t="s">
        <v>8240</v>
      </c>
      <c r="B1656" s="9" t="s">
        <v>8241</v>
      </c>
      <c r="C1656" s="9" t="s">
        <v>8242</v>
      </c>
      <c r="D1656" s="9" t="s">
        <v>2479</v>
      </c>
      <c r="E1656" s="9" t="s">
        <v>49</v>
      </c>
      <c r="F1656" s="9" t="s">
        <v>69</v>
      </c>
      <c r="G1656" s="9" t="s">
        <v>70</v>
      </c>
      <c r="H1656" s="9" t="s">
        <v>2491</v>
      </c>
      <c r="I1656" s="9" t="s">
        <v>72</v>
      </c>
      <c r="J1656" s="10"/>
      <c r="K1656" s="10"/>
      <c r="L1656" s="10"/>
      <c r="M1656" s="10">
        <v>44374</v>
      </c>
      <c r="N1656" s="9">
        <v>2021</v>
      </c>
      <c r="O1656" s="9" t="s">
        <v>8145</v>
      </c>
      <c r="P1656" s="9" t="s">
        <v>53</v>
      </c>
      <c r="Q1656" s="9" t="s">
        <v>53</v>
      </c>
      <c r="R1656" s="9" t="s">
        <v>8243</v>
      </c>
      <c r="T1656" s="9"/>
      <c r="V1656" s="9"/>
      <c r="AC1656" s="9" t="s">
        <v>8244</v>
      </c>
      <c r="AD1656" s="9" t="s">
        <v>8245</v>
      </c>
      <c r="AH1656" s="9">
        <v>2200</v>
      </c>
      <c r="AI1656" s="9" t="s">
        <v>77</v>
      </c>
      <c r="AJ1656" s="9" t="s">
        <v>301</v>
      </c>
      <c r="AK1656" s="11" t="str">
        <f t="shared" si="12"/>
        <v>2021GBP</v>
      </c>
      <c r="AL1656" s="11">
        <f>VLOOKUP(AK1656, Exchange_rates!$C:$D, 2, FALSE)</f>
        <v>1</v>
      </c>
      <c r="AM1656" s="14">
        <f t="shared" si="13"/>
        <v>2640</v>
      </c>
      <c r="AN1656" s="9"/>
      <c r="AO1656" s="9"/>
      <c r="AP1656" s="9"/>
      <c r="AQ1656" s="15" t="s">
        <v>49</v>
      </c>
      <c r="AR1656" t="s">
        <v>8246</v>
      </c>
      <c r="AS1656" s="16" t="s">
        <v>8247</v>
      </c>
    </row>
    <row r="1657" spans="1:45" ht="14.5">
      <c r="A1657" s="9" t="s">
        <v>8248</v>
      </c>
      <c r="B1657" s="9" t="s">
        <v>8249</v>
      </c>
      <c r="C1657" s="9" t="s">
        <v>8250</v>
      </c>
      <c r="D1657" s="9" t="s">
        <v>2479</v>
      </c>
      <c r="E1657" s="9" t="s">
        <v>49</v>
      </c>
      <c r="F1657" s="9" t="s">
        <v>69</v>
      </c>
      <c r="G1657" s="9" t="s">
        <v>70</v>
      </c>
      <c r="H1657" s="9" t="s">
        <v>2491</v>
      </c>
      <c r="I1657" s="9" t="s">
        <v>72</v>
      </c>
      <c r="J1657" s="10"/>
      <c r="K1657" s="10"/>
      <c r="L1657" s="10"/>
      <c r="M1657" s="10">
        <v>44385</v>
      </c>
      <c r="N1657" s="9">
        <v>2021</v>
      </c>
      <c r="O1657" s="9" t="s">
        <v>8145</v>
      </c>
      <c r="P1657" s="9" t="s">
        <v>53</v>
      </c>
      <c r="Q1657" s="9" t="s">
        <v>53</v>
      </c>
      <c r="R1657" s="9" t="s">
        <v>8251</v>
      </c>
      <c r="T1657" s="9"/>
      <c r="V1657" s="9"/>
      <c r="AC1657" s="9" t="s">
        <v>8252</v>
      </c>
      <c r="AD1657" s="9" t="s">
        <v>8253</v>
      </c>
      <c r="AH1657" s="9">
        <v>2200</v>
      </c>
      <c r="AI1657" s="9" t="s">
        <v>77</v>
      </c>
      <c r="AJ1657" s="9" t="s">
        <v>301</v>
      </c>
      <c r="AK1657" s="11" t="str">
        <f t="shared" si="12"/>
        <v>2021GBP</v>
      </c>
      <c r="AL1657" s="11">
        <f>VLOOKUP(AK1657, Exchange_rates!$C:$D, 2, FALSE)</f>
        <v>1</v>
      </c>
      <c r="AM1657" s="14">
        <f t="shared" si="13"/>
        <v>2640</v>
      </c>
      <c r="AN1657" s="9"/>
      <c r="AO1657" s="9"/>
      <c r="AP1657" s="9"/>
      <c r="AQ1657" s="15" t="s">
        <v>49</v>
      </c>
      <c r="AR1657" t="s">
        <v>8254</v>
      </c>
      <c r="AS1657" s="16" t="s">
        <v>8255</v>
      </c>
    </row>
    <row r="1658" spans="1:45" ht="14.5">
      <c r="A1658" s="9" t="s">
        <v>8256</v>
      </c>
      <c r="B1658" s="9" t="s">
        <v>8257</v>
      </c>
      <c r="C1658" s="9" t="s">
        <v>8258</v>
      </c>
      <c r="D1658" s="9" t="s">
        <v>2479</v>
      </c>
      <c r="E1658" s="9" t="s">
        <v>49</v>
      </c>
      <c r="F1658" s="9" t="s">
        <v>50</v>
      </c>
      <c r="G1658" s="9" t="s">
        <v>51</v>
      </c>
      <c r="H1658" s="9"/>
      <c r="I1658" s="9"/>
      <c r="J1658" s="10"/>
      <c r="K1658" s="10"/>
      <c r="L1658" s="10"/>
      <c r="M1658" s="10">
        <v>44391</v>
      </c>
      <c r="N1658" s="9">
        <v>2021</v>
      </c>
      <c r="O1658" s="9" t="s">
        <v>8145</v>
      </c>
      <c r="P1658" s="9" t="s">
        <v>53</v>
      </c>
      <c r="Q1658" s="9" t="s">
        <v>53</v>
      </c>
      <c r="T1658" s="9" t="s">
        <v>5541</v>
      </c>
      <c r="V1658" s="9"/>
      <c r="AC1658" s="9" t="s">
        <v>8259</v>
      </c>
      <c r="AD1658" s="9" t="s">
        <v>8260</v>
      </c>
      <c r="AH1658" s="9">
        <v>2200</v>
      </c>
      <c r="AI1658" s="9" t="s">
        <v>77</v>
      </c>
      <c r="AJ1658" s="9" t="s">
        <v>301</v>
      </c>
      <c r="AK1658" s="11" t="str">
        <f t="shared" si="12"/>
        <v>2021GBP</v>
      </c>
      <c r="AL1658" s="11">
        <f>VLOOKUP(AK1658, Exchange_rates!$C:$D, 2, FALSE)</f>
        <v>1</v>
      </c>
      <c r="AM1658" s="14">
        <f t="shared" si="13"/>
        <v>2640</v>
      </c>
      <c r="AN1658" s="9"/>
      <c r="AO1658" s="9"/>
      <c r="AP1658" s="9"/>
      <c r="AQ1658" s="15" t="s">
        <v>49</v>
      </c>
      <c r="AR1658" t="s">
        <v>2646</v>
      </c>
      <c r="AS1658" s="16" t="s">
        <v>2647</v>
      </c>
    </row>
    <row r="1659" spans="1:45" ht="14.5">
      <c r="A1659" s="9" t="s">
        <v>8261</v>
      </c>
      <c r="B1659" s="9" t="s">
        <v>8262</v>
      </c>
      <c r="C1659" s="9" t="s">
        <v>8263</v>
      </c>
      <c r="D1659" s="9" t="s">
        <v>2479</v>
      </c>
      <c r="E1659" s="9" t="s">
        <v>49</v>
      </c>
      <c r="F1659" s="9" t="s">
        <v>69</v>
      </c>
      <c r="G1659" s="9" t="s">
        <v>70</v>
      </c>
      <c r="H1659" s="9" t="s">
        <v>2491</v>
      </c>
      <c r="I1659" s="9" t="s">
        <v>72</v>
      </c>
      <c r="J1659" s="10"/>
      <c r="K1659" s="10"/>
      <c r="L1659" s="10"/>
      <c r="M1659" s="10">
        <v>44377</v>
      </c>
      <c r="N1659" s="9">
        <v>2021</v>
      </c>
      <c r="O1659" s="9" t="s">
        <v>8145</v>
      </c>
      <c r="P1659" s="9" t="s">
        <v>83</v>
      </c>
      <c r="Q1659" s="9" t="s">
        <v>53</v>
      </c>
      <c r="R1659" s="9" t="s">
        <v>4005</v>
      </c>
      <c r="T1659" s="9"/>
      <c r="V1659" s="9"/>
      <c r="AC1659" s="9" t="s">
        <v>8264</v>
      </c>
      <c r="AD1659" s="9" t="s">
        <v>8265</v>
      </c>
      <c r="AH1659" s="9">
        <v>2200</v>
      </c>
      <c r="AI1659" s="9" t="s">
        <v>77</v>
      </c>
      <c r="AJ1659" s="9" t="s">
        <v>301</v>
      </c>
      <c r="AK1659" s="11" t="str">
        <f t="shared" si="12"/>
        <v>2021GBP</v>
      </c>
      <c r="AL1659" s="11">
        <f>VLOOKUP(AK1659, Exchange_rates!$C:$D, 2, FALSE)</f>
        <v>1</v>
      </c>
      <c r="AM1659" s="14">
        <f t="shared" si="13"/>
        <v>2640</v>
      </c>
      <c r="AN1659" s="9"/>
      <c r="AO1659" s="9"/>
      <c r="AP1659" s="9"/>
      <c r="AQ1659" s="15" t="s">
        <v>49</v>
      </c>
      <c r="AR1659" t="s">
        <v>8266</v>
      </c>
      <c r="AS1659" s="16" t="s">
        <v>8267</v>
      </c>
    </row>
    <row r="1660" spans="1:45" ht="14.5">
      <c r="A1660" s="9" t="s">
        <v>8268</v>
      </c>
      <c r="B1660" s="9" t="s">
        <v>8269</v>
      </c>
      <c r="C1660" s="9" t="s">
        <v>8270</v>
      </c>
      <c r="D1660" s="9" t="s">
        <v>2479</v>
      </c>
      <c r="E1660" s="9" t="s">
        <v>49</v>
      </c>
      <c r="F1660" s="9" t="s">
        <v>69</v>
      </c>
      <c r="G1660" s="9" t="s">
        <v>70</v>
      </c>
      <c r="H1660" s="9" t="s">
        <v>2491</v>
      </c>
      <c r="I1660" s="9" t="s">
        <v>72</v>
      </c>
      <c r="J1660" s="10"/>
      <c r="K1660" s="10"/>
      <c r="L1660" s="10"/>
      <c r="M1660" s="10">
        <v>44384</v>
      </c>
      <c r="N1660" s="9">
        <v>2021</v>
      </c>
      <c r="O1660" s="9" t="s">
        <v>8145</v>
      </c>
      <c r="P1660" s="9" t="s">
        <v>53</v>
      </c>
      <c r="Q1660" s="9" t="s">
        <v>53</v>
      </c>
      <c r="T1660" s="9"/>
      <c r="V1660" s="9"/>
      <c r="AC1660" s="9" t="s">
        <v>8271</v>
      </c>
      <c r="AD1660" s="9" t="s">
        <v>8272</v>
      </c>
      <c r="AH1660" s="9">
        <v>2200</v>
      </c>
      <c r="AI1660" s="9" t="s">
        <v>77</v>
      </c>
      <c r="AJ1660" s="9" t="s">
        <v>301</v>
      </c>
      <c r="AK1660" s="11" t="str">
        <f t="shared" si="12"/>
        <v>2021GBP</v>
      </c>
      <c r="AL1660" s="11">
        <f>VLOOKUP(AK1660, Exchange_rates!$C:$D, 2, FALSE)</f>
        <v>1</v>
      </c>
      <c r="AM1660" s="14">
        <f t="shared" si="13"/>
        <v>2640</v>
      </c>
      <c r="AN1660" s="9"/>
      <c r="AO1660" s="9"/>
      <c r="AP1660" s="9"/>
      <c r="AQ1660" s="15" t="s">
        <v>49</v>
      </c>
      <c r="AR1660" t="s">
        <v>8273</v>
      </c>
      <c r="AS1660" s="16" t="s">
        <v>8274</v>
      </c>
    </row>
    <row r="1661" spans="1:45" ht="14.5">
      <c r="A1661" s="9" t="s">
        <v>8275</v>
      </c>
      <c r="B1661" s="9" t="s">
        <v>8276</v>
      </c>
      <c r="C1661" s="9" t="s">
        <v>2568</v>
      </c>
      <c r="D1661" s="9" t="s">
        <v>2479</v>
      </c>
      <c r="E1661" s="9" t="s">
        <v>49</v>
      </c>
      <c r="F1661" s="9" t="s">
        <v>69</v>
      </c>
      <c r="G1661" s="9" t="s">
        <v>70</v>
      </c>
      <c r="H1661" s="9" t="s">
        <v>2491</v>
      </c>
      <c r="I1661" s="9" t="s">
        <v>72</v>
      </c>
      <c r="J1661" s="10"/>
      <c r="K1661" s="10"/>
      <c r="L1661" s="10"/>
      <c r="M1661" s="10">
        <v>44394</v>
      </c>
      <c r="N1661" s="9">
        <v>2021</v>
      </c>
      <c r="O1661" s="9" t="s">
        <v>8145</v>
      </c>
      <c r="P1661" s="9" t="s">
        <v>83</v>
      </c>
      <c r="Q1661" s="9" t="s">
        <v>53</v>
      </c>
      <c r="R1661" s="9" t="s">
        <v>292</v>
      </c>
      <c r="T1661" s="9"/>
      <c r="V1661" s="9"/>
      <c r="AC1661" s="9" t="s">
        <v>8277</v>
      </c>
      <c r="AD1661" s="9" t="s">
        <v>8278</v>
      </c>
      <c r="AH1661" s="9">
        <v>1100</v>
      </c>
      <c r="AI1661" s="9" t="s">
        <v>77</v>
      </c>
      <c r="AJ1661" s="9" t="s">
        <v>301</v>
      </c>
      <c r="AK1661" s="11" t="str">
        <f t="shared" si="12"/>
        <v>2021GBP</v>
      </c>
      <c r="AL1661" s="11">
        <f>VLOOKUP(AK1661, Exchange_rates!$C:$D, 2, FALSE)</f>
        <v>1</v>
      </c>
      <c r="AM1661" s="14">
        <f t="shared" si="13"/>
        <v>1320</v>
      </c>
      <c r="AN1661" s="9"/>
      <c r="AO1661" s="9"/>
      <c r="AP1661" s="9"/>
      <c r="AQ1661" s="15" t="s">
        <v>49</v>
      </c>
      <c r="AR1661" t="s">
        <v>2570</v>
      </c>
      <c r="AS1661" s="16" t="s">
        <v>2571</v>
      </c>
    </row>
    <row r="1662" spans="1:45" ht="14.5">
      <c r="A1662" s="9" t="s">
        <v>8279</v>
      </c>
      <c r="B1662" s="9" t="s">
        <v>8280</v>
      </c>
      <c r="C1662" s="9" t="s">
        <v>8281</v>
      </c>
      <c r="D1662" s="9" t="s">
        <v>2479</v>
      </c>
      <c r="E1662" s="9" t="s">
        <v>49</v>
      </c>
      <c r="F1662" s="9" t="s">
        <v>69</v>
      </c>
      <c r="G1662" s="9" t="s">
        <v>70</v>
      </c>
      <c r="H1662" s="9" t="s">
        <v>2491</v>
      </c>
      <c r="I1662" s="9" t="s">
        <v>72</v>
      </c>
      <c r="J1662" s="10"/>
      <c r="K1662" s="10"/>
      <c r="L1662" s="10"/>
      <c r="M1662" s="10">
        <v>44427</v>
      </c>
      <c r="N1662" s="9">
        <v>2021</v>
      </c>
      <c r="O1662" s="9" t="s">
        <v>8145</v>
      </c>
      <c r="P1662" s="9" t="s">
        <v>53</v>
      </c>
      <c r="Q1662" s="9" t="s">
        <v>53</v>
      </c>
      <c r="R1662" s="9" t="s">
        <v>8282</v>
      </c>
      <c r="T1662" s="9"/>
      <c r="V1662" s="9"/>
      <c r="AC1662" s="9" t="s">
        <v>8283</v>
      </c>
      <c r="AD1662" s="9" t="s">
        <v>8284</v>
      </c>
      <c r="AH1662" s="9">
        <v>2200</v>
      </c>
      <c r="AI1662" s="9" t="s">
        <v>77</v>
      </c>
      <c r="AJ1662" s="9" t="s">
        <v>301</v>
      </c>
      <c r="AK1662" s="11" t="str">
        <f t="shared" si="12"/>
        <v>2021GBP</v>
      </c>
      <c r="AL1662" s="11">
        <f>VLOOKUP(AK1662, Exchange_rates!$C:$D, 2, FALSE)</f>
        <v>1</v>
      </c>
      <c r="AM1662" s="14">
        <f t="shared" si="13"/>
        <v>2640</v>
      </c>
      <c r="AN1662" s="9"/>
      <c r="AO1662" s="9"/>
      <c r="AP1662" s="9"/>
      <c r="AQ1662" s="15" t="s">
        <v>49</v>
      </c>
      <c r="AR1662" t="s">
        <v>8285</v>
      </c>
      <c r="AS1662" s="16" t="s">
        <v>8286</v>
      </c>
    </row>
    <row r="1663" spans="1:45" ht="14.5">
      <c r="A1663" s="9" t="s">
        <v>8287</v>
      </c>
      <c r="B1663" s="9" t="s">
        <v>8288</v>
      </c>
      <c r="C1663" s="9" t="s">
        <v>2508</v>
      </c>
      <c r="D1663" s="9" t="s">
        <v>2479</v>
      </c>
      <c r="E1663" s="9" t="s">
        <v>49</v>
      </c>
      <c r="F1663" s="9" t="s">
        <v>69</v>
      </c>
      <c r="G1663" s="9" t="s">
        <v>70</v>
      </c>
      <c r="H1663" s="9" t="s">
        <v>2491</v>
      </c>
      <c r="I1663" s="9" t="s">
        <v>72</v>
      </c>
      <c r="J1663" s="10"/>
      <c r="K1663" s="10"/>
      <c r="L1663" s="10"/>
      <c r="M1663" s="10">
        <v>44452</v>
      </c>
      <c r="N1663" s="9">
        <v>2021</v>
      </c>
      <c r="O1663" s="9" t="s">
        <v>8145</v>
      </c>
      <c r="P1663" s="9" t="s">
        <v>83</v>
      </c>
      <c r="Q1663" s="9" t="s">
        <v>53</v>
      </c>
      <c r="R1663" s="9" t="s">
        <v>8156</v>
      </c>
      <c r="T1663" s="9"/>
      <c r="V1663" s="9"/>
      <c r="AC1663" s="9" t="s">
        <v>8157</v>
      </c>
      <c r="AD1663" s="9" t="s">
        <v>8158</v>
      </c>
      <c r="AH1663" s="9">
        <v>2200</v>
      </c>
      <c r="AI1663" s="9" t="s">
        <v>77</v>
      </c>
      <c r="AJ1663" s="9" t="s">
        <v>301</v>
      </c>
      <c r="AK1663" s="11" t="str">
        <f t="shared" si="12"/>
        <v>2021GBP</v>
      </c>
      <c r="AL1663" s="11">
        <f>VLOOKUP(AK1663, Exchange_rates!$C:$D, 2, FALSE)</f>
        <v>1</v>
      </c>
      <c r="AM1663" s="14">
        <f t="shared" si="13"/>
        <v>2640</v>
      </c>
      <c r="AN1663" s="9"/>
      <c r="AO1663" s="9"/>
      <c r="AP1663" s="9"/>
      <c r="AQ1663" s="15" t="s">
        <v>49</v>
      </c>
      <c r="AR1663" t="s">
        <v>2510</v>
      </c>
      <c r="AS1663" s="16" t="s">
        <v>2511</v>
      </c>
    </row>
    <row r="1664" spans="1:45" ht="14.5">
      <c r="A1664" s="9" t="s">
        <v>8289</v>
      </c>
      <c r="B1664" s="9" t="s">
        <v>8290</v>
      </c>
      <c r="C1664" s="9" t="s">
        <v>8291</v>
      </c>
      <c r="D1664" s="9" t="s">
        <v>2479</v>
      </c>
      <c r="E1664" s="9" t="s">
        <v>49</v>
      </c>
      <c r="F1664" s="9" t="s">
        <v>69</v>
      </c>
      <c r="G1664" s="9" t="s">
        <v>70</v>
      </c>
      <c r="H1664" s="9" t="s">
        <v>2491</v>
      </c>
      <c r="I1664" s="9" t="s">
        <v>238</v>
      </c>
      <c r="J1664" s="10"/>
      <c r="K1664" s="10"/>
      <c r="L1664" s="10"/>
      <c r="M1664" s="10">
        <v>44401</v>
      </c>
      <c r="N1664" s="9">
        <v>2021</v>
      </c>
      <c r="O1664" s="9" t="s">
        <v>8145</v>
      </c>
      <c r="P1664" s="9" t="s">
        <v>53</v>
      </c>
      <c r="Q1664" s="9" t="s">
        <v>53</v>
      </c>
      <c r="R1664" s="9" t="s">
        <v>8292</v>
      </c>
      <c r="T1664" s="9"/>
      <c r="V1664" s="9"/>
      <c r="AC1664" s="9" t="s">
        <v>8293</v>
      </c>
      <c r="AD1664" s="9" t="s">
        <v>548</v>
      </c>
      <c r="AH1664" s="9">
        <v>2200</v>
      </c>
      <c r="AI1664" s="9" t="s">
        <v>77</v>
      </c>
      <c r="AJ1664" s="9" t="s">
        <v>301</v>
      </c>
      <c r="AK1664" s="11" t="str">
        <f t="shared" si="12"/>
        <v>2021GBP</v>
      </c>
      <c r="AL1664" s="11">
        <f>VLOOKUP(AK1664, Exchange_rates!$C:$D, 2, FALSE)</f>
        <v>1</v>
      </c>
      <c r="AM1664" s="14">
        <f t="shared" si="13"/>
        <v>2640</v>
      </c>
      <c r="AN1664" s="9"/>
      <c r="AO1664" s="9"/>
      <c r="AP1664" s="9"/>
      <c r="AQ1664" s="15" t="s">
        <v>49</v>
      </c>
      <c r="AR1664" t="s">
        <v>2631</v>
      </c>
      <c r="AS1664" s="16" t="s">
        <v>2632</v>
      </c>
    </row>
    <row r="1665" spans="1:60" ht="14.5">
      <c r="A1665" s="9" t="s">
        <v>8294</v>
      </c>
      <c r="B1665" s="9" t="s">
        <v>8295</v>
      </c>
      <c r="C1665" s="9" t="s">
        <v>2748</v>
      </c>
      <c r="D1665" s="9" t="s">
        <v>2479</v>
      </c>
      <c r="E1665" s="9" t="s">
        <v>49</v>
      </c>
      <c r="F1665" s="9" t="s">
        <v>50</v>
      </c>
      <c r="G1665" s="9" t="s">
        <v>51</v>
      </c>
      <c r="H1665" s="9"/>
      <c r="I1665" s="9"/>
      <c r="J1665" s="10"/>
      <c r="K1665" s="10"/>
      <c r="L1665" s="10"/>
      <c r="M1665" s="10">
        <v>44428</v>
      </c>
      <c r="N1665" s="9">
        <v>2021</v>
      </c>
      <c r="O1665" s="9" t="s">
        <v>8145</v>
      </c>
      <c r="P1665" s="9" t="s">
        <v>83</v>
      </c>
      <c r="Q1665" s="9" t="s">
        <v>53</v>
      </c>
      <c r="R1665" s="9" t="s">
        <v>8296</v>
      </c>
      <c r="S1665" s="9" t="s">
        <v>2438</v>
      </c>
      <c r="T1665" s="9" t="s">
        <v>5541</v>
      </c>
      <c r="V1665" s="9"/>
      <c r="AC1665" s="9" t="s">
        <v>8297</v>
      </c>
      <c r="AD1665" s="9" t="s">
        <v>8298</v>
      </c>
      <c r="AH1665" s="9">
        <v>2200</v>
      </c>
      <c r="AI1665" s="9" t="s">
        <v>77</v>
      </c>
      <c r="AJ1665" s="9" t="s">
        <v>301</v>
      </c>
      <c r="AK1665" s="11" t="str">
        <f t="shared" si="12"/>
        <v>2021GBP</v>
      </c>
      <c r="AL1665" s="11">
        <f>VLOOKUP(AK1665, Exchange_rates!$C:$D, 2, FALSE)</f>
        <v>1</v>
      </c>
      <c r="AM1665" s="14">
        <f t="shared" si="13"/>
        <v>2640</v>
      </c>
      <c r="AN1665" s="9"/>
      <c r="AO1665" s="9"/>
      <c r="AP1665" s="9"/>
      <c r="AQ1665" s="15" t="s">
        <v>49</v>
      </c>
      <c r="AR1665" t="s">
        <v>2749</v>
      </c>
      <c r="AS1665" s="16" t="s">
        <v>2750</v>
      </c>
    </row>
    <row r="1666" spans="1:60" ht="14.5">
      <c r="A1666" s="9" t="s">
        <v>8299</v>
      </c>
      <c r="B1666" s="9" t="s">
        <v>8300</v>
      </c>
      <c r="C1666" s="9" t="s">
        <v>2766</v>
      </c>
      <c r="D1666" s="9" t="s">
        <v>2479</v>
      </c>
      <c r="E1666" s="9" t="s">
        <v>49</v>
      </c>
      <c r="F1666" s="9" t="s">
        <v>69</v>
      </c>
      <c r="G1666" s="9" t="s">
        <v>70</v>
      </c>
      <c r="H1666" s="9" t="s">
        <v>2491</v>
      </c>
      <c r="I1666" s="9" t="s">
        <v>238</v>
      </c>
      <c r="J1666" s="10"/>
      <c r="K1666" s="10"/>
      <c r="L1666" s="10"/>
      <c r="M1666" s="10">
        <v>44456</v>
      </c>
      <c r="N1666" s="9">
        <v>2021</v>
      </c>
      <c r="O1666" s="9" t="s">
        <v>8145</v>
      </c>
      <c r="P1666" s="9" t="s">
        <v>53</v>
      </c>
      <c r="Q1666" s="9" t="s">
        <v>53</v>
      </c>
      <c r="T1666" s="9"/>
      <c r="V1666" s="9"/>
      <c r="AC1666" s="9" t="s">
        <v>8301</v>
      </c>
      <c r="AD1666" s="9" t="s">
        <v>8302</v>
      </c>
      <c r="AH1666" s="9">
        <v>2200</v>
      </c>
      <c r="AI1666" s="9" t="s">
        <v>77</v>
      </c>
      <c r="AJ1666" s="9" t="s">
        <v>301</v>
      </c>
      <c r="AK1666" s="11" t="str">
        <f t="shared" si="12"/>
        <v>2021GBP</v>
      </c>
      <c r="AL1666" s="11">
        <f>VLOOKUP(AK1666, Exchange_rates!$C:$D, 2, FALSE)</f>
        <v>1</v>
      </c>
      <c r="AM1666" s="14">
        <f t="shared" si="13"/>
        <v>2640</v>
      </c>
      <c r="AN1666" s="9"/>
      <c r="AO1666" s="9"/>
      <c r="AP1666" s="9"/>
      <c r="AQ1666" s="15" t="s">
        <v>49</v>
      </c>
      <c r="AR1666" t="s">
        <v>2768</v>
      </c>
      <c r="AS1666" s="16" t="s">
        <v>2769</v>
      </c>
    </row>
    <row r="1667" spans="1:60" ht="14.5">
      <c r="A1667" s="9" t="s">
        <v>8303</v>
      </c>
      <c r="B1667" s="9" t="s">
        <v>8304</v>
      </c>
      <c r="C1667" s="9" t="s">
        <v>2614</v>
      </c>
      <c r="D1667" s="9" t="s">
        <v>2479</v>
      </c>
      <c r="E1667" s="9" t="s">
        <v>49</v>
      </c>
      <c r="F1667" s="9" t="s">
        <v>50</v>
      </c>
      <c r="G1667" s="9" t="s">
        <v>51</v>
      </c>
      <c r="H1667" s="9"/>
      <c r="I1667" s="9"/>
      <c r="J1667" s="10"/>
      <c r="K1667" s="10"/>
      <c r="L1667" s="10"/>
      <c r="M1667" s="10">
        <v>44525</v>
      </c>
      <c r="N1667" s="9">
        <v>2021</v>
      </c>
      <c r="O1667" s="9" t="s">
        <v>8145</v>
      </c>
      <c r="P1667" s="9" t="s">
        <v>53</v>
      </c>
      <c r="Q1667" s="9" t="s">
        <v>53</v>
      </c>
      <c r="T1667" s="9" t="s">
        <v>5541</v>
      </c>
      <c r="V1667" s="9"/>
      <c r="AC1667" s="9" t="s">
        <v>8305</v>
      </c>
      <c r="AD1667" s="9" t="s">
        <v>4872</v>
      </c>
      <c r="AH1667" s="9">
        <v>2200</v>
      </c>
      <c r="AI1667" s="9" t="s">
        <v>77</v>
      </c>
      <c r="AJ1667" s="9" t="s">
        <v>301</v>
      </c>
      <c r="AK1667" s="11" t="str">
        <f t="shared" si="12"/>
        <v>2021GBP</v>
      </c>
      <c r="AL1667" s="11">
        <f>VLOOKUP(AK1667, Exchange_rates!$C:$D, 2, FALSE)</f>
        <v>1</v>
      </c>
      <c r="AM1667" s="14">
        <f t="shared" si="13"/>
        <v>2640</v>
      </c>
      <c r="AN1667" s="9"/>
      <c r="AO1667" s="9"/>
      <c r="AP1667" s="9"/>
      <c r="AQ1667" s="15" t="s">
        <v>49</v>
      </c>
      <c r="AR1667" t="s">
        <v>2615</v>
      </c>
      <c r="AS1667" s="16" t="s">
        <v>2616</v>
      </c>
    </row>
    <row r="1668" spans="1:60" ht="14.5">
      <c r="A1668" s="9" t="s">
        <v>8306</v>
      </c>
      <c r="B1668" s="9" t="s">
        <v>8307</v>
      </c>
      <c r="C1668" s="9" t="s">
        <v>8308</v>
      </c>
      <c r="D1668" s="9" t="s">
        <v>2479</v>
      </c>
      <c r="E1668" s="9" t="s">
        <v>49</v>
      </c>
      <c r="F1668" s="9" t="s">
        <v>69</v>
      </c>
      <c r="G1668" s="9" t="s">
        <v>70</v>
      </c>
      <c r="H1668" s="9" t="s">
        <v>2491</v>
      </c>
      <c r="I1668" s="9" t="s">
        <v>72</v>
      </c>
      <c r="J1668" s="10"/>
      <c r="K1668" s="10"/>
      <c r="L1668" s="10"/>
      <c r="M1668" s="10">
        <v>44440</v>
      </c>
      <c r="N1668" s="9">
        <v>2021</v>
      </c>
      <c r="O1668" s="9" t="s">
        <v>8145</v>
      </c>
      <c r="P1668" s="9" t="s">
        <v>53</v>
      </c>
      <c r="Q1668" s="9" t="s">
        <v>53</v>
      </c>
      <c r="T1668" s="9"/>
      <c r="V1668" s="9"/>
      <c r="AC1668" s="9" t="s">
        <v>5772</v>
      </c>
      <c r="AD1668" s="9" t="s">
        <v>5773</v>
      </c>
      <c r="AH1668" s="9">
        <v>2200</v>
      </c>
      <c r="AI1668" s="9" t="s">
        <v>77</v>
      </c>
      <c r="AJ1668" s="9" t="s">
        <v>301</v>
      </c>
      <c r="AK1668" s="11" t="str">
        <f t="shared" si="12"/>
        <v>2021GBP</v>
      </c>
      <c r="AL1668" s="11">
        <f>VLOOKUP(AK1668, Exchange_rates!$C:$D, 2, FALSE)</f>
        <v>1</v>
      </c>
      <c r="AM1668" s="14">
        <f t="shared" si="13"/>
        <v>2640</v>
      </c>
      <c r="AN1668" s="9"/>
      <c r="AO1668" s="9"/>
      <c r="AP1668" s="9"/>
      <c r="AQ1668" s="15" t="s">
        <v>49</v>
      </c>
      <c r="AR1668" t="s">
        <v>8309</v>
      </c>
      <c r="AS1668" s="16" t="s">
        <v>8310</v>
      </c>
    </row>
    <row r="1669" spans="1:60" ht="14.5">
      <c r="A1669" s="9" t="s">
        <v>8311</v>
      </c>
      <c r="B1669" s="9" t="s">
        <v>8312</v>
      </c>
      <c r="C1669" s="9" t="s">
        <v>8313</v>
      </c>
      <c r="D1669" s="9" t="s">
        <v>2479</v>
      </c>
      <c r="E1669" s="9" t="s">
        <v>49</v>
      </c>
      <c r="F1669" s="9" t="s">
        <v>69</v>
      </c>
      <c r="G1669" s="9" t="s">
        <v>70</v>
      </c>
      <c r="H1669" s="9" t="s">
        <v>8314</v>
      </c>
      <c r="I1669" s="9" t="s">
        <v>72</v>
      </c>
      <c r="J1669" s="10"/>
      <c r="K1669" s="10"/>
      <c r="L1669" s="10"/>
      <c r="M1669" s="10">
        <v>44602</v>
      </c>
      <c r="N1669" s="9">
        <v>2022</v>
      </c>
      <c r="O1669" s="9" t="s">
        <v>8145</v>
      </c>
      <c r="P1669" s="9" t="s">
        <v>83</v>
      </c>
      <c r="Q1669" s="9" t="s">
        <v>53</v>
      </c>
      <c r="R1669" s="9" t="s">
        <v>4005</v>
      </c>
      <c r="T1669" s="9"/>
      <c r="V1669" s="9"/>
      <c r="AC1669" s="9" t="s">
        <v>8315</v>
      </c>
      <c r="AD1669" s="9" t="s">
        <v>8316</v>
      </c>
      <c r="AH1669" s="9">
        <v>2200</v>
      </c>
      <c r="AI1669" s="9" t="s">
        <v>77</v>
      </c>
      <c r="AJ1669" s="9" t="s">
        <v>301</v>
      </c>
      <c r="AK1669" s="11" t="str">
        <f t="shared" si="12"/>
        <v>2022GBP</v>
      </c>
      <c r="AL1669" s="11">
        <f>VLOOKUP(AK1669, Exchange_rates!$C:$D, 2, FALSE)</f>
        <v>1</v>
      </c>
      <c r="AM1669" s="14">
        <f t="shared" si="13"/>
        <v>2640</v>
      </c>
      <c r="AN1669" s="9"/>
      <c r="AO1669" s="9"/>
      <c r="AP1669" s="9"/>
      <c r="AQ1669" s="15" t="s">
        <v>49</v>
      </c>
      <c r="AR1669" t="s">
        <v>8317</v>
      </c>
      <c r="AS1669" s="16" t="s">
        <v>8318</v>
      </c>
    </row>
    <row r="1670" spans="1:60" ht="14.5">
      <c r="A1670" s="9" t="s">
        <v>8319</v>
      </c>
      <c r="B1670" s="9" t="s">
        <v>8320</v>
      </c>
      <c r="C1670" s="9" t="s">
        <v>8321</v>
      </c>
      <c r="D1670" s="9" t="s">
        <v>2479</v>
      </c>
      <c r="E1670" s="9" t="s">
        <v>49</v>
      </c>
      <c r="F1670" s="9" t="s">
        <v>69</v>
      </c>
      <c r="G1670" s="9" t="s">
        <v>70</v>
      </c>
      <c r="H1670" s="9" t="s">
        <v>2491</v>
      </c>
      <c r="I1670" s="9" t="s">
        <v>238</v>
      </c>
      <c r="J1670" s="10"/>
      <c r="K1670" s="10"/>
      <c r="L1670" s="10"/>
      <c r="M1670" s="10">
        <v>44489</v>
      </c>
      <c r="N1670" s="9">
        <v>2021</v>
      </c>
      <c r="O1670" s="9" t="s">
        <v>8145</v>
      </c>
      <c r="P1670" s="9" t="s">
        <v>53</v>
      </c>
      <c r="Q1670" s="9" t="s">
        <v>53</v>
      </c>
      <c r="R1670" s="9" t="s">
        <v>8322</v>
      </c>
      <c r="T1670" s="9"/>
      <c r="V1670" s="9"/>
      <c r="AC1670" s="9" t="s">
        <v>8323</v>
      </c>
      <c r="AD1670" s="9" t="s">
        <v>8324</v>
      </c>
      <c r="AH1670" s="9">
        <v>2200</v>
      </c>
      <c r="AI1670" s="9" t="s">
        <v>77</v>
      </c>
      <c r="AJ1670" s="9" t="s">
        <v>301</v>
      </c>
      <c r="AK1670" s="11" t="str">
        <f t="shared" si="12"/>
        <v>2021GBP</v>
      </c>
      <c r="AL1670" s="11">
        <f>VLOOKUP(AK1670, Exchange_rates!$C:$D, 2, FALSE)</f>
        <v>1</v>
      </c>
      <c r="AM1670" s="14">
        <f t="shared" si="13"/>
        <v>2640</v>
      </c>
      <c r="AN1670" s="9"/>
      <c r="AO1670" s="9"/>
      <c r="AP1670" s="9"/>
      <c r="AQ1670" s="15" t="s">
        <v>49</v>
      </c>
      <c r="AR1670" t="s">
        <v>8325</v>
      </c>
      <c r="AS1670" s="16" t="s">
        <v>8326</v>
      </c>
    </row>
    <row r="1671" spans="1:60" ht="14.5">
      <c r="A1671" s="9" t="s">
        <v>8327</v>
      </c>
      <c r="B1671" s="9" t="s">
        <v>8328</v>
      </c>
      <c r="C1671" s="9" t="s">
        <v>2683</v>
      </c>
      <c r="D1671" s="9" t="s">
        <v>2479</v>
      </c>
      <c r="E1671" s="9" t="s">
        <v>49</v>
      </c>
      <c r="F1671" s="9" t="s">
        <v>69</v>
      </c>
      <c r="G1671" s="9" t="s">
        <v>70</v>
      </c>
      <c r="H1671" s="9" t="s">
        <v>2491</v>
      </c>
      <c r="I1671" s="9" t="s">
        <v>72</v>
      </c>
      <c r="J1671" s="10"/>
      <c r="K1671" s="10"/>
      <c r="L1671" s="10"/>
      <c r="M1671" s="10">
        <v>44503</v>
      </c>
      <c r="N1671" s="9">
        <v>2021</v>
      </c>
      <c r="O1671" s="9" t="s">
        <v>8145</v>
      </c>
      <c r="P1671" s="9" t="s">
        <v>53</v>
      </c>
      <c r="Q1671" s="9" t="s">
        <v>53</v>
      </c>
      <c r="T1671" s="9"/>
      <c r="V1671" s="9"/>
      <c r="AC1671" s="9" t="s">
        <v>5371</v>
      </c>
      <c r="AD1671" s="9" t="s">
        <v>5372</v>
      </c>
      <c r="AH1671" s="9">
        <v>2200</v>
      </c>
      <c r="AI1671" s="9" t="s">
        <v>77</v>
      </c>
      <c r="AJ1671" s="9" t="s">
        <v>301</v>
      </c>
      <c r="AK1671" s="11" t="str">
        <f t="shared" si="12"/>
        <v>2021GBP</v>
      </c>
      <c r="AL1671" s="11">
        <f>VLOOKUP(AK1671, Exchange_rates!$C:$D, 2, FALSE)</f>
        <v>1</v>
      </c>
      <c r="AM1671" s="14">
        <f t="shared" si="13"/>
        <v>2640</v>
      </c>
      <c r="AN1671" s="9"/>
      <c r="AO1671" s="9"/>
      <c r="AP1671" s="9"/>
      <c r="AQ1671" s="15" t="s">
        <v>49</v>
      </c>
      <c r="AR1671" t="s">
        <v>2685</v>
      </c>
      <c r="AS1671" s="16" t="s">
        <v>2685</v>
      </c>
    </row>
    <row r="1672" spans="1:60" ht="14.5">
      <c r="A1672" s="9" t="s">
        <v>8329</v>
      </c>
      <c r="B1672" s="9" t="s">
        <v>8330</v>
      </c>
      <c r="C1672" s="9" t="s">
        <v>8331</v>
      </c>
      <c r="D1672" s="9" t="s">
        <v>2479</v>
      </c>
      <c r="E1672" s="9" t="s">
        <v>49</v>
      </c>
      <c r="F1672" s="9" t="s">
        <v>50</v>
      </c>
      <c r="G1672" s="9" t="s">
        <v>51</v>
      </c>
      <c r="H1672" s="9"/>
      <c r="I1672" s="9"/>
      <c r="J1672" s="10"/>
      <c r="K1672" s="10"/>
      <c r="L1672" s="10"/>
      <c r="M1672" s="10">
        <v>44476</v>
      </c>
      <c r="N1672" s="9">
        <v>2021</v>
      </c>
      <c r="O1672" s="9" t="s">
        <v>8145</v>
      </c>
      <c r="P1672" s="9" t="s">
        <v>53</v>
      </c>
      <c r="Q1672" s="9" t="s">
        <v>53</v>
      </c>
      <c r="S1672" s="9" t="s">
        <v>8332</v>
      </c>
      <c r="T1672" s="9" t="s">
        <v>723</v>
      </c>
      <c r="V1672" s="9"/>
      <c r="AC1672" s="9" t="s">
        <v>8333</v>
      </c>
      <c r="AD1672" s="9" t="s">
        <v>8334</v>
      </c>
      <c r="AH1672" s="9">
        <v>2200</v>
      </c>
      <c r="AI1672" s="9" t="s">
        <v>77</v>
      </c>
      <c r="AJ1672" s="9" t="s">
        <v>301</v>
      </c>
      <c r="AK1672" s="11" t="str">
        <f t="shared" si="12"/>
        <v>2021GBP</v>
      </c>
      <c r="AL1672" s="11">
        <f>VLOOKUP(AK1672, Exchange_rates!$C:$D, 2, FALSE)</f>
        <v>1</v>
      </c>
      <c r="AM1672" s="14">
        <f t="shared" si="13"/>
        <v>2640</v>
      </c>
      <c r="AN1672" s="9"/>
      <c r="AO1672" s="9"/>
      <c r="AP1672" s="9"/>
      <c r="AQ1672" s="15" t="s">
        <v>49</v>
      </c>
      <c r="AR1672" t="s">
        <v>8335</v>
      </c>
      <c r="AS1672" s="16" t="s">
        <v>8336</v>
      </c>
    </row>
    <row r="1673" spans="1:60" ht="14.5">
      <c r="A1673" s="9" t="s">
        <v>8337</v>
      </c>
      <c r="B1673" s="9" t="s">
        <v>8338</v>
      </c>
      <c r="C1673" s="9" t="s">
        <v>8236</v>
      </c>
      <c r="D1673" s="9" t="s">
        <v>2479</v>
      </c>
      <c r="E1673" s="9" t="s">
        <v>49</v>
      </c>
      <c r="F1673" s="9" t="s">
        <v>69</v>
      </c>
      <c r="G1673" s="9" t="s">
        <v>70</v>
      </c>
      <c r="H1673" s="9" t="s">
        <v>2491</v>
      </c>
      <c r="I1673" s="9" t="s">
        <v>72</v>
      </c>
      <c r="J1673" s="10"/>
      <c r="K1673" s="10"/>
      <c r="L1673" s="10"/>
      <c r="M1673" s="10">
        <v>44501</v>
      </c>
      <c r="N1673" s="9">
        <v>2021</v>
      </c>
      <c r="O1673" s="9" t="s">
        <v>8145</v>
      </c>
      <c r="P1673" s="9" t="s">
        <v>53</v>
      </c>
      <c r="Q1673" s="9" t="s">
        <v>53</v>
      </c>
      <c r="T1673" s="9"/>
      <c r="V1673" s="9"/>
      <c r="AC1673" s="9" t="s">
        <v>8339</v>
      </c>
      <c r="AD1673" s="9" t="s">
        <v>8340</v>
      </c>
      <c r="AH1673" s="9">
        <v>2200</v>
      </c>
      <c r="AI1673" s="9" t="s">
        <v>77</v>
      </c>
      <c r="AJ1673" s="9" t="s">
        <v>301</v>
      </c>
      <c r="AK1673" s="11" t="str">
        <f t="shared" si="12"/>
        <v>2021GBP</v>
      </c>
      <c r="AL1673" s="11">
        <f>VLOOKUP(AK1673, Exchange_rates!$C:$D, 2, FALSE)</f>
        <v>1</v>
      </c>
      <c r="AM1673" s="14">
        <f t="shared" si="13"/>
        <v>2640</v>
      </c>
      <c r="AN1673" s="9"/>
      <c r="AO1673" s="9"/>
      <c r="AP1673" s="9"/>
      <c r="AQ1673" s="15" t="s">
        <v>49</v>
      </c>
      <c r="AR1673" t="s">
        <v>8238</v>
      </c>
      <c r="AS1673" s="16" t="s">
        <v>8239</v>
      </c>
    </row>
    <row r="1674" spans="1:60" ht="14.5">
      <c r="A1674" s="9" t="s">
        <v>8341</v>
      </c>
      <c r="B1674" s="9" t="s">
        <v>8342</v>
      </c>
      <c r="C1674" s="9" t="s">
        <v>8343</v>
      </c>
      <c r="D1674" s="9" t="s">
        <v>2479</v>
      </c>
      <c r="E1674" s="9" t="s">
        <v>49</v>
      </c>
      <c r="F1674" s="9" t="s">
        <v>69</v>
      </c>
      <c r="G1674" s="9" t="s">
        <v>70</v>
      </c>
      <c r="H1674" s="9" t="s">
        <v>2491</v>
      </c>
      <c r="I1674" s="9" t="s">
        <v>238</v>
      </c>
      <c r="J1674" s="10"/>
      <c r="K1674" s="10"/>
      <c r="L1674" s="10"/>
      <c r="M1674" s="10">
        <v>44532</v>
      </c>
      <c r="N1674" s="9">
        <v>2021</v>
      </c>
      <c r="O1674" s="9" t="s">
        <v>8145</v>
      </c>
      <c r="P1674" s="9" t="s">
        <v>53</v>
      </c>
      <c r="Q1674" s="9" t="s">
        <v>53</v>
      </c>
      <c r="T1674" s="9"/>
      <c r="V1674" s="9"/>
      <c r="AC1674" s="9" t="s">
        <v>5135</v>
      </c>
      <c r="AD1674" s="9" t="s">
        <v>5061</v>
      </c>
      <c r="AH1674" s="9">
        <v>2200</v>
      </c>
      <c r="AI1674" s="9" t="s">
        <v>77</v>
      </c>
      <c r="AJ1674" s="9" t="s">
        <v>301</v>
      </c>
      <c r="AK1674" s="11" t="str">
        <f t="shared" si="12"/>
        <v>2021GBP</v>
      </c>
      <c r="AL1674" s="11">
        <f>VLOOKUP(AK1674, Exchange_rates!$C:$D, 2, FALSE)</f>
        <v>1</v>
      </c>
      <c r="AM1674" s="14">
        <f t="shared" si="13"/>
        <v>2640</v>
      </c>
      <c r="AN1674" s="9"/>
      <c r="AO1674" s="9"/>
      <c r="AP1674" s="9"/>
      <c r="AQ1674" s="15" t="s">
        <v>49</v>
      </c>
      <c r="AR1674" t="s">
        <v>8344</v>
      </c>
      <c r="AS1674" s="16" t="s">
        <v>8345</v>
      </c>
    </row>
    <row r="1675" spans="1:60" ht="14.5">
      <c r="A1675" s="9" t="s">
        <v>8346</v>
      </c>
      <c r="B1675" s="9" t="s">
        <v>8347</v>
      </c>
      <c r="C1675" s="9" t="s">
        <v>8348</v>
      </c>
      <c r="D1675" s="9" t="s">
        <v>2479</v>
      </c>
      <c r="E1675" s="9" t="s">
        <v>49</v>
      </c>
      <c r="F1675" s="9" t="s">
        <v>69</v>
      </c>
      <c r="G1675" s="9" t="s">
        <v>70</v>
      </c>
      <c r="H1675" s="9" t="s">
        <v>2491</v>
      </c>
      <c r="I1675" s="9" t="s">
        <v>72</v>
      </c>
      <c r="J1675" s="10"/>
      <c r="K1675" s="10"/>
      <c r="L1675" s="10"/>
      <c r="M1675" s="10">
        <v>44494</v>
      </c>
      <c r="N1675" s="9">
        <v>2021</v>
      </c>
      <c r="O1675" s="9" t="s">
        <v>8145</v>
      </c>
      <c r="P1675" s="9" t="s">
        <v>53</v>
      </c>
      <c r="Q1675" s="9" t="s">
        <v>53</v>
      </c>
      <c r="T1675" s="9"/>
      <c r="V1675" s="9"/>
      <c r="AC1675" s="9" t="s">
        <v>8349</v>
      </c>
      <c r="AD1675" s="9" t="s">
        <v>8350</v>
      </c>
      <c r="AH1675" s="9">
        <v>2200</v>
      </c>
      <c r="AI1675" s="9" t="s">
        <v>77</v>
      </c>
      <c r="AJ1675" s="9" t="s">
        <v>301</v>
      </c>
      <c r="AK1675" s="11" t="str">
        <f t="shared" si="12"/>
        <v>2021GBP</v>
      </c>
      <c r="AL1675" s="11">
        <f>VLOOKUP(AK1675, Exchange_rates!$C:$D, 2, FALSE)</f>
        <v>1</v>
      </c>
      <c r="AM1675" s="14">
        <f t="shared" si="13"/>
        <v>2640</v>
      </c>
      <c r="AN1675" s="9"/>
      <c r="AO1675" s="9"/>
      <c r="AP1675" s="9"/>
      <c r="AQ1675" s="15" t="s">
        <v>49</v>
      </c>
      <c r="AR1675" t="s">
        <v>8351</v>
      </c>
      <c r="AS1675" s="16" t="s">
        <v>8352</v>
      </c>
    </row>
    <row r="1676" spans="1:60" ht="14.5">
      <c r="A1676" s="20" t="s">
        <v>8353</v>
      </c>
      <c r="B1676" s="20" t="s">
        <v>8354</v>
      </c>
      <c r="C1676" s="20" t="s">
        <v>8355</v>
      </c>
      <c r="D1676" s="20" t="s">
        <v>2479</v>
      </c>
      <c r="E1676" s="20" t="s">
        <v>49</v>
      </c>
      <c r="F1676" s="20" t="s">
        <v>50</v>
      </c>
      <c r="G1676" s="20" t="s">
        <v>51</v>
      </c>
      <c r="H1676" s="20"/>
      <c r="I1676" s="20"/>
      <c r="J1676" s="22"/>
      <c r="K1676" s="22"/>
      <c r="L1676" s="22"/>
      <c r="M1676" s="22">
        <v>44526</v>
      </c>
      <c r="N1676" s="20">
        <v>2021</v>
      </c>
      <c r="O1676" s="20" t="s">
        <v>8145</v>
      </c>
      <c r="P1676" s="20" t="s">
        <v>53</v>
      </c>
      <c r="Q1676" s="20" t="s">
        <v>53</v>
      </c>
      <c r="R1676" s="20"/>
      <c r="S1676" s="20" t="s">
        <v>8332</v>
      </c>
      <c r="T1676" s="20" t="s">
        <v>5541</v>
      </c>
      <c r="U1676" s="20"/>
      <c r="V1676" s="20"/>
      <c r="W1676" s="20"/>
      <c r="X1676" s="20"/>
      <c r="Y1676" s="20"/>
      <c r="Z1676" s="20"/>
      <c r="AA1676" s="20"/>
      <c r="AB1676" s="20"/>
      <c r="AC1676" s="20" t="s">
        <v>8356</v>
      </c>
      <c r="AD1676" s="20" t="s">
        <v>1608</v>
      </c>
      <c r="AE1676" s="20"/>
      <c r="AF1676" s="20"/>
      <c r="AG1676" s="20"/>
      <c r="AH1676" s="20">
        <v>2200</v>
      </c>
      <c r="AI1676" s="20" t="s">
        <v>77</v>
      </c>
      <c r="AJ1676" s="20" t="s">
        <v>301</v>
      </c>
      <c r="AK1676" s="23" t="str">
        <f t="shared" si="12"/>
        <v>2021GBP</v>
      </c>
      <c r="AL1676" s="23">
        <f>VLOOKUP(AK1676, Exchange_rates!$C:$D, 2, FALSE)</f>
        <v>1</v>
      </c>
      <c r="AM1676" s="26">
        <f t="shared" si="13"/>
        <v>2640</v>
      </c>
      <c r="AN1676" s="20"/>
      <c r="AO1676" s="20"/>
      <c r="AP1676" s="20"/>
      <c r="AQ1676" s="27" t="s">
        <v>49</v>
      </c>
      <c r="AR1676" t="s">
        <v>8357</v>
      </c>
      <c r="AS1676" s="16" t="s">
        <v>8358</v>
      </c>
      <c r="AT1676" s="20"/>
      <c r="AU1676" s="20"/>
      <c r="AV1676" s="20"/>
      <c r="AW1676" s="20"/>
      <c r="AX1676" s="20"/>
      <c r="AY1676" s="20"/>
      <c r="AZ1676" s="20"/>
      <c r="BA1676" s="20"/>
      <c r="BB1676" s="20"/>
      <c r="BC1676" s="20"/>
      <c r="BD1676" s="20"/>
      <c r="BE1676" s="20"/>
      <c r="BF1676" s="20"/>
      <c r="BG1676" s="20"/>
      <c r="BH1676" s="20"/>
    </row>
    <row r="1677" spans="1:60" ht="14.5">
      <c r="A1677" s="9" t="s">
        <v>8359</v>
      </c>
      <c r="B1677" s="9" t="s">
        <v>8360</v>
      </c>
      <c r="C1677" s="9" t="s">
        <v>2550</v>
      </c>
      <c r="D1677" s="9" t="s">
        <v>2479</v>
      </c>
      <c r="E1677" s="9" t="s">
        <v>49</v>
      </c>
      <c r="F1677" s="9" t="s">
        <v>69</v>
      </c>
      <c r="G1677" s="9" t="s">
        <v>70</v>
      </c>
      <c r="H1677" s="9" t="s">
        <v>8314</v>
      </c>
      <c r="I1677" s="9" t="s">
        <v>72</v>
      </c>
      <c r="J1677" s="10"/>
      <c r="K1677" s="10"/>
      <c r="L1677" s="10"/>
      <c r="M1677" s="10">
        <v>44586</v>
      </c>
      <c r="N1677" s="9">
        <v>2022</v>
      </c>
      <c r="O1677" s="9" t="s">
        <v>8145</v>
      </c>
      <c r="P1677" s="9" t="s">
        <v>53</v>
      </c>
      <c r="Q1677" s="9" t="s">
        <v>53</v>
      </c>
      <c r="R1677" s="9" t="s">
        <v>8361</v>
      </c>
      <c r="T1677" s="9"/>
      <c r="V1677" s="9"/>
      <c r="AC1677" s="9" t="s">
        <v>8362</v>
      </c>
      <c r="AD1677" s="9" t="s">
        <v>8363</v>
      </c>
      <c r="AH1677" s="9">
        <v>2200</v>
      </c>
      <c r="AI1677" s="9" t="s">
        <v>77</v>
      </c>
      <c r="AJ1677" s="9" t="s">
        <v>301</v>
      </c>
      <c r="AK1677" s="11" t="str">
        <f t="shared" si="12"/>
        <v>2022GBP</v>
      </c>
      <c r="AL1677" s="11">
        <f>VLOOKUP(AK1677, Exchange_rates!$C:$D, 2, FALSE)</f>
        <v>1</v>
      </c>
      <c r="AM1677" s="14">
        <f t="shared" si="13"/>
        <v>2640</v>
      </c>
      <c r="AN1677" s="9"/>
      <c r="AO1677" s="9"/>
      <c r="AP1677" s="9"/>
      <c r="AQ1677" s="15" t="s">
        <v>49</v>
      </c>
      <c r="AR1677" t="s">
        <v>2552</v>
      </c>
      <c r="AS1677" s="16" t="s">
        <v>2553</v>
      </c>
    </row>
    <row r="1678" spans="1:60" ht="14.5">
      <c r="A1678" s="9" t="s">
        <v>8364</v>
      </c>
      <c r="B1678" s="9" t="s">
        <v>8365</v>
      </c>
      <c r="C1678" s="9" t="s">
        <v>8366</v>
      </c>
      <c r="D1678" s="9" t="s">
        <v>2479</v>
      </c>
      <c r="E1678" s="9" t="s">
        <v>49</v>
      </c>
      <c r="F1678" s="9" t="s">
        <v>69</v>
      </c>
      <c r="G1678" s="9" t="s">
        <v>70</v>
      </c>
      <c r="H1678" s="9" t="s">
        <v>8314</v>
      </c>
      <c r="I1678" s="9" t="s">
        <v>238</v>
      </c>
      <c r="J1678" s="10"/>
      <c r="K1678" s="10"/>
      <c r="L1678" s="10"/>
      <c r="M1678" s="10">
        <v>44564</v>
      </c>
      <c r="N1678" s="9">
        <v>2022</v>
      </c>
      <c r="O1678" s="9" t="s">
        <v>8145</v>
      </c>
      <c r="P1678" s="9" t="s">
        <v>53</v>
      </c>
      <c r="Q1678" s="9" t="s">
        <v>53</v>
      </c>
      <c r="T1678" s="9"/>
      <c r="V1678" s="9"/>
      <c r="AC1678" s="9" t="s">
        <v>8367</v>
      </c>
      <c r="AD1678" s="9" t="s">
        <v>8368</v>
      </c>
      <c r="AH1678" s="9">
        <v>2200</v>
      </c>
      <c r="AI1678" s="9" t="s">
        <v>77</v>
      </c>
      <c r="AJ1678" s="9" t="s">
        <v>301</v>
      </c>
      <c r="AK1678" s="11" t="str">
        <f t="shared" si="12"/>
        <v>2022GBP</v>
      </c>
      <c r="AL1678" s="11">
        <f>VLOOKUP(AK1678, Exchange_rates!$C:$D, 2, FALSE)</f>
        <v>1</v>
      </c>
      <c r="AM1678" s="14">
        <f t="shared" si="13"/>
        <v>2640</v>
      </c>
      <c r="AN1678" s="9"/>
      <c r="AO1678" s="9"/>
      <c r="AP1678" s="9"/>
      <c r="AQ1678" s="15" t="s">
        <v>49</v>
      </c>
      <c r="AR1678" t="s">
        <v>2824</v>
      </c>
      <c r="AS1678" s="16" t="s">
        <v>2824</v>
      </c>
    </row>
    <row r="1679" spans="1:60" ht="14.5">
      <c r="A1679" s="9" t="s">
        <v>8369</v>
      </c>
      <c r="B1679" s="9" t="s">
        <v>8370</v>
      </c>
      <c r="C1679" s="9" t="s">
        <v>2550</v>
      </c>
      <c r="D1679" s="9" t="s">
        <v>2479</v>
      </c>
      <c r="E1679" s="9" t="s">
        <v>49</v>
      </c>
      <c r="F1679" s="9" t="s">
        <v>69</v>
      </c>
      <c r="G1679" s="9" t="s">
        <v>70</v>
      </c>
      <c r="H1679" s="9" t="s">
        <v>2491</v>
      </c>
      <c r="I1679" s="9" t="s">
        <v>72</v>
      </c>
      <c r="J1679" s="10"/>
      <c r="K1679" s="10"/>
      <c r="L1679" s="10"/>
      <c r="M1679" s="10">
        <v>44551</v>
      </c>
      <c r="N1679" s="9">
        <v>2021</v>
      </c>
      <c r="O1679" s="9" t="s">
        <v>8145</v>
      </c>
      <c r="P1679" s="9" t="s">
        <v>53</v>
      </c>
      <c r="Q1679" s="9" t="s">
        <v>53</v>
      </c>
      <c r="R1679" s="9" t="s">
        <v>8371</v>
      </c>
      <c r="T1679" s="9"/>
      <c r="V1679" s="9"/>
      <c r="AC1679" s="9" t="s">
        <v>8372</v>
      </c>
      <c r="AD1679" s="9" t="s">
        <v>8373</v>
      </c>
      <c r="AH1679" s="9">
        <v>2200</v>
      </c>
      <c r="AI1679" s="9" t="s">
        <v>77</v>
      </c>
      <c r="AJ1679" s="9" t="s">
        <v>301</v>
      </c>
      <c r="AK1679" s="11" t="str">
        <f t="shared" si="12"/>
        <v>2021GBP</v>
      </c>
      <c r="AL1679" s="11">
        <f>VLOOKUP(AK1679, Exchange_rates!$C:$D, 2, FALSE)</f>
        <v>1</v>
      </c>
      <c r="AM1679" s="14">
        <f t="shared" si="13"/>
        <v>2640</v>
      </c>
      <c r="AN1679" s="9"/>
      <c r="AO1679" s="9"/>
      <c r="AP1679" s="9"/>
      <c r="AQ1679" s="15" t="s">
        <v>49</v>
      </c>
      <c r="AR1679" t="s">
        <v>2552</v>
      </c>
      <c r="AS1679" s="16" t="s">
        <v>2553</v>
      </c>
    </row>
    <row r="1680" spans="1:60" ht="14.5">
      <c r="A1680" s="9" t="s">
        <v>8374</v>
      </c>
      <c r="B1680" s="9" t="s">
        <v>8375</v>
      </c>
      <c r="C1680" s="9" t="s">
        <v>8376</v>
      </c>
      <c r="D1680" s="9" t="s">
        <v>2479</v>
      </c>
      <c r="E1680" s="9" t="s">
        <v>49</v>
      </c>
      <c r="F1680" s="9" t="s">
        <v>69</v>
      </c>
      <c r="G1680" s="9" t="s">
        <v>70</v>
      </c>
      <c r="H1680" s="9" t="s">
        <v>8314</v>
      </c>
      <c r="I1680" s="9" t="s">
        <v>238</v>
      </c>
      <c r="J1680" s="10"/>
      <c r="K1680" s="10"/>
      <c r="L1680" s="10"/>
      <c r="M1680" s="10">
        <v>44586</v>
      </c>
      <c r="N1680" s="9">
        <v>2022</v>
      </c>
      <c r="O1680" s="9" t="s">
        <v>8145</v>
      </c>
      <c r="P1680" s="9" t="s">
        <v>53</v>
      </c>
      <c r="Q1680" s="9" t="s">
        <v>53</v>
      </c>
      <c r="T1680" s="9"/>
      <c r="V1680" s="9"/>
      <c r="AC1680" s="9" t="s">
        <v>8377</v>
      </c>
      <c r="AD1680" s="9" t="s">
        <v>8378</v>
      </c>
      <c r="AH1680" s="9">
        <v>2200</v>
      </c>
      <c r="AI1680" s="9" t="s">
        <v>77</v>
      </c>
      <c r="AJ1680" s="9" t="s">
        <v>301</v>
      </c>
      <c r="AK1680" s="11" t="str">
        <f t="shared" si="12"/>
        <v>2022GBP</v>
      </c>
      <c r="AL1680" s="11">
        <f>VLOOKUP(AK1680, Exchange_rates!$C:$D, 2, FALSE)</f>
        <v>1</v>
      </c>
      <c r="AM1680" s="14">
        <f t="shared" si="13"/>
        <v>2640</v>
      </c>
      <c r="AN1680" s="9"/>
      <c r="AO1680" s="9"/>
      <c r="AP1680" s="9"/>
      <c r="AQ1680" s="15" t="s">
        <v>49</v>
      </c>
      <c r="AR1680" t="s">
        <v>8379</v>
      </c>
      <c r="AS1680" s="16" t="s">
        <v>8380</v>
      </c>
    </row>
    <row r="1681" spans="1:45" ht="14.5">
      <c r="A1681" s="9" t="s">
        <v>8381</v>
      </c>
      <c r="B1681" s="9" t="s">
        <v>8382</v>
      </c>
      <c r="C1681" s="9" t="s">
        <v>2614</v>
      </c>
      <c r="D1681" s="9" t="s">
        <v>2479</v>
      </c>
      <c r="E1681" s="9" t="s">
        <v>49</v>
      </c>
      <c r="F1681" s="9" t="s">
        <v>69</v>
      </c>
      <c r="G1681" s="9" t="s">
        <v>70</v>
      </c>
      <c r="H1681" s="9" t="s">
        <v>8314</v>
      </c>
      <c r="I1681" s="9" t="s">
        <v>238</v>
      </c>
      <c r="J1681" s="10"/>
      <c r="K1681" s="10"/>
      <c r="L1681" s="10"/>
      <c r="M1681" s="10">
        <v>44629</v>
      </c>
      <c r="N1681" s="9">
        <v>2022</v>
      </c>
      <c r="O1681" s="9" t="s">
        <v>8145</v>
      </c>
      <c r="P1681" s="9" t="s">
        <v>53</v>
      </c>
      <c r="Q1681" s="9" t="s">
        <v>53</v>
      </c>
      <c r="T1681" s="9"/>
      <c r="V1681" s="9"/>
      <c r="AC1681" s="9" t="s">
        <v>4951</v>
      </c>
      <c r="AD1681" s="9" t="s">
        <v>4952</v>
      </c>
      <c r="AH1681" s="9">
        <v>2200</v>
      </c>
      <c r="AI1681" s="9" t="s">
        <v>77</v>
      </c>
      <c r="AJ1681" s="9" t="s">
        <v>301</v>
      </c>
      <c r="AK1681" s="11" t="str">
        <f t="shared" si="12"/>
        <v>2022GBP</v>
      </c>
      <c r="AL1681" s="11">
        <f>VLOOKUP(AK1681, Exchange_rates!$C:$D, 2, FALSE)</f>
        <v>1</v>
      </c>
      <c r="AM1681" s="14">
        <f t="shared" si="13"/>
        <v>2640</v>
      </c>
      <c r="AN1681" s="9"/>
      <c r="AO1681" s="9"/>
      <c r="AP1681" s="9"/>
      <c r="AQ1681" s="15" t="s">
        <v>49</v>
      </c>
      <c r="AR1681" t="s">
        <v>2615</v>
      </c>
      <c r="AS1681" s="16" t="s">
        <v>2616</v>
      </c>
    </row>
    <row r="1682" spans="1:45" ht="14.5">
      <c r="A1682" s="9" t="s">
        <v>8383</v>
      </c>
      <c r="B1682" s="9" t="s">
        <v>8384</v>
      </c>
      <c r="C1682" s="9" t="s">
        <v>8385</v>
      </c>
      <c r="D1682" s="9" t="s">
        <v>2479</v>
      </c>
      <c r="E1682" s="9" t="s">
        <v>125</v>
      </c>
      <c r="F1682" s="9" t="s">
        <v>69</v>
      </c>
      <c r="G1682" s="9" t="s">
        <v>51</v>
      </c>
      <c r="H1682" s="9"/>
      <c r="I1682" s="9" t="s">
        <v>72</v>
      </c>
      <c r="J1682" s="10"/>
      <c r="K1682" s="10"/>
      <c r="L1682" s="10"/>
      <c r="M1682" s="10">
        <v>44622</v>
      </c>
      <c r="N1682" s="9">
        <v>2022</v>
      </c>
      <c r="O1682" s="9" t="s">
        <v>8145</v>
      </c>
      <c r="P1682" s="9" t="s">
        <v>53</v>
      </c>
      <c r="Q1682" s="9" t="s">
        <v>53</v>
      </c>
      <c r="S1682" s="9" t="s">
        <v>8386</v>
      </c>
      <c r="T1682" s="9" t="s">
        <v>279</v>
      </c>
      <c r="U1682" s="9" t="s">
        <v>8387</v>
      </c>
      <c r="V1682" s="9"/>
      <c r="AC1682" s="9" t="s">
        <v>8388</v>
      </c>
      <c r="AD1682" s="9" t="s">
        <v>8389</v>
      </c>
      <c r="AH1682" s="9">
        <v>1110</v>
      </c>
      <c r="AI1682" s="9" t="s">
        <v>77</v>
      </c>
      <c r="AJ1682" s="9" t="s">
        <v>301</v>
      </c>
      <c r="AK1682" s="11" t="str">
        <f t="shared" si="12"/>
        <v>2022GBP</v>
      </c>
      <c r="AL1682" s="11">
        <f>VLOOKUP(AK1682, Exchange_rates!$C:$D, 2, FALSE)</f>
        <v>1</v>
      </c>
      <c r="AM1682" s="14">
        <f t="shared" si="13"/>
        <v>1332</v>
      </c>
      <c r="AN1682" s="9"/>
      <c r="AO1682" s="9"/>
      <c r="AP1682" s="9"/>
      <c r="AQ1682" s="15" t="s">
        <v>8390</v>
      </c>
      <c r="AR1682" t="s">
        <v>8391</v>
      </c>
      <c r="AS1682" s="16"/>
    </row>
    <row r="1683" spans="1:45" ht="14.5">
      <c r="A1683" s="9" t="s">
        <v>8392</v>
      </c>
      <c r="B1683" s="9" t="s">
        <v>8393</v>
      </c>
      <c r="C1683" s="9" t="s">
        <v>8291</v>
      </c>
      <c r="D1683" s="9" t="s">
        <v>2479</v>
      </c>
      <c r="E1683" s="9" t="s">
        <v>49</v>
      </c>
      <c r="F1683" s="9" t="s">
        <v>69</v>
      </c>
      <c r="G1683" s="9" t="s">
        <v>70</v>
      </c>
      <c r="H1683" s="9" t="s">
        <v>8314</v>
      </c>
      <c r="I1683" s="9" t="s">
        <v>238</v>
      </c>
      <c r="J1683" s="10"/>
      <c r="K1683" s="10"/>
      <c r="L1683" s="10"/>
      <c r="M1683" s="10">
        <v>44600</v>
      </c>
      <c r="N1683" s="9">
        <v>2022</v>
      </c>
      <c r="O1683" s="9" t="s">
        <v>8145</v>
      </c>
      <c r="P1683" s="9" t="s">
        <v>53</v>
      </c>
      <c r="Q1683" s="9" t="s">
        <v>53</v>
      </c>
      <c r="T1683" s="9"/>
      <c r="V1683" s="9"/>
      <c r="AC1683" s="9" t="s">
        <v>8293</v>
      </c>
      <c r="AD1683" s="9" t="s">
        <v>548</v>
      </c>
      <c r="AH1683" s="9">
        <v>2200</v>
      </c>
      <c r="AI1683" s="9" t="s">
        <v>77</v>
      </c>
      <c r="AJ1683" s="9" t="s">
        <v>301</v>
      </c>
      <c r="AK1683" s="11" t="str">
        <f t="shared" si="12"/>
        <v>2022GBP</v>
      </c>
      <c r="AL1683" s="11">
        <f>VLOOKUP(AK1683, Exchange_rates!$C:$D, 2, FALSE)</f>
        <v>1</v>
      </c>
      <c r="AM1683" s="14">
        <f t="shared" si="13"/>
        <v>2640</v>
      </c>
      <c r="AN1683" s="9"/>
      <c r="AO1683" s="9"/>
      <c r="AP1683" s="9"/>
      <c r="AQ1683" s="15" t="s">
        <v>49</v>
      </c>
      <c r="AR1683" t="s">
        <v>2631</v>
      </c>
      <c r="AS1683" s="16" t="s">
        <v>2632</v>
      </c>
    </row>
    <row r="1684" spans="1:45" ht="14.5">
      <c r="A1684" s="9" t="s">
        <v>8394</v>
      </c>
      <c r="B1684" s="9" t="s">
        <v>8395</v>
      </c>
      <c r="C1684" s="9" t="s">
        <v>2734</v>
      </c>
      <c r="D1684" s="9" t="s">
        <v>2479</v>
      </c>
      <c r="E1684" s="9" t="s">
        <v>49</v>
      </c>
      <c r="F1684" s="9" t="s">
        <v>69</v>
      </c>
      <c r="G1684" s="9" t="s">
        <v>70</v>
      </c>
      <c r="H1684" s="9" t="s">
        <v>8314</v>
      </c>
      <c r="I1684" s="9" t="s">
        <v>72</v>
      </c>
      <c r="J1684" s="10"/>
      <c r="K1684" s="10"/>
      <c r="L1684" s="10"/>
      <c r="M1684" s="10">
        <v>44663</v>
      </c>
      <c r="N1684" s="9">
        <v>2022</v>
      </c>
      <c r="O1684" s="9" t="s">
        <v>8145</v>
      </c>
      <c r="P1684" s="9" t="s">
        <v>83</v>
      </c>
      <c r="Q1684" s="9" t="s">
        <v>53</v>
      </c>
      <c r="R1684" s="9" t="s">
        <v>4005</v>
      </c>
      <c r="T1684" s="9"/>
      <c r="V1684" s="9"/>
      <c r="AC1684" s="9" t="s">
        <v>8396</v>
      </c>
      <c r="AD1684" s="9" t="s">
        <v>8397</v>
      </c>
      <c r="AH1684" s="9">
        <v>2385</v>
      </c>
      <c r="AI1684" s="9" t="s">
        <v>77</v>
      </c>
      <c r="AJ1684" s="9" t="s">
        <v>301</v>
      </c>
      <c r="AK1684" s="11" t="str">
        <f t="shared" si="12"/>
        <v>2022GBP</v>
      </c>
      <c r="AL1684" s="11">
        <f>VLOOKUP(AK1684, Exchange_rates!$C:$D, 2, FALSE)</f>
        <v>1</v>
      </c>
      <c r="AM1684" s="14">
        <f t="shared" si="13"/>
        <v>2862</v>
      </c>
      <c r="AN1684" s="9"/>
      <c r="AO1684" s="9"/>
      <c r="AP1684" s="9"/>
      <c r="AQ1684" s="15" t="s">
        <v>49</v>
      </c>
      <c r="AR1684" t="s">
        <v>2736</v>
      </c>
      <c r="AS1684" s="16" t="s">
        <v>2737</v>
      </c>
    </row>
    <row r="1685" spans="1:45" ht="14.5">
      <c r="A1685" s="9" t="s">
        <v>8398</v>
      </c>
      <c r="B1685" s="9" t="s">
        <v>8399</v>
      </c>
      <c r="C1685" s="9" t="s">
        <v>2508</v>
      </c>
      <c r="D1685" s="9" t="s">
        <v>2479</v>
      </c>
      <c r="E1685" s="9" t="s">
        <v>49</v>
      </c>
      <c r="F1685" s="9" t="s">
        <v>50</v>
      </c>
      <c r="G1685" s="9" t="s">
        <v>51</v>
      </c>
      <c r="H1685" s="9"/>
      <c r="I1685" s="9"/>
      <c r="J1685" s="10"/>
      <c r="K1685" s="10"/>
      <c r="L1685" s="10"/>
      <c r="M1685" s="10">
        <v>44945</v>
      </c>
      <c r="N1685" s="9">
        <v>2023</v>
      </c>
      <c r="O1685" s="9" t="s">
        <v>8145</v>
      </c>
      <c r="P1685" s="9" t="s">
        <v>53</v>
      </c>
      <c r="Q1685" s="9" t="s">
        <v>53</v>
      </c>
      <c r="S1685" s="9" t="s">
        <v>8400</v>
      </c>
      <c r="T1685" s="9" t="s">
        <v>723</v>
      </c>
      <c r="V1685" s="9"/>
      <c r="AC1685" s="9" t="s">
        <v>8401</v>
      </c>
      <c r="AD1685" s="9" t="s">
        <v>8402</v>
      </c>
      <c r="AH1685" s="9">
        <v>2565</v>
      </c>
      <c r="AI1685" s="9" t="s">
        <v>77</v>
      </c>
      <c r="AJ1685" s="9" t="s">
        <v>301</v>
      </c>
      <c r="AK1685" s="11" t="str">
        <f t="shared" si="12"/>
        <v>2023GBP</v>
      </c>
      <c r="AL1685" s="11">
        <f>VLOOKUP(AK1685, Exchange_rates!$C:$D, 2, FALSE)</f>
        <v>1</v>
      </c>
      <c r="AM1685" s="14">
        <f t="shared" si="13"/>
        <v>3078</v>
      </c>
      <c r="AN1685" s="9"/>
      <c r="AO1685" s="9"/>
      <c r="AP1685" s="9"/>
      <c r="AQ1685" s="15" t="s">
        <v>49</v>
      </c>
      <c r="AR1685" t="s">
        <v>2510</v>
      </c>
      <c r="AS1685" s="16" t="s">
        <v>2511</v>
      </c>
    </row>
    <row r="1686" spans="1:45" ht="14.5">
      <c r="A1686" s="9" t="s">
        <v>8403</v>
      </c>
      <c r="B1686" s="9" t="s">
        <v>8404</v>
      </c>
      <c r="C1686" s="9" t="s">
        <v>8405</v>
      </c>
      <c r="D1686" s="9" t="s">
        <v>2479</v>
      </c>
      <c r="E1686" s="9" t="s">
        <v>49</v>
      </c>
      <c r="F1686" s="9" t="s">
        <v>69</v>
      </c>
      <c r="G1686" s="9" t="s">
        <v>70</v>
      </c>
      <c r="H1686" s="9" t="s">
        <v>8314</v>
      </c>
      <c r="I1686" s="9" t="s">
        <v>72</v>
      </c>
      <c r="J1686" s="10"/>
      <c r="K1686" s="10"/>
      <c r="L1686" s="10"/>
      <c r="M1686" s="10">
        <v>44662</v>
      </c>
      <c r="N1686" s="9">
        <v>2022</v>
      </c>
      <c r="O1686" s="9" t="s">
        <v>8145</v>
      </c>
      <c r="P1686" s="9" t="s">
        <v>83</v>
      </c>
      <c r="Q1686" s="9" t="s">
        <v>53</v>
      </c>
      <c r="R1686" s="9" t="s">
        <v>1847</v>
      </c>
      <c r="T1686" s="9"/>
      <c r="V1686" s="9"/>
      <c r="AC1686" s="9" t="s">
        <v>8406</v>
      </c>
      <c r="AD1686" s="9" t="s">
        <v>8407</v>
      </c>
      <c r="AH1686" s="9">
        <v>2200</v>
      </c>
      <c r="AI1686" s="9" t="s">
        <v>77</v>
      </c>
      <c r="AJ1686" s="9" t="s">
        <v>301</v>
      </c>
      <c r="AK1686" s="11" t="str">
        <f t="shared" si="12"/>
        <v>2022GBP</v>
      </c>
      <c r="AL1686" s="11">
        <f>VLOOKUP(AK1686, Exchange_rates!$C:$D, 2, FALSE)</f>
        <v>1</v>
      </c>
      <c r="AM1686" s="14">
        <f t="shared" si="13"/>
        <v>2640</v>
      </c>
      <c r="AN1686" s="9"/>
      <c r="AO1686" s="9"/>
      <c r="AP1686" s="9"/>
      <c r="AQ1686" s="15" t="s">
        <v>49</v>
      </c>
      <c r="AR1686" t="s">
        <v>2481</v>
      </c>
      <c r="AS1686" s="16" t="s">
        <v>2482</v>
      </c>
    </row>
    <row r="1687" spans="1:45" ht="14.5">
      <c r="A1687" s="9" t="s">
        <v>8408</v>
      </c>
      <c r="B1687" s="9" t="s">
        <v>8409</v>
      </c>
      <c r="C1687" s="9" t="s">
        <v>2693</v>
      </c>
      <c r="D1687" s="9" t="s">
        <v>2479</v>
      </c>
      <c r="E1687" s="9" t="s">
        <v>49</v>
      </c>
      <c r="F1687" s="9" t="s">
        <v>69</v>
      </c>
      <c r="G1687" s="9" t="s">
        <v>70</v>
      </c>
      <c r="H1687" s="9" t="s">
        <v>8314</v>
      </c>
      <c r="I1687" s="9" t="s">
        <v>72</v>
      </c>
      <c r="J1687" s="10"/>
      <c r="K1687" s="10"/>
      <c r="L1687" s="10"/>
      <c r="M1687" s="10">
        <v>44718</v>
      </c>
      <c r="N1687" s="9">
        <v>2022</v>
      </c>
      <c r="O1687" s="9" t="s">
        <v>8145</v>
      </c>
      <c r="P1687" s="9" t="s">
        <v>53</v>
      </c>
      <c r="Q1687" s="9" t="s">
        <v>83</v>
      </c>
      <c r="R1687" s="9" t="s">
        <v>8410</v>
      </c>
      <c r="T1687" s="9"/>
      <c r="V1687" s="9"/>
      <c r="AC1687" s="9" t="s">
        <v>787</v>
      </c>
      <c r="AD1687" s="9" t="s">
        <v>788</v>
      </c>
      <c r="AH1687" s="9">
        <v>2565</v>
      </c>
      <c r="AI1687" s="9" t="s">
        <v>77</v>
      </c>
      <c r="AJ1687" s="9" t="s">
        <v>301</v>
      </c>
      <c r="AK1687" s="11" t="str">
        <f t="shared" si="12"/>
        <v>2022GBP</v>
      </c>
      <c r="AL1687" s="11">
        <f>VLOOKUP(AK1687, Exchange_rates!$C:$D, 2, FALSE)</f>
        <v>1</v>
      </c>
      <c r="AM1687" s="14">
        <f t="shared" si="13"/>
        <v>3078</v>
      </c>
      <c r="AN1687" s="9"/>
      <c r="AO1687" s="9"/>
      <c r="AP1687" s="9"/>
      <c r="AQ1687" s="15" t="s">
        <v>49</v>
      </c>
      <c r="AR1687" t="s">
        <v>2694</v>
      </c>
      <c r="AS1687" s="16" t="s">
        <v>2695</v>
      </c>
    </row>
    <row r="1688" spans="1:45" ht="14.5">
      <c r="A1688" s="9" t="s">
        <v>8411</v>
      </c>
      <c r="B1688" s="9" t="s">
        <v>8412</v>
      </c>
      <c r="C1688" s="9" t="s">
        <v>8413</v>
      </c>
      <c r="D1688" s="9" t="s">
        <v>2479</v>
      </c>
      <c r="E1688" s="9" t="s">
        <v>49</v>
      </c>
      <c r="F1688" s="9" t="s">
        <v>69</v>
      </c>
      <c r="G1688" s="9" t="s">
        <v>70</v>
      </c>
      <c r="H1688" s="9" t="s">
        <v>8314</v>
      </c>
      <c r="I1688" s="9" t="s">
        <v>72</v>
      </c>
      <c r="J1688" s="10"/>
      <c r="K1688" s="10"/>
      <c r="L1688" s="10"/>
      <c r="M1688" s="10">
        <v>44874</v>
      </c>
      <c r="N1688" s="9">
        <v>2022</v>
      </c>
      <c r="O1688" s="9" t="s">
        <v>8145</v>
      </c>
      <c r="P1688" s="9" t="s">
        <v>53</v>
      </c>
      <c r="Q1688" s="9" t="s">
        <v>53</v>
      </c>
      <c r="T1688" s="9"/>
      <c r="V1688" s="9"/>
      <c r="AC1688" s="9" t="s">
        <v>8349</v>
      </c>
      <c r="AD1688" s="9" t="s">
        <v>8350</v>
      </c>
      <c r="AH1688" s="9">
        <v>2385</v>
      </c>
      <c r="AI1688" s="9" t="s">
        <v>77</v>
      </c>
      <c r="AJ1688" s="9" t="s">
        <v>301</v>
      </c>
      <c r="AK1688" s="11" t="str">
        <f t="shared" si="12"/>
        <v>2022GBP</v>
      </c>
      <c r="AL1688" s="11">
        <f>VLOOKUP(AK1688, Exchange_rates!$C:$D, 2, FALSE)</f>
        <v>1</v>
      </c>
      <c r="AM1688" s="14">
        <f t="shared" si="13"/>
        <v>2862</v>
      </c>
      <c r="AN1688" s="9"/>
      <c r="AO1688" s="9"/>
      <c r="AP1688" s="9"/>
      <c r="AQ1688" s="15" t="s">
        <v>49</v>
      </c>
      <c r="AR1688" t="s">
        <v>8414</v>
      </c>
      <c r="AS1688" s="16" t="s">
        <v>8415</v>
      </c>
    </row>
    <row r="1689" spans="1:45" ht="14.5">
      <c r="A1689" s="9" t="s">
        <v>8416</v>
      </c>
      <c r="B1689" s="9" t="s">
        <v>8417</v>
      </c>
      <c r="C1689" s="9" t="s">
        <v>2614</v>
      </c>
      <c r="D1689" s="9" t="s">
        <v>2479</v>
      </c>
      <c r="E1689" s="9" t="s">
        <v>49</v>
      </c>
      <c r="F1689" s="9" t="s">
        <v>69</v>
      </c>
      <c r="G1689" s="9" t="s">
        <v>70</v>
      </c>
      <c r="H1689" s="9" t="s">
        <v>8314</v>
      </c>
      <c r="I1689" s="9" t="s">
        <v>72</v>
      </c>
      <c r="J1689" s="10"/>
      <c r="K1689" s="10"/>
      <c r="L1689" s="10"/>
      <c r="M1689" s="10">
        <v>44725</v>
      </c>
      <c r="N1689" s="9">
        <v>2022</v>
      </c>
      <c r="O1689" s="9" t="s">
        <v>8145</v>
      </c>
      <c r="P1689" s="9" t="s">
        <v>53</v>
      </c>
      <c r="Q1689" s="9" t="s">
        <v>53</v>
      </c>
      <c r="R1689" s="9" t="s">
        <v>8418</v>
      </c>
      <c r="T1689" s="9"/>
      <c r="V1689" s="9"/>
      <c r="AC1689" s="9" t="s">
        <v>8419</v>
      </c>
      <c r="AD1689" s="9" t="s">
        <v>8420</v>
      </c>
      <c r="AH1689" s="9">
        <v>2565</v>
      </c>
      <c r="AI1689" s="9" t="s">
        <v>77</v>
      </c>
      <c r="AJ1689" s="9" t="s">
        <v>301</v>
      </c>
      <c r="AK1689" s="11" t="str">
        <f t="shared" si="12"/>
        <v>2022GBP</v>
      </c>
      <c r="AL1689" s="11">
        <f>VLOOKUP(AK1689, Exchange_rates!$C:$D, 2, FALSE)</f>
        <v>1</v>
      </c>
      <c r="AM1689" s="14">
        <f t="shared" si="13"/>
        <v>3078</v>
      </c>
      <c r="AN1689" s="9"/>
      <c r="AO1689" s="9"/>
      <c r="AP1689" s="9"/>
      <c r="AQ1689" s="15" t="s">
        <v>49</v>
      </c>
      <c r="AR1689" t="s">
        <v>2615</v>
      </c>
      <c r="AS1689" s="16" t="s">
        <v>2616</v>
      </c>
    </row>
    <row r="1690" spans="1:45" ht="14.5">
      <c r="A1690" s="9" t="s">
        <v>8421</v>
      </c>
      <c r="B1690" s="9" t="s">
        <v>8422</v>
      </c>
      <c r="C1690" s="9" t="s">
        <v>2693</v>
      </c>
      <c r="D1690" s="9" t="s">
        <v>2479</v>
      </c>
      <c r="E1690" s="9" t="s">
        <v>49</v>
      </c>
      <c r="F1690" s="9" t="s">
        <v>69</v>
      </c>
      <c r="G1690" s="9" t="s">
        <v>70</v>
      </c>
      <c r="H1690" s="9" t="s">
        <v>8314</v>
      </c>
      <c r="I1690" s="9" t="s">
        <v>72</v>
      </c>
      <c r="J1690" s="10"/>
      <c r="K1690" s="10"/>
      <c r="L1690" s="10"/>
      <c r="M1690" s="10">
        <v>44718</v>
      </c>
      <c r="N1690" s="9">
        <v>2022</v>
      </c>
      <c r="O1690" s="9" t="s">
        <v>8145</v>
      </c>
      <c r="P1690" s="9" t="s">
        <v>53</v>
      </c>
      <c r="Q1690" s="9" t="s">
        <v>83</v>
      </c>
      <c r="R1690" s="9" t="s">
        <v>8410</v>
      </c>
      <c r="T1690" s="9"/>
      <c r="V1690" s="9"/>
      <c r="AC1690" s="9" t="s">
        <v>787</v>
      </c>
      <c r="AD1690" s="9" t="s">
        <v>788</v>
      </c>
      <c r="AH1690" s="9">
        <v>2565</v>
      </c>
      <c r="AI1690" s="9" t="s">
        <v>77</v>
      </c>
      <c r="AJ1690" s="9" t="s">
        <v>301</v>
      </c>
      <c r="AK1690" s="11" t="str">
        <f t="shared" si="12"/>
        <v>2022GBP</v>
      </c>
      <c r="AL1690" s="11">
        <f>VLOOKUP(AK1690, Exchange_rates!$C:$D, 2, FALSE)</f>
        <v>1</v>
      </c>
      <c r="AM1690" s="14">
        <f t="shared" si="13"/>
        <v>3078</v>
      </c>
      <c r="AN1690" s="9"/>
      <c r="AO1690" s="9"/>
      <c r="AP1690" s="9"/>
      <c r="AQ1690" s="15" t="s">
        <v>49</v>
      </c>
      <c r="AR1690" t="s">
        <v>2694</v>
      </c>
      <c r="AS1690" s="16" t="s">
        <v>2695</v>
      </c>
    </row>
    <row r="1691" spans="1:45" ht="14.5">
      <c r="A1691" s="9" t="s">
        <v>8423</v>
      </c>
      <c r="B1691" s="9" t="s">
        <v>8424</v>
      </c>
      <c r="C1691" s="9" t="s">
        <v>8263</v>
      </c>
      <c r="D1691" s="9" t="s">
        <v>2479</v>
      </c>
      <c r="E1691" s="9" t="s">
        <v>49</v>
      </c>
      <c r="F1691" s="9" t="s">
        <v>69</v>
      </c>
      <c r="G1691" s="9" t="s">
        <v>70</v>
      </c>
      <c r="H1691" s="9" t="s">
        <v>8314</v>
      </c>
      <c r="I1691" s="9" t="s">
        <v>72</v>
      </c>
      <c r="J1691" s="10"/>
      <c r="K1691" s="10"/>
      <c r="L1691" s="10"/>
      <c r="M1691" s="10">
        <v>44663</v>
      </c>
      <c r="N1691" s="9">
        <v>2022</v>
      </c>
      <c r="O1691" s="9" t="s">
        <v>8145</v>
      </c>
      <c r="P1691" s="9" t="s">
        <v>83</v>
      </c>
      <c r="Q1691" s="9" t="s">
        <v>53</v>
      </c>
      <c r="R1691" s="9" t="s">
        <v>4005</v>
      </c>
      <c r="T1691" s="9"/>
      <c r="V1691" s="9"/>
      <c r="AC1691" s="9" t="s">
        <v>7915</v>
      </c>
      <c r="AD1691" s="9" t="s">
        <v>7916</v>
      </c>
      <c r="AH1691" s="9">
        <v>2385</v>
      </c>
      <c r="AI1691" s="9" t="s">
        <v>77</v>
      </c>
      <c r="AJ1691" s="9" t="s">
        <v>301</v>
      </c>
      <c r="AK1691" s="11" t="str">
        <f t="shared" si="12"/>
        <v>2022GBP</v>
      </c>
      <c r="AL1691" s="11">
        <f>VLOOKUP(AK1691, Exchange_rates!$C:$D, 2, FALSE)</f>
        <v>1</v>
      </c>
      <c r="AM1691" s="14">
        <f t="shared" si="13"/>
        <v>2862</v>
      </c>
      <c r="AN1691" s="9"/>
      <c r="AO1691" s="9"/>
      <c r="AP1691" s="9"/>
      <c r="AQ1691" s="15" t="s">
        <v>49</v>
      </c>
      <c r="AR1691" t="s">
        <v>8266</v>
      </c>
      <c r="AS1691" s="16" t="s">
        <v>8267</v>
      </c>
    </row>
    <row r="1692" spans="1:45" ht="14.5">
      <c r="A1692" s="9" t="s">
        <v>8425</v>
      </c>
      <c r="B1692" s="9" t="s">
        <v>8426</v>
      </c>
      <c r="C1692" s="9" t="s">
        <v>8366</v>
      </c>
      <c r="D1692" s="9" t="s">
        <v>2479</v>
      </c>
      <c r="E1692" s="9" t="s">
        <v>49</v>
      </c>
      <c r="F1692" s="9" t="s">
        <v>69</v>
      </c>
      <c r="G1692" s="9" t="s">
        <v>70</v>
      </c>
      <c r="H1692" s="9" t="s">
        <v>8314</v>
      </c>
      <c r="I1692" s="9" t="s">
        <v>72</v>
      </c>
      <c r="J1692" s="10"/>
      <c r="K1692" s="10"/>
      <c r="L1692" s="10"/>
      <c r="M1692" s="10">
        <v>44722</v>
      </c>
      <c r="N1692" s="9">
        <v>2022</v>
      </c>
      <c r="O1692" s="9" t="s">
        <v>8145</v>
      </c>
      <c r="P1692" s="9" t="s">
        <v>83</v>
      </c>
      <c r="Q1692" s="9" t="s">
        <v>53</v>
      </c>
      <c r="R1692" s="9" t="s">
        <v>8427</v>
      </c>
      <c r="T1692" s="9"/>
      <c r="V1692" s="9"/>
      <c r="AC1692" s="9" t="s">
        <v>8428</v>
      </c>
      <c r="AD1692" s="9" t="s">
        <v>8429</v>
      </c>
      <c r="AH1692" s="9">
        <v>2565</v>
      </c>
      <c r="AI1692" s="9" t="s">
        <v>77</v>
      </c>
      <c r="AJ1692" s="9" t="s">
        <v>301</v>
      </c>
      <c r="AK1692" s="11" t="str">
        <f t="shared" si="12"/>
        <v>2022GBP</v>
      </c>
      <c r="AL1692" s="11">
        <f>VLOOKUP(AK1692, Exchange_rates!$C:$D, 2, FALSE)</f>
        <v>1</v>
      </c>
      <c r="AM1692" s="14">
        <f t="shared" si="13"/>
        <v>3078</v>
      </c>
      <c r="AN1692" s="9"/>
      <c r="AO1692" s="9"/>
      <c r="AP1692" s="9"/>
      <c r="AQ1692" s="15" t="s">
        <v>49</v>
      </c>
      <c r="AR1692" t="s">
        <v>2824</v>
      </c>
      <c r="AS1692" s="16" t="s">
        <v>2824</v>
      </c>
    </row>
    <row r="1693" spans="1:45" ht="14.5">
      <c r="A1693" s="9" t="s">
        <v>8430</v>
      </c>
      <c r="B1693" s="9" t="s">
        <v>8431</v>
      </c>
      <c r="C1693" s="9" t="s">
        <v>2743</v>
      </c>
      <c r="D1693" s="9" t="s">
        <v>2479</v>
      </c>
      <c r="E1693" s="9" t="s">
        <v>49</v>
      </c>
      <c r="F1693" s="9" t="s">
        <v>69</v>
      </c>
      <c r="G1693" s="9" t="s">
        <v>70</v>
      </c>
      <c r="H1693" s="9" t="s">
        <v>8314</v>
      </c>
      <c r="I1693" s="9" t="s">
        <v>72</v>
      </c>
      <c r="J1693" s="10"/>
      <c r="K1693" s="10"/>
      <c r="L1693" s="10"/>
      <c r="M1693" s="10">
        <v>44702</v>
      </c>
      <c r="N1693" s="9">
        <v>2022</v>
      </c>
      <c r="O1693" s="9" t="s">
        <v>8145</v>
      </c>
      <c r="P1693" s="9" t="s">
        <v>53</v>
      </c>
      <c r="Q1693" s="9" t="s">
        <v>53</v>
      </c>
      <c r="T1693" s="9"/>
      <c r="V1693" s="9"/>
      <c r="AC1693" s="9" t="s">
        <v>8432</v>
      </c>
      <c r="AD1693" s="9" t="s">
        <v>8433</v>
      </c>
      <c r="AH1693" s="9">
        <v>2565</v>
      </c>
      <c r="AI1693" s="9" t="s">
        <v>77</v>
      </c>
      <c r="AJ1693" s="9" t="s">
        <v>301</v>
      </c>
      <c r="AK1693" s="11" t="str">
        <f t="shared" si="12"/>
        <v>2022GBP</v>
      </c>
      <c r="AL1693" s="11">
        <f>VLOOKUP(AK1693, Exchange_rates!$C:$D, 2, FALSE)</f>
        <v>1</v>
      </c>
      <c r="AM1693" s="14">
        <f t="shared" si="13"/>
        <v>3078</v>
      </c>
      <c r="AN1693" s="9"/>
      <c r="AO1693" s="9"/>
      <c r="AP1693" s="9"/>
      <c r="AQ1693" s="15" t="s">
        <v>49</v>
      </c>
      <c r="AR1693" t="s">
        <v>2744</v>
      </c>
      <c r="AS1693" s="16" t="s">
        <v>2745</v>
      </c>
    </row>
    <row r="1694" spans="1:45" ht="14.5">
      <c r="A1694" s="9" t="s">
        <v>8434</v>
      </c>
      <c r="B1694" s="9" t="s">
        <v>8435</v>
      </c>
      <c r="C1694" s="9" t="s">
        <v>8436</v>
      </c>
      <c r="D1694" s="9" t="s">
        <v>2479</v>
      </c>
      <c r="E1694" s="9" t="s">
        <v>49</v>
      </c>
      <c r="F1694" s="9" t="s">
        <v>69</v>
      </c>
      <c r="G1694" s="9" t="s">
        <v>70</v>
      </c>
      <c r="H1694" s="9" t="s">
        <v>8314</v>
      </c>
      <c r="I1694" s="9" t="s">
        <v>238</v>
      </c>
      <c r="J1694" s="10"/>
      <c r="K1694" s="10"/>
      <c r="L1694" s="10"/>
      <c r="M1694" s="10">
        <v>44685</v>
      </c>
      <c r="N1694" s="9">
        <v>2022</v>
      </c>
      <c r="O1694" s="9" t="s">
        <v>8145</v>
      </c>
      <c r="P1694" s="9" t="s">
        <v>53</v>
      </c>
      <c r="Q1694" s="9" t="s">
        <v>53</v>
      </c>
      <c r="T1694" s="9"/>
      <c r="V1694" s="9"/>
      <c r="AC1694" s="9" t="s">
        <v>8437</v>
      </c>
      <c r="AD1694" s="9" t="s">
        <v>8438</v>
      </c>
      <c r="AH1694" s="9">
        <v>2385</v>
      </c>
      <c r="AI1694" s="9" t="s">
        <v>77</v>
      </c>
      <c r="AJ1694" s="9" t="s">
        <v>301</v>
      </c>
      <c r="AK1694" s="11" t="str">
        <f t="shared" si="12"/>
        <v>2022GBP</v>
      </c>
      <c r="AL1694" s="11">
        <f>VLOOKUP(AK1694, Exchange_rates!$C:$D, 2, FALSE)</f>
        <v>1</v>
      </c>
      <c r="AM1694" s="14">
        <f t="shared" si="13"/>
        <v>2862</v>
      </c>
      <c r="AN1694" s="9"/>
      <c r="AO1694" s="9"/>
      <c r="AP1694" s="9"/>
      <c r="AQ1694" s="15" t="s">
        <v>49</v>
      </c>
      <c r="AR1694" t="s">
        <v>8439</v>
      </c>
      <c r="AS1694" s="16" t="s">
        <v>8440</v>
      </c>
    </row>
    <row r="1695" spans="1:45" ht="14.5">
      <c r="A1695" s="9" t="s">
        <v>8441</v>
      </c>
      <c r="B1695" s="9" t="s">
        <v>8442</v>
      </c>
      <c r="C1695" s="9" t="s">
        <v>8170</v>
      </c>
      <c r="D1695" s="9" t="s">
        <v>2479</v>
      </c>
      <c r="E1695" s="9" t="s">
        <v>49</v>
      </c>
      <c r="F1695" s="9" t="s">
        <v>50</v>
      </c>
      <c r="G1695" s="9" t="s">
        <v>51</v>
      </c>
      <c r="H1695" s="9"/>
      <c r="I1695" s="9"/>
      <c r="J1695" s="10"/>
      <c r="K1695" s="10"/>
      <c r="L1695" s="10"/>
      <c r="M1695" s="10">
        <v>44687</v>
      </c>
      <c r="N1695" s="9">
        <v>2022</v>
      </c>
      <c r="O1695" s="9" t="s">
        <v>8145</v>
      </c>
      <c r="P1695" s="9" t="s">
        <v>53</v>
      </c>
      <c r="Q1695" s="9" t="s">
        <v>53</v>
      </c>
      <c r="S1695" s="9" t="s">
        <v>8443</v>
      </c>
      <c r="T1695" s="9" t="s">
        <v>1912</v>
      </c>
      <c r="U1695" s="9" t="s">
        <v>8444</v>
      </c>
      <c r="V1695" s="9"/>
      <c r="AC1695" s="9" t="s">
        <v>8445</v>
      </c>
      <c r="AD1695" s="9" t="s">
        <v>8446</v>
      </c>
      <c r="AH1695" s="9">
        <v>2385</v>
      </c>
      <c r="AI1695" s="9" t="s">
        <v>77</v>
      </c>
      <c r="AJ1695" s="9" t="s">
        <v>301</v>
      </c>
      <c r="AK1695" s="11" t="str">
        <f t="shared" si="12"/>
        <v>2022GBP</v>
      </c>
      <c r="AL1695" s="11">
        <f>VLOOKUP(AK1695, Exchange_rates!$C:$D, 2, FALSE)</f>
        <v>1</v>
      </c>
      <c r="AM1695" s="14">
        <f t="shared" si="13"/>
        <v>2862</v>
      </c>
      <c r="AN1695" s="9"/>
      <c r="AO1695" s="9"/>
      <c r="AP1695" s="9"/>
      <c r="AQ1695" s="15" t="s">
        <v>49</v>
      </c>
      <c r="AR1695" t="s">
        <v>8173</v>
      </c>
      <c r="AS1695" s="16" t="s">
        <v>8174</v>
      </c>
    </row>
    <row r="1696" spans="1:45" ht="14.5">
      <c r="A1696" s="9" t="s">
        <v>8447</v>
      </c>
      <c r="B1696" s="9" t="s">
        <v>8448</v>
      </c>
      <c r="C1696" s="9" t="s">
        <v>8449</v>
      </c>
      <c r="D1696" s="9" t="s">
        <v>2479</v>
      </c>
      <c r="E1696" s="9" t="s">
        <v>49</v>
      </c>
      <c r="F1696" s="9" t="s">
        <v>50</v>
      </c>
      <c r="G1696" s="9" t="s">
        <v>51</v>
      </c>
      <c r="H1696" s="9"/>
      <c r="I1696" s="9"/>
      <c r="J1696" s="10"/>
      <c r="K1696" s="10"/>
      <c r="L1696" s="10"/>
      <c r="M1696" s="10">
        <v>44718</v>
      </c>
      <c r="N1696" s="9">
        <v>2022</v>
      </c>
      <c r="O1696" s="9" t="s">
        <v>8145</v>
      </c>
      <c r="P1696" s="9" t="s">
        <v>53</v>
      </c>
      <c r="Q1696" s="9" t="s">
        <v>53</v>
      </c>
      <c r="S1696" s="9" t="s">
        <v>2538</v>
      </c>
      <c r="T1696" s="9" t="s">
        <v>723</v>
      </c>
      <c r="V1696" s="9"/>
      <c r="AC1696" s="9" t="s">
        <v>772</v>
      </c>
      <c r="AD1696" s="9" t="s">
        <v>8450</v>
      </c>
      <c r="AH1696" s="9">
        <v>2385</v>
      </c>
      <c r="AI1696" s="9" t="s">
        <v>77</v>
      </c>
      <c r="AJ1696" s="9" t="s">
        <v>301</v>
      </c>
      <c r="AK1696" s="11" t="str">
        <f t="shared" si="12"/>
        <v>2022GBP</v>
      </c>
      <c r="AL1696" s="11">
        <f>VLOOKUP(AK1696, Exchange_rates!$C:$D, 2, FALSE)</f>
        <v>1</v>
      </c>
      <c r="AM1696" s="14">
        <f t="shared" si="13"/>
        <v>2862</v>
      </c>
      <c r="AN1696" s="9"/>
      <c r="AO1696" s="9"/>
      <c r="AP1696" s="9"/>
      <c r="AQ1696" s="15" t="s">
        <v>49</v>
      </c>
      <c r="AR1696" t="s">
        <v>8451</v>
      </c>
      <c r="AS1696" s="16" t="s">
        <v>8452</v>
      </c>
    </row>
    <row r="1697" spans="1:45" ht="14.5">
      <c r="A1697" s="9" t="s">
        <v>8453</v>
      </c>
      <c r="B1697" s="9" t="s">
        <v>8454</v>
      </c>
      <c r="C1697" s="9" t="s">
        <v>2808</v>
      </c>
      <c r="D1697" s="9" t="s">
        <v>2479</v>
      </c>
      <c r="E1697" s="9" t="s">
        <v>125</v>
      </c>
      <c r="F1697" s="9" t="s">
        <v>69</v>
      </c>
      <c r="G1697" s="9" t="s">
        <v>51</v>
      </c>
      <c r="H1697" s="9"/>
      <c r="I1697" s="9" t="s">
        <v>72</v>
      </c>
      <c r="J1697" s="10"/>
      <c r="K1697" s="10"/>
      <c r="L1697" s="10"/>
      <c r="M1697" s="10">
        <v>44686</v>
      </c>
      <c r="N1697" s="9">
        <v>2022</v>
      </c>
      <c r="O1697" s="9" t="s">
        <v>8145</v>
      </c>
      <c r="P1697" s="9" t="s">
        <v>53</v>
      </c>
      <c r="Q1697" s="9" t="s">
        <v>53</v>
      </c>
      <c r="R1697" s="9" t="s">
        <v>8455</v>
      </c>
      <c r="T1697" s="9" t="s">
        <v>279</v>
      </c>
      <c r="U1697" s="9" t="s">
        <v>8194</v>
      </c>
      <c r="V1697" s="9"/>
      <c r="AC1697" s="9" t="s">
        <v>8456</v>
      </c>
      <c r="AD1697" s="9" t="s">
        <v>7044</v>
      </c>
      <c r="AH1697" s="9">
        <v>1110</v>
      </c>
      <c r="AI1697" s="9" t="s">
        <v>77</v>
      </c>
      <c r="AJ1697" s="9" t="s">
        <v>301</v>
      </c>
      <c r="AK1697" s="11" t="str">
        <f t="shared" si="12"/>
        <v>2022GBP</v>
      </c>
      <c r="AL1697" s="11">
        <f>VLOOKUP(AK1697, Exchange_rates!$C:$D, 2, FALSE)</f>
        <v>1</v>
      </c>
      <c r="AM1697" s="14">
        <f t="shared" si="13"/>
        <v>1332</v>
      </c>
      <c r="AN1697" s="9"/>
      <c r="AO1697" s="9"/>
      <c r="AP1697" s="9"/>
      <c r="AQ1697" s="15" t="s">
        <v>125</v>
      </c>
      <c r="AR1697" t="s">
        <v>2810</v>
      </c>
      <c r="AS1697" s="16"/>
    </row>
    <row r="1698" spans="1:45" ht="14.5">
      <c r="A1698" s="9" t="s">
        <v>8457</v>
      </c>
      <c r="B1698" s="9" t="s">
        <v>8458</v>
      </c>
      <c r="C1698" s="9" t="s">
        <v>8385</v>
      </c>
      <c r="D1698" s="9" t="s">
        <v>2479</v>
      </c>
      <c r="E1698" s="9" t="s">
        <v>125</v>
      </c>
      <c r="F1698" s="9" t="s">
        <v>69</v>
      </c>
      <c r="G1698" s="9" t="s">
        <v>51</v>
      </c>
      <c r="H1698" s="9"/>
      <c r="I1698" s="9" t="s">
        <v>72</v>
      </c>
      <c r="J1698" s="10"/>
      <c r="K1698" s="10"/>
      <c r="L1698" s="10"/>
      <c r="M1698" s="10">
        <v>44562</v>
      </c>
      <c r="N1698" s="9">
        <v>2022</v>
      </c>
      <c r="O1698" s="9" t="s">
        <v>8145</v>
      </c>
      <c r="P1698" s="9" t="s">
        <v>53</v>
      </c>
      <c r="Q1698" s="9" t="s">
        <v>83</v>
      </c>
      <c r="R1698" s="9" t="s">
        <v>8410</v>
      </c>
      <c r="S1698" s="9" t="s">
        <v>278</v>
      </c>
      <c r="T1698" s="9" t="s">
        <v>279</v>
      </c>
      <c r="U1698" s="9" t="s">
        <v>8194</v>
      </c>
      <c r="V1698" s="9"/>
      <c r="AC1698" s="9" t="s">
        <v>6860</v>
      </c>
      <c r="AD1698" s="9" t="s">
        <v>6861</v>
      </c>
      <c r="AH1698" s="9">
        <v>1110</v>
      </c>
      <c r="AI1698" s="9" t="s">
        <v>77</v>
      </c>
      <c r="AJ1698" s="9" t="s">
        <v>301</v>
      </c>
      <c r="AK1698" s="11" t="str">
        <f t="shared" si="12"/>
        <v>2022GBP</v>
      </c>
      <c r="AL1698" s="11">
        <f>VLOOKUP(AK1698, Exchange_rates!$C:$D, 2, FALSE)</f>
        <v>1</v>
      </c>
      <c r="AM1698" s="14">
        <f t="shared" si="13"/>
        <v>1332</v>
      </c>
      <c r="AN1698" s="9"/>
      <c r="AO1698" s="9"/>
      <c r="AP1698" s="9"/>
      <c r="AQ1698" s="15" t="s">
        <v>125</v>
      </c>
      <c r="AR1698" t="s">
        <v>8391</v>
      </c>
      <c r="AS1698" s="16"/>
    </row>
    <row r="1699" spans="1:45" ht="14.5">
      <c r="A1699" s="9" t="s">
        <v>8459</v>
      </c>
      <c r="B1699" s="9" t="s">
        <v>8460</v>
      </c>
      <c r="C1699" s="9" t="s">
        <v>8461</v>
      </c>
      <c r="D1699" s="9" t="s">
        <v>2479</v>
      </c>
      <c r="E1699" s="9" t="s">
        <v>49</v>
      </c>
      <c r="F1699" s="9" t="s">
        <v>69</v>
      </c>
      <c r="G1699" s="9" t="s">
        <v>70</v>
      </c>
      <c r="H1699" s="9" t="s">
        <v>8314</v>
      </c>
      <c r="I1699" s="9" t="s">
        <v>72</v>
      </c>
      <c r="J1699" s="10"/>
      <c r="K1699" s="10"/>
      <c r="L1699" s="10"/>
      <c r="M1699" s="10">
        <v>44755</v>
      </c>
      <c r="N1699" s="9">
        <v>2022</v>
      </c>
      <c r="O1699" s="9" t="s">
        <v>8145</v>
      </c>
      <c r="P1699" s="9" t="s">
        <v>83</v>
      </c>
      <c r="Q1699" s="9" t="s">
        <v>53</v>
      </c>
      <c r="R1699" s="9" t="s">
        <v>4005</v>
      </c>
      <c r="T1699" s="9"/>
      <c r="V1699" s="9"/>
      <c r="AC1699" s="9" t="s">
        <v>8462</v>
      </c>
      <c r="AD1699" s="9" t="s">
        <v>8463</v>
      </c>
      <c r="AH1699" s="9">
        <v>2200</v>
      </c>
      <c r="AI1699" s="9" t="s">
        <v>77</v>
      </c>
      <c r="AJ1699" s="9" t="s">
        <v>301</v>
      </c>
      <c r="AK1699" s="11" t="str">
        <f t="shared" si="12"/>
        <v>2022GBP</v>
      </c>
      <c r="AL1699" s="11">
        <f>VLOOKUP(AK1699, Exchange_rates!$C:$D, 2, FALSE)</f>
        <v>1</v>
      </c>
      <c r="AM1699" s="14">
        <f t="shared" si="13"/>
        <v>2640</v>
      </c>
      <c r="AN1699" s="9"/>
      <c r="AO1699" s="9"/>
      <c r="AP1699" s="9"/>
      <c r="AQ1699" s="15" t="s">
        <v>49</v>
      </c>
      <c r="AR1699" t="s">
        <v>8464</v>
      </c>
      <c r="AS1699" s="16" t="s">
        <v>8465</v>
      </c>
    </row>
    <row r="1700" spans="1:45" ht="14.5">
      <c r="A1700" s="9" t="s">
        <v>8466</v>
      </c>
      <c r="B1700" s="9" t="s">
        <v>8467</v>
      </c>
      <c r="C1700" s="9" t="s">
        <v>2660</v>
      </c>
      <c r="D1700" s="9" t="s">
        <v>2479</v>
      </c>
      <c r="E1700" s="9" t="s">
        <v>49</v>
      </c>
      <c r="F1700" s="9" t="s">
        <v>69</v>
      </c>
      <c r="G1700" s="9" t="s">
        <v>70</v>
      </c>
      <c r="H1700" s="9" t="s">
        <v>8314</v>
      </c>
      <c r="I1700" s="9" t="s">
        <v>72</v>
      </c>
      <c r="J1700" s="10"/>
      <c r="K1700" s="10"/>
      <c r="L1700" s="10"/>
      <c r="M1700" s="10">
        <v>44714</v>
      </c>
      <c r="N1700" s="9">
        <v>2022</v>
      </c>
      <c r="O1700" s="9" t="s">
        <v>8145</v>
      </c>
      <c r="P1700" s="9" t="s">
        <v>83</v>
      </c>
      <c r="Q1700" s="9" t="s">
        <v>53</v>
      </c>
      <c r="R1700" s="9" t="s">
        <v>1847</v>
      </c>
      <c r="T1700" s="9"/>
      <c r="V1700" s="9"/>
      <c r="AC1700" s="9" t="s">
        <v>8468</v>
      </c>
      <c r="AD1700" s="9" t="s">
        <v>8469</v>
      </c>
      <c r="AH1700" s="9">
        <v>2385</v>
      </c>
      <c r="AI1700" s="9" t="s">
        <v>77</v>
      </c>
      <c r="AJ1700" s="9" t="s">
        <v>301</v>
      </c>
      <c r="AK1700" s="11" t="str">
        <f t="shared" si="12"/>
        <v>2022GBP</v>
      </c>
      <c r="AL1700" s="11">
        <f>VLOOKUP(AK1700, Exchange_rates!$C:$D, 2, FALSE)</f>
        <v>1</v>
      </c>
      <c r="AM1700" s="14">
        <f t="shared" si="13"/>
        <v>2862</v>
      </c>
      <c r="AN1700" s="9"/>
      <c r="AO1700" s="9"/>
      <c r="AP1700" s="9"/>
      <c r="AQ1700" s="15" t="s">
        <v>49</v>
      </c>
      <c r="AR1700" t="s">
        <v>2661</v>
      </c>
      <c r="AS1700" s="16" t="s">
        <v>2662</v>
      </c>
    </row>
    <row r="1701" spans="1:45" ht="14.5">
      <c r="A1701" s="9" t="s">
        <v>8470</v>
      </c>
      <c r="B1701" s="9" t="s">
        <v>8471</v>
      </c>
      <c r="C1701" s="9" t="s">
        <v>8472</v>
      </c>
      <c r="D1701" s="9" t="s">
        <v>2479</v>
      </c>
      <c r="E1701" s="9" t="s">
        <v>125</v>
      </c>
      <c r="F1701" s="9" t="s">
        <v>69</v>
      </c>
      <c r="G1701" s="9" t="s">
        <v>51</v>
      </c>
      <c r="H1701" s="9"/>
      <c r="I1701" s="9" t="s">
        <v>238</v>
      </c>
      <c r="J1701" s="10"/>
      <c r="K1701" s="10"/>
      <c r="L1701" s="10"/>
      <c r="M1701" s="10">
        <v>44809</v>
      </c>
      <c r="N1701" s="9">
        <v>2022</v>
      </c>
      <c r="O1701" s="9" t="s">
        <v>8145</v>
      </c>
      <c r="P1701" s="9" t="s">
        <v>53</v>
      </c>
      <c r="Q1701" s="9" t="s">
        <v>53</v>
      </c>
      <c r="T1701" s="9" t="s">
        <v>279</v>
      </c>
      <c r="U1701" s="9" t="s">
        <v>8194</v>
      </c>
      <c r="V1701" s="9"/>
      <c r="AC1701" s="9" t="s">
        <v>8473</v>
      </c>
      <c r="AD1701" s="9" t="s">
        <v>8474</v>
      </c>
      <c r="AH1701" s="9">
        <v>1850</v>
      </c>
      <c r="AI1701" s="9" t="s">
        <v>875</v>
      </c>
      <c r="AJ1701" s="9" t="s">
        <v>57</v>
      </c>
      <c r="AK1701" s="11" t="str">
        <f t="shared" si="12"/>
        <v>2022USD</v>
      </c>
      <c r="AL1701" s="11">
        <f>VLOOKUP(AK1701, Exchange_rates!$C:$D, 2, FALSE)</f>
        <v>0.8115</v>
      </c>
      <c r="AM1701" s="14">
        <f t="shared" si="13"/>
        <v>1801.53</v>
      </c>
      <c r="AN1701" s="9"/>
      <c r="AO1701" s="9"/>
      <c r="AP1701" s="9"/>
      <c r="AQ1701" s="15" t="s">
        <v>125</v>
      </c>
      <c r="AR1701" t="s">
        <v>8475</v>
      </c>
      <c r="AS1701" s="16"/>
    </row>
    <row r="1702" spans="1:45" ht="14.5">
      <c r="A1702" s="9" t="s">
        <v>8476</v>
      </c>
      <c r="B1702" s="9" t="s">
        <v>8477</v>
      </c>
      <c r="C1702" s="9" t="s">
        <v>8210</v>
      </c>
      <c r="D1702" s="9" t="s">
        <v>2479</v>
      </c>
      <c r="E1702" s="9" t="s">
        <v>49</v>
      </c>
      <c r="F1702" s="9" t="s">
        <v>69</v>
      </c>
      <c r="G1702" s="9" t="s">
        <v>70</v>
      </c>
      <c r="H1702" s="9" t="s">
        <v>8314</v>
      </c>
      <c r="I1702" s="9" t="s">
        <v>72</v>
      </c>
      <c r="J1702" s="10"/>
      <c r="K1702" s="10"/>
      <c r="L1702" s="10"/>
      <c r="M1702" s="10">
        <v>44716</v>
      </c>
      <c r="N1702" s="9">
        <v>2022</v>
      </c>
      <c r="O1702" s="9" t="s">
        <v>8145</v>
      </c>
      <c r="P1702" s="9" t="s">
        <v>53</v>
      </c>
      <c r="Q1702" s="9" t="s">
        <v>53</v>
      </c>
      <c r="T1702" s="9"/>
      <c r="V1702" s="9"/>
      <c r="AC1702" s="9" t="s">
        <v>8478</v>
      </c>
      <c r="AD1702" s="9" t="s">
        <v>8479</v>
      </c>
      <c r="AH1702" s="9">
        <v>2200</v>
      </c>
      <c r="AI1702" s="9" t="s">
        <v>77</v>
      </c>
      <c r="AJ1702" s="9" t="s">
        <v>301</v>
      </c>
      <c r="AK1702" s="11" t="str">
        <f t="shared" si="12"/>
        <v>2022GBP</v>
      </c>
      <c r="AL1702" s="11">
        <f>VLOOKUP(AK1702, Exchange_rates!$C:$D, 2, FALSE)</f>
        <v>1</v>
      </c>
      <c r="AM1702" s="14">
        <f t="shared" si="13"/>
        <v>2640</v>
      </c>
      <c r="AN1702" s="9"/>
      <c r="AO1702" s="9"/>
      <c r="AP1702" s="9"/>
      <c r="AQ1702" s="15" t="s">
        <v>49</v>
      </c>
      <c r="AR1702" t="s">
        <v>8214</v>
      </c>
      <c r="AS1702" s="16" t="s">
        <v>8215</v>
      </c>
    </row>
    <row r="1703" spans="1:45" ht="14.5">
      <c r="A1703" s="9" t="s">
        <v>8480</v>
      </c>
      <c r="B1703" s="9" t="s">
        <v>8481</v>
      </c>
      <c r="C1703" s="9" t="s">
        <v>8193</v>
      </c>
      <c r="D1703" s="9" t="s">
        <v>2479</v>
      </c>
      <c r="E1703" s="9" t="s">
        <v>125</v>
      </c>
      <c r="F1703" s="9" t="s">
        <v>69</v>
      </c>
      <c r="G1703" s="9" t="s">
        <v>51</v>
      </c>
      <c r="H1703" s="9"/>
      <c r="I1703" s="9" t="s">
        <v>72</v>
      </c>
      <c r="J1703" s="10"/>
      <c r="K1703" s="10"/>
      <c r="L1703" s="10"/>
      <c r="M1703" s="10">
        <v>44742</v>
      </c>
      <c r="N1703" s="9">
        <v>2022</v>
      </c>
      <c r="O1703" s="9" t="s">
        <v>8145</v>
      </c>
      <c r="P1703" s="9" t="s">
        <v>53</v>
      </c>
      <c r="Q1703" s="9" t="s">
        <v>53</v>
      </c>
      <c r="R1703" s="9" t="s">
        <v>8482</v>
      </c>
      <c r="T1703" s="9" t="s">
        <v>279</v>
      </c>
      <c r="U1703" s="9" t="s">
        <v>8194</v>
      </c>
      <c r="V1703" s="9"/>
      <c r="AC1703" s="9" t="s">
        <v>8483</v>
      </c>
      <c r="AD1703" s="9" t="s">
        <v>8484</v>
      </c>
      <c r="AH1703" s="9">
        <v>295</v>
      </c>
      <c r="AI1703" s="9" t="s">
        <v>77</v>
      </c>
      <c r="AJ1703" s="9" t="s">
        <v>301</v>
      </c>
      <c r="AK1703" s="11" t="str">
        <f t="shared" si="12"/>
        <v>2022GBP</v>
      </c>
      <c r="AL1703" s="11">
        <f>VLOOKUP(AK1703, Exchange_rates!$C:$D, 2, FALSE)</f>
        <v>1</v>
      </c>
      <c r="AM1703" s="14">
        <f t="shared" si="13"/>
        <v>354</v>
      </c>
      <c r="AN1703" s="9"/>
      <c r="AO1703" s="9"/>
      <c r="AP1703" s="9"/>
      <c r="AQ1703" s="15" t="s">
        <v>125</v>
      </c>
      <c r="AR1703" t="s">
        <v>8197</v>
      </c>
      <c r="AS1703" s="16"/>
    </row>
    <row r="1704" spans="1:45" ht="14.5">
      <c r="A1704" s="9" t="s">
        <v>8485</v>
      </c>
      <c r="B1704" s="9" t="s">
        <v>8486</v>
      </c>
      <c r="C1704" s="9" t="s">
        <v>8366</v>
      </c>
      <c r="D1704" s="9" t="s">
        <v>2479</v>
      </c>
      <c r="E1704" s="9" t="s">
        <v>49</v>
      </c>
      <c r="F1704" s="9" t="s">
        <v>69</v>
      </c>
      <c r="G1704" s="9" t="s">
        <v>70</v>
      </c>
      <c r="H1704" s="9" t="s">
        <v>8314</v>
      </c>
      <c r="I1704" s="9" t="s">
        <v>72</v>
      </c>
      <c r="J1704" s="10"/>
      <c r="K1704" s="10"/>
      <c r="L1704" s="10"/>
      <c r="M1704" s="10">
        <v>44748</v>
      </c>
      <c r="N1704" s="9">
        <v>2022</v>
      </c>
      <c r="O1704" s="9" t="s">
        <v>8145</v>
      </c>
      <c r="P1704" s="9" t="s">
        <v>83</v>
      </c>
      <c r="Q1704" s="9" t="s">
        <v>53</v>
      </c>
      <c r="R1704" s="9" t="s">
        <v>2314</v>
      </c>
      <c r="T1704" s="9"/>
      <c r="V1704" s="9"/>
      <c r="AC1704" s="9" t="s">
        <v>8487</v>
      </c>
      <c r="AD1704" s="9" t="s">
        <v>8488</v>
      </c>
      <c r="AH1704" s="9">
        <v>2565</v>
      </c>
      <c r="AI1704" s="9" t="s">
        <v>77</v>
      </c>
      <c r="AJ1704" s="9" t="s">
        <v>301</v>
      </c>
      <c r="AK1704" s="11" t="str">
        <f t="shared" si="12"/>
        <v>2022GBP</v>
      </c>
      <c r="AL1704" s="11">
        <f>VLOOKUP(AK1704, Exchange_rates!$C:$D, 2, FALSE)</f>
        <v>1</v>
      </c>
      <c r="AM1704" s="14">
        <f t="shared" si="13"/>
        <v>3078</v>
      </c>
      <c r="AN1704" s="9"/>
      <c r="AO1704" s="9"/>
      <c r="AP1704" s="9"/>
      <c r="AQ1704" s="15" t="s">
        <v>49</v>
      </c>
      <c r="AR1704" t="s">
        <v>2824</v>
      </c>
      <c r="AS1704" s="16" t="s">
        <v>2824</v>
      </c>
    </row>
    <row r="1705" spans="1:45" ht="14.5">
      <c r="A1705" s="9" t="s">
        <v>8489</v>
      </c>
      <c r="B1705" s="9" t="s">
        <v>8490</v>
      </c>
      <c r="C1705" s="9" t="s">
        <v>8491</v>
      </c>
      <c r="D1705" s="9" t="s">
        <v>2479</v>
      </c>
      <c r="E1705" s="9" t="s">
        <v>49</v>
      </c>
      <c r="F1705" s="9" t="s">
        <v>69</v>
      </c>
      <c r="G1705" s="9" t="s">
        <v>70</v>
      </c>
      <c r="H1705" s="9" t="s">
        <v>8314</v>
      </c>
      <c r="I1705" s="9" t="s">
        <v>238</v>
      </c>
      <c r="J1705" s="10"/>
      <c r="K1705" s="10"/>
      <c r="L1705" s="10"/>
      <c r="M1705" s="10">
        <v>44778</v>
      </c>
      <c r="N1705" s="9">
        <v>2022</v>
      </c>
      <c r="O1705" s="9" t="s">
        <v>8145</v>
      </c>
      <c r="P1705" s="9" t="s">
        <v>53</v>
      </c>
      <c r="Q1705" s="9" t="s">
        <v>53</v>
      </c>
      <c r="R1705" s="9" t="s">
        <v>8492</v>
      </c>
      <c r="T1705" s="9"/>
      <c r="V1705" s="9"/>
      <c r="AC1705" s="9" t="s">
        <v>8493</v>
      </c>
      <c r="AD1705" s="9" t="s">
        <v>8494</v>
      </c>
      <c r="AH1705" s="9">
        <v>2565</v>
      </c>
      <c r="AI1705" s="9" t="s">
        <v>77</v>
      </c>
      <c r="AJ1705" s="9" t="s">
        <v>301</v>
      </c>
      <c r="AK1705" s="11" t="str">
        <f t="shared" si="12"/>
        <v>2022GBP</v>
      </c>
      <c r="AL1705" s="11">
        <f>VLOOKUP(AK1705, Exchange_rates!$C:$D, 2, FALSE)</f>
        <v>1</v>
      </c>
      <c r="AM1705" s="14">
        <f t="shared" si="13"/>
        <v>3078</v>
      </c>
      <c r="AN1705" s="9"/>
      <c r="AO1705" s="9"/>
      <c r="AP1705" s="9"/>
      <c r="AQ1705" s="15" t="s">
        <v>49</v>
      </c>
      <c r="AR1705" t="s">
        <v>2791</v>
      </c>
      <c r="AS1705" s="16" t="s">
        <v>2792</v>
      </c>
    </row>
    <row r="1706" spans="1:45" ht="14.5">
      <c r="A1706" s="9" t="s">
        <v>8495</v>
      </c>
      <c r="B1706" s="9" t="s">
        <v>8496</v>
      </c>
      <c r="C1706" s="9" t="s">
        <v>8366</v>
      </c>
      <c r="D1706" s="9" t="s">
        <v>2479</v>
      </c>
      <c r="E1706" s="9" t="s">
        <v>49</v>
      </c>
      <c r="F1706" s="9" t="s">
        <v>69</v>
      </c>
      <c r="G1706" s="9" t="s">
        <v>70</v>
      </c>
      <c r="H1706" s="9" t="s">
        <v>8314</v>
      </c>
      <c r="I1706" s="9" t="s">
        <v>72</v>
      </c>
      <c r="J1706" s="10"/>
      <c r="K1706" s="10"/>
      <c r="L1706" s="10"/>
      <c r="M1706" s="10">
        <v>44727</v>
      </c>
      <c r="N1706" s="9">
        <v>2022</v>
      </c>
      <c r="O1706" s="9" t="s">
        <v>8145</v>
      </c>
      <c r="P1706" s="9" t="s">
        <v>83</v>
      </c>
      <c r="Q1706" s="9" t="s">
        <v>83</v>
      </c>
      <c r="R1706" s="9" t="s">
        <v>8497</v>
      </c>
      <c r="T1706" s="9"/>
      <c r="V1706" s="9"/>
      <c r="AC1706" s="9" t="s">
        <v>8498</v>
      </c>
      <c r="AD1706" s="9" t="s">
        <v>8499</v>
      </c>
      <c r="AH1706" s="9">
        <v>2565</v>
      </c>
      <c r="AI1706" s="9" t="s">
        <v>77</v>
      </c>
      <c r="AJ1706" s="9" t="s">
        <v>301</v>
      </c>
      <c r="AK1706" s="11" t="str">
        <f t="shared" si="12"/>
        <v>2022GBP</v>
      </c>
      <c r="AL1706" s="11">
        <f>VLOOKUP(AK1706, Exchange_rates!$C:$D, 2, FALSE)</f>
        <v>1</v>
      </c>
      <c r="AM1706" s="14">
        <f t="shared" si="13"/>
        <v>3078</v>
      </c>
      <c r="AN1706" s="9"/>
      <c r="AO1706" s="9"/>
      <c r="AP1706" s="9"/>
      <c r="AQ1706" s="15" t="s">
        <v>49</v>
      </c>
      <c r="AR1706" t="s">
        <v>2824</v>
      </c>
      <c r="AS1706" s="16" t="s">
        <v>2824</v>
      </c>
    </row>
    <row r="1707" spans="1:45" ht="14.5">
      <c r="A1707" s="9" t="s">
        <v>8500</v>
      </c>
      <c r="B1707" s="9" t="s">
        <v>8501</v>
      </c>
      <c r="C1707" s="9" t="s">
        <v>2683</v>
      </c>
      <c r="D1707" s="9" t="s">
        <v>2479</v>
      </c>
      <c r="E1707" s="9" t="s">
        <v>49</v>
      </c>
      <c r="F1707" s="9" t="s">
        <v>69</v>
      </c>
      <c r="G1707" s="9" t="s">
        <v>70</v>
      </c>
      <c r="H1707" s="9" t="s">
        <v>8314</v>
      </c>
      <c r="I1707" s="9" t="s">
        <v>72</v>
      </c>
      <c r="J1707" s="10"/>
      <c r="K1707" s="10"/>
      <c r="L1707" s="10"/>
      <c r="M1707" s="10">
        <v>44872</v>
      </c>
      <c r="N1707" s="9">
        <v>2022</v>
      </c>
      <c r="O1707" s="9" t="s">
        <v>8145</v>
      </c>
      <c r="P1707" s="9" t="s">
        <v>53</v>
      </c>
      <c r="Q1707" s="9" t="s">
        <v>53</v>
      </c>
      <c r="T1707" s="9"/>
      <c r="V1707" s="9"/>
      <c r="AC1707" s="9" t="s">
        <v>8502</v>
      </c>
      <c r="AD1707" s="9" t="s">
        <v>8503</v>
      </c>
      <c r="AH1707" s="9">
        <v>2385</v>
      </c>
      <c r="AI1707" s="9" t="s">
        <v>77</v>
      </c>
      <c r="AJ1707" s="9" t="s">
        <v>301</v>
      </c>
      <c r="AK1707" s="11" t="str">
        <f t="shared" si="12"/>
        <v>2022GBP</v>
      </c>
      <c r="AL1707" s="11">
        <f>VLOOKUP(AK1707, Exchange_rates!$C:$D, 2, FALSE)</f>
        <v>1</v>
      </c>
      <c r="AM1707" s="14">
        <f t="shared" si="13"/>
        <v>2862</v>
      </c>
      <c r="AN1707" s="9"/>
      <c r="AO1707" s="9"/>
      <c r="AP1707" s="9"/>
      <c r="AQ1707" s="15" t="s">
        <v>49</v>
      </c>
      <c r="AR1707" t="s">
        <v>2685</v>
      </c>
      <c r="AS1707" s="16" t="s">
        <v>2685</v>
      </c>
    </row>
    <row r="1708" spans="1:45" ht="14.5">
      <c r="A1708" s="9" t="s">
        <v>8504</v>
      </c>
      <c r="B1708" s="9" t="s">
        <v>8505</v>
      </c>
      <c r="C1708" s="9" t="s">
        <v>8170</v>
      </c>
      <c r="D1708" s="9" t="s">
        <v>2479</v>
      </c>
      <c r="E1708" s="9" t="s">
        <v>49</v>
      </c>
      <c r="F1708" s="9" t="s">
        <v>50</v>
      </c>
      <c r="G1708" s="9" t="s">
        <v>51</v>
      </c>
      <c r="H1708" s="9"/>
      <c r="I1708" s="9"/>
      <c r="J1708" s="10"/>
      <c r="K1708" s="10"/>
      <c r="L1708" s="10"/>
      <c r="M1708" s="10">
        <v>44778</v>
      </c>
      <c r="N1708" s="9">
        <v>2022</v>
      </c>
      <c r="O1708" s="9" t="s">
        <v>8145</v>
      </c>
      <c r="P1708" s="9" t="s">
        <v>53</v>
      </c>
      <c r="Q1708" s="9" t="s">
        <v>53</v>
      </c>
      <c r="S1708" s="9" t="s">
        <v>8506</v>
      </c>
      <c r="T1708" s="9" t="s">
        <v>1912</v>
      </c>
      <c r="V1708" s="9"/>
      <c r="AC1708" s="9" t="s">
        <v>8507</v>
      </c>
      <c r="AD1708" s="9" t="s">
        <v>8446</v>
      </c>
      <c r="AH1708" s="9">
        <v>2383.23</v>
      </c>
      <c r="AI1708" s="9" t="s">
        <v>77</v>
      </c>
      <c r="AJ1708" s="9" t="s">
        <v>301</v>
      </c>
      <c r="AK1708" s="11" t="str">
        <f t="shared" si="12"/>
        <v>2022GBP</v>
      </c>
      <c r="AL1708" s="11">
        <f>VLOOKUP(AK1708, Exchange_rates!$C:$D, 2, FALSE)</f>
        <v>1</v>
      </c>
      <c r="AM1708" s="14">
        <f t="shared" si="13"/>
        <v>2859.8759999999997</v>
      </c>
      <c r="AN1708" s="9"/>
      <c r="AO1708" s="9"/>
      <c r="AP1708" s="9"/>
      <c r="AQ1708" s="15" t="s">
        <v>49</v>
      </c>
      <c r="AR1708" t="s">
        <v>8173</v>
      </c>
      <c r="AS1708" s="16" t="s">
        <v>8174</v>
      </c>
    </row>
    <row r="1709" spans="1:45" ht="14.5">
      <c r="A1709" s="9" t="s">
        <v>8508</v>
      </c>
      <c r="B1709" s="9" t="s">
        <v>8509</v>
      </c>
      <c r="C1709" s="9" t="s">
        <v>8150</v>
      </c>
      <c r="D1709" s="9" t="s">
        <v>2479</v>
      </c>
      <c r="E1709" s="9" t="s">
        <v>49</v>
      </c>
      <c r="F1709" s="9" t="s">
        <v>69</v>
      </c>
      <c r="G1709" s="9" t="s">
        <v>70</v>
      </c>
      <c r="H1709" s="9" t="s">
        <v>8314</v>
      </c>
      <c r="I1709" s="9" t="s">
        <v>72</v>
      </c>
      <c r="J1709" s="10"/>
      <c r="K1709" s="10"/>
      <c r="L1709" s="10"/>
      <c r="M1709" s="10">
        <v>44760</v>
      </c>
      <c r="N1709" s="9">
        <v>2022</v>
      </c>
      <c r="O1709" s="9" t="s">
        <v>8145</v>
      </c>
      <c r="P1709" s="9" t="s">
        <v>83</v>
      </c>
      <c r="Q1709" s="9" t="s">
        <v>53</v>
      </c>
      <c r="R1709" s="9" t="s">
        <v>4005</v>
      </c>
      <c r="T1709" s="9"/>
      <c r="V1709" s="9"/>
      <c r="AC1709" s="9" t="s">
        <v>8510</v>
      </c>
      <c r="AD1709" s="9" t="s">
        <v>8511</v>
      </c>
      <c r="AH1709" s="9">
        <v>2566.5500000000002</v>
      </c>
      <c r="AI1709" s="9" t="s">
        <v>77</v>
      </c>
      <c r="AJ1709" s="9" t="s">
        <v>301</v>
      </c>
      <c r="AK1709" s="11" t="str">
        <f t="shared" si="12"/>
        <v>2022GBP</v>
      </c>
      <c r="AL1709" s="11">
        <f>VLOOKUP(AK1709, Exchange_rates!$C:$D, 2, FALSE)</f>
        <v>1</v>
      </c>
      <c r="AM1709" s="14">
        <f t="shared" si="13"/>
        <v>3079.86</v>
      </c>
      <c r="AN1709" s="9"/>
      <c r="AO1709" s="9"/>
      <c r="AP1709" s="9"/>
      <c r="AQ1709" s="15" t="s">
        <v>49</v>
      </c>
      <c r="AR1709" t="s">
        <v>8151</v>
      </c>
      <c r="AS1709" s="16" t="s">
        <v>8152</v>
      </c>
    </row>
    <row r="1710" spans="1:45" ht="14.5">
      <c r="A1710" s="9" t="s">
        <v>8512</v>
      </c>
      <c r="B1710" s="9" t="s">
        <v>8513</v>
      </c>
      <c r="C1710" s="9" t="s">
        <v>2743</v>
      </c>
      <c r="D1710" s="9" t="s">
        <v>2479</v>
      </c>
      <c r="E1710" s="9" t="s">
        <v>49</v>
      </c>
      <c r="F1710" s="9" t="s">
        <v>69</v>
      </c>
      <c r="G1710" s="9" t="s">
        <v>70</v>
      </c>
      <c r="H1710" s="9" t="s">
        <v>8314</v>
      </c>
      <c r="I1710" s="9" t="s">
        <v>238</v>
      </c>
      <c r="J1710" s="10"/>
      <c r="K1710" s="10"/>
      <c r="L1710" s="10"/>
      <c r="M1710" s="10">
        <v>44763</v>
      </c>
      <c r="N1710" s="9">
        <v>2022</v>
      </c>
      <c r="O1710" s="9" t="s">
        <v>8145</v>
      </c>
      <c r="P1710" s="9" t="s">
        <v>53</v>
      </c>
      <c r="Q1710" s="9" t="s">
        <v>53</v>
      </c>
      <c r="T1710" s="9"/>
      <c r="V1710" s="9"/>
      <c r="AC1710" s="9" t="s">
        <v>8432</v>
      </c>
      <c r="AD1710" s="9" t="s">
        <v>8433</v>
      </c>
      <c r="AH1710" s="9">
        <v>2566.5500000000002</v>
      </c>
      <c r="AI1710" s="9" t="s">
        <v>77</v>
      </c>
      <c r="AJ1710" s="9" t="s">
        <v>301</v>
      </c>
      <c r="AK1710" s="11" t="str">
        <f t="shared" si="12"/>
        <v>2022GBP</v>
      </c>
      <c r="AL1710" s="11">
        <f>VLOOKUP(AK1710, Exchange_rates!$C:$D, 2, FALSE)</f>
        <v>1</v>
      </c>
      <c r="AM1710" s="14">
        <f t="shared" si="13"/>
        <v>3079.86</v>
      </c>
      <c r="AN1710" s="9"/>
      <c r="AO1710" s="9"/>
      <c r="AP1710" s="9"/>
      <c r="AQ1710" s="15" t="s">
        <v>49</v>
      </c>
      <c r="AR1710" t="s">
        <v>2744</v>
      </c>
      <c r="AS1710" s="16" t="s">
        <v>2745</v>
      </c>
    </row>
    <row r="1711" spans="1:45" ht="14.5">
      <c r="A1711" s="9" t="s">
        <v>8514</v>
      </c>
      <c r="B1711" s="9" t="s">
        <v>8515</v>
      </c>
      <c r="C1711" s="9" t="s">
        <v>8516</v>
      </c>
      <c r="D1711" s="9" t="s">
        <v>2479</v>
      </c>
      <c r="E1711" s="9" t="s">
        <v>49</v>
      </c>
      <c r="F1711" s="9" t="s">
        <v>69</v>
      </c>
      <c r="G1711" s="9" t="s">
        <v>70</v>
      </c>
      <c r="H1711" s="9" t="s">
        <v>8314</v>
      </c>
      <c r="I1711" s="9" t="s">
        <v>238</v>
      </c>
      <c r="J1711" s="10"/>
      <c r="K1711" s="10"/>
      <c r="L1711" s="10"/>
      <c r="M1711" s="10">
        <v>44755</v>
      </c>
      <c r="N1711" s="9">
        <v>2022</v>
      </c>
      <c r="O1711" s="9" t="s">
        <v>8145</v>
      </c>
      <c r="P1711" s="9" t="s">
        <v>53</v>
      </c>
      <c r="Q1711" s="9" t="s">
        <v>53</v>
      </c>
      <c r="R1711" s="9" t="s">
        <v>1400</v>
      </c>
      <c r="T1711" s="9"/>
      <c r="V1711" s="9"/>
      <c r="AC1711" s="9" t="s">
        <v>8517</v>
      </c>
      <c r="AD1711" s="9" t="s">
        <v>1804</v>
      </c>
      <c r="AH1711" s="9">
        <v>2383.23</v>
      </c>
      <c r="AI1711" s="9" t="s">
        <v>77</v>
      </c>
      <c r="AJ1711" s="9" t="s">
        <v>301</v>
      </c>
      <c r="AK1711" s="11" t="str">
        <f t="shared" si="12"/>
        <v>2022GBP</v>
      </c>
      <c r="AL1711" s="11">
        <f>VLOOKUP(AK1711, Exchange_rates!$C:$D, 2, FALSE)</f>
        <v>1</v>
      </c>
      <c r="AM1711" s="14">
        <f t="shared" si="13"/>
        <v>2859.8759999999997</v>
      </c>
      <c r="AN1711" s="9"/>
      <c r="AO1711" s="9"/>
      <c r="AP1711" s="9"/>
      <c r="AQ1711" s="15" t="s">
        <v>49</v>
      </c>
      <c r="AR1711" t="s">
        <v>8518</v>
      </c>
      <c r="AS1711" s="16" t="s">
        <v>8519</v>
      </c>
    </row>
    <row r="1712" spans="1:45" ht="14.5">
      <c r="A1712" s="9" t="s">
        <v>8520</v>
      </c>
      <c r="B1712" s="9" t="s">
        <v>8521</v>
      </c>
      <c r="C1712" s="9" t="s">
        <v>2650</v>
      </c>
      <c r="D1712" s="9" t="s">
        <v>2479</v>
      </c>
      <c r="E1712" s="9" t="s">
        <v>49</v>
      </c>
      <c r="F1712" s="9" t="s">
        <v>69</v>
      </c>
      <c r="G1712" s="9" t="s">
        <v>70</v>
      </c>
      <c r="H1712" s="9" t="s">
        <v>8314</v>
      </c>
      <c r="I1712" s="9" t="s">
        <v>238</v>
      </c>
      <c r="J1712" s="10"/>
      <c r="K1712" s="10"/>
      <c r="L1712" s="10"/>
      <c r="M1712" s="10">
        <v>44788</v>
      </c>
      <c r="N1712" s="9">
        <v>2022</v>
      </c>
      <c r="O1712" s="9" t="s">
        <v>8145</v>
      </c>
      <c r="P1712" s="9" t="s">
        <v>53</v>
      </c>
      <c r="Q1712" s="9" t="s">
        <v>53</v>
      </c>
      <c r="T1712" s="9"/>
      <c r="V1712" s="9"/>
      <c r="AC1712" s="9" t="s">
        <v>8522</v>
      </c>
      <c r="AD1712" s="9" t="s">
        <v>8523</v>
      </c>
      <c r="AH1712" s="9">
        <v>2383.23</v>
      </c>
      <c r="AI1712" s="9" t="s">
        <v>77</v>
      </c>
      <c r="AJ1712" s="9" t="s">
        <v>301</v>
      </c>
      <c r="AK1712" s="11" t="str">
        <f t="shared" si="12"/>
        <v>2022GBP</v>
      </c>
      <c r="AL1712" s="11">
        <f>VLOOKUP(AK1712, Exchange_rates!$C:$D, 2, FALSE)</f>
        <v>1</v>
      </c>
      <c r="AM1712" s="14">
        <f t="shared" si="13"/>
        <v>2859.8759999999997</v>
      </c>
      <c r="AN1712" s="9"/>
      <c r="AO1712" s="9"/>
      <c r="AP1712" s="9"/>
      <c r="AQ1712" s="15" t="s">
        <v>49</v>
      </c>
      <c r="AR1712" t="s">
        <v>2651</v>
      </c>
      <c r="AS1712" s="16" t="s">
        <v>2652</v>
      </c>
    </row>
    <row r="1713" spans="1:60" ht="14.5">
      <c r="A1713" s="9" t="s">
        <v>8524</v>
      </c>
      <c r="B1713" s="9" t="s">
        <v>8525</v>
      </c>
      <c r="C1713" s="9" t="s">
        <v>8170</v>
      </c>
      <c r="D1713" s="9" t="s">
        <v>2479</v>
      </c>
      <c r="E1713" s="9" t="s">
        <v>49</v>
      </c>
      <c r="F1713" s="9" t="s">
        <v>69</v>
      </c>
      <c r="G1713" s="9" t="s">
        <v>70</v>
      </c>
      <c r="H1713" s="9" t="s">
        <v>8314</v>
      </c>
      <c r="I1713" s="9" t="s">
        <v>238</v>
      </c>
      <c r="J1713" s="10"/>
      <c r="K1713" s="10"/>
      <c r="L1713" s="10"/>
      <c r="M1713" s="10">
        <v>44804</v>
      </c>
      <c r="N1713" s="9">
        <v>2022</v>
      </c>
      <c r="O1713" s="9" t="s">
        <v>8145</v>
      </c>
      <c r="P1713" s="9" t="s">
        <v>83</v>
      </c>
      <c r="Q1713" s="9" t="s">
        <v>53</v>
      </c>
      <c r="R1713" s="9" t="s">
        <v>1947</v>
      </c>
      <c r="T1713" s="9"/>
      <c r="V1713" s="9"/>
      <c r="AC1713" s="9" t="s">
        <v>8526</v>
      </c>
      <c r="AD1713" s="9" t="s">
        <v>1796</v>
      </c>
      <c r="AH1713" s="9">
        <v>2383.23</v>
      </c>
      <c r="AI1713" s="9" t="s">
        <v>77</v>
      </c>
      <c r="AJ1713" s="9" t="s">
        <v>301</v>
      </c>
      <c r="AK1713" s="11" t="str">
        <f t="shared" si="12"/>
        <v>2022GBP</v>
      </c>
      <c r="AL1713" s="11">
        <f>VLOOKUP(AK1713, Exchange_rates!$C:$D, 2, FALSE)</f>
        <v>1</v>
      </c>
      <c r="AM1713" s="14">
        <f t="shared" si="13"/>
        <v>2859.8759999999997</v>
      </c>
      <c r="AN1713" s="9"/>
      <c r="AO1713" s="9"/>
      <c r="AP1713" s="9"/>
      <c r="AQ1713" s="15" t="s">
        <v>49</v>
      </c>
      <c r="AR1713" t="s">
        <v>8173</v>
      </c>
      <c r="AS1713" s="16" t="s">
        <v>8174</v>
      </c>
    </row>
    <row r="1714" spans="1:60" ht="14.5">
      <c r="A1714" s="9" t="s">
        <v>8527</v>
      </c>
      <c r="B1714" s="9" t="s">
        <v>8528</v>
      </c>
      <c r="C1714" s="9" t="s">
        <v>8529</v>
      </c>
      <c r="D1714" s="9" t="s">
        <v>2479</v>
      </c>
      <c r="E1714" s="9" t="s">
        <v>49</v>
      </c>
      <c r="F1714" s="9" t="s">
        <v>69</v>
      </c>
      <c r="G1714" s="9" t="s">
        <v>70</v>
      </c>
      <c r="H1714" s="9" t="s">
        <v>8314</v>
      </c>
      <c r="I1714" s="9" t="s">
        <v>72</v>
      </c>
      <c r="J1714" s="10"/>
      <c r="K1714" s="10"/>
      <c r="L1714" s="10"/>
      <c r="M1714" s="10">
        <v>44816</v>
      </c>
      <c r="N1714" s="9">
        <v>2022</v>
      </c>
      <c r="O1714" s="9" t="s">
        <v>8145</v>
      </c>
      <c r="P1714" s="9" t="s">
        <v>53</v>
      </c>
      <c r="Q1714" s="9" t="s">
        <v>53</v>
      </c>
      <c r="T1714" s="9"/>
      <c r="V1714" s="9"/>
      <c r="AC1714" s="9" t="s">
        <v>8530</v>
      </c>
      <c r="AD1714" s="9" t="s">
        <v>6282</v>
      </c>
      <c r="AH1714" s="9">
        <v>2566.5500000000002</v>
      </c>
      <c r="AI1714" s="9" t="s">
        <v>77</v>
      </c>
      <c r="AJ1714" s="9" t="s">
        <v>301</v>
      </c>
      <c r="AK1714" s="11" t="str">
        <f t="shared" si="12"/>
        <v>2022GBP</v>
      </c>
      <c r="AL1714" s="11">
        <f>VLOOKUP(AK1714, Exchange_rates!$C:$D, 2, FALSE)</f>
        <v>1</v>
      </c>
      <c r="AM1714" s="14">
        <f t="shared" si="13"/>
        <v>3079.86</v>
      </c>
      <c r="AN1714" s="9"/>
      <c r="AO1714" s="9"/>
      <c r="AP1714" s="9"/>
      <c r="AQ1714" s="15" t="s">
        <v>49</v>
      </c>
      <c r="AR1714" t="s">
        <v>8531</v>
      </c>
      <c r="AS1714" s="16" t="s">
        <v>8532</v>
      </c>
    </row>
    <row r="1715" spans="1:60" ht="14.5">
      <c r="A1715" s="9" t="s">
        <v>8533</v>
      </c>
      <c r="B1715" s="9" t="s">
        <v>8534</v>
      </c>
      <c r="C1715" s="9" t="s">
        <v>8535</v>
      </c>
      <c r="D1715" s="9" t="s">
        <v>2479</v>
      </c>
      <c r="E1715" s="9" t="s">
        <v>49</v>
      </c>
      <c r="F1715" s="9" t="s">
        <v>69</v>
      </c>
      <c r="G1715" s="9" t="s">
        <v>70</v>
      </c>
      <c r="H1715" s="9" t="s">
        <v>8314</v>
      </c>
      <c r="I1715" s="9" t="s">
        <v>72</v>
      </c>
      <c r="J1715" s="10"/>
      <c r="K1715" s="10"/>
      <c r="L1715" s="10"/>
      <c r="M1715" s="10">
        <v>44839</v>
      </c>
      <c r="N1715" s="9">
        <v>2022</v>
      </c>
      <c r="O1715" s="9" t="s">
        <v>8145</v>
      </c>
      <c r="P1715" s="9" t="s">
        <v>53</v>
      </c>
      <c r="Q1715" s="9" t="s">
        <v>53</v>
      </c>
      <c r="T1715" s="9"/>
      <c r="V1715" s="9"/>
      <c r="AC1715" s="9" t="s">
        <v>8536</v>
      </c>
      <c r="AD1715" s="9" t="s">
        <v>8537</v>
      </c>
      <c r="AH1715" s="9">
        <v>2566.5500000000002</v>
      </c>
      <c r="AI1715" s="9" t="s">
        <v>77</v>
      </c>
      <c r="AJ1715" s="9" t="s">
        <v>301</v>
      </c>
      <c r="AK1715" s="11" t="str">
        <f t="shared" si="12"/>
        <v>2022GBP</v>
      </c>
      <c r="AL1715" s="11">
        <f>VLOOKUP(AK1715, Exchange_rates!$C:$D, 2, FALSE)</f>
        <v>1</v>
      </c>
      <c r="AM1715" s="14">
        <f t="shared" si="13"/>
        <v>3079.86</v>
      </c>
      <c r="AN1715" s="9"/>
      <c r="AO1715" s="9"/>
      <c r="AP1715" s="9"/>
      <c r="AQ1715" s="15" t="s">
        <v>49</v>
      </c>
      <c r="AR1715" t="s">
        <v>8538</v>
      </c>
      <c r="AS1715" s="16" t="s">
        <v>8539</v>
      </c>
    </row>
    <row r="1716" spans="1:60" ht="14.5">
      <c r="A1716" s="9" t="s">
        <v>8540</v>
      </c>
      <c r="B1716" s="9" t="s">
        <v>8541</v>
      </c>
      <c r="C1716" s="9" t="s">
        <v>8542</v>
      </c>
      <c r="D1716" s="9" t="s">
        <v>2479</v>
      </c>
      <c r="E1716" s="9" t="s">
        <v>49</v>
      </c>
      <c r="F1716" s="9" t="s">
        <v>69</v>
      </c>
      <c r="G1716" s="9" t="s">
        <v>70</v>
      </c>
      <c r="H1716" s="9" t="s">
        <v>8314</v>
      </c>
      <c r="I1716" s="9" t="s">
        <v>72</v>
      </c>
      <c r="J1716" s="10"/>
      <c r="K1716" s="10"/>
      <c r="L1716" s="10"/>
      <c r="M1716" s="10">
        <v>44823</v>
      </c>
      <c r="N1716" s="9">
        <v>2022</v>
      </c>
      <c r="O1716" s="9" t="s">
        <v>8145</v>
      </c>
      <c r="P1716" s="9" t="s">
        <v>53</v>
      </c>
      <c r="Q1716" s="9" t="s">
        <v>53</v>
      </c>
      <c r="R1716" s="9" t="s">
        <v>8543</v>
      </c>
      <c r="T1716" s="9"/>
      <c r="V1716" s="9"/>
      <c r="AC1716" s="9" t="s">
        <v>6860</v>
      </c>
      <c r="AD1716" s="9" t="s">
        <v>6861</v>
      </c>
      <c r="AH1716" s="9">
        <v>2383.23</v>
      </c>
      <c r="AI1716" s="9" t="s">
        <v>77</v>
      </c>
      <c r="AJ1716" s="9" t="s">
        <v>301</v>
      </c>
      <c r="AK1716" s="11" t="str">
        <f t="shared" si="12"/>
        <v>2022GBP</v>
      </c>
      <c r="AL1716" s="11">
        <f>VLOOKUP(AK1716, Exchange_rates!$C:$D, 2, FALSE)</f>
        <v>1</v>
      </c>
      <c r="AM1716" s="14">
        <f t="shared" si="13"/>
        <v>2859.8759999999997</v>
      </c>
      <c r="AN1716" s="9"/>
      <c r="AO1716" s="9"/>
      <c r="AP1716" s="9"/>
      <c r="AQ1716" s="15" t="s">
        <v>49</v>
      </c>
      <c r="AR1716" t="s">
        <v>8544</v>
      </c>
      <c r="AS1716" s="16" t="s">
        <v>8545</v>
      </c>
    </row>
    <row r="1717" spans="1:60" ht="14.5">
      <c r="A1717" s="9" t="s">
        <v>8546</v>
      </c>
      <c r="B1717" s="9" t="s">
        <v>8547</v>
      </c>
      <c r="C1717" s="9" t="s">
        <v>2550</v>
      </c>
      <c r="D1717" s="9" t="s">
        <v>2479</v>
      </c>
      <c r="E1717" s="9" t="s">
        <v>49</v>
      </c>
      <c r="F1717" s="9" t="s">
        <v>69</v>
      </c>
      <c r="G1717" s="9" t="s">
        <v>70</v>
      </c>
      <c r="H1717" s="9" t="s">
        <v>8314</v>
      </c>
      <c r="I1717" s="9" t="s">
        <v>238</v>
      </c>
      <c r="J1717" s="10"/>
      <c r="K1717" s="10"/>
      <c r="L1717" s="10"/>
      <c r="M1717" s="10">
        <v>44819</v>
      </c>
      <c r="N1717" s="9">
        <v>2022</v>
      </c>
      <c r="O1717" s="9" t="s">
        <v>8145</v>
      </c>
      <c r="P1717" s="9" t="s">
        <v>53</v>
      </c>
      <c r="Q1717" s="9" t="s">
        <v>53</v>
      </c>
      <c r="R1717" s="9" t="s">
        <v>8548</v>
      </c>
      <c r="T1717" s="9"/>
      <c r="V1717" s="9"/>
      <c r="AC1717" s="9" t="s">
        <v>8549</v>
      </c>
      <c r="AD1717" s="9" t="s">
        <v>8550</v>
      </c>
      <c r="AH1717" s="9">
        <v>2933.2</v>
      </c>
      <c r="AI1717" s="9" t="s">
        <v>77</v>
      </c>
      <c r="AJ1717" s="9" t="s">
        <v>301</v>
      </c>
      <c r="AK1717" s="11" t="str">
        <f t="shared" si="12"/>
        <v>2022GBP</v>
      </c>
      <c r="AL1717" s="11">
        <f>VLOOKUP(AK1717, Exchange_rates!$C:$D, 2, FALSE)</f>
        <v>1</v>
      </c>
      <c r="AM1717" s="14">
        <f t="shared" si="13"/>
        <v>3519.8399999999997</v>
      </c>
      <c r="AN1717" s="9"/>
      <c r="AO1717" s="9"/>
      <c r="AP1717" s="9"/>
      <c r="AQ1717" s="15" t="s">
        <v>49</v>
      </c>
      <c r="AR1717" t="s">
        <v>2552</v>
      </c>
      <c r="AS1717" s="16" t="s">
        <v>2553</v>
      </c>
    </row>
    <row r="1718" spans="1:60" ht="14.5">
      <c r="A1718" s="9" t="s">
        <v>8551</v>
      </c>
      <c r="B1718" s="9" t="s">
        <v>8552</v>
      </c>
      <c r="C1718" s="9" t="s">
        <v>2508</v>
      </c>
      <c r="D1718" s="9" t="s">
        <v>2479</v>
      </c>
      <c r="E1718" s="9" t="s">
        <v>49</v>
      </c>
      <c r="F1718" s="9" t="s">
        <v>69</v>
      </c>
      <c r="G1718" s="9" t="s">
        <v>70</v>
      </c>
      <c r="H1718" s="9" t="s">
        <v>8314</v>
      </c>
      <c r="I1718" s="9" t="s">
        <v>238</v>
      </c>
      <c r="J1718" s="10"/>
      <c r="K1718" s="10"/>
      <c r="L1718" s="10"/>
      <c r="M1718" s="10">
        <v>44911</v>
      </c>
      <c r="N1718" s="9">
        <v>2022</v>
      </c>
      <c r="O1718" s="9" t="s">
        <v>8145</v>
      </c>
      <c r="P1718" s="9" t="s">
        <v>53</v>
      </c>
      <c r="Q1718" s="9" t="s">
        <v>53</v>
      </c>
      <c r="T1718" s="9"/>
      <c r="V1718" s="9"/>
      <c r="AC1718" s="9" t="s">
        <v>8553</v>
      </c>
      <c r="AD1718" s="9" t="s">
        <v>8554</v>
      </c>
      <c r="AH1718" s="9">
        <v>2566.5500000000002</v>
      </c>
      <c r="AI1718" s="9" t="s">
        <v>77</v>
      </c>
      <c r="AJ1718" s="9" t="s">
        <v>301</v>
      </c>
      <c r="AK1718" s="11" t="str">
        <f t="shared" si="12"/>
        <v>2022GBP</v>
      </c>
      <c r="AL1718" s="11">
        <f>VLOOKUP(AK1718, Exchange_rates!$C:$D, 2, FALSE)</f>
        <v>1</v>
      </c>
      <c r="AM1718" s="14">
        <f t="shared" si="13"/>
        <v>3079.86</v>
      </c>
      <c r="AN1718" s="9"/>
      <c r="AO1718" s="9"/>
      <c r="AP1718" s="9"/>
      <c r="AQ1718" s="15" t="s">
        <v>49</v>
      </c>
      <c r="AR1718" t="s">
        <v>2510</v>
      </c>
      <c r="AS1718" s="16" t="s">
        <v>2511</v>
      </c>
    </row>
    <row r="1719" spans="1:60" ht="14.5">
      <c r="A1719" s="9" t="s">
        <v>8555</v>
      </c>
      <c r="B1719" s="9" t="s">
        <v>8556</v>
      </c>
      <c r="C1719" s="9" t="s">
        <v>2693</v>
      </c>
      <c r="D1719" s="9" t="s">
        <v>2479</v>
      </c>
      <c r="E1719" s="9" t="s">
        <v>49</v>
      </c>
      <c r="F1719" s="9" t="s">
        <v>69</v>
      </c>
      <c r="G1719" s="9" t="s">
        <v>70</v>
      </c>
      <c r="H1719" s="9" t="s">
        <v>8314</v>
      </c>
      <c r="I1719" s="9" t="s">
        <v>72</v>
      </c>
      <c r="J1719" s="10"/>
      <c r="K1719" s="10"/>
      <c r="L1719" s="10"/>
      <c r="M1719" s="10">
        <v>44810</v>
      </c>
      <c r="N1719" s="9">
        <v>2022</v>
      </c>
      <c r="O1719" s="9" t="s">
        <v>8145</v>
      </c>
      <c r="P1719" s="9" t="s">
        <v>53</v>
      </c>
      <c r="Q1719" s="9" t="s">
        <v>83</v>
      </c>
      <c r="R1719" s="9" t="s">
        <v>8410</v>
      </c>
      <c r="T1719" s="9"/>
      <c r="V1719" s="9"/>
      <c r="AC1719" s="9" t="s">
        <v>8557</v>
      </c>
      <c r="AD1719" s="9" t="s">
        <v>8558</v>
      </c>
      <c r="AH1719" s="9">
        <v>2566.5500000000002</v>
      </c>
      <c r="AI1719" s="9" t="s">
        <v>77</v>
      </c>
      <c r="AJ1719" s="9" t="s">
        <v>301</v>
      </c>
      <c r="AK1719" s="11" t="str">
        <f t="shared" si="12"/>
        <v>2022GBP</v>
      </c>
      <c r="AL1719" s="11">
        <f>VLOOKUP(AK1719, Exchange_rates!$C:$D, 2, FALSE)</f>
        <v>1</v>
      </c>
      <c r="AM1719" s="14">
        <f t="shared" si="13"/>
        <v>3079.86</v>
      </c>
      <c r="AN1719" s="9"/>
      <c r="AO1719" s="9"/>
      <c r="AP1719" s="9"/>
      <c r="AQ1719" s="15" t="s">
        <v>49</v>
      </c>
      <c r="AR1719" t="s">
        <v>2694</v>
      </c>
      <c r="AS1719" s="16" t="s">
        <v>2695</v>
      </c>
    </row>
    <row r="1720" spans="1:60" ht="14.5">
      <c r="A1720" s="9" t="s">
        <v>8559</v>
      </c>
      <c r="B1720" s="9" t="s">
        <v>8560</v>
      </c>
      <c r="C1720" s="9" t="s">
        <v>8366</v>
      </c>
      <c r="D1720" s="9" t="s">
        <v>2479</v>
      </c>
      <c r="E1720" s="9" t="s">
        <v>49</v>
      </c>
      <c r="F1720" s="9" t="s">
        <v>69</v>
      </c>
      <c r="G1720" s="9" t="s">
        <v>70</v>
      </c>
      <c r="H1720" s="9" t="s">
        <v>8314</v>
      </c>
      <c r="I1720" s="9" t="s">
        <v>72</v>
      </c>
      <c r="J1720" s="10"/>
      <c r="K1720" s="10"/>
      <c r="L1720" s="10"/>
      <c r="M1720" s="10">
        <v>44826</v>
      </c>
      <c r="N1720" s="9">
        <v>2022</v>
      </c>
      <c r="O1720" s="9" t="s">
        <v>8145</v>
      </c>
      <c r="P1720" s="9" t="s">
        <v>53</v>
      </c>
      <c r="Q1720" s="9" t="s">
        <v>53</v>
      </c>
      <c r="R1720" s="9" t="s">
        <v>8561</v>
      </c>
      <c r="T1720" s="9"/>
      <c r="V1720" s="9"/>
      <c r="AC1720" s="9" t="s">
        <v>8562</v>
      </c>
      <c r="AD1720" s="9" t="s">
        <v>8563</v>
      </c>
      <c r="AH1720" s="9">
        <v>2566.5500000000002</v>
      </c>
      <c r="AI1720" s="9" t="s">
        <v>77</v>
      </c>
      <c r="AJ1720" s="9" t="s">
        <v>301</v>
      </c>
      <c r="AK1720" s="11" t="str">
        <f t="shared" si="12"/>
        <v>2022GBP</v>
      </c>
      <c r="AL1720" s="11">
        <f>VLOOKUP(AK1720, Exchange_rates!$C:$D, 2, FALSE)</f>
        <v>1</v>
      </c>
      <c r="AM1720" s="14">
        <f t="shared" si="13"/>
        <v>3079.86</v>
      </c>
      <c r="AN1720" s="9"/>
      <c r="AO1720" s="9"/>
      <c r="AP1720" s="9"/>
      <c r="AQ1720" s="15" t="s">
        <v>49</v>
      </c>
      <c r="AR1720" t="s">
        <v>2824</v>
      </c>
      <c r="AS1720" s="16" t="s">
        <v>2824</v>
      </c>
    </row>
    <row r="1721" spans="1:60" ht="14.5">
      <c r="A1721" s="20" t="s">
        <v>8564</v>
      </c>
      <c r="B1721" s="20" t="s">
        <v>8565</v>
      </c>
      <c r="C1721" s="20" t="s">
        <v>8170</v>
      </c>
      <c r="D1721" s="20" t="s">
        <v>2479</v>
      </c>
      <c r="E1721" s="20" t="s">
        <v>49</v>
      </c>
      <c r="F1721" s="20" t="s">
        <v>50</v>
      </c>
      <c r="G1721" s="20" t="s">
        <v>51</v>
      </c>
      <c r="H1721" s="20"/>
      <c r="I1721" s="20"/>
      <c r="J1721" s="22"/>
      <c r="K1721" s="22"/>
      <c r="L1721" s="22"/>
      <c r="M1721" s="22">
        <v>44847</v>
      </c>
      <c r="N1721" s="20">
        <v>2022</v>
      </c>
      <c r="O1721" s="20" t="s">
        <v>8145</v>
      </c>
      <c r="P1721" s="20" t="s">
        <v>53</v>
      </c>
      <c r="Q1721" s="20" t="s">
        <v>53</v>
      </c>
      <c r="R1721" s="20"/>
      <c r="S1721" s="20" t="s">
        <v>8506</v>
      </c>
      <c r="T1721" s="20" t="s">
        <v>1912</v>
      </c>
      <c r="U1721" s="20"/>
      <c r="V1721" s="20"/>
      <c r="W1721" s="20"/>
      <c r="X1721" s="20"/>
      <c r="Y1721" s="20"/>
      <c r="Z1721" s="20"/>
      <c r="AA1721" s="20"/>
      <c r="AB1721" s="20"/>
      <c r="AC1721" s="20" t="s">
        <v>8507</v>
      </c>
      <c r="AD1721" s="20" t="s">
        <v>8446</v>
      </c>
      <c r="AE1721" s="20"/>
      <c r="AF1721" s="20"/>
      <c r="AG1721" s="20"/>
      <c r="AH1721" s="20">
        <v>2383.23</v>
      </c>
      <c r="AI1721" s="20" t="s">
        <v>77</v>
      </c>
      <c r="AJ1721" s="20" t="s">
        <v>301</v>
      </c>
      <c r="AK1721" s="23" t="str">
        <f t="shared" si="12"/>
        <v>2022GBP</v>
      </c>
      <c r="AL1721" s="23">
        <f>VLOOKUP(AK1721, Exchange_rates!$C:$D, 2, FALSE)</f>
        <v>1</v>
      </c>
      <c r="AM1721" s="26">
        <f t="shared" si="13"/>
        <v>2859.8759999999997</v>
      </c>
      <c r="AN1721" s="20"/>
      <c r="AO1721" s="20"/>
      <c r="AP1721" s="20"/>
      <c r="AQ1721" s="27" t="s">
        <v>49</v>
      </c>
      <c r="AR1721" t="s">
        <v>8173</v>
      </c>
      <c r="AS1721" s="16" t="s">
        <v>8174</v>
      </c>
      <c r="AT1721" s="20"/>
      <c r="AU1721" s="20"/>
      <c r="AV1721" s="20"/>
      <c r="AW1721" s="20"/>
      <c r="AX1721" s="20"/>
      <c r="AY1721" s="20"/>
      <c r="AZ1721" s="20"/>
      <c r="BA1721" s="20"/>
      <c r="BB1721" s="20"/>
      <c r="BC1721" s="20"/>
      <c r="BD1721" s="20"/>
      <c r="BE1721" s="20"/>
      <c r="BF1721" s="20"/>
      <c r="BG1721" s="20"/>
      <c r="BH1721" s="20"/>
    </row>
    <row r="1722" spans="1:60" ht="14.5">
      <c r="A1722" s="9" t="s">
        <v>8566</v>
      </c>
      <c r="B1722" s="9" t="s">
        <v>8567</v>
      </c>
      <c r="C1722" s="9" t="s">
        <v>8568</v>
      </c>
      <c r="D1722" s="9" t="s">
        <v>2479</v>
      </c>
      <c r="E1722" s="9" t="s">
        <v>49</v>
      </c>
      <c r="F1722" s="9" t="s">
        <v>69</v>
      </c>
      <c r="G1722" s="9" t="s">
        <v>70</v>
      </c>
      <c r="H1722" s="9" t="s">
        <v>8314</v>
      </c>
      <c r="I1722" s="9" t="s">
        <v>238</v>
      </c>
      <c r="J1722" s="10"/>
      <c r="K1722" s="10"/>
      <c r="L1722" s="10"/>
      <c r="M1722" s="10">
        <v>44845</v>
      </c>
      <c r="N1722" s="9">
        <v>2022</v>
      </c>
      <c r="O1722" s="9" t="s">
        <v>8145</v>
      </c>
      <c r="P1722" s="9" t="s">
        <v>53</v>
      </c>
      <c r="Q1722" s="9" t="s">
        <v>53</v>
      </c>
      <c r="R1722" s="9" t="s">
        <v>8569</v>
      </c>
      <c r="T1722" s="9"/>
      <c r="V1722" s="9"/>
      <c r="AC1722" s="9" t="s">
        <v>8570</v>
      </c>
      <c r="AD1722" s="9" t="s">
        <v>8571</v>
      </c>
      <c r="AH1722" s="9">
        <v>2383.23</v>
      </c>
      <c r="AI1722" s="9" t="s">
        <v>77</v>
      </c>
      <c r="AJ1722" s="9" t="s">
        <v>301</v>
      </c>
      <c r="AK1722" s="11" t="str">
        <f t="shared" si="12"/>
        <v>2022GBP</v>
      </c>
      <c r="AL1722" s="11">
        <f>VLOOKUP(AK1722, Exchange_rates!$C:$D, 2, FALSE)</f>
        <v>1</v>
      </c>
      <c r="AM1722" s="14">
        <f t="shared" si="13"/>
        <v>2859.8759999999997</v>
      </c>
      <c r="AN1722" s="9"/>
      <c r="AO1722" s="9"/>
      <c r="AP1722" s="9"/>
      <c r="AQ1722" s="15" t="s">
        <v>49</v>
      </c>
      <c r="AR1722" t="s">
        <v>8572</v>
      </c>
      <c r="AS1722" s="16" t="s">
        <v>8573</v>
      </c>
    </row>
    <row r="1723" spans="1:60" ht="14.5">
      <c r="A1723" s="9" t="s">
        <v>8574</v>
      </c>
      <c r="B1723" s="9" t="s">
        <v>8575</v>
      </c>
      <c r="C1723" s="9" t="s">
        <v>8576</v>
      </c>
      <c r="D1723" s="9" t="s">
        <v>2479</v>
      </c>
      <c r="E1723" s="9" t="s">
        <v>49</v>
      </c>
      <c r="F1723" s="9" t="s">
        <v>69</v>
      </c>
      <c r="G1723" s="9" t="s">
        <v>70</v>
      </c>
      <c r="H1723" s="9" t="s">
        <v>8314</v>
      </c>
      <c r="I1723" s="9" t="s">
        <v>238</v>
      </c>
      <c r="J1723" s="10"/>
      <c r="K1723" s="10"/>
      <c r="L1723" s="10"/>
      <c r="M1723" s="10">
        <v>44861</v>
      </c>
      <c r="N1723" s="9">
        <v>2022</v>
      </c>
      <c r="O1723" s="9" t="s">
        <v>8145</v>
      </c>
      <c r="P1723" s="9" t="s">
        <v>53</v>
      </c>
      <c r="Q1723" s="9" t="s">
        <v>53</v>
      </c>
      <c r="R1723" s="9" t="s">
        <v>1400</v>
      </c>
      <c r="T1723" s="9"/>
      <c r="V1723" s="9"/>
      <c r="AC1723" s="9" t="s">
        <v>8577</v>
      </c>
      <c r="AD1723" s="9" t="s">
        <v>8578</v>
      </c>
      <c r="AH1723" s="9">
        <v>2566.5500000000002</v>
      </c>
      <c r="AI1723" s="9" t="s">
        <v>77</v>
      </c>
      <c r="AJ1723" s="9" t="s">
        <v>301</v>
      </c>
      <c r="AK1723" s="11" t="str">
        <f t="shared" si="12"/>
        <v>2022GBP</v>
      </c>
      <c r="AL1723" s="11">
        <f>VLOOKUP(AK1723, Exchange_rates!$C:$D, 2, FALSE)</f>
        <v>1</v>
      </c>
      <c r="AM1723" s="14">
        <f t="shared" si="13"/>
        <v>3079.86</v>
      </c>
      <c r="AN1723" s="9"/>
      <c r="AO1723" s="9"/>
      <c r="AP1723" s="9"/>
      <c r="AQ1723" s="15" t="s">
        <v>49</v>
      </c>
      <c r="AR1723" t="s">
        <v>8579</v>
      </c>
      <c r="AS1723" s="16" t="s">
        <v>8580</v>
      </c>
    </row>
    <row r="1724" spans="1:60" ht="14.5">
      <c r="A1724" s="9" t="s">
        <v>8581</v>
      </c>
      <c r="B1724" s="9" t="s">
        <v>8582</v>
      </c>
      <c r="C1724" s="9" t="s">
        <v>8188</v>
      </c>
      <c r="D1724" s="9" t="s">
        <v>2479</v>
      </c>
      <c r="E1724" s="9" t="s">
        <v>49</v>
      </c>
      <c r="F1724" s="9" t="s">
        <v>69</v>
      </c>
      <c r="G1724" s="9" t="s">
        <v>70</v>
      </c>
      <c r="H1724" s="9" t="s">
        <v>8314</v>
      </c>
      <c r="I1724" s="9" t="s">
        <v>238</v>
      </c>
      <c r="J1724" s="10"/>
      <c r="K1724" s="10"/>
      <c r="L1724" s="10"/>
      <c r="M1724" s="10">
        <v>44880</v>
      </c>
      <c r="N1724" s="9">
        <v>2022</v>
      </c>
      <c r="O1724" s="9" t="s">
        <v>8145</v>
      </c>
      <c r="P1724" s="9" t="s">
        <v>53</v>
      </c>
      <c r="Q1724" s="9" t="s">
        <v>53</v>
      </c>
      <c r="R1724" s="9" t="s">
        <v>8583</v>
      </c>
      <c r="T1724" s="9"/>
      <c r="V1724" s="9"/>
      <c r="AC1724" s="9" t="s">
        <v>826</v>
      </c>
      <c r="AD1724" s="9" t="s">
        <v>827</v>
      </c>
      <c r="AH1724" s="9">
        <v>2383.23</v>
      </c>
      <c r="AI1724" s="9" t="s">
        <v>77</v>
      </c>
      <c r="AJ1724" s="9" t="s">
        <v>301</v>
      </c>
      <c r="AK1724" s="11" t="str">
        <f t="shared" si="12"/>
        <v>2022GBP</v>
      </c>
      <c r="AL1724" s="11">
        <f>VLOOKUP(AK1724, Exchange_rates!$C:$D, 2, FALSE)</f>
        <v>1</v>
      </c>
      <c r="AM1724" s="14">
        <f t="shared" si="13"/>
        <v>2859.8759999999997</v>
      </c>
      <c r="AN1724" s="9"/>
      <c r="AO1724" s="9"/>
      <c r="AP1724" s="9"/>
      <c r="AQ1724" s="15" t="s">
        <v>49</v>
      </c>
      <c r="AR1724" t="s">
        <v>2786</v>
      </c>
      <c r="AS1724" s="16" t="s">
        <v>2787</v>
      </c>
    </row>
    <row r="1725" spans="1:60" ht="14.5">
      <c r="A1725" s="9" t="s">
        <v>8584</v>
      </c>
      <c r="B1725" s="9" t="s">
        <v>8585</v>
      </c>
      <c r="C1725" s="9" t="s">
        <v>8586</v>
      </c>
      <c r="D1725" s="9" t="s">
        <v>2479</v>
      </c>
      <c r="E1725" s="9" t="s">
        <v>49</v>
      </c>
      <c r="F1725" s="9" t="s">
        <v>69</v>
      </c>
      <c r="G1725" s="9" t="s">
        <v>70</v>
      </c>
      <c r="H1725" s="9" t="s">
        <v>8314</v>
      </c>
      <c r="I1725" s="9" t="s">
        <v>72</v>
      </c>
      <c r="J1725" s="10"/>
      <c r="K1725" s="10"/>
      <c r="L1725" s="10"/>
      <c r="M1725" s="10">
        <v>44870</v>
      </c>
      <c r="N1725" s="9">
        <v>2022</v>
      </c>
      <c r="O1725" s="9" t="s">
        <v>8145</v>
      </c>
      <c r="P1725" s="9" t="s">
        <v>53</v>
      </c>
      <c r="Q1725" s="9" t="s">
        <v>53</v>
      </c>
      <c r="R1725" s="9" t="s">
        <v>8587</v>
      </c>
      <c r="T1725" s="9"/>
      <c r="V1725" s="9"/>
      <c r="AC1725" s="9" t="s">
        <v>8588</v>
      </c>
      <c r="AD1725" s="9" t="s">
        <v>8589</v>
      </c>
      <c r="AH1725" s="9">
        <v>2383.23</v>
      </c>
      <c r="AI1725" s="9" t="s">
        <v>77</v>
      </c>
      <c r="AJ1725" s="9" t="s">
        <v>301</v>
      </c>
      <c r="AK1725" s="11" t="str">
        <f t="shared" si="12"/>
        <v>2022GBP</v>
      </c>
      <c r="AL1725" s="11">
        <f>VLOOKUP(AK1725, Exchange_rates!$C:$D, 2, FALSE)</f>
        <v>1</v>
      </c>
      <c r="AM1725" s="14">
        <f t="shared" si="13"/>
        <v>2859.8759999999997</v>
      </c>
      <c r="AN1725" s="9"/>
      <c r="AO1725" s="9"/>
      <c r="AP1725" s="9"/>
      <c r="AQ1725" s="15" t="s">
        <v>49</v>
      </c>
      <c r="AR1725" t="s">
        <v>8590</v>
      </c>
      <c r="AS1725" s="16" t="s">
        <v>8591</v>
      </c>
    </row>
    <row r="1726" spans="1:60" ht="14.5">
      <c r="A1726" s="9" t="s">
        <v>8592</v>
      </c>
      <c r="B1726" s="9" t="s">
        <v>8593</v>
      </c>
      <c r="C1726" s="9" t="s">
        <v>2614</v>
      </c>
      <c r="D1726" s="9" t="s">
        <v>2479</v>
      </c>
      <c r="E1726" s="9" t="s">
        <v>49</v>
      </c>
      <c r="F1726" s="9" t="s">
        <v>69</v>
      </c>
      <c r="G1726" s="9" t="s">
        <v>70</v>
      </c>
      <c r="H1726" s="9" t="s">
        <v>8594</v>
      </c>
      <c r="I1726" s="9" t="s">
        <v>238</v>
      </c>
      <c r="J1726" s="10"/>
      <c r="K1726" s="10"/>
      <c r="L1726" s="10"/>
      <c r="M1726" s="10">
        <v>44960</v>
      </c>
      <c r="N1726" s="9">
        <v>2023</v>
      </c>
      <c r="O1726" s="9" t="s">
        <v>8145</v>
      </c>
      <c r="P1726" s="9" t="s">
        <v>53</v>
      </c>
      <c r="Q1726" s="9" t="s">
        <v>53</v>
      </c>
      <c r="S1726" s="9" t="s">
        <v>8595</v>
      </c>
      <c r="T1726" s="9"/>
      <c r="V1726" s="9"/>
      <c r="AC1726" s="9" t="s">
        <v>8596</v>
      </c>
      <c r="AD1726" s="9" t="s">
        <v>8597</v>
      </c>
      <c r="AH1726" s="9">
        <v>2566.5500000000002</v>
      </c>
      <c r="AI1726" s="9" t="s">
        <v>77</v>
      </c>
      <c r="AJ1726" s="9" t="s">
        <v>301</v>
      </c>
      <c r="AK1726" s="11" t="str">
        <f t="shared" si="12"/>
        <v>2023GBP</v>
      </c>
      <c r="AL1726" s="11">
        <f>VLOOKUP(AK1726, Exchange_rates!$C:$D, 2, FALSE)</f>
        <v>1</v>
      </c>
      <c r="AM1726" s="14">
        <f t="shared" si="13"/>
        <v>3079.86</v>
      </c>
      <c r="AN1726" s="9"/>
      <c r="AO1726" s="9"/>
      <c r="AP1726" s="9"/>
      <c r="AQ1726" s="15" t="s">
        <v>49</v>
      </c>
      <c r="AR1726" t="s">
        <v>2615</v>
      </c>
      <c r="AS1726" s="16" t="s">
        <v>2616</v>
      </c>
    </row>
    <row r="1727" spans="1:60" ht="14.5">
      <c r="A1727" s="9" t="s">
        <v>8598</v>
      </c>
      <c r="B1727" s="9" t="s">
        <v>8599</v>
      </c>
      <c r="C1727" s="9" t="s">
        <v>2683</v>
      </c>
      <c r="D1727" s="9" t="s">
        <v>2479</v>
      </c>
      <c r="E1727" s="9" t="s">
        <v>49</v>
      </c>
      <c r="F1727" s="9" t="s">
        <v>69</v>
      </c>
      <c r="G1727" s="9" t="s">
        <v>70</v>
      </c>
      <c r="H1727" s="9" t="s">
        <v>8314</v>
      </c>
      <c r="I1727" s="9" t="s">
        <v>72</v>
      </c>
      <c r="J1727" s="10"/>
      <c r="K1727" s="10"/>
      <c r="L1727" s="10"/>
      <c r="M1727" s="10">
        <v>44887</v>
      </c>
      <c r="N1727" s="9">
        <v>2022</v>
      </c>
      <c r="O1727" s="9" t="s">
        <v>8145</v>
      </c>
      <c r="P1727" s="9" t="s">
        <v>53</v>
      </c>
      <c r="Q1727" s="9" t="s">
        <v>53</v>
      </c>
      <c r="R1727" s="9" t="s">
        <v>4014</v>
      </c>
      <c r="T1727" s="9"/>
      <c r="V1727" s="9"/>
      <c r="AC1727" s="9" t="s">
        <v>8600</v>
      </c>
      <c r="AD1727" s="9" t="s">
        <v>8601</v>
      </c>
      <c r="AH1727" s="9">
        <v>2383.23</v>
      </c>
      <c r="AI1727" s="9" t="s">
        <v>77</v>
      </c>
      <c r="AJ1727" s="9" t="s">
        <v>301</v>
      </c>
      <c r="AK1727" s="11" t="str">
        <f t="shared" si="12"/>
        <v>2022GBP</v>
      </c>
      <c r="AL1727" s="11">
        <f>VLOOKUP(AK1727, Exchange_rates!$C:$D, 2, FALSE)</f>
        <v>1</v>
      </c>
      <c r="AM1727" s="14">
        <f t="shared" si="13"/>
        <v>2859.8759999999997</v>
      </c>
      <c r="AN1727" s="9"/>
      <c r="AO1727" s="9"/>
      <c r="AP1727" s="9"/>
      <c r="AQ1727" s="15" t="s">
        <v>49</v>
      </c>
      <c r="AR1727" t="s">
        <v>2685</v>
      </c>
      <c r="AS1727" s="16" t="s">
        <v>2685</v>
      </c>
    </row>
    <row r="1728" spans="1:60" ht="14.5">
      <c r="A1728" s="9" t="s">
        <v>8602</v>
      </c>
      <c r="B1728" s="9" t="s">
        <v>8603</v>
      </c>
      <c r="C1728" s="9" t="s">
        <v>8436</v>
      </c>
      <c r="D1728" s="9" t="s">
        <v>2479</v>
      </c>
      <c r="E1728" s="9" t="s">
        <v>49</v>
      </c>
      <c r="F1728" s="9" t="s">
        <v>69</v>
      </c>
      <c r="G1728" s="9" t="s">
        <v>70</v>
      </c>
      <c r="H1728" s="9" t="s">
        <v>8314</v>
      </c>
      <c r="I1728" s="9" t="s">
        <v>72</v>
      </c>
      <c r="J1728" s="10"/>
      <c r="K1728" s="10"/>
      <c r="L1728" s="10"/>
      <c r="M1728" s="10">
        <v>44889</v>
      </c>
      <c r="N1728" s="9">
        <v>2022</v>
      </c>
      <c r="O1728" s="9" t="s">
        <v>8145</v>
      </c>
      <c r="P1728" s="9" t="s">
        <v>53</v>
      </c>
      <c r="Q1728" s="9" t="s">
        <v>53</v>
      </c>
      <c r="T1728" s="9"/>
      <c r="V1728" s="9"/>
      <c r="AC1728" s="9" t="s">
        <v>5454</v>
      </c>
      <c r="AD1728" s="9" t="s">
        <v>5455</v>
      </c>
      <c r="AH1728" s="9">
        <v>2383.23</v>
      </c>
      <c r="AI1728" s="9" t="s">
        <v>77</v>
      </c>
      <c r="AJ1728" s="9" t="s">
        <v>301</v>
      </c>
      <c r="AK1728" s="11" t="str">
        <f t="shared" si="12"/>
        <v>2022GBP</v>
      </c>
      <c r="AL1728" s="11">
        <f>VLOOKUP(AK1728, Exchange_rates!$C:$D, 2, FALSE)</f>
        <v>1</v>
      </c>
      <c r="AM1728" s="14">
        <f t="shared" si="13"/>
        <v>2859.8759999999997</v>
      </c>
      <c r="AN1728" s="9"/>
      <c r="AO1728" s="9"/>
      <c r="AP1728" s="9"/>
      <c r="AQ1728" s="15" t="s">
        <v>49</v>
      </c>
      <c r="AR1728" t="s">
        <v>8439</v>
      </c>
      <c r="AS1728" s="16" t="s">
        <v>8440</v>
      </c>
    </row>
    <row r="1729" spans="1:45" ht="14.5">
      <c r="A1729" s="9" t="s">
        <v>8604</v>
      </c>
      <c r="B1729" s="9" t="s">
        <v>8605</v>
      </c>
      <c r="C1729" s="9" t="s">
        <v>8606</v>
      </c>
      <c r="D1729" s="9" t="s">
        <v>2479</v>
      </c>
      <c r="E1729" s="9" t="s">
        <v>125</v>
      </c>
      <c r="F1729" s="9" t="s">
        <v>69</v>
      </c>
      <c r="G1729" s="9" t="s">
        <v>51</v>
      </c>
      <c r="H1729" s="9"/>
      <c r="I1729" s="9" t="s">
        <v>238</v>
      </c>
      <c r="J1729" s="10"/>
      <c r="K1729" s="10"/>
      <c r="L1729" s="10"/>
      <c r="M1729" s="10">
        <v>44890</v>
      </c>
      <c r="N1729" s="9">
        <v>2022</v>
      </c>
      <c r="O1729" s="9" t="s">
        <v>8145</v>
      </c>
      <c r="P1729" s="9" t="s">
        <v>53</v>
      </c>
      <c r="Q1729" s="9" t="s">
        <v>53</v>
      </c>
      <c r="R1729" s="9" t="s">
        <v>318</v>
      </c>
      <c r="T1729" s="9" t="s">
        <v>279</v>
      </c>
      <c r="U1729" s="9" t="s">
        <v>8194</v>
      </c>
      <c r="V1729" s="9"/>
      <c r="AC1729" s="9" t="s">
        <v>8607</v>
      </c>
      <c r="AD1729" s="9" t="s">
        <v>8608</v>
      </c>
      <c r="AH1729" s="9">
        <v>1555.47</v>
      </c>
      <c r="AI1729" s="9" t="s">
        <v>77</v>
      </c>
      <c r="AJ1729" s="9" t="s">
        <v>301</v>
      </c>
      <c r="AK1729" s="11" t="str">
        <f t="shared" si="12"/>
        <v>2022GBP</v>
      </c>
      <c r="AL1729" s="11">
        <f>VLOOKUP(AK1729, Exchange_rates!$C:$D, 2, FALSE)</f>
        <v>1</v>
      </c>
      <c r="AM1729" s="14">
        <f t="shared" si="13"/>
        <v>1866.5639999999999</v>
      </c>
      <c r="AN1729" s="9"/>
      <c r="AO1729" s="9"/>
      <c r="AP1729" s="9"/>
      <c r="AQ1729" s="15" t="s">
        <v>125</v>
      </c>
      <c r="AR1729" t="s">
        <v>2763</v>
      </c>
      <c r="AS1729" s="16"/>
    </row>
    <row r="1730" spans="1:45" ht="14.5">
      <c r="A1730" s="9" t="s">
        <v>8609</v>
      </c>
      <c r="B1730" s="9" t="s">
        <v>8610</v>
      </c>
      <c r="C1730" s="9" t="s">
        <v>8611</v>
      </c>
      <c r="D1730" s="9" t="s">
        <v>2479</v>
      </c>
      <c r="E1730" s="9" t="s">
        <v>49</v>
      </c>
      <c r="F1730" s="9" t="s">
        <v>69</v>
      </c>
      <c r="G1730" s="9" t="s">
        <v>70</v>
      </c>
      <c r="H1730" s="9" t="s">
        <v>8594</v>
      </c>
      <c r="I1730" s="9" t="s">
        <v>72</v>
      </c>
      <c r="J1730" s="10"/>
      <c r="K1730" s="10"/>
      <c r="L1730" s="10"/>
      <c r="M1730" s="10">
        <v>44933</v>
      </c>
      <c r="N1730" s="9">
        <v>2023</v>
      </c>
      <c r="O1730" s="9" t="s">
        <v>8145</v>
      </c>
      <c r="P1730" s="9" t="s">
        <v>53</v>
      </c>
      <c r="Q1730" s="9" t="s">
        <v>53</v>
      </c>
      <c r="R1730" s="9" t="s">
        <v>8583</v>
      </c>
      <c r="S1730" s="9" t="s">
        <v>8595</v>
      </c>
      <c r="T1730" s="9"/>
      <c r="V1730" s="9"/>
      <c r="AC1730" s="9" t="s">
        <v>8612</v>
      </c>
      <c r="AD1730" s="9" t="s">
        <v>8613</v>
      </c>
      <c r="AH1730" s="9">
        <v>2566.5500000000002</v>
      </c>
      <c r="AI1730" s="9" t="s">
        <v>77</v>
      </c>
      <c r="AJ1730" s="9" t="s">
        <v>301</v>
      </c>
      <c r="AK1730" s="11" t="str">
        <f t="shared" si="12"/>
        <v>2023GBP</v>
      </c>
      <c r="AL1730" s="11">
        <f>VLOOKUP(AK1730, Exchange_rates!$C:$D, 2, FALSE)</f>
        <v>1</v>
      </c>
      <c r="AM1730" s="14">
        <f t="shared" si="13"/>
        <v>3079.86</v>
      </c>
      <c r="AN1730" s="9"/>
      <c r="AO1730" s="9"/>
      <c r="AP1730" s="9"/>
      <c r="AQ1730" s="15" t="s">
        <v>49</v>
      </c>
      <c r="AR1730" t="s">
        <v>8614</v>
      </c>
      <c r="AS1730" s="16" t="s">
        <v>8615</v>
      </c>
    </row>
    <row r="1731" spans="1:45" ht="14.5">
      <c r="A1731" s="9" t="s">
        <v>8616</v>
      </c>
      <c r="B1731" s="9" t="s">
        <v>8617</v>
      </c>
      <c r="C1731" s="9" t="s">
        <v>8263</v>
      </c>
      <c r="D1731" s="9" t="s">
        <v>2479</v>
      </c>
      <c r="E1731" s="9" t="s">
        <v>49</v>
      </c>
      <c r="F1731" s="9" t="s">
        <v>69</v>
      </c>
      <c r="G1731" s="9" t="s">
        <v>70</v>
      </c>
      <c r="H1731" s="9" t="s">
        <v>8314</v>
      </c>
      <c r="I1731" s="9" t="s">
        <v>238</v>
      </c>
      <c r="J1731" s="10"/>
      <c r="K1731" s="10"/>
      <c r="L1731" s="10"/>
      <c r="M1731" s="10">
        <v>44910</v>
      </c>
      <c r="N1731" s="9">
        <v>2022</v>
      </c>
      <c r="O1731" s="9" t="s">
        <v>8145</v>
      </c>
      <c r="P1731" s="9" t="s">
        <v>53</v>
      </c>
      <c r="Q1731" s="9" t="s">
        <v>53</v>
      </c>
      <c r="R1731" s="9" t="s">
        <v>8618</v>
      </c>
      <c r="T1731" s="9"/>
      <c r="V1731" s="9"/>
      <c r="AC1731" s="9" t="s">
        <v>8619</v>
      </c>
      <c r="AD1731" s="9" t="s">
        <v>8620</v>
      </c>
      <c r="AH1731" s="9">
        <v>2383.23</v>
      </c>
      <c r="AI1731" s="9" t="s">
        <v>77</v>
      </c>
      <c r="AJ1731" s="9" t="s">
        <v>301</v>
      </c>
      <c r="AK1731" s="11" t="str">
        <f t="shared" si="12"/>
        <v>2022GBP</v>
      </c>
      <c r="AL1731" s="11">
        <f>VLOOKUP(AK1731, Exchange_rates!$C:$D, 2, FALSE)</f>
        <v>1</v>
      </c>
      <c r="AM1731" s="14">
        <f t="shared" si="13"/>
        <v>2859.8759999999997</v>
      </c>
      <c r="AN1731" s="9"/>
      <c r="AO1731" s="9"/>
      <c r="AP1731" s="9"/>
      <c r="AQ1731" s="15" t="s">
        <v>49</v>
      </c>
      <c r="AR1731" t="s">
        <v>8266</v>
      </c>
      <c r="AS1731" s="16" t="s">
        <v>8267</v>
      </c>
    </row>
    <row r="1732" spans="1:45" ht="14.5">
      <c r="A1732" s="9" t="s">
        <v>8621</v>
      </c>
      <c r="B1732" s="9" t="s">
        <v>8622</v>
      </c>
      <c r="C1732" s="9" t="s">
        <v>8623</v>
      </c>
      <c r="D1732" s="9" t="s">
        <v>2479</v>
      </c>
      <c r="E1732" s="9" t="s">
        <v>49</v>
      </c>
      <c r="F1732" s="9" t="s">
        <v>69</v>
      </c>
      <c r="G1732" s="9" t="s">
        <v>70</v>
      </c>
      <c r="H1732" s="9" t="s">
        <v>8314</v>
      </c>
      <c r="I1732" s="9" t="s">
        <v>72</v>
      </c>
      <c r="J1732" s="10"/>
      <c r="K1732" s="10"/>
      <c r="L1732" s="10"/>
      <c r="M1732" s="10">
        <v>44899</v>
      </c>
      <c r="N1732" s="9">
        <v>2022</v>
      </c>
      <c r="O1732" s="9" t="s">
        <v>8145</v>
      </c>
      <c r="P1732" s="9" t="s">
        <v>53</v>
      </c>
      <c r="Q1732" s="9" t="s">
        <v>53</v>
      </c>
      <c r="T1732" s="9"/>
      <c r="V1732" s="9"/>
      <c r="AC1732" s="9" t="s">
        <v>8624</v>
      </c>
      <c r="AD1732" s="9" t="s">
        <v>8625</v>
      </c>
      <c r="AH1732" s="9">
        <v>2383.23</v>
      </c>
      <c r="AI1732" s="9" t="s">
        <v>77</v>
      </c>
      <c r="AJ1732" s="9" t="s">
        <v>301</v>
      </c>
      <c r="AK1732" s="11" t="str">
        <f t="shared" si="12"/>
        <v>2022GBP</v>
      </c>
      <c r="AL1732" s="11">
        <f>VLOOKUP(AK1732, Exchange_rates!$C:$D, 2, FALSE)</f>
        <v>1</v>
      </c>
      <c r="AM1732" s="14">
        <f t="shared" si="13"/>
        <v>2859.8759999999997</v>
      </c>
      <c r="AN1732" s="9"/>
      <c r="AO1732" s="9"/>
      <c r="AP1732" s="9"/>
      <c r="AQ1732" s="15" t="s">
        <v>49</v>
      </c>
      <c r="AR1732" t="s">
        <v>8626</v>
      </c>
      <c r="AS1732" s="16" t="s">
        <v>8627</v>
      </c>
    </row>
    <row r="1733" spans="1:45" ht="14.5">
      <c r="A1733" s="9" t="s">
        <v>8628</v>
      </c>
      <c r="B1733" s="9" t="s">
        <v>8629</v>
      </c>
      <c r="C1733" s="9" t="s">
        <v>2550</v>
      </c>
      <c r="D1733" s="9" t="s">
        <v>2479</v>
      </c>
      <c r="E1733" s="9" t="s">
        <v>49</v>
      </c>
      <c r="F1733" s="9" t="s">
        <v>69</v>
      </c>
      <c r="G1733" s="9" t="s">
        <v>70</v>
      </c>
      <c r="H1733" s="9" t="s">
        <v>8314</v>
      </c>
      <c r="I1733" s="9" t="s">
        <v>238</v>
      </c>
      <c r="J1733" s="10"/>
      <c r="K1733" s="10"/>
      <c r="L1733" s="10"/>
      <c r="M1733" s="10">
        <v>44917</v>
      </c>
      <c r="N1733" s="9">
        <v>2022</v>
      </c>
      <c r="O1733" s="9" t="s">
        <v>8145</v>
      </c>
      <c r="P1733" s="9" t="s">
        <v>53</v>
      </c>
      <c r="Q1733" s="9" t="s">
        <v>53</v>
      </c>
      <c r="R1733" s="9" t="s">
        <v>318</v>
      </c>
      <c r="T1733" s="9"/>
      <c r="V1733" s="9"/>
      <c r="AC1733" s="9" t="s">
        <v>8630</v>
      </c>
      <c r="AD1733" s="9" t="s">
        <v>8631</v>
      </c>
      <c r="AH1733" s="9">
        <v>2933.2</v>
      </c>
      <c r="AI1733" s="9" t="s">
        <v>77</v>
      </c>
      <c r="AJ1733" s="9" t="s">
        <v>301</v>
      </c>
      <c r="AK1733" s="11" t="str">
        <f t="shared" si="12"/>
        <v>2022GBP</v>
      </c>
      <c r="AL1733" s="11">
        <f>VLOOKUP(AK1733, Exchange_rates!$C:$D, 2, FALSE)</f>
        <v>1</v>
      </c>
      <c r="AM1733" s="14">
        <f t="shared" si="13"/>
        <v>3519.8399999999997</v>
      </c>
      <c r="AN1733" s="9"/>
      <c r="AO1733" s="9"/>
      <c r="AP1733" s="9"/>
      <c r="AQ1733" s="15" t="s">
        <v>49</v>
      </c>
      <c r="AR1733" t="s">
        <v>2552</v>
      </c>
      <c r="AS1733" s="16" t="s">
        <v>2553</v>
      </c>
    </row>
    <row r="1734" spans="1:45" ht="14.5">
      <c r="A1734" s="9" t="s">
        <v>8632</v>
      </c>
      <c r="B1734" s="9" t="s">
        <v>8633</v>
      </c>
      <c r="C1734" s="9" t="s">
        <v>8634</v>
      </c>
      <c r="D1734" s="9" t="s">
        <v>2479</v>
      </c>
      <c r="E1734" s="9" t="s">
        <v>49</v>
      </c>
      <c r="F1734" s="9" t="s">
        <v>69</v>
      </c>
      <c r="G1734" s="9" t="s">
        <v>70</v>
      </c>
      <c r="H1734" s="9" t="s">
        <v>8594</v>
      </c>
      <c r="I1734" s="9" t="s">
        <v>238</v>
      </c>
      <c r="J1734" s="10"/>
      <c r="K1734" s="10"/>
      <c r="L1734" s="10"/>
      <c r="M1734" s="10">
        <v>45037</v>
      </c>
      <c r="N1734" s="9">
        <v>2023</v>
      </c>
      <c r="O1734" s="9" t="s">
        <v>8145</v>
      </c>
      <c r="P1734" s="9" t="s">
        <v>53</v>
      </c>
      <c r="Q1734" s="9" t="s">
        <v>53</v>
      </c>
      <c r="S1734" s="9" t="s">
        <v>8595</v>
      </c>
      <c r="T1734" s="9"/>
      <c r="V1734" s="9"/>
      <c r="AC1734" s="9" t="s">
        <v>8635</v>
      </c>
      <c r="AD1734" s="9" t="s">
        <v>8636</v>
      </c>
      <c r="AH1734" s="9">
        <v>2566.5500000000002</v>
      </c>
      <c r="AI1734" s="9" t="s">
        <v>77</v>
      </c>
      <c r="AJ1734" s="9" t="s">
        <v>301</v>
      </c>
      <c r="AK1734" s="11" t="str">
        <f t="shared" si="12"/>
        <v>2023GBP</v>
      </c>
      <c r="AL1734" s="11">
        <f>VLOOKUP(AK1734, Exchange_rates!$C:$D, 2, FALSE)</f>
        <v>1</v>
      </c>
      <c r="AM1734" s="14">
        <f t="shared" si="13"/>
        <v>3079.86</v>
      </c>
      <c r="AN1734" s="9"/>
      <c r="AO1734" s="9"/>
      <c r="AP1734" s="9"/>
      <c r="AQ1734" s="15" t="s">
        <v>49</v>
      </c>
      <c r="AR1734" t="s">
        <v>8637</v>
      </c>
      <c r="AS1734" s="16" t="s">
        <v>8638</v>
      </c>
    </row>
    <row r="1735" spans="1:45" ht="14.5">
      <c r="A1735" s="9" t="s">
        <v>8639</v>
      </c>
      <c r="B1735" s="9" t="s">
        <v>8640</v>
      </c>
      <c r="C1735" s="9" t="s">
        <v>8366</v>
      </c>
      <c r="D1735" s="9" t="s">
        <v>2479</v>
      </c>
      <c r="E1735" s="9" t="s">
        <v>49</v>
      </c>
      <c r="F1735" s="9" t="s">
        <v>69</v>
      </c>
      <c r="G1735" s="9" t="s">
        <v>70</v>
      </c>
      <c r="H1735" s="9" t="s">
        <v>8314</v>
      </c>
      <c r="I1735" s="9" t="s">
        <v>72</v>
      </c>
      <c r="J1735" s="10"/>
      <c r="K1735" s="10"/>
      <c r="L1735" s="10"/>
      <c r="M1735" s="10">
        <v>44916</v>
      </c>
      <c r="N1735" s="9">
        <v>2022</v>
      </c>
      <c r="O1735" s="9" t="s">
        <v>8145</v>
      </c>
      <c r="P1735" s="9" t="s">
        <v>53</v>
      </c>
      <c r="Q1735" s="9" t="s">
        <v>53</v>
      </c>
      <c r="T1735" s="9"/>
      <c r="V1735" s="9"/>
      <c r="AC1735" s="9" t="s">
        <v>8641</v>
      </c>
      <c r="AD1735" s="9" t="s">
        <v>8642</v>
      </c>
      <c r="AH1735" s="9">
        <v>2566.5500000000002</v>
      </c>
      <c r="AI1735" s="9" t="s">
        <v>77</v>
      </c>
      <c r="AJ1735" s="9" t="s">
        <v>301</v>
      </c>
      <c r="AK1735" s="11" t="str">
        <f t="shared" si="12"/>
        <v>2022GBP</v>
      </c>
      <c r="AL1735" s="11">
        <f>VLOOKUP(AK1735, Exchange_rates!$C:$D, 2, FALSE)</f>
        <v>1</v>
      </c>
      <c r="AM1735" s="14">
        <f t="shared" si="13"/>
        <v>3079.86</v>
      </c>
      <c r="AN1735" s="9"/>
      <c r="AO1735" s="9"/>
      <c r="AP1735" s="9"/>
      <c r="AQ1735" s="15" t="s">
        <v>49</v>
      </c>
      <c r="AR1735" t="s">
        <v>2824</v>
      </c>
      <c r="AS1735" s="16" t="s">
        <v>2824</v>
      </c>
    </row>
    <row r="1736" spans="1:45" ht="14.5">
      <c r="A1736" s="9" t="s">
        <v>8643</v>
      </c>
      <c r="B1736" s="9" t="s">
        <v>8644</v>
      </c>
      <c r="C1736" s="9" t="s">
        <v>8366</v>
      </c>
      <c r="D1736" s="9" t="s">
        <v>2479</v>
      </c>
      <c r="E1736" s="9" t="s">
        <v>49</v>
      </c>
      <c r="F1736" s="9" t="s">
        <v>69</v>
      </c>
      <c r="G1736" s="9" t="s">
        <v>70</v>
      </c>
      <c r="H1736" s="9" t="s">
        <v>8314</v>
      </c>
      <c r="I1736" s="9" t="s">
        <v>72</v>
      </c>
      <c r="J1736" s="10"/>
      <c r="K1736" s="10"/>
      <c r="L1736" s="10"/>
      <c r="M1736" s="10">
        <v>44917</v>
      </c>
      <c r="N1736" s="9">
        <v>2022</v>
      </c>
      <c r="O1736" s="9" t="s">
        <v>8145</v>
      </c>
      <c r="P1736" s="9" t="s">
        <v>83</v>
      </c>
      <c r="Q1736" s="9" t="s">
        <v>53</v>
      </c>
      <c r="R1736" s="9" t="s">
        <v>2314</v>
      </c>
      <c r="T1736" s="9"/>
      <c r="V1736" s="9"/>
      <c r="AC1736" s="9" t="s">
        <v>8645</v>
      </c>
      <c r="AD1736" s="9" t="s">
        <v>8646</v>
      </c>
      <c r="AH1736" s="9">
        <v>2566.5500000000002</v>
      </c>
      <c r="AI1736" s="9" t="s">
        <v>77</v>
      </c>
      <c r="AJ1736" s="9" t="s">
        <v>301</v>
      </c>
      <c r="AK1736" s="11" t="str">
        <f t="shared" si="12"/>
        <v>2022GBP</v>
      </c>
      <c r="AL1736" s="11">
        <f>VLOOKUP(AK1736, Exchange_rates!$C:$D, 2, FALSE)</f>
        <v>1</v>
      </c>
      <c r="AM1736" s="14">
        <f t="shared" si="13"/>
        <v>3079.86</v>
      </c>
      <c r="AN1736" s="9"/>
      <c r="AO1736" s="9"/>
      <c r="AP1736" s="9"/>
      <c r="AQ1736" s="15" t="s">
        <v>49</v>
      </c>
      <c r="AR1736" t="s">
        <v>2824</v>
      </c>
      <c r="AS1736" s="16" t="s">
        <v>2824</v>
      </c>
    </row>
    <row r="1737" spans="1:45" ht="14.5">
      <c r="A1737" s="9" t="s">
        <v>8647</v>
      </c>
      <c r="B1737" s="9" t="s">
        <v>8648</v>
      </c>
      <c r="C1737" s="9" t="s">
        <v>2550</v>
      </c>
      <c r="D1737" s="9" t="s">
        <v>2479</v>
      </c>
      <c r="E1737" s="9" t="s">
        <v>49</v>
      </c>
      <c r="F1737" s="9" t="s">
        <v>69</v>
      </c>
      <c r="G1737" s="9" t="s">
        <v>70</v>
      </c>
      <c r="H1737" s="9" t="s">
        <v>8594</v>
      </c>
      <c r="I1737" s="9" t="s">
        <v>72</v>
      </c>
      <c r="J1737" s="10"/>
      <c r="K1737" s="10"/>
      <c r="L1737" s="10"/>
      <c r="M1737" s="10">
        <v>44981</v>
      </c>
      <c r="N1737" s="9">
        <v>2023</v>
      </c>
      <c r="O1737" s="9" t="s">
        <v>8145</v>
      </c>
      <c r="P1737" s="9" t="s">
        <v>53</v>
      </c>
      <c r="Q1737" s="9" t="s">
        <v>53</v>
      </c>
      <c r="R1737" s="9" t="s">
        <v>8649</v>
      </c>
      <c r="S1737" s="9" t="s">
        <v>8595</v>
      </c>
      <c r="T1737" s="9"/>
      <c r="V1737" s="9"/>
      <c r="AC1737" s="9" t="s">
        <v>8362</v>
      </c>
      <c r="AD1737" s="9" t="s">
        <v>8363</v>
      </c>
      <c r="AH1737" s="9">
        <v>2933.2</v>
      </c>
      <c r="AI1737" s="9" t="s">
        <v>77</v>
      </c>
      <c r="AJ1737" s="9" t="s">
        <v>301</v>
      </c>
      <c r="AK1737" s="11" t="str">
        <f t="shared" si="12"/>
        <v>2023GBP</v>
      </c>
      <c r="AL1737" s="11">
        <f>VLOOKUP(AK1737, Exchange_rates!$C:$D, 2, FALSE)</f>
        <v>1</v>
      </c>
      <c r="AM1737" s="14">
        <f t="shared" si="13"/>
        <v>3519.8399999999997</v>
      </c>
      <c r="AN1737" s="9"/>
      <c r="AO1737" s="9"/>
      <c r="AP1737" s="9"/>
      <c r="AQ1737" s="15" t="s">
        <v>49</v>
      </c>
      <c r="AR1737" t="s">
        <v>2552</v>
      </c>
      <c r="AS1737" s="16" t="s">
        <v>2553</v>
      </c>
    </row>
    <row r="1738" spans="1:45" ht="14.5">
      <c r="A1738" s="9" t="s">
        <v>8650</v>
      </c>
      <c r="B1738" s="9" t="s">
        <v>8651</v>
      </c>
      <c r="C1738" s="9" t="s">
        <v>8652</v>
      </c>
      <c r="D1738" s="9" t="s">
        <v>2479</v>
      </c>
      <c r="E1738" s="9" t="s">
        <v>49</v>
      </c>
      <c r="F1738" s="9" t="s">
        <v>69</v>
      </c>
      <c r="G1738" s="9" t="s">
        <v>70</v>
      </c>
      <c r="H1738" s="9" t="s">
        <v>8594</v>
      </c>
      <c r="I1738" s="9" t="s">
        <v>72</v>
      </c>
      <c r="J1738" s="10"/>
      <c r="K1738" s="10"/>
      <c r="L1738" s="10"/>
      <c r="M1738" s="10">
        <v>44984</v>
      </c>
      <c r="N1738" s="9">
        <v>2023</v>
      </c>
      <c r="O1738" s="9" t="s">
        <v>8145</v>
      </c>
      <c r="P1738" s="9" t="s">
        <v>53</v>
      </c>
      <c r="Q1738" s="9" t="s">
        <v>53</v>
      </c>
      <c r="R1738" s="9" t="s">
        <v>8653</v>
      </c>
      <c r="S1738" s="9" t="s">
        <v>8595</v>
      </c>
      <c r="T1738" s="9"/>
      <c r="V1738" s="9"/>
      <c r="AC1738" s="9" t="s">
        <v>8654</v>
      </c>
      <c r="AD1738" s="9" t="s">
        <v>8655</v>
      </c>
      <c r="AH1738" s="9">
        <v>2383.23</v>
      </c>
      <c r="AI1738" s="9" t="s">
        <v>77</v>
      </c>
      <c r="AJ1738" s="9" t="s">
        <v>301</v>
      </c>
      <c r="AK1738" s="11" t="str">
        <f t="shared" si="12"/>
        <v>2023GBP</v>
      </c>
      <c r="AL1738" s="11">
        <f>VLOOKUP(AK1738, Exchange_rates!$C:$D, 2, FALSE)</f>
        <v>1</v>
      </c>
      <c r="AM1738" s="14">
        <f t="shared" si="13"/>
        <v>2859.8759999999997</v>
      </c>
      <c r="AN1738" s="9"/>
      <c r="AO1738" s="9"/>
      <c r="AP1738" s="9"/>
      <c r="AQ1738" s="15" t="s">
        <v>49</v>
      </c>
      <c r="AR1738" t="s">
        <v>8656</v>
      </c>
      <c r="AS1738" s="16" t="s">
        <v>8657</v>
      </c>
    </row>
    <row r="1739" spans="1:45" ht="14.5">
      <c r="A1739" s="9" t="s">
        <v>8658</v>
      </c>
      <c r="B1739" s="9" t="s">
        <v>8659</v>
      </c>
      <c r="C1739" s="9" t="s">
        <v>8405</v>
      </c>
      <c r="D1739" s="9" t="s">
        <v>2479</v>
      </c>
      <c r="E1739" s="9" t="s">
        <v>49</v>
      </c>
      <c r="F1739" s="9" t="s">
        <v>69</v>
      </c>
      <c r="G1739" s="9" t="s">
        <v>70</v>
      </c>
      <c r="H1739" s="9" t="s">
        <v>8594</v>
      </c>
      <c r="I1739" s="9" t="s">
        <v>72</v>
      </c>
      <c r="J1739" s="10"/>
      <c r="K1739" s="10"/>
      <c r="L1739" s="10"/>
      <c r="M1739" s="10">
        <v>44970</v>
      </c>
      <c r="N1739" s="9">
        <v>2023</v>
      </c>
      <c r="O1739" s="9" t="s">
        <v>8145</v>
      </c>
      <c r="P1739" s="9" t="s">
        <v>53</v>
      </c>
      <c r="Q1739" s="9" t="s">
        <v>53</v>
      </c>
      <c r="S1739" s="9" t="s">
        <v>8595</v>
      </c>
      <c r="T1739" s="9"/>
      <c r="V1739" s="9"/>
      <c r="AC1739" s="9" t="s">
        <v>8660</v>
      </c>
      <c r="AD1739" s="9" t="s">
        <v>8661</v>
      </c>
      <c r="AH1739" s="9">
        <v>2199.9</v>
      </c>
      <c r="AI1739" s="9" t="s">
        <v>77</v>
      </c>
      <c r="AJ1739" s="9" t="s">
        <v>301</v>
      </c>
      <c r="AK1739" s="11" t="str">
        <f t="shared" si="12"/>
        <v>2023GBP</v>
      </c>
      <c r="AL1739" s="11">
        <f>VLOOKUP(AK1739, Exchange_rates!$C:$D, 2, FALSE)</f>
        <v>1</v>
      </c>
      <c r="AM1739" s="14">
        <f t="shared" si="13"/>
        <v>2639.88</v>
      </c>
      <c r="AN1739" s="9"/>
      <c r="AO1739" s="9"/>
      <c r="AP1739" s="9"/>
      <c r="AQ1739" s="15" t="s">
        <v>49</v>
      </c>
      <c r="AR1739" t="s">
        <v>2481</v>
      </c>
      <c r="AS1739" s="16" t="s">
        <v>2482</v>
      </c>
    </row>
    <row r="1740" spans="1:45" ht="14.5">
      <c r="A1740" s="9" t="s">
        <v>8662</v>
      </c>
      <c r="B1740" s="9" t="s">
        <v>8663</v>
      </c>
      <c r="C1740" s="9" t="s">
        <v>8150</v>
      </c>
      <c r="D1740" s="9" t="s">
        <v>2479</v>
      </c>
      <c r="E1740" s="9" t="s">
        <v>49</v>
      </c>
      <c r="F1740" s="9" t="s">
        <v>69</v>
      </c>
      <c r="G1740" s="9" t="s">
        <v>70</v>
      </c>
      <c r="H1740" s="9" t="s">
        <v>8594</v>
      </c>
      <c r="I1740" s="9" t="s">
        <v>72</v>
      </c>
      <c r="J1740" s="10"/>
      <c r="K1740" s="10"/>
      <c r="L1740" s="10"/>
      <c r="M1740" s="10">
        <v>45053</v>
      </c>
      <c r="N1740" s="9">
        <v>2023</v>
      </c>
      <c r="O1740" s="9" t="s">
        <v>8145</v>
      </c>
      <c r="P1740" s="9" t="s">
        <v>53</v>
      </c>
      <c r="Q1740" s="9" t="s">
        <v>53</v>
      </c>
      <c r="R1740" s="9" t="s">
        <v>8664</v>
      </c>
      <c r="S1740" s="9" t="s">
        <v>8595</v>
      </c>
      <c r="T1740" s="9"/>
      <c r="V1740" s="9"/>
      <c r="AC1740" s="9" t="s">
        <v>8665</v>
      </c>
      <c r="AD1740" s="9" t="s">
        <v>8666</v>
      </c>
      <c r="AH1740" s="9">
        <v>2566.5500000000002</v>
      </c>
      <c r="AI1740" s="9" t="s">
        <v>77</v>
      </c>
      <c r="AJ1740" s="9" t="s">
        <v>301</v>
      </c>
      <c r="AK1740" s="11" t="str">
        <f t="shared" si="12"/>
        <v>2023GBP</v>
      </c>
      <c r="AL1740" s="11">
        <f>VLOOKUP(AK1740, Exchange_rates!$C:$D, 2, FALSE)</f>
        <v>1</v>
      </c>
      <c r="AM1740" s="14">
        <f t="shared" si="13"/>
        <v>3079.86</v>
      </c>
      <c r="AN1740" s="9"/>
      <c r="AO1740" s="9"/>
      <c r="AP1740" s="9"/>
      <c r="AQ1740" s="15" t="s">
        <v>49</v>
      </c>
      <c r="AR1740" t="s">
        <v>8151</v>
      </c>
      <c r="AS1740" s="16" t="s">
        <v>8152</v>
      </c>
    </row>
    <row r="1741" spans="1:45" ht="14.5">
      <c r="A1741" s="9" t="s">
        <v>8667</v>
      </c>
      <c r="B1741" s="9" t="s">
        <v>8668</v>
      </c>
      <c r="C1741" s="9" t="s">
        <v>8669</v>
      </c>
      <c r="D1741" s="9" t="s">
        <v>2479</v>
      </c>
      <c r="E1741" s="9" t="s">
        <v>49</v>
      </c>
      <c r="F1741" s="9" t="s">
        <v>69</v>
      </c>
      <c r="G1741" s="9" t="s">
        <v>70</v>
      </c>
      <c r="H1741" s="9" t="s">
        <v>8594</v>
      </c>
      <c r="I1741" s="9" t="s">
        <v>238</v>
      </c>
      <c r="J1741" s="10"/>
      <c r="K1741" s="10"/>
      <c r="L1741" s="10"/>
      <c r="M1741" s="10">
        <v>44986</v>
      </c>
      <c r="N1741" s="9">
        <v>2023</v>
      </c>
      <c r="O1741" s="9" t="s">
        <v>8145</v>
      </c>
      <c r="P1741" s="9" t="s">
        <v>53</v>
      </c>
      <c r="Q1741" s="9" t="s">
        <v>53</v>
      </c>
      <c r="R1741" s="9" t="s">
        <v>8583</v>
      </c>
      <c r="S1741" s="9" t="s">
        <v>8595</v>
      </c>
      <c r="T1741" s="9"/>
      <c r="V1741" s="9"/>
      <c r="AC1741" s="9" t="s">
        <v>8670</v>
      </c>
      <c r="AD1741" s="9" t="s">
        <v>8671</v>
      </c>
      <c r="AH1741" s="9">
        <v>2199.9</v>
      </c>
      <c r="AI1741" s="9" t="s">
        <v>77</v>
      </c>
      <c r="AJ1741" s="9" t="s">
        <v>301</v>
      </c>
      <c r="AK1741" s="11" t="str">
        <f t="shared" si="12"/>
        <v>2023GBP</v>
      </c>
      <c r="AL1741" s="11">
        <f>VLOOKUP(AK1741, Exchange_rates!$C:$D, 2, FALSE)</f>
        <v>1</v>
      </c>
      <c r="AM1741" s="14">
        <f t="shared" si="13"/>
        <v>2639.88</v>
      </c>
      <c r="AN1741" s="9"/>
      <c r="AO1741" s="9"/>
      <c r="AP1741" s="9"/>
      <c r="AQ1741" s="15" t="s">
        <v>49</v>
      </c>
      <c r="AR1741" t="s">
        <v>8672</v>
      </c>
      <c r="AS1741" s="16" t="s">
        <v>8673</v>
      </c>
    </row>
    <row r="1742" spans="1:45" ht="14.5">
      <c r="A1742" s="9" t="s">
        <v>8674</v>
      </c>
      <c r="B1742" s="9" t="s">
        <v>8675</v>
      </c>
      <c r="C1742" s="9" t="s">
        <v>8676</v>
      </c>
      <c r="D1742" s="9" t="s">
        <v>2479</v>
      </c>
      <c r="E1742" s="9" t="s">
        <v>49</v>
      </c>
      <c r="F1742" s="9" t="s">
        <v>69</v>
      </c>
      <c r="G1742" s="9" t="s">
        <v>70</v>
      </c>
      <c r="H1742" s="9" t="s">
        <v>8594</v>
      </c>
      <c r="I1742" s="9" t="s">
        <v>72</v>
      </c>
      <c r="J1742" s="10"/>
      <c r="K1742" s="10"/>
      <c r="L1742" s="10"/>
      <c r="M1742" s="10">
        <v>45014</v>
      </c>
      <c r="N1742" s="9">
        <v>2023</v>
      </c>
      <c r="O1742" s="9" t="s">
        <v>8145</v>
      </c>
      <c r="P1742" s="9" t="s">
        <v>53</v>
      </c>
      <c r="Q1742" s="9" t="s">
        <v>53</v>
      </c>
      <c r="R1742" s="9" t="s">
        <v>8583</v>
      </c>
      <c r="S1742" s="9" t="s">
        <v>8595</v>
      </c>
      <c r="T1742" s="9"/>
      <c r="V1742" s="9"/>
      <c r="AC1742" s="9" t="s">
        <v>8677</v>
      </c>
      <c r="AD1742" s="9" t="s">
        <v>8678</v>
      </c>
      <c r="AH1742" s="9">
        <v>2383.23</v>
      </c>
      <c r="AI1742" s="9" t="s">
        <v>77</v>
      </c>
      <c r="AJ1742" s="9" t="s">
        <v>301</v>
      </c>
      <c r="AK1742" s="11" t="str">
        <f t="shared" si="12"/>
        <v>2023GBP</v>
      </c>
      <c r="AL1742" s="11">
        <f>VLOOKUP(AK1742, Exchange_rates!$C:$D, 2, FALSE)</f>
        <v>1</v>
      </c>
      <c r="AM1742" s="14">
        <f t="shared" si="13"/>
        <v>2859.8759999999997</v>
      </c>
      <c r="AN1742" s="9"/>
      <c r="AO1742" s="9"/>
      <c r="AP1742" s="9"/>
      <c r="AQ1742" s="15" t="s">
        <v>49</v>
      </c>
      <c r="AR1742" t="s">
        <v>2590</v>
      </c>
      <c r="AS1742" s="16" t="s">
        <v>2591</v>
      </c>
    </row>
    <row r="1743" spans="1:45" ht="14.5">
      <c r="A1743" s="9" t="s">
        <v>8679</v>
      </c>
      <c r="B1743" s="9" t="s">
        <v>8680</v>
      </c>
      <c r="C1743" s="9" t="s">
        <v>8681</v>
      </c>
      <c r="D1743" s="9" t="s">
        <v>2479</v>
      </c>
      <c r="E1743" s="9" t="s">
        <v>49</v>
      </c>
      <c r="F1743" s="9" t="s">
        <v>69</v>
      </c>
      <c r="G1743" s="9" t="s">
        <v>70</v>
      </c>
      <c r="H1743" s="9" t="s">
        <v>8594</v>
      </c>
      <c r="I1743" s="9" t="s">
        <v>238</v>
      </c>
      <c r="J1743" s="10"/>
      <c r="K1743" s="10"/>
      <c r="L1743" s="10"/>
      <c r="M1743" s="10">
        <v>44967</v>
      </c>
      <c r="N1743" s="9">
        <v>2023</v>
      </c>
      <c r="O1743" s="9" t="s">
        <v>8145</v>
      </c>
      <c r="P1743" s="9" t="s">
        <v>53</v>
      </c>
      <c r="Q1743" s="9" t="s">
        <v>53</v>
      </c>
      <c r="R1743" s="9" t="s">
        <v>8682</v>
      </c>
      <c r="S1743" s="9" t="s">
        <v>8595</v>
      </c>
      <c r="T1743" s="9"/>
      <c r="V1743" s="9"/>
      <c r="AC1743" s="9" t="s">
        <v>5925</v>
      </c>
      <c r="AD1743" s="9" t="s">
        <v>1774</v>
      </c>
      <c r="AH1743" s="9">
        <v>2383.23</v>
      </c>
      <c r="AI1743" s="9" t="s">
        <v>77</v>
      </c>
      <c r="AJ1743" s="9" t="s">
        <v>301</v>
      </c>
      <c r="AK1743" s="11" t="str">
        <f t="shared" si="12"/>
        <v>2023GBP</v>
      </c>
      <c r="AL1743" s="11">
        <f>VLOOKUP(AK1743, Exchange_rates!$C:$D, 2, FALSE)</f>
        <v>1</v>
      </c>
      <c r="AM1743" s="14">
        <f t="shared" si="13"/>
        <v>2859.8759999999997</v>
      </c>
      <c r="AN1743" s="9"/>
      <c r="AO1743" s="9"/>
      <c r="AP1743" s="9"/>
      <c r="AQ1743" s="15" t="s">
        <v>49</v>
      </c>
      <c r="AR1743" t="s">
        <v>8683</v>
      </c>
      <c r="AS1743" s="16" t="s">
        <v>8684</v>
      </c>
    </row>
    <row r="1744" spans="1:45" ht="14.5">
      <c r="A1744" s="9" t="s">
        <v>8685</v>
      </c>
      <c r="B1744" s="9" t="s">
        <v>8686</v>
      </c>
      <c r="C1744" s="9" t="s">
        <v>8576</v>
      </c>
      <c r="D1744" s="9" t="s">
        <v>2479</v>
      </c>
      <c r="E1744" s="9" t="s">
        <v>49</v>
      </c>
      <c r="F1744" s="9" t="s">
        <v>69</v>
      </c>
      <c r="G1744" s="9" t="s">
        <v>70</v>
      </c>
      <c r="H1744" s="9" t="s">
        <v>8594</v>
      </c>
      <c r="I1744" s="9" t="s">
        <v>72</v>
      </c>
      <c r="J1744" s="10"/>
      <c r="K1744" s="10"/>
      <c r="L1744" s="10"/>
      <c r="M1744" s="10">
        <v>45000</v>
      </c>
      <c r="N1744" s="9">
        <v>2023</v>
      </c>
      <c r="O1744" s="9" t="s">
        <v>8145</v>
      </c>
      <c r="P1744" s="9" t="s">
        <v>53</v>
      </c>
      <c r="Q1744" s="9" t="s">
        <v>53</v>
      </c>
      <c r="R1744" s="9" t="s">
        <v>8687</v>
      </c>
      <c r="S1744" s="9" t="s">
        <v>8595</v>
      </c>
      <c r="T1744" s="9"/>
      <c r="V1744" s="9"/>
      <c r="AC1744" s="9" t="s">
        <v>8688</v>
      </c>
      <c r="AD1744" s="9" t="s">
        <v>8689</v>
      </c>
      <c r="AH1744" s="9">
        <v>2566.5500000000002</v>
      </c>
      <c r="AI1744" s="9" t="s">
        <v>77</v>
      </c>
      <c r="AJ1744" s="9" t="s">
        <v>301</v>
      </c>
      <c r="AK1744" s="11" t="str">
        <f t="shared" si="12"/>
        <v>2023GBP</v>
      </c>
      <c r="AL1744" s="11">
        <f>VLOOKUP(AK1744, Exchange_rates!$C:$D, 2, FALSE)</f>
        <v>1</v>
      </c>
      <c r="AM1744" s="14">
        <f t="shared" si="13"/>
        <v>3079.86</v>
      </c>
      <c r="AN1744" s="9"/>
      <c r="AO1744" s="9"/>
      <c r="AP1744" s="9"/>
      <c r="AQ1744" s="15" t="s">
        <v>49</v>
      </c>
      <c r="AR1744" t="s">
        <v>8579</v>
      </c>
      <c r="AS1744" s="16" t="s">
        <v>8580</v>
      </c>
    </row>
    <row r="1745" spans="1:60" ht="14.5">
      <c r="A1745" s="9" t="s">
        <v>8690</v>
      </c>
      <c r="B1745" s="9" t="s">
        <v>8691</v>
      </c>
      <c r="C1745" s="9" t="s">
        <v>2693</v>
      </c>
      <c r="D1745" s="9" t="s">
        <v>2479</v>
      </c>
      <c r="E1745" s="9" t="s">
        <v>49</v>
      </c>
      <c r="F1745" s="9" t="s">
        <v>69</v>
      </c>
      <c r="G1745" s="9" t="s">
        <v>70</v>
      </c>
      <c r="H1745" s="9" t="s">
        <v>8594</v>
      </c>
      <c r="I1745" s="9" t="s">
        <v>72</v>
      </c>
      <c r="J1745" s="10"/>
      <c r="K1745" s="10"/>
      <c r="L1745" s="10"/>
      <c r="M1745" s="10">
        <v>45000</v>
      </c>
      <c r="N1745" s="9">
        <v>2023</v>
      </c>
      <c r="O1745" s="9" t="s">
        <v>8145</v>
      </c>
      <c r="P1745" s="9" t="s">
        <v>53</v>
      </c>
      <c r="Q1745" s="9" t="s">
        <v>53</v>
      </c>
      <c r="R1745" s="9" t="s">
        <v>307</v>
      </c>
      <c r="S1745" s="9" t="s">
        <v>8595</v>
      </c>
      <c r="T1745" s="9"/>
      <c r="V1745" s="9"/>
      <c r="AC1745" s="9" t="s">
        <v>8692</v>
      </c>
      <c r="AD1745" s="9" t="s">
        <v>8693</v>
      </c>
      <c r="AH1745" s="9">
        <v>2566.5500000000002</v>
      </c>
      <c r="AI1745" s="9" t="s">
        <v>77</v>
      </c>
      <c r="AJ1745" s="9" t="s">
        <v>301</v>
      </c>
      <c r="AK1745" s="11" t="str">
        <f t="shared" si="12"/>
        <v>2023GBP</v>
      </c>
      <c r="AL1745" s="11">
        <f>VLOOKUP(AK1745, Exchange_rates!$C:$D, 2, FALSE)</f>
        <v>1</v>
      </c>
      <c r="AM1745" s="14">
        <f t="shared" si="13"/>
        <v>3079.86</v>
      </c>
      <c r="AN1745" s="9"/>
      <c r="AO1745" s="9"/>
      <c r="AP1745" s="9"/>
      <c r="AQ1745" s="15" t="s">
        <v>49</v>
      </c>
      <c r="AR1745" t="s">
        <v>2694</v>
      </c>
      <c r="AS1745" s="16" t="s">
        <v>2695</v>
      </c>
    </row>
    <row r="1746" spans="1:60" ht="14.5">
      <c r="A1746" s="9" t="s">
        <v>8694</v>
      </c>
      <c r="B1746" s="9" t="s">
        <v>8695</v>
      </c>
      <c r="C1746" s="9" t="s">
        <v>2743</v>
      </c>
      <c r="D1746" s="9" t="s">
        <v>2479</v>
      </c>
      <c r="E1746" s="9" t="s">
        <v>49</v>
      </c>
      <c r="F1746" s="9" t="s">
        <v>69</v>
      </c>
      <c r="G1746" s="9" t="s">
        <v>70</v>
      </c>
      <c r="H1746" s="9" t="s">
        <v>8594</v>
      </c>
      <c r="I1746" s="9" t="s">
        <v>72</v>
      </c>
      <c r="J1746" s="10"/>
      <c r="K1746" s="10"/>
      <c r="L1746" s="10"/>
      <c r="M1746" s="10">
        <v>44994</v>
      </c>
      <c r="N1746" s="9">
        <v>2023</v>
      </c>
      <c r="O1746" s="9" t="s">
        <v>8145</v>
      </c>
      <c r="P1746" s="9" t="s">
        <v>53</v>
      </c>
      <c r="Q1746" s="9" t="s">
        <v>53</v>
      </c>
      <c r="R1746" s="9" t="s">
        <v>8696</v>
      </c>
      <c r="S1746" s="9" t="s">
        <v>8595</v>
      </c>
      <c r="T1746" s="9"/>
      <c r="V1746" s="9"/>
      <c r="AC1746" s="9" t="s">
        <v>8697</v>
      </c>
      <c r="AD1746" s="9" t="s">
        <v>8698</v>
      </c>
      <c r="AH1746" s="9">
        <v>2566.5500000000002</v>
      </c>
      <c r="AI1746" s="9" t="s">
        <v>77</v>
      </c>
      <c r="AJ1746" s="9" t="s">
        <v>301</v>
      </c>
      <c r="AK1746" s="11" t="str">
        <f t="shared" si="12"/>
        <v>2023GBP</v>
      </c>
      <c r="AL1746" s="11">
        <f>VLOOKUP(AK1746, Exchange_rates!$C:$D, 2, FALSE)</f>
        <v>1</v>
      </c>
      <c r="AM1746" s="14">
        <f t="shared" si="13"/>
        <v>3079.86</v>
      </c>
      <c r="AN1746" s="9"/>
      <c r="AO1746" s="9"/>
      <c r="AP1746" s="9"/>
      <c r="AQ1746" s="15" t="s">
        <v>49</v>
      </c>
      <c r="AR1746" t="s">
        <v>2744</v>
      </c>
      <c r="AS1746" s="16" t="s">
        <v>2745</v>
      </c>
    </row>
    <row r="1747" spans="1:60" ht="14.5">
      <c r="A1747" s="9" t="s">
        <v>8699</v>
      </c>
      <c r="B1747" s="9" t="s">
        <v>8700</v>
      </c>
      <c r="C1747" s="9" t="s">
        <v>8701</v>
      </c>
      <c r="D1747" s="9" t="s">
        <v>2479</v>
      </c>
      <c r="E1747" s="9" t="s">
        <v>49</v>
      </c>
      <c r="F1747" s="9" t="s">
        <v>69</v>
      </c>
      <c r="G1747" s="9" t="s">
        <v>70</v>
      </c>
      <c r="H1747" s="9" t="s">
        <v>8594</v>
      </c>
      <c r="I1747" s="9" t="s">
        <v>72</v>
      </c>
      <c r="J1747" s="10"/>
      <c r="K1747" s="10"/>
      <c r="L1747" s="10"/>
      <c r="M1747" s="10">
        <v>45013</v>
      </c>
      <c r="N1747" s="9">
        <v>2023</v>
      </c>
      <c r="O1747" s="9" t="s">
        <v>8145</v>
      </c>
      <c r="P1747" s="9" t="s">
        <v>53</v>
      </c>
      <c r="Q1747" s="9" t="s">
        <v>53</v>
      </c>
      <c r="S1747" s="9" t="s">
        <v>8595</v>
      </c>
      <c r="T1747" s="9"/>
      <c r="V1747" s="9"/>
      <c r="AC1747" s="9" t="s">
        <v>8702</v>
      </c>
      <c r="AD1747" s="9" t="s">
        <v>8703</v>
      </c>
      <c r="AH1747" s="9">
        <v>2566.5500000000002</v>
      </c>
      <c r="AI1747" s="9" t="s">
        <v>77</v>
      </c>
      <c r="AJ1747" s="9" t="s">
        <v>301</v>
      </c>
      <c r="AK1747" s="11" t="str">
        <f t="shared" si="12"/>
        <v>2023GBP</v>
      </c>
      <c r="AL1747" s="11">
        <f>VLOOKUP(AK1747, Exchange_rates!$C:$D, 2, FALSE)</f>
        <v>1</v>
      </c>
      <c r="AM1747" s="14">
        <f t="shared" si="13"/>
        <v>3079.86</v>
      </c>
      <c r="AN1747" s="9"/>
      <c r="AO1747" s="9"/>
      <c r="AP1747" s="9"/>
      <c r="AQ1747" s="15" t="s">
        <v>49</v>
      </c>
      <c r="AR1747" t="s">
        <v>8704</v>
      </c>
      <c r="AS1747" s="16" t="s">
        <v>8705</v>
      </c>
    </row>
    <row r="1748" spans="1:60" ht="14.5">
      <c r="A1748" s="9" t="s">
        <v>8706</v>
      </c>
      <c r="B1748" s="9" t="s">
        <v>8707</v>
      </c>
      <c r="C1748" s="9" t="s">
        <v>2734</v>
      </c>
      <c r="D1748" s="9" t="s">
        <v>2479</v>
      </c>
      <c r="E1748" s="9" t="s">
        <v>49</v>
      </c>
      <c r="F1748" s="9" t="s">
        <v>69</v>
      </c>
      <c r="G1748" s="9" t="s">
        <v>70</v>
      </c>
      <c r="H1748" s="9" t="s">
        <v>8594</v>
      </c>
      <c r="I1748" s="9" t="s">
        <v>72</v>
      </c>
      <c r="J1748" s="10"/>
      <c r="K1748" s="10"/>
      <c r="L1748" s="10"/>
      <c r="M1748" s="10">
        <v>45078</v>
      </c>
      <c r="N1748" s="9">
        <v>2023</v>
      </c>
      <c r="O1748" s="9" t="s">
        <v>8145</v>
      </c>
      <c r="P1748" s="9" t="s">
        <v>83</v>
      </c>
      <c r="Q1748" s="9" t="s">
        <v>53</v>
      </c>
      <c r="R1748" s="9" t="s">
        <v>4005</v>
      </c>
      <c r="S1748" s="9" t="s">
        <v>8595</v>
      </c>
      <c r="T1748" s="9"/>
      <c r="V1748" s="9"/>
      <c r="AC1748" s="9" t="s">
        <v>8708</v>
      </c>
      <c r="AD1748" s="9" t="s">
        <v>6880</v>
      </c>
      <c r="AH1748" s="9">
        <v>2383.23</v>
      </c>
      <c r="AI1748" s="9" t="s">
        <v>77</v>
      </c>
      <c r="AJ1748" s="9" t="s">
        <v>301</v>
      </c>
      <c r="AK1748" s="11" t="str">
        <f t="shared" si="12"/>
        <v>2023GBP</v>
      </c>
      <c r="AL1748" s="11">
        <f>VLOOKUP(AK1748, Exchange_rates!$C:$D, 2, FALSE)</f>
        <v>1</v>
      </c>
      <c r="AM1748" s="14">
        <f t="shared" si="13"/>
        <v>2859.8759999999997</v>
      </c>
      <c r="AN1748" s="9"/>
      <c r="AO1748" s="9"/>
      <c r="AP1748" s="9"/>
      <c r="AQ1748" s="15" t="s">
        <v>49</v>
      </c>
      <c r="AR1748" t="s">
        <v>2736</v>
      </c>
      <c r="AS1748" s="16" t="s">
        <v>2737</v>
      </c>
    </row>
    <row r="1749" spans="1:60" ht="14.5">
      <c r="A1749" s="9" t="s">
        <v>8709</v>
      </c>
      <c r="B1749" s="9" t="s">
        <v>8710</v>
      </c>
      <c r="C1749" s="9" t="s">
        <v>2568</v>
      </c>
      <c r="D1749" s="9" t="s">
        <v>2479</v>
      </c>
      <c r="E1749" s="9" t="s">
        <v>49</v>
      </c>
      <c r="F1749" s="9" t="s">
        <v>69</v>
      </c>
      <c r="G1749" s="9" t="s">
        <v>70</v>
      </c>
      <c r="H1749" s="9" t="s">
        <v>8594</v>
      </c>
      <c r="I1749" s="9" t="s">
        <v>72</v>
      </c>
      <c r="J1749" s="10"/>
      <c r="K1749" s="10"/>
      <c r="L1749" s="10"/>
      <c r="M1749" s="10">
        <v>45030</v>
      </c>
      <c r="N1749" s="9">
        <v>2023</v>
      </c>
      <c r="O1749" s="9" t="s">
        <v>8145</v>
      </c>
      <c r="P1749" s="9" t="s">
        <v>53</v>
      </c>
      <c r="Q1749" s="9" t="s">
        <v>53</v>
      </c>
      <c r="R1749" s="9" t="s">
        <v>8583</v>
      </c>
      <c r="S1749" s="9" t="s">
        <v>8595</v>
      </c>
      <c r="T1749" s="9"/>
      <c r="V1749" s="9"/>
      <c r="AC1749" s="9" t="s">
        <v>8711</v>
      </c>
      <c r="AD1749" s="9" t="s">
        <v>8712</v>
      </c>
      <c r="AH1749" s="9">
        <v>2199.9</v>
      </c>
      <c r="AI1749" s="9" t="s">
        <v>77</v>
      </c>
      <c r="AJ1749" s="9" t="s">
        <v>301</v>
      </c>
      <c r="AK1749" s="11" t="str">
        <f t="shared" si="12"/>
        <v>2023GBP</v>
      </c>
      <c r="AL1749" s="11">
        <f>VLOOKUP(AK1749, Exchange_rates!$C:$D, 2, FALSE)</f>
        <v>1</v>
      </c>
      <c r="AM1749" s="14">
        <f t="shared" si="13"/>
        <v>2639.88</v>
      </c>
      <c r="AN1749" s="9"/>
      <c r="AO1749" s="9"/>
      <c r="AP1749" s="9"/>
      <c r="AQ1749" s="15" t="s">
        <v>49</v>
      </c>
      <c r="AR1749" t="s">
        <v>2570</v>
      </c>
      <c r="AS1749" s="16" t="s">
        <v>2571</v>
      </c>
    </row>
    <row r="1750" spans="1:60" ht="14.5">
      <c r="A1750" s="9" t="s">
        <v>8713</v>
      </c>
      <c r="B1750" s="9" t="s">
        <v>8714</v>
      </c>
      <c r="C1750" s="9" t="s">
        <v>8715</v>
      </c>
      <c r="D1750" s="9" t="s">
        <v>2479</v>
      </c>
      <c r="E1750" s="9" t="s">
        <v>49</v>
      </c>
      <c r="F1750" s="9" t="s">
        <v>69</v>
      </c>
      <c r="G1750" s="9" t="s">
        <v>70</v>
      </c>
      <c r="H1750" s="9" t="s">
        <v>8594</v>
      </c>
      <c r="I1750" s="9" t="s">
        <v>72</v>
      </c>
      <c r="J1750" s="10"/>
      <c r="K1750" s="10"/>
      <c r="L1750" s="10"/>
      <c r="M1750" s="10">
        <v>45054</v>
      </c>
      <c r="N1750" s="9">
        <v>2023</v>
      </c>
      <c r="O1750" s="9" t="s">
        <v>8145</v>
      </c>
      <c r="P1750" s="9" t="s">
        <v>53</v>
      </c>
      <c r="Q1750" s="9" t="s">
        <v>83</v>
      </c>
      <c r="R1750" s="9" t="s">
        <v>8410</v>
      </c>
      <c r="S1750" s="9" t="s">
        <v>8595</v>
      </c>
      <c r="T1750" s="9"/>
      <c r="V1750" s="9"/>
      <c r="AC1750" s="9" t="s">
        <v>8716</v>
      </c>
      <c r="AD1750" s="9" t="s">
        <v>8717</v>
      </c>
      <c r="AH1750" s="9">
        <v>2383.23</v>
      </c>
      <c r="AI1750" s="9" t="s">
        <v>77</v>
      </c>
      <c r="AJ1750" s="9" t="s">
        <v>301</v>
      </c>
      <c r="AK1750" s="11" t="str">
        <f t="shared" si="12"/>
        <v>2023GBP</v>
      </c>
      <c r="AL1750" s="11">
        <f>VLOOKUP(AK1750, Exchange_rates!$C:$D, 2, FALSE)</f>
        <v>1</v>
      </c>
      <c r="AM1750" s="14">
        <f t="shared" si="13"/>
        <v>2859.8759999999997</v>
      </c>
      <c r="AN1750" s="9"/>
      <c r="AO1750" s="9"/>
      <c r="AP1750" s="9"/>
      <c r="AQ1750" s="15" t="s">
        <v>49</v>
      </c>
      <c r="AR1750" t="s">
        <v>8718</v>
      </c>
      <c r="AS1750" s="16" t="s">
        <v>8719</v>
      </c>
    </row>
    <row r="1751" spans="1:60" ht="14.5">
      <c r="A1751" s="9" t="s">
        <v>8720</v>
      </c>
      <c r="B1751" s="9" t="s">
        <v>8721</v>
      </c>
      <c r="C1751" s="9" t="s">
        <v>8722</v>
      </c>
      <c r="D1751" s="9" t="s">
        <v>2479</v>
      </c>
      <c r="E1751" s="9" t="s">
        <v>49</v>
      </c>
      <c r="F1751" s="9" t="s">
        <v>50</v>
      </c>
      <c r="G1751" s="9" t="s">
        <v>51</v>
      </c>
      <c r="H1751" s="9"/>
      <c r="I1751" s="9"/>
      <c r="J1751" s="10"/>
      <c r="K1751" s="10"/>
      <c r="L1751" s="10"/>
      <c r="M1751" s="10">
        <v>45076</v>
      </c>
      <c r="N1751" s="9">
        <v>2023</v>
      </c>
      <c r="O1751" s="9" t="s">
        <v>8145</v>
      </c>
      <c r="P1751" s="9" t="s">
        <v>53</v>
      </c>
      <c r="Q1751" s="9" t="s">
        <v>53</v>
      </c>
      <c r="R1751" s="9" t="s">
        <v>2492</v>
      </c>
      <c r="T1751" s="9" t="s">
        <v>5541</v>
      </c>
      <c r="V1751" s="9"/>
      <c r="AC1751" s="9" t="s">
        <v>8723</v>
      </c>
      <c r="AD1751" s="9" t="s">
        <v>8724</v>
      </c>
      <c r="AH1751" s="9">
        <v>2383.23</v>
      </c>
      <c r="AI1751" s="9" t="s">
        <v>77</v>
      </c>
      <c r="AJ1751" s="9" t="s">
        <v>301</v>
      </c>
      <c r="AK1751" s="11" t="str">
        <f t="shared" si="12"/>
        <v>2023GBP</v>
      </c>
      <c r="AL1751" s="11">
        <f>VLOOKUP(AK1751, Exchange_rates!$C:$D, 2, FALSE)</f>
        <v>1</v>
      </c>
      <c r="AM1751" s="14">
        <f t="shared" si="13"/>
        <v>2859.8759999999997</v>
      </c>
      <c r="AN1751" s="9"/>
      <c r="AO1751" s="9"/>
      <c r="AP1751" s="9"/>
      <c r="AQ1751" s="15" t="s">
        <v>49</v>
      </c>
      <c r="AR1751" t="s">
        <v>8725</v>
      </c>
      <c r="AS1751" s="16" t="s">
        <v>8726</v>
      </c>
    </row>
    <row r="1752" spans="1:60" ht="14.5">
      <c r="A1752" s="9" t="s">
        <v>8727</v>
      </c>
      <c r="B1752" s="9" t="s">
        <v>8728</v>
      </c>
      <c r="C1752" s="9" t="s">
        <v>8729</v>
      </c>
      <c r="D1752" s="9" t="s">
        <v>2479</v>
      </c>
      <c r="E1752" s="9" t="s">
        <v>49</v>
      </c>
      <c r="F1752" s="9" t="s">
        <v>50</v>
      </c>
      <c r="G1752" s="9" t="s">
        <v>51</v>
      </c>
      <c r="H1752" s="9"/>
      <c r="I1752" s="9"/>
      <c r="J1752" s="10"/>
      <c r="K1752" s="10"/>
      <c r="L1752" s="10"/>
      <c r="M1752" s="10">
        <v>45057</v>
      </c>
      <c r="N1752" s="9">
        <v>2023</v>
      </c>
      <c r="O1752" s="9" t="s">
        <v>8145</v>
      </c>
      <c r="P1752" s="9" t="s">
        <v>53</v>
      </c>
      <c r="Q1752" s="9" t="s">
        <v>53</v>
      </c>
      <c r="R1752" s="9" t="s">
        <v>8730</v>
      </c>
      <c r="T1752" s="9" t="s">
        <v>5541</v>
      </c>
      <c r="V1752" s="9"/>
      <c r="AC1752" s="9" t="s">
        <v>8731</v>
      </c>
      <c r="AD1752" s="9" t="s">
        <v>8732</v>
      </c>
      <c r="AH1752" s="9">
        <v>2383.23</v>
      </c>
      <c r="AI1752" s="9" t="s">
        <v>77</v>
      </c>
      <c r="AJ1752" s="9" t="s">
        <v>301</v>
      </c>
      <c r="AK1752" s="11" t="str">
        <f t="shared" si="12"/>
        <v>2023GBP</v>
      </c>
      <c r="AL1752" s="11">
        <f>VLOOKUP(AK1752, Exchange_rates!$C:$D, 2, FALSE)</f>
        <v>1</v>
      </c>
      <c r="AM1752" s="14">
        <f t="shared" si="13"/>
        <v>2859.8759999999997</v>
      </c>
      <c r="AN1752" s="9"/>
      <c r="AO1752" s="9"/>
      <c r="AP1752" s="9"/>
      <c r="AQ1752" s="15" t="s">
        <v>49</v>
      </c>
      <c r="AR1752" t="s">
        <v>8733</v>
      </c>
      <c r="AS1752" s="16" t="s">
        <v>8734</v>
      </c>
    </row>
    <row r="1753" spans="1:60" ht="14.5">
      <c r="A1753" s="9" t="s">
        <v>8735</v>
      </c>
      <c r="B1753" s="9" t="s">
        <v>8736</v>
      </c>
      <c r="C1753" s="9" t="s">
        <v>1911</v>
      </c>
      <c r="D1753" s="9" t="s">
        <v>1895</v>
      </c>
      <c r="E1753" s="17" t="s">
        <v>49</v>
      </c>
      <c r="F1753" s="9" t="s">
        <v>69</v>
      </c>
      <c r="G1753" s="9" t="s">
        <v>51</v>
      </c>
      <c r="H1753" s="9"/>
      <c r="I1753" s="9" t="s">
        <v>72</v>
      </c>
      <c r="J1753" s="10"/>
      <c r="K1753" s="10"/>
      <c r="L1753" s="10"/>
      <c r="M1753" s="10">
        <v>44166</v>
      </c>
      <c r="N1753" s="9">
        <v>2020</v>
      </c>
      <c r="O1753" s="9" t="s">
        <v>8737</v>
      </c>
      <c r="P1753" s="9" t="s">
        <v>53</v>
      </c>
      <c r="Q1753" s="9" t="s">
        <v>53</v>
      </c>
      <c r="T1753" s="9" t="s">
        <v>1912</v>
      </c>
      <c r="U1753" s="9" t="s">
        <v>1913</v>
      </c>
      <c r="V1753" s="9"/>
      <c r="AC1753" s="9" t="s">
        <v>1942</v>
      </c>
      <c r="AD1753" s="9" t="s">
        <v>1943</v>
      </c>
      <c r="AI1753" s="9"/>
      <c r="AJ1753" s="9"/>
      <c r="AK1753" s="11" t="str">
        <f t="shared" si="12"/>
        <v>2020</v>
      </c>
      <c r="AL1753" s="11" t="e">
        <f>VLOOKUP(AK1753, Exchange_rates!$C:$D, 2, FALSE)</f>
        <v>#N/A</v>
      </c>
      <c r="AM1753" s="14" t="str">
        <f t="shared" si="13"/>
        <v/>
      </c>
      <c r="AN1753" s="9"/>
      <c r="AO1753" s="9"/>
      <c r="AP1753" s="17"/>
      <c r="AQ1753" s="15" t="s">
        <v>125</v>
      </c>
      <c r="AR1753" t="s">
        <v>1914</v>
      </c>
      <c r="AS1753" s="16"/>
    </row>
    <row r="1754" spans="1:60" ht="14.5">
      <c r="A1754" s="9" t="s">
        <v>8738</v>
      </c>
      <c r="B1754" s="9" t="s">
        <v>8739</v>
      </c>
      <c r="C1754" s="9" t="s">
        <v>1911</v>
      </c>
      <c r="D1754" s="9" t="s">
        <v>1895</v>
      </c>
      <c r="E1754" s="17" t="s">
        <v>49</v>
      </c>
      <c r="F1754" s="9" t="s">
        <v>69</v>
      </c>
      <c r="G1754" s="9" t="s">
        <v>51</v>
      </c>
      <c r="H1754" s="9"/>
      <c r="I1754" s="9" t="s">
        <v>72</v>
      </c>
      <c r="J1754" s="10"/>
      <c r="K1754" s="10"/>
      <c r="L1754" s="10"/>
      <c r="M1754" s="10">
        <v>44197</v>
      </c>
      <c r="N1754" s="9">
        <v>2021</v>
      </c>
      <c r="O1754" s="9" t="s">
        <v>8737</v>
      </c>
      <c r="P1754" s="9" t="s">
        <v>53</v>
      </c>
      <c r="Q1754" s="9" t="s">
        <v>53</v>
      </c>
      <c r="T1754" s="9" t="s">
        <v>1912</v>
      </c>
      <c r="U1754" s="9" t="s">
        <v>1913</v>
      </c>
      <c r="V1754" s="9"/>
      <c r="AC1754" s="9" t="s">
        <v>1942</v>
      </c>
      <c r="AD1754" s="9" t="s">
        <v>1943</v>
      </c>
      <c r="AI1754" s="9"/>
      <c r="AJ1754" s="9"/>
      <c r="AK1754" s="11" t="str">
        <f t="shared" si="12"/>
        <v>2021</v>
      </c>
      <c r="AL1754" s="11" t="e">
        <f>VLOOKUP(AK1754, Exchange_rates!$C:$D, 2, FALSE)</f>
        <v>#N/A</v>
      </c>
      <c r="AM1754" s="14" t="str">
        <f t="shared" si="13"/>
        <v/>
      </c>
      <c r="AN1754" s="9"/>
      <c r="AO1754" s="9"/>
      <c r="AP1754" s="17"/>
      <c r="AQ1754" s="15" t="s">
        <v>125</v>
      </c>
      <c r="AR1754" t="s">
        <v>1914</v>
      </c>
      <c r="AS1754" s="16"/>
    </row>
    <row r="1755" spans="1:60" ht="14.5">
      <c r="A1755" s="9" t="s">
        <v>8740</v>
      </c>
      <c r="B1755" s="9" t="s">
        <v>8741</v>
      </c>
      <c r="C1755" s="9" t="s">
        <v>1911</v>
      </c>
      <c r="D1755" s="9" t="s">
        <v>1895</v>
      </c>
      <c r="E1755" s="17" t="s">
        <v>49</v>
      </c>
      <c r="F1755" s="9" t="s">
        <v>69</v>
      </c>
      <c r="G1755" s="9" t="s">
        <v>51</v>
      </c>
      <c r="H1755" s="9"/>
      <c r="I1755" s="9" t="s">
        <v>72</v>
      </c>
      <c r="J1755" s="10"/>
      <c r="K1755" s="10"/>
      <c r="L1755" s="10"/>
      <c r="M1755" s="10">
        <v>44228</v>
      </c>
      <c r="N1755" s="9">
        <v>2021</v>
      </c>
      <c r="O1755" s="9" t="s">
        <v>8737</v>
      </c>
      <c r="P1755" s="9" t="s">
        <v>53</v>
      </c>
      <c r="Q1755" s="9" t="s">
        <v>53</v>
      </c>
      <c r="T1755" s="9" t="s">
        <v>1912</v>
      </c>
      <c r="U1755" s="9" t="s">
        <v>1913</v>
      </c>
      <c r="V1755" s="9"/>
      <c r="AC1755" s="9" t="s">
        <v>1942</v>
      </c>
      <c r="AD1755" s="9" t="s">
        <v>1943</v>
      </c>
      <c r="AI1755" s="9"/>
      <c r="AJ1755" s="9"/>
      <c r="AK1755" s="11" t="str">
        <f t="shared" si="12"/>
        <v>2021</v>
      </c>
      <c r="AL1755" s="11" t="e">
        <f>VLOOKUP(AK1755, Exchange_rates!$C:$D, 2, FALSE)</f>
        <v>#N/A</v>
      </c>
      <c r="AM1755" s="14" t="str">
        <f t="shared" si="13"/>
        <v/>
      </c>
      <c r="AN1755" s="9"/>
      <c r="AO1755" s="9"/>
      <c r="AP1755" s="17"/>
      <c r="AQ1755" s="15" t="s">
        <v>125</v>
      </c>
      <c r="AR1755" t="s">
        <v>1914</v>
      </c>
      <c r="AS1755" s="16"/>
    </row>
    <row r="1756" spans="1:60" ht="15" customHeight="1">
      <c r="A1756" s="9" t="s">
        <v>8742</v>
      </c>
      <c r="B1756" s="9" t="s">
        <v>8743</v>
      </c>
      <c r="C1756" s="9" t="s">
        <v>1911</v>
      </c>
      <c r="D1756" s="9" t="s">
        <v>1895</v>
      </c>
      <c r="E1756" s="17" t="s">
        <v>49</v>
      </c>
      <c r="F1756" s="9" t="s">
        <v>69</v>
      </c>
      <c r="G1756" s="9" t="s">
        <v>51</v>
      </c>
      <c r="H1756" s="9"/>
      <c r="I1756" s="9" t="s">
        <v>72</v>
      </c>
      <c r="J1756" s="10"/>
      <c r="K1756" s="10"/>
      <c r="L1756" s="10"/>
      <c r="M1756" s="10">
        <v>44256</v>
      </c>
      <c r="N1756" s="9">
        <v>2021</v>
      </c>
      <c r="O1756" s="9" t="s">
        <v>8737</v>
      </c>
      <c r="P1756" s="9" t="s">
        <v>53</v>
      </c>
      <c r="Q1756" s="9" t="s">
        <v>53</v>
      </c>
      <c r="T1756" s="9" t="s">
        <v>1912</v>
      </c>
      <c r="U1756" s="9" t="s">
        <v>1913</v>
      </c>
      <c r="V1756" s="9"/>
      <c r="AC1756" s="9" t="s">
        <v>1942</v>
      </c>
      <c r="AD1756" s="9" t="s">
        <v>1943</v>
      </c>
      <c r="AI1756" s="9"/>
      <c r="AJ1756" s="9"/>
      <c r="AK1756" s="11" t="str">
        <f t="shared" si="12"/>
        <v>2021</v>
      </c>
      <c r="AL1756" s="11" t="e">
        <f>VLOOKUP(AK1756, Exchange_rates!$C:$D, 2, FALSE)</f>
        <v>#N/A</v>
      </c>
      <c r="AM1756" s="14" t="str">
        <f t="shared" si="13"/>
        <v/>
      </c>
      <c r="AN1756" s="9"/>
      <c r="AO1756" s="9"/>
      <c r="AP1756" s="17"/>
      <c r="AQ1756" s="15" t="s">
        <v>125</v>
      </c>
      <c r="AR1756" t="s">
        <v>1914</v>
      </c>
      <c r="AS1756" s="16"/>
    </row>
    <row r="1757" spans="1:60" ht="14.5">
      <c r="A1757" s="9" t="s">
        <v>8744</v>
      </c>
      <c r="B1757" s="9" t="s">
        <v>8745</v>
      </c>
      <c r="C1757" s="9" t="s">
        <v>1911</v>
      </c>
      <c r="D1757" s="9" t="s">
        <v>1895</v>
      </c>
      <c r="E1757" s="17" t="s">
        <v>49</v>
      </c>
      <c r="F1757" s="9" t="s">
        <v>69</v>
      </c>
      <c r="G1757" s="9" t="s">
        <v>51</v>
      </c>
      <c r="H1757" s="9"/>
      <c r="I1757" s="9" t="s">
        <v>72</v>
      </c>
      <c r="J1757" s="10"/>
      <c r="K1757" s="10"/>
      <c r="L1757" s="10"/>
      <c r="M1757" s="10">
        <v>44355</v>
      </c>
      <c r="N1757" s="9">
        <v>2021</v>
      </c>
      <c r="O1757" s="9" t="s">
        <v>8737</v>
      </c>
      <c r="P1757" s="9" t="s">
        <v>53</v>
      </c>
      <c r="Q1757" s="9" t="s">
        <v>53</v>
      </c>
      <c r="T1757" s="9" t="s">
        <v>1912</v>
      </c>
      <c r="U1757" s="9" t="s">
        <v>1913</v>
      </c>
      <c r="V1757" s="9"/>
      <c r="AC1757" s="9" t="s">
        <v>1942</v>
      </c>
      <c r="AD1757" s="9" t="s">
        <v>1943</v>
      </c>
      <c r="AI1757" s="9"/>
      <c r="AJ1757" s="9"/>
      <c r="AK1757" s="11" t="str">
        <f t="shared" si="12"/>
        <v>2021</v>
      </c>
      <c r="AL1757" s="11" t="e">
        <f>VLOOKUP(AK1757, Exchange_rates!$C:$D, 2, FALSE)</f>
        <v>#N/A</v>
      </c>
      <c r="AM1757" s="14" t="str">
        <f t="shared" si="13"/>
        <v/>
      </c>
      <c r="AN1757" s="9"/>
      <c r="AO1757" s="9"/>
      <c r="AP1757" s="17"/>
      <c r="AQ1757" s="15" t="s">
        <v>125</v>
      </c>
      <c r="AR1757" t="s">
        <v>1914</v>
      </c>
      <c r="AS1757" s="16"/>
    </row>
    <row r="1758" spans="1:60" ht="14.5">
      <c r="A1758" s="9" t="s">
        <v>8746</v>
      </c>
      <c r="B1758" s="9" t="s">
        <v>8747</v>
      </c>
      <c r="C1758" s="9" t="s">
        <v>1911</v>
      </c>
      <c r="D1758" s="9" t="s">
        <v>1895</v>
      </c>
      <c r="E1758" s="17" t="s">
        <v>49</v>
      </c>
      <c r="F1758" s="9" t="s">
        <v>69</v>
      </c>
      <c r="G1758" s="9" t="s">
        <v>51</v>
      </c>
      <c r="H1758" s="9"/>
      <c r="I1758" s="9" t="s">
        <v>72</v>
      </c>
      <c r="J1758" s="10"/>
      <c r="K1758" s="10"/>
      <c r="L1758" s="10"/>
      <c r="M1758" s="10">
        <v>44320</v>
      </c>
      <c r="N1758" s="9">
        <v>2021</v>
      </c>
      <c r="O1758" s="9" t="s">
        <v>8737</v>
      </c>
      <c r="P1758" s="9" t="s">
        <v>53</v>
      </c>
      <c r="Q1758" s="9" t="s">
        <v>53</v>
      </c>
      <c r="T1758" s="9" t="s">
        <v>1912</v>
      </c>
      <c r="U1758" s="9" t="s">
        <v>1913</v>
      </c>
      <c r="V1758" s="9"/>
      <c r="AC1758" s="9" t="s">
        <v>1942</v>
      </c>
      <c r="AD1758" s="9" t="s">
        <v>1943</v>
      </c>
      <c r="AI1758" s="9"/>
      <c r="AJ1758" s="9"/>
      <c r="AK1758" s="11" t="str">
        <f t="shared" si="12"/>
        <v>2021</v>
      </c>
      <c r="AL1758" s="11" t="e">
        <f>VLOOKUP(AK1758, Exchange_rates!$C:$D, 2, FALSE)</f>
        <v>#N/A</v>
      </c>
      <c r="AM1758" s="14" t="str">
        <f t="shared" si="13"/>
        <v/>
      </c>
      <c r="AN1758" s="9"/>
      <c r="AO1758" s="9"/>
      <c r="AP1758" s="17"/>
      <c r="AQ1758" s="15" t="s">
        <v>125</v>
      </c>
      <c r="AR1758" t="s">
        <v>1914</v>
      </c>
      <c r="AS1758" s="16"/>
    </row>
    <row r="1759" spans="1:60" ht="14.5">
      <c r="A1759" s="9" t="s">
        <v>8748</v>
      </c>
      <c r="B1759" s="9" t="s">
        <v>8749</v>
      </c>
      <c r="C1759" s="9" t="s">
        <v>1911</v>
      </c>
      <c r="D1759" s="9" t="s">
        <v>1895</v>
      </c>
      <c r="E1759" s="17" t="s">
        <v>49</v>
      </c>
      <c r="F1759" s="9" t="s">
        <v>69</v>
      </c>
      <c r="G1759" s="9" t="s">
        <v>51</v>
      </c>
      <c r="H1759" s="9"/>
      <c r="I1759" s="9" t="s">
        <v>72</v>
      </c>
      <c r="J1759" s="10"/>
      <c r="K1759" s="10"/>
      <c r="L1759" s="10"/>
      <c r="M1759" s="10">
        <v>44425</v>
      </c>
      <c r="N1759" s="9">
        <v>2021</v>
      </c>
      <c r="O1759" s="9" t="s">
        <v>8737</v>
      </c>
      <c r="P1759" s="9" t="s">
        <v>53</v>
      </c>
      <c r="Q1759" s="9" t="s">
        <v>53</v>
      </c>
      <c r="T1759" s="9" t="s">
        <v>1912</v>
      </c>
      <c r="U1759" s="9" t="s">
        <v>1913</v>
      </c>
      <c r="V1759" s="9"/>
      <c r="AC1759" s="9" t="s">
        <v>1942</v>
      </c>
      <c r="AD1759" s="9" t="s">
        <v>1943</v>
      </c>
      <c r="AI1759" s="9"/>
      <c r="AJ1759" s="9"/>
      <c r="AK1759" s="11" t="str">
        <f t="shared" si="12"/>
        <v>2021</v>
      </c>
      <c r="AL1759" s="11" t="e">
        <f>VLOOKUP(AK1759, Exchange_rates!$C:$D, 2, FALSE)</f>
        <v>#N/A</v>
      </c>
      <c r="AM1759" s="14" t="str">
        <f t="shared" si="13"/>
        <v/>
      </c>
      <c r="AN1759" s="9"/>
      <c r="AO1759" s="9"/>
      <c r="AP1759" s="17"/>
      <c r="AQ1759" s="15" t="s">
        <v>125</v>
      </c>
      <c r="AR1759" t="s">
        <v>1914</v>
      </c>
      <c r="AS1759" s="16"/>
    </row>
    <row r="1760" spans="1:60" ht="14.5">
      <c r="A1760" s="20" t="s">
        <v>8750</v>
      </c>
      <c r="B1760" s="20" t="s">
        <v>8751</v>
      </c>
      <c r="C1760" s="20" t="s">
        <v>1911</v>
      </c>
      <c r="D1760" s="20" t="s">
        <v>1895</v>
      </c>
      <c r="E1760" s="21" t="s">
        <v>49</v>
      </c>
      <c r="F1760" s="20" t="s">
        <v>69</v>
      </c>
      <c r="G1760" s="20" t="s">
        <v>51</v>
      </c>
      <c r="H1760" s="20"/>
      <c r="I1760" s="20" t="s">
        <v>72</v>
      </c>
      <c r="J1760" s="22"/>
      <c r="K1760" s="22"/>
      <c r="L1760" s="22"/>
      <c r="M1760" s="22">
        <v>44393</v>
      </c>
      <c r="N1760" s="20">
        <v>2021</v>
      </c>
      <c r="O1760" s="20" t="s">
        <v>8737</v>
      </c>
      <c r="P1760" s="20" t="s">
        <v>53</v>
      </c>
      <c r="Q1760" s="20" t="s">
        <v>53</v>
      </c>
      <c r="R1760" s="20"/>
      <c r="T1760" s="20" t="s">
        <v>1912</v>
      </c>
      <c r="U1760" s="20" t="s">
        <v>1913</v>
      </c>
      <c r="V1760" s="20"/>
      <c r="W1760" s="20"/>
      <c r="X1760" s="20"/>
      <c r="Y1760" s="20"/>
      <c r="Z1760" s="20"/>
      <c r="AA1760" s="20"/>
      <c r="AB1760" s="20"/>
      <c r="AC1760" s="20" t="s">
        <v>1942</v>
      </c>
      <c r="AD1760" s="20" t="s">
        <v>1943</v>
      </c>
      <c r="AE1760" s="20"/>
      <c r="AF1760" s="20"/>
      <c r="AG1760" s="20"/>
      <c r="AH1760" s="20"/>
      <c r="AI1760" s="20"/>
      <c r="AJ1760" s="20"/>
      <c r="AK1760" s="23" t="str">
        <f t="shared" si="12"/>
        <v>2021</v>
      </c>
      <c r="AL1760" s="23" t="e">
        <f>VLOOKUP(AK1760, Exchange_rates!$C:$D, 2, FALSE)</f>
        <v>#N/A</v>
      </c>
      <c r="AM1760" s="26" t="str">
        <f t="shared" si="13"/>
        <v/>
      </c>
      <c r="AN1760" s="20"/>
      <c r="AO1760" s="20"/>
      <c r="AP1760" s="17"/>
      <c r="AQ1760" s="15" t="s">
        <v>125</v>
      </c>
      <c r="AR1760" t="s">
        <v>1914</v>
      </c>
      <c r="AS1760" s="16"/>
      <c r="AT1760" s="20"/>
      <c r="AU1760" s="20"/>
      <c r="AV1760" s="20"/>
      <c r="AW1760" s="20"/>
      <c r="AX1760" s="20"/>
      <c r="AY1760" s="20"/>
      <c r="AZ1760" s="20"/>
      <c r="BA1760" s="20"/>
      <c r="BB1760" s="20"/>
      <c r="BC1760" s="20"/>
      <c r="BD1760" s="20"/>
      <c r="BE1760" s="20"/>
      <c r="BF1760" s="20"/>
      <c r="BG1760" s="20"/>
      <c r="BH1760" s="20"/>
    </row>
    <row r="1761" spans="1:60" ht="14.5">
      <c r="A1761" s="9" t="s">
        <v>8752</v>
      </c>
      <c r="B1761" s="9" t="s">
        <v>8753</v>
      </c>
      <c r="C1761" s="9" t="s">
        <v>8754</v>
      </c>
      <c r="D1761" s="9" t="s">
        <v>2830</v>
      </c>
      <c r="E1761" s="9" t="s">
        <v>49</v>
      </c>
      <c r="F1761" s="9" t="s">
        <v>50</v>
      </c>
      <c r="G1761" s="9" t="s">
        <v>51</v>
      </c>
      <c r="H1761" s="9"/>
      <c r="I1761" s="9"/>
      <c r="J1761" s="10"/>
      <c r="K1761" s="10"/>
      <c r="L1761" s="10"/>
      <c r="M1761" s="10"/>
      <c r="N1761" s="9"/>
      <c r="O1761" s="9" t="s">
        <v>8755</v>
      </c>
      <c r="P1761" s="9" t="s">
        <v>53</v>
      </c>
      <c r="Q1761" s="9" t="s">
        <v>53</v>
      </c>
      <c r="S1761" s="9" t="s">
        <v>8756</v>
      </c>
      <c r="T1761" s="9" t="s">
        <v>55</v>
      </c>
      <c r="V1761" s="9"/>
      <c r="AC1761" s="9" t="s">
        <v>8757</v>
      </c>
      <c r="AI1761" s="9"/>
      <c r="AJ1761" s="9" t="s">
        <v>1823</v>
      </c>
      <c r="AK1761" s="11" t="str">
        <f t="shared" si="12"/>
        <v>EUR</v>
      </c>
      <c r="AL1761" s="11" t="e">
        <f>VLOOKUP(AK1761, Exchange_rates!$C:$D, 2, FALSE)</f>
        <v>#N/A</v>
      </c>
      <c r="AM1761" s="14" t="str">
        <f t="shared" si="13"/>
        <v/>
      </c>
      <c r="AN1761" s="9"/>
      <c r="AO1761" s="9"/>
      <c r="AP1761" s="9"/>
      <c r="AQ1761" s="15" t="s">
        <v>49</v>
      </c>
      <c r="AR1761" t="s">
        <v>8758</v>
      </c>
      <c r="AS1761" s="16"/>
    </row>
    <row r="1762" spans="1:60" ht="14.5">
      <c r="A1762" s="20" t="s">
        <v>8759</v>
      </c>
      <c r="B1762" s="20" t="s">
        <v>8760</v>
      </c>
      <c r="C1762" s="20" t="s">
        <v>3402</v>
      </c>
      <c r="D1762" s="20" t="s">
        <v>2830</v>
      </c>
      <c r="E1762" s="20" t="s">
        <v>49</v>
      </c>
      <c r="F1762" s="20" t="s">
        <v>50</v>
      </c>
      <c r="G1762" s="20" t="s">
        <v>51</v>
      </c>
      <c r="H1762" s="20"/>
      <c r="I1762" s="20"/>
      <c r="J1762" s="22"/>
      <c r="K1762" s="22"/>
      <c r="L1762" s="22"/>
      <c r="M1762" s="22"/>
      <c r="N1762" s="20"/>
      <c r="O1762" s="20" t="s">
        <v>8755</v>
      </c>
      <c r="P1762" s="9" t="s">
        <v>53</v>
      </c>
      <c r="Q1762" s="9" t="s">
        <v>53</v>
      </c>
      <c r="R1762" s="20"/>
      <c r="S1762" s="20" t="s">
        <v>8761</v>
      </c>
      <c r="T1762" s="20" t="s">
        <v>55</v>
      </c>
      <c r="V1762" s="20"/>
      <c r="W1762" s="20"/>
      <c r="X1762" s="20"/>
      <c r="Y1762" s="20"/>
      <c r="Z1762" s="20"/>
      <c r="AA1762" s="20"/>
      <c r="AB1762" s="20"/>
      <c r="AC1762" s="20" t="s">
        <v>8762</v>
      </c>
      <c r="AD1762" s="20"/>
      <c r="AE1762" s="41" t="s">
        <v>8763</v>
      </c>
      <c r="AF1762" s="20"/>
      <c r="AG1762" s="20"/>
      <c r="AH1762" s="20"/>
      <c r="AI1762" s="9"/>
      <c r="AJ1762" s="9"/>
      <c r="AK1762" s="11" t="str">
        <f t="shared" si="12"/>
        <v/>
      </c>
      <c r="AL1762" s="11" t="e">
        <f>VLOOKUP(AK1762, Exchange_rates!$C:$D, 2, FALSE)</f>
        <v>#N/A</v>
      </c>
      <c r="AM1762" s="14" t="str">
        <f t="shared" si="13"/>
        <v/>
      </c>
      <c r="AN1762" s="20"/>
      <c r="AO1762" s="20"/>
      <c r="AP1762" s="20"/>
      <c r="AQ1762" s="27" t="s">
        <v>49</v>
      </c>
      <c r="AR1762" t="s">
        <v>3403</v>
      </c>
      <c r="AS1762" s="16"/>
      <c r="AT1762" s="20"/>
      <c r="AU1762" s="20"/>
      <c r="AV1762" s="20"/>
      <c r="AW1762" s="20"/>
      <c r="AX1762" s="20"/>
      <c r="AY1762" s="20"/>
      <c r="AZ1762" s="20"/>
      <c r="BA1762" s="20"/>
      <c r="BB1762" s="20"/>
      <c r="BC1762" s="20"/>
      <c r="BD1762" s="20"/>
      <c r="BE1762" s="20"/>
      <c r="BF1762" s="20"/>
      <c r="BG1762" s="20"/>
      <c r="BH1762" s="20"/>
    </row>
    <row r="1763" spans="1:60" ht="14.5">
      <c r="A1763" s="9" t="s">
        <v>8764</v>
      </c>
      <c r="B1763" s="9" t="s">
        <v>8765</v>
      </c>
      <c r="C1763" s="9" t="s">
        <v>8766</v>
      </c>
      <c r="D1763" s="9" t="s">
        <v>8767</v>
      </c>
      <c r="E1763" s="9" t="s">
        <v>49</v>
      </c>
      <c r="F1763" s="9" t="s">
        <v>69</v>
      </c>
      <c r="G1763" s="9" t="s">
        <v>70</v>
      </c>
      <c r="H1763" s="9" t="s">
        <v>8768</v>
      </c>
      <c r="I1763" s="9" t="s">
        <v>72</v>
      </c>
      <c r="J1763" s="10"/>
      <c r="K1763" s="10">
        <v>44796</v>
      </c>
      <c r="L1763" s="10"/>
      <c r="M1763" s="10">
        <v>44824</v>
      </c>
      <c r="N1763" s="9">
        <v>2022</v>
      </c>
      <c r="O1763" s="9" t="s">
        <v>8769</v>
      </c>
      <c r="P1763" s="9" t="s">
        <v>53</v>
      </c>
      <c r="Q1763" s="9" t="s">
        <v>83</v>
      </c>
      <c r="R1763" s="9" t="s">
        <v>8770</v>
      </c>
      <c r="T1763" s="9"/>
      <c r="V1763" s="9"/>
      <c r="AC1763" s="9" t="s">
        <v>5642</v>
      </c>
      <c r="AD1763" s="9" t="s">
        <v>5643</v>
      </c>
      <c r="AE1763" s="9" t="s">
        <v>5644</v>
      </c>
      <c r="AH1763" s="9">
        <v>5300</v>
      </c>
      <c r="AI1763" s="9" t="s">
        <v>77</v>
      </c>
      <c r="AJ1763" s="9" t="s">
        <v>57</v>
      </c>
      <c r="AK1763" s="11" t="str">
        <f t="shared" si="12"/>
        <v>2022USD</v>
      </c>
      <c r="AL1763" s="11">
        <f>VLOOKUP(AK1763, Exchange_rates!$C:$D, 2, FALSE)</f>
        <v>0.8115</v>
      </c>
      <c r="AM1763" s="14">
        <f t="shared" si="13"/>
        <v>5161.1399999999994</v>
      </c>
      <c r="AN1763" s="9"/>
      <c r="AO1763" s="9"/>
      <c r="AP1763" s="9"/>
      <c r="AQ1763" s="15" t="s">
        <v>49</v>
      </c>
      <c r="AR1763" t="s">
        <v>8771</v>
      </c>
      <c r="AS1763" s="16" t="s">
        <v>8772</v>
      </c>
    </row>
    <row r="1764" spans="1:60" ht="14.5">
      <c r="A1764" s="9" t="s">
        <v>8773</v>
      </c>
      <c r="B1764" s="9" t="s">
        <v>8774</v>
      </c>
      <c r="C1764" s="9" t="s">
        <v>8766</v>
      </c>
      <c r="D1764" s="9" t="s">
        <v>8767</v>
      </c>
      <c r="E1764" s="9" t="s">
        <v>49</v>
      </c>
      <c r="F1764" s="9" t="s">
        <v>69</v>
      </c>
      <c r="G1764" s="9" t="s">
        <v>70</v>
      </c>
      <c r="H1764" s="9" t="s">
        <v>8775</v>
      </c>
      <c r="I1764" s="9" t="s">
        <v>72</v>
      </c>
      <c r="J1764" s="10"/>
      <c r="K1764" s="10">
        <v>44540</v>
      </c>
      <c r="L1764" s="10"/>
      <c r="M1764" s="10">
        <v>44635</v>
      </c>
      <c r="N1764" s="9">
        <v>2021</v>
      </c>
      <c r="O1764" s="9" t="s">
        <v>8769</v>
      </c>
      <c r="P1764" s="9" t="s">
        <v>83</v>
      </c>
      <c r="Q1764" s="9" t="s">
        <v>53</v>
      </c>
      <c r="R1764" s="9" t="s">
        <v>8776</v>
      </c>
      <c r="T1764" s="9"/>
      <c r="V1764" s="9"/>
      <c r="AC1764" s="9" t="s">
        <v>8777</v>
      </c>
      <c r="AD1764" s="9" t="s">
        <v>8778</v>
      </c>
      <c r="AE1764" s="9" t="s">
        <v>8779</v>
      </c>
      <c r="AH1764" s="9">
        <v>5300</v>
      </c>
      <c r="AI1764" s="9" t="s">
        <v>77</v>
      </c>
      <c r="AJ1764" s="9" t="s">
        <v>57</v>
      </c>
      <c r="AK1764" s="11" t="str">
        <f t="shared" si="12"/>
        <v>2021USD</v>
      </c>
      <c r="AL1764" s="11">
        <f>VLOOKUP(AK1764, Exchange_rates!$C:$D, 2, FALSE)</f>
        <v>0.72709999999999997</v>
      </c>
      <c r="AM1764" s="14">
        <f t="shared" si="13"/>
        <v>4624.3559999999998</v>
      </c>
      <c r="AN1764" s="9"/>
      <c r="AO1764" s="9"/>
      <c r="AP1764" s="9"/>
      <c r="AQ1764" s="15" t="s">
        <v>49</v>
      </c>
      <c r="AR1764" t="s">
        <v>8771</v>
      </c>
      <c r="AS1764" s="16" t="s">
        <v>8772</v>
      </c>
    </row>
    <row r="1765" spans="1:60" ht="14.5">
      <c r="A1765" s="20" t="s">
        <v>8780</v>
      </c>
      <c r="B1765" s="20" t="s">
        <v>8781</v>
      </c>
      <c r="C1765" s="20" t="s">
        <v>3323</v>
      </c>
      <c r="D1765" s="20" t="s">
        <v>2830</v>
      </c>
      <c r="E1765" s="20" t="s">
        <v>49</v>
      </c>
      <c r="F1765" s="20" t="s">
        <v>69</v>
      </c>
      <c r="G1765" s="20" t="s">
        <v>70</v>
      </c>
      <c r="H1765" s="9" t="s">
        <v>7116</v>
      </c>
      <c r="I1765" s="20" t="s">
        <v>72</v>
      </c>
      <c r="J1765" s="22"/>
      <c r="K1765" s="22"/>
      <c r="L1765" s="22">
        <v>45022</v>
      </c>
      <c r="M1765" s="22"/>
      <c r="N1765" s="9">
        <v>2023</v>
      </c>
      <c r="O1765" s="20" t="s">
        <v>8782</v>
      </c>
      <c r="P1765" s="9" t="s">
        <v>53</v>
      </c>
      <c r="Q1765" s="9" t="s">
        <v>53</v>
      </c>
      <c r="R1765" s="20"/>
      <c r="S1765" s="9" t="s">
        <v>7117</v>
      </c>
      <c r="T1765" s="20"/>
      <c r="V1765" s="20"/>
      <c r="W1765" s="20"/>
      <c r="X1765" s="20"/>
      <c r="Y1765" s="20"/>
      <c r="Z1765" s="20"/>
      <c r="AA1765" s="20"/>
      <c r="AB1765" s="20"/>
      <c r="AC1765" s="20" t="s">
        <v>8783</v>
      </c>
      <c r="AD1765" s="20"/>
      <c r="AE1765" s="41" t="s">
        <v>8784</v>
      </c>
      <c r="AF1765" s="20" t="s">
        <v>8783</v>
      </c>
      <c r="AG1765" s="20"/>
      <c r="AH1765" s="20">
        <v>2428</v>
      </c>
      <c r="AI1765" s="9" t="s">
        <v>77</v>
      </c>
      <c r="AJ1765" s="9" t="s">
        <v>1823</v>
      </c>
      <c r="AK1765" s="11" t="str">
        <f t="shared" si="12"/>
        <v>2023EUR</v>
      </c>
      <c r="AL1765" s="11">
        <f>VLOOKUP(AK1765, Exchange_rates!$C:$D, 2, FALSE)</f>
        <v>0.87029999999999996</v>
      </c>
      <c r="AM1765" s="14">
        <f t="shared" si="13"/>
        <v>2535.7060799999999</v>
      </c>
      <c r="AN1765" s="20"/>
      <c r="AO1765" s="20"/>
      <c r="AP1765" s="20"/>
      <c r="AQ1765" s="27" t="s">
        <v>49</v>
      </c>
      <c r="AR1765" t="s">
        <v>3324</v>
      </c>
      <c r="AS1765" s="16"/>
      <c r="AT1765" s="20"/>
      <c r="AU1765" s="20"/>
      <c r="AV1765" s="20"/>
      <c r="AW1765" s="20"/>
      <c r="AX1765" s="20"/>
      <c r="AY1765" s="20"/>
      <c r="AZ1765" s="20"/>
      <c r="BA1765" s="20"/>
      <c r="BB1765" s="20"/>
      <c r="BC1765" s="20"/>
      <c r="BD1765" s="20"/>
      <c r="BE1765" s="20"/>
      <c r="BF1765" s="20"/>
      <c r="BG1765" s="20"/>
      <c r="BH1765" s="20"/>
    </row>
    <row r="1766" spans="1:60" ht="14.5">
      <c r="A1766" s="20" t="s">
        <v>8785</v>
      </c>
      <c r="B1766" s="20" t="s">
        <v>8786</v>
      </c>
      <c r="C1766" s="20" t="s">
        <v>4281</v>
      </c>
      <c r="D1766" s="20" t="s">
        <v>2830</v>
      </c>
      <c r="E1766" s="20" t="s">
        <v>49</v>
      </c>
      <c r="F1766" s="20" t="s">
        <v>69</v>
      </c>
      <c r="G1766" s="20" t="s">
        <v>70</v>
      </c>
      <c r="H1766" s="9" t="s">
        <v>7116</v>
      </c>
      <c r="I1766" s="20" t="s">
        <v>72</v>
      </c>
      <c r="J1766" s="22">
        <v>44848</v>
      </c>
      <c r="K1766" s="22">
        <v>44957</v>
      </c>
      <c r="L1766" s="22">
        <v>44966</v>
      </c>
      <c r="M1766" s="22">
        <v>44971</v>
      </c>
      <c r="N1766" s="9">
        <v>2023</v>
      </c>
      <c r="O1766" s="20" t="s">
        <v>8782</v>
      </c>
      <c r="P1766" s="9" t="s">
        <v>53</v>
      </c>
      <c r="Q1766" s="9" t="s">
        <v>53</v>
      </c>
      <c r="R1766" s="20"/>
      <c r="S1766" s="9" t="s">
        <v>7117</v>
      </c>
      <c r="T1766" s="20"/>
      <c r="V1766" s="20"/>
      <c r="W1766" s="20"/>
      <c r="X1766" s="20"/>
      <c r="Y1766" s="20"/>
      <c r="Z1766" s="20"/>
      <c r="AA1766" s="20"/>
      <c r="AB1766" s="20"/>
      <c r="AC1766" s="20" t="s">
        <v>8787</v>
      </c>
      <c r="AD1766" s="20"/>
      <c r="AE1766" s="41" t="s">
        <v>8788</v>
      </c>
      <c r="AF1766" s="20" t="s">
        <v>8789</v>
      </c>
      <c r="AG1766" s="20"/>
      <c r="AH1766" s="20">
        <v>2428</v>
      </c>
      <c r="AI1766" s="9" t="s">
        <v>77</v>
      </c>
      <c r="AJ1766" s="9" t="s">
        <v>1823</v>
      </c>
      <c r="AK1766" s="11" t="str">
        <f t="shared" si="12"/>
        <v>2023EUR</v>
      </c>
      <c r="AL1766" s="11">
        <f>VLOOKUP(AK1766, Exchange_rates!$C:$D, 2, FALSE)</f>
        <v>0.87029999999999996</v>
      </c>
      <c r="AM1766" s="14">
        <f t="shared" si="13"/>
        <v>2535.7060799999999</v>
      </c>
      <c r="AN1766" s="20"/>
      <c r="AO1766" s="20"/>
      <c r="AP1766" s="20"/>
      <c r="AQ1766" s="27" t="s">
        <v>49</v>
      </c>
      <c r="AR1766" t="s">
        <v>4282</v>
      </c>
      <c r="AS1766" s="16"/>
      <c r="AT1766" s="20"/>
      <c r="AU1766" s="20"/>
      <c r="AV1766" s="20"/>
      <c r="AW1766" s="20"/>
      <c r="AX1766" s="20"/>
      <c r="AY1766" s="20"/>
      <c r="AZ1766" s="20"/>
      <c r="BA1766" s="20"/>
      <c r="BB1766" s="20"/>
      <c r="BC1766" s="20"/>
      <c r="BD1766" s="20"/>
      <c r="BE1766" s="20"/>
      <c r="BF1766" s="20"/>
      <c r="BG1766" s="20"/>
      <c r="BH1766" s="20"/>
    </row>
    <row r="1767" spans="1:60" ht="14.5">
      <c r="A1767" s="20" t="s">
        <v>8790</v>
      </c>
      <c r="B1767" s="20" t="s">
        <v>8791</v>
      </c>
      <c r="C1767" s="20" t="s">
        <v>8792</v>
      </c>
      <c r="D1767" s="20" t="s">
        <v>2830</v>
      </c>
      <c r="E1767" s="20" t="s">
        <v>49</v>
      </c>
      <c r="F1767" s="20" t="s">
        <v>69</v>
      </c>
      <c r="G1767" s="20" t="s">
        <v>70</v>
      </c>
      <c r="H1767" s="9" t="s">
        <v>7116</v>
      </c>
      <c r="I1767" s="20" t="s">
        <v>72</v>
      </c>
      <c r="J1767" s="22">
        <v>44859</v>
      </c>
      <c r="K1767" s="22">
        <v>44957</v>
      </c>
      <c r="L1767" s="22">
        <v>44973</v>
      </c>
      <c r="M1767" s="22">
        <v>44974</v>
      </c>
      <c r="N1767" s="9">
        <v>2023</v>
      </c>
      <c r="O1767" s="20" t="s">
        <v>8782</v>
      </c>
      <c r="P1767" s="9" t="s">
        <v>53</v>
      </c>
      <c r="Q1767" s="9" t="s">
        <v>53</v>
      </c>
      <c r="R1767" s="20" t="s">
        <v>8793</v>
      </c>
      <c r="S1767" s="9" t="s">
        <v>7117</v>
      </c>
      <c r="T1767" s="20"/>
      <c r="V1767" s="20"/>
      <c r="W1767" s="20"/>
      <c r="X1767" s="20"/>
      <c r="Y1767" s="20"/>
      <c r="Z1767" s="20"/>
      <c r="AA1767" s="20"/>
      <c r="AB1767" s="20"/>
      <c r="AC1767" s="20" t="s">
        <v>8794</v>
      </c>
      <c r="AD1767" s="20"/>
      <c r="AE1767" s="41" t="s">
        <v>8795</v>
      </c>
      <c r="AF1767" s="20" t="s">
        <v>8796</v>
      </c>
      <c r="AG1767" s="20"/>
      <c r="AH1767" s="20">
        <v>2428</v>
      </c>
      <c r="AI1767" s="9" t="s">
        <v>77</v>
      </c>
      <c r="AJ1767" s="9" t="s">
        <v>1823</v>
      </c>
      <c r="AK1767" s="11" t="str">
        <f t="shared" si="12"/>
        <v>2023EUR</v>
      </c>
      <c r="AL1767" s="11">
        <f>VLOOKUP(AK1767, Exchange_rates!$C:$D, 2, FALSE)</f>
        <v>0.87029999999999996</v>
      </c>
      <c r="AM1767" s="14">
        <f t="shared" si="13"/>
        <v>2535.7060799999999</v>
      </c>
      <c r="AN1767" s="20"/>
      <c r="AO1767" s="20"/>
      <c r="AP1767" s="20"/>
      <c r="AQ1767" s="27" t="s">
        <v>49</v>
      </c>
      <c r="AR1767" t="s">
        <v>8797</v>
      </c>
      <c r="AS1767" s="16"/>
      <c r="AT1767" s="20"/>
      <c r="AU1767" s="20"/>
      <c r="AV1767" s="20"/>
      <c r="AW1767" s="20"/>
      <c r="AX1767" s="20"/>
      <c r="AY1767" s="20"/>
      <c r="AZ1767" s="20"/>
      <c r="BA1767" s="20"/>
      <c r="BB1767" s="20"/>
      <c r="BC1767" s="20"/>
      <c r="BD1767" s="20"/>
      <c r="BE1767" s="20"/>
      <c r="BF1767" s="20"/>
      <c r="BG1767" s="20"/>
      <c r="BH1767" s="20"/>
    </row>
    <row r="1768" spans="1:60" ht="14.5">
      <c r="A1768" s="20" t="s">
        <v>8798</v>
      </c>
      <c r="B1768" s="20" t="s">
        <v>8799</v>
      </c>
      <c r="C1768" s="20" t="s">
        <v>3378</v>
      </c>
      <c r="D1768" s="20" t="s">
        <v>2830</v>
      </c>
      <c r="E1768" s="20" t="s">
        <v>49</v>
      </c>
      <c r="F1768" s="20" t="s">
        <v>69</v>
      </c>
      <c r="G1768" s="20" t="s">
        <v>70</v>
      </c>
      <c r="H1768" s="9" t="s">
        <v>7116</v>
      </c>
      <c r="I1768" s="20" t="s">
        <v>72</v>
      </c>
      <c r="J1768" s="22">
        <v>44915</v>
      </c>
      <c r="K1768" s="22">
        <v>44966</v>
      </c>
      <c r="L1768" s="22">
        <v>44974</v>
      </c>
      <c r="M1768" s="22">
        <v>45000</v>
      </c>
      <c r="N1768" s="9">
        <v>2023</v>
      </c>
      <c r="O1768" s="20" t="s">
        <v>8782</v>
      </c>
      <c r="P1768" s="20" t="s">
        <v>83</v>
      </c>
      <c r="Q1768" s="9" t="s">
        <v>53</v>
      </c>
      <c r="R1768" s="20" t="s">
        <v>8800</v>
      </c>
      <c r="S1768" s="9" t="s">
        <v>7117</v>
      </c>
      <c r="T1768" s="20"/>
      <c r="V1768" s="20"/>
      <c r="W1768" s="20"/>
      <c r="X1768" s="20"/>
      <c r="Y1768" s="20"/>
      <c r="Z1768" s="20"/>
      <c r="AA1768" s="20"/>
      <c r="AB1768" s="20"/>
      <c r="AC1768" s="20" t="s">
        <v>8801</v>
      </c>
      <c r="AD1768" s="20"/>
      <c r="AE1768" s="20"/>
      <c r="AF1768" s="20" t="s">
        <v>8802</v>
      </c>
      <c r="AG1768" s="20"/>
      <c r="AH1768" s="20">
        <v>2428</v>
      </c>
      <c r="AI1768" s="9" t="s">
        <v>77</v>
      </c>
      <c r="AJ1768" s="9" t="s">
        <v>1823</v>
      </c>
      <c r="AK1768" s="11" t="str">
        <f t="shared" si="12"/>
        <v>2023EUR</v>
      </c>
      <c r="AL1768" s="11">
        <f>VLOOKUP(AK1768, Exchange_rates!$C:$D, 2, FALSE)</f>
        <v>0.87029999999999996</v>
      </c>
      <c r="AM1768" s="14">
        <f t="shared" si="13"/>
        <v>2535.7060799999999</v>
      </c>
      <c r="AN1768" s="20"/>
      <c r="AO1768" s="20"/>
      <c r="AP1768" s="20"/>
      <c r="AQ1768" s="27" t="s">
        <v>49</v>
      </c>
      <c r="AR1768" t="s">
        <v>3380</v>
      </c>
      <c r="AS1768" s="16"/>
      <c r="AT1768" s="20"/>
      <c r="AU1768" s="20"/>
      <c r="AV1768" s="20"/>
      <c r="AW1768" s="20"/>
      <c r="AX1768" s="20"/>
      <c r="AY1768" s="20"/>
      <c r="AZ1768" s="20"/>
      <c r="BA1768" s="20"/>
      <c r="BB1768" s="20"/>
      <c r="BC1768" s="20"/>
      <c r="BD1768" s="20"/>
      <c r="BE1768" s="20"/>
      <c r="BF1768" s="20"/>
      <c r="BG1768" s="20"/>
      <c r="BH1768" s="20"/>
    </row>
    <row r="1769" spans="1:60" ht="14.5">
      <c r="A1769" s="20" t="s">
        <v>8803</v>
      </c>
      <c r="B1769" s="20" t="s">
        <v>8804</v>
      </c>
      <c r="C1769" s="20" t="s">
        <v>8805</v>
      </c>
      <c r="D1769" s="20" t="s">
        <v>2830</v>
      </c>
      <c r="E1769" s="20" t="s">
        <v>49</v>
      </c>
      <c r="F1769" s="20" t="s">
        <v>69</v>
      </c>
      <c r="G1769" s="20" t="s">
        <v>70</v>
      </c>
      <c r="H1769" s="9" t="s">
        <v>7116</v>
      </c>
      <c r="I1769" s="20" t="s">
        <v>72</v>
      </c>
      <c r="J1769" s="22">
        <v>44873</v>
      </c>
      <c r="K1769" s="22">
        <v>44969</v>
      </c>
      <c r="L1769" s="22">
        <v>44987</v>
      </c>
      <c r="M1769" s="22">
        <v>45024</v>
      </c>
      <c r="N1769" s="9">
        <v>2023</v>
      </c>
      <c r="O1769" s="20" t="s">
        <v>8782</v>
      </c>
      <c r="P1769" s="9" t="s">
        <v>53</v>
      </c>
      <c r="Q1769" s="9" t="s">
        <v>53</v>
      </c>
      <c r="R1769" s="20"/>
      <c r="S1769" s="9" t="s">
        <v>7117</v>
      </c>
      <c r="T1769" s="20"/>
      <c r="V1769" s="20"/>
      <c r="W1769" s="20"/>
      <c r="X1769" s="20"/>
      <c r="Y1769" s="20"/>
      <c r="Z1769" s="20"/>
      <c r="AA1769" s="20"/>
      <c r="AB1769" s="20"/>
      <c r="AC1769" s="20" t="s">
        <v>2080</v>
      </c>
      <c r="AD1769" s="20"/>
      <c r="AE1769" s="20"/>
      <c r="AF1769" s="20" t="s">
        <v>8806</v>
      </c>
      <c r="AG1769" s="20"/>
      <c r="AH1769" s="20">
        <v>2428</v>
      </c>
      <c r="AI1769" s="9" t="s">
        <v>77</v>
      </c>
      <c r="AJ1769" s="9" t="s">
        <v>1823</v>
      </c>
      <c r="AK1769" s="11" t="str">
        <f t="shared" si="12"/>
        <v>2023EUR</v>
      </c>
      <c r="AL1769" s="11">
        <f>VLOOKUP(AK1769, Exchange_rates!$C:$D, 2, FALSE)</f>
        <v>0.87029999999999996</v>
      </c>
      <c r="AM1769" s="14">
        <f t="shared" si="13"/>
        <v>2535.7060799999999</v>
      </c>
      <c r="AN1769" s="20"/>
      <c r="AO1769" s="20"/>
      <c r="AP1769" s="20"/>
      <c r="AQ1769" s="27" t="s">
        <v>49</v>
      </c>
      <c r="AR1769" t="s">
        <v>8807</v>
      </c>
      <c r="AS1769" s="16"/>
      <c r="AT1769" s="20"/>
      <c r="AU1769" s="20"/>
      <c r="AV1769" s="20"/>
      <c r="AW1769" s="20"/>
      <c r="AX1769" s="20"/>
      <c r="AY1769" s="20"/>
      <c r="AZ1769" s="20"/>
      <c r="BA1769" s="20"/>
      <c r="BB1769" s="20"/>
      <c r="BC1769" s="20"/>
      <c r="BD1769" s="20"/>
      <c r="BE1769" s="20"/>
      <c r="BF1769" s="20"/>
      <c r="BG1769" s="20"/>
      <c r="BH1769" s="20"/>
    </row>
    <row r="1770" spans="1:60" ht="14.5">
      <c r="A1770" s="20" t="s">
        <v>8808</v>
      </c>
      <c r="B1770" s="20" t="s">
        <v>8809</v>
      </c>
      <c r="C1770" s="20" t="s">
        <v>3178</v>
      </c>
      <c r="D1770" s="20" t="s">
        <v>2830</v>
      </c>
      <c r="E1770" s="20" t="s">
        <v>49</v>
      </c>
      <c r="F1770" s="20" t="s">
        <v>69</v>
      </c>
      <c r="G1770" s="20" t="s">
        <v>70</v>
      </c>
      <c r="H1770" s="9" t="s">
        <v>7116</v>
      </c>
      <c r="I1770" s="20" t="s">
        <v>72</v>
      </c>
      <c r="J1770" s="22"/>
      <c r="K1770" s="22"/>
      <c r="L1770" s="22">
        <v>45006</v>
      </c>
      <c r="M1770" s="22"/>
      <c r="N1770" s="9">
        <v>2023</v>
      </c>
      <c r="O1770" s="20" t="s">
        <v>8782</v>
      </c>
      <c r="P1770" s="20" t="s">
        <v>83</v>
      </c>
      <c r="Q1770" s="9" t="s">
        <v>53</v>
      </c>
      <c r="R1770" s="20" t="s">
        <v>1847</v>
      </c>
      <c r="S1770" s="9" t="s">
        <v>7117</v>
      </c>
      <c r="T1770" s="20"/>
      <c r="V1770" s="20"/>
      <c r="W1770" s="20"/>
      <c r="X1770" s="20"/>
      <c r="Y1770" s="20"/>
      <c r="Z1770" s="20"/>
      <c r="AA1770" s="20"/>
      <c r="AB1770" s="20"/>
      <c r="AC1770" s="20" t="s">
        <v>8810</v>
      </c>
      <c r="AD1770" s="20"/>
      <c r="AE1770" s="41" t="s">
        <v>8811</v>
      </c>
      <c r="AF1770" s="20" t="s">
        <v>8812</v>
      </c>
      <c r="AG1770" s="20"/>
      <c r="AH1770" s="20">
        <v>2428</v>
      </c>
      <c r="AI1770" s="9" t="s">
        <v>77</v>
      </c>
      <c r="AJ1770" s="9" t="s">
        <v>1823</v>
      </c>
      <c r="AK1770" s="11" t="str">
        <f t="shared" si="12"/>
        <v>2023EUR</v>
      </c>
      <c r="AL1770" s="11">
        <f>VLOOKUP(AK1770, Exchange_rates!$C:$D, 2, FALSE)</f>
        <v>0.87029999999999996</v>
      </c>
      <c r="AM1770" s="14">
        <f t="shared" si="13"/>
        <v>2535.7060799999999</v>
      </c>
      <c r="AN1770" s="20"/>
      <c r="AO1770" s="20"/>
      <c r="AP1770" s="20"/>
      <c r="AQ1770" s="27" t="s">
        <v>49</v>
      </c>
      <c r="AR1770" t="s">
        <v>3179</v>
      </c>
      <c r="AS1770" s="16"/>
      <c r="AT1770" s="20"/>
      <c r="AU1770" s="20"/>
      <c r="AV1770" s="20"/>
      <c r="AW1770" s="20"/>
      <c r="AX1770" s="20"/>
      <c r="AY1770" s="20"/>
      <c r="AZ1770" s="20"/>
      <c r="BA1770" s="20"/>
      <c r="BB1770" s="20"/>
      <c r="BC1770" s="20"/>
      <c r="BD1770" s="20"/>
      <c r="BE1770" s="20"/>
      <c r="BF1770" s="20"/>
      <c r="BG1770" s="20"/>
      <c r="BH1770" s="20"/>
    </row>
    <row r="1771" spans="1:60" ht="14.5">
      <c r="A1771" s="20" t="s">
        <v>8813</v>
      </c>
      <c r="B1771" s="20" t="s">
        <v>8814</v>
      </c>
      <c r="C1771" s="20" t="s">
        <v>2937</v>
      </c>
      <c r="D1771" s="20" t="s">
        <v>2830</v>
      </c>
      <c r="E1771" s="20" t="s">
        <v>49</v>
      </c>
      <c r="F1771" s="20" t="s">
        <v>69</v>
      </c>
      <c r="G1771" s="20" t="s">
        <v>70</v>
      </c>
      <c r="H1771" s="9" t="s">
        <v>7116</v>
      </c>
      <c r="I1771" s="20" t="s">
        <v>72</v>
      </c>
      <c r="J1771" s="22"/>
      <c r="K1771" s="22">
        <v>44973</v>
      </c>
      <c r="L1771" s="22">
        <v>44988</v>
      </c>
      <c r="M1771" s="22">
        <v>44998</v>
      </c>
      <c r="N1771" s="9">
        <v>2023</v>
      </c>
      <c r="O1771" s="20" t="s">
        <v>8782</v>
      </c>
      <c r="P1771" s="20" t="s">
        <v>83</v>
      </c>
      <c r="Q1771" s="9" t="s">
        <v>53</v>
      </c>
      <c r="R1771" s="20" t="s">
        <v>8815</v>
      </c>
      <c r="S1771" s="9" t="s">
        <v>7117</v>
      </c>
      <c r="T1771" s="20"/>
      <c r="V1771" s="20"/>
      <c r="W1771" s="20"/>
      <c r="X1771" s="20"/>
      <c r="Y1771" s="20"/>
      <c r="Z1771" s="20"/>
      <c r="AA1771" s="20"/>
      <c r="AB1771" s="20"/>
      <c r="AC1771" s="20" t="s">
        <v>8816</v>
      </c>
      <c r="AD1771" s="20"/>
      <c r="AE1771" s="41" t="s">
        <v>8817</v>
      </c>
      <c r="AF1771" s="20" t="s">
        <v>8818</v>
      </c>
      <c r="AG1771" s="20"/>
      <c r="AH1771" s="20">
        <v>2428</v>
      </c>
      <c r="AI1771" s="9" t="s">
        <v>77</v>
      </c>
      <c r="AJ1771" s="9" t="s">
        <v>1823</v>
      </c>
      <c r="AK1771" s="11" t="str">
        <f t="shared" si="12"/>
        <v>2023EUR</v>
      </c>
      <c r="AL1771" s="11">
        <f>VLOOKUP(AK1771, Exchange_rates!$C:$D, 2, FALSE)</f>
        <v>0.87029999999999996</v>
      </c>
      <c r="AM1771" s="14">
        <f t="shared" si="13"/>
        <v>2535.7060799999999</v>
      </c>
      <c r="AN1771" s="20"/>
      <c r="AO1771" s="20"/>
      <c r="AP1771" s="20"/>
      <c r="AQ1771" s="27" t="s">
        <v>49</v>
      </c>
      <c r="AR1771" t="s">
        <v>2938</v>
      </c>
      <c r="AS1771" s="16"/>
      <c r="AT1771" s="20"/>
      <c r="AU1771" s="20"/>
      <c r="AV1771" s="20"/>
      <c r="AW1771" s="20"/>
      <c r="AX1771" s="20"/>
      <c r="AY1771" s="20"/>
      <c r="AZ1771" s="20"/>
      <c r="BA1771" s="20"/>
      <c r="BB1771" s="20"/>
      <c r="BC1771" s="20"/>
      <c r="BD1771" s="20"/>
      <c r="BE1771" s="20"/>
      <c r="BF1771" s="20"/>
      <c r="BG1771" s="20"/>
      <c r="BH1771" s="20"/>
    </row>
    <row r="1772" spans="1:60" ht="14.5">
      <c r="A1772" s="20" t="s">
        <v>8819</v>
      </c>
      <c r="B1772" s="20" t="s">
        <v>8820</v>
      </c>
      <c r="C1772" s="20" t="s">
        <v>8821</v>
      </c>
      <c r="D1772" s="20" t="s">
        <v>2830</v>
      </c>
      <c r="E1772" s="20" t="s">
        <v>49</v>
      </c>
      <c r="F1772" s="20" t="s">
        <v>69</v>
      </c>
      <c r="G1772" s="20" t="s">
        <v>70</v>
      </c>
      <c r="H1772" s="9" t="s">
        <v>7116</v>
      </c>
      <c r="I1772" s="20" t="s">
        <v>72</v>
      </c>
      <c r="J1772" s="22">
        <v>44372</v>
      </c>
      <c r="K1772" s="22">
        <v>44953</v>
      </c>
      <c r="L1772" s="22">
        <v>44978</v>
      </c>
      <c r="M1772" s="22">
        <v>45006</v>
      </c>
      <c r="N1772" s="9">
        <v>2023</v>
      </c>
      <c r="O1772" s="20" t="s">
        <v>8782</v>
      </c>
      <c r="P1772" s="9" t="s">
        <v>53</v>
      </c>
      <c r="Q1772" s="9" t="s">
        <v>53</v>
      </c>
      <c r="R1772" s="20"/>
      <c r="S1772" s="9" t="s">
        <v>7117</v>
      </c>
      <c r="T1772" s="20"/>
      <c r="V1772" s="20"/>
      <c r="W1772" s="20"/>
      <c r="X1772" s="20"/>
      <c r="Y1772" s="20"/>
      <c r="Z1772" s="20"/>
      <c r="AA1772" s="20"/>
      <c r="AB1772" s="20"/>
      <c r="AC1772" s="20" t="s">
        <v>8822</v>
      </c>
      <c r="AD1772" s="20"/>
      <c r="AE1772" s="41" t="s">
        <v>8823</v>
      </c>
      <c r="AF1772" s="20" t="s">
        <v>8824</v>
      </c>
      <c r="AG1772" s="20"/>
      <c r="AH1772" s="20">
        <v>2428</v>
      </c>
      <c r="AI1772" s="9" t="s">
        <v>77</v>
      </c>
      <c r="AJ1772" s="9" t="s">
        <v>1823</v>
      </c>
      <c r="AK1772" s="11" t="str">
        <f t="shared" si="12"/>
        <v>2023EUR</v>
      </c>
      <c r="AL1772" s="11">
        <f>VLOOKUP(AK1772, Exchange_rates!$C:$D, 2, FALSE)</f>
        <v>0.87029999999999996</v>
      </c>
      <c r="AM1772" s="14">
        <f t="shared" si="13"/>
        <v>2535.7060799999999</v>
      </c>
      <c r="AN1772" s="20"/>
      <c r="AO1772" s="20"/>
      <c r="AP1772" s="20"/>
      <c r="AQ1772" s="27" t="s">
        <v>49</v>
      </c>
      <c r="AR1772" t="s">
        <v>8825</v>
      </c>
      <c r="AS1772" s="16"/>
      <c r="AT1772" s="20"/>
      <c r="AU1772" s="20"/>
      <c r="AV1772" s="20"/>
      <c r="AW1772" s="20"/>
      <c r="AX1772" s="20"/>
      <c r="AY1772" s="20"/>
      <c r="AZ1772" s="20"/>
      <c r="BA1772" s="20"/>
      <c r="BB1772" s="20"/>
      <c r="BC1772" s="20"/>
      <c r="BD1772" s="20"/>
      <c r="BE1772" s="20"/>
      <c r="BF1772" s="20"/>
      <c r="BG1772" s="20"/>
      <c r="BH1772" s="20"/>
    </row>
    <row r="1773" spans="1:60" ht="14.5">
      <c r="A1773" s="20" t="s">
        <v>8826</v>
      </c>
      <c r="B1773" s="20" t="s">
        <v>8827</v>
      </c>
      <c r="C1773" s="20" t="s">
        <v>2929</v>
      </c>
      <c r="D1773" s="20" t="s">
        <v>2830</v>
      </c>
      <c r="E1773" s="20" t="s">
        <v>49</v>
      </c>
      <c r="F1773" s="20" t="s">
        <v>69</v>
      </c>
      <c r="G1773" s="20" t="s">
        <v>70</v>
      </c>
      <c r="H1773" s="9" t="s">
        <v>7116</v>
      </c>
      <c r="I1773" s="20" t="s">
        <v>72</v>
      </c>
      <c r="J1773" s="22"/>
      <c r="K1773" s="22">
        <v>44997</v>
      </c>
      <c r="L1773" s="22">
        <v>45005</v>
      </c>
      <c r="M1773" s="22">
        <v>45022</v>
      </c>
      <c r="N1773" s="9">
        <v>2023</v>
      </c>
      <c r="O1773" s="20" t="s">
        <v>8782</v>
      </c>
      <c r="P1773" s="9" t="s">
        <v>53</v>
      </c>
      <c r="Q1773" s="9" t="s">
        <v>53</v>
      </c>
      <c r="R1773" s="20"/>
      <c r="S1773" s="9" t="s">
        <v>7117</v>
      </c>
      <c r="T1773" s="20"/>
      <c r="V1773" s="20"/>
      <c r="W1773" s="20"/>
      <c r="X1773" s="20"/>
      <c r="Y1773" s="20"/>
      <c r="Z1773" s="20"/>
      <c r="AA1773" s="20"/>
      <c r="AB1773" s="20"/>
      <c r="AC1773" s="20" t="s">
        <v>8828</v>
      </c>
      <c r="AD1773" s="20"/>
      <c r="AE1773" s="41" t="s">
        <v>8829</v>
      </c>
      <c r="AF1773" s="20" t="s">
        <v>8830</v>
      </c>
      <c r="AG1773" s="20"/>
      <c r="AH1773" s="20">
        <v>2428</v>
      </c>
      <c r="AI1773" s="9" t="s">
        <v>77</v>
      </c>
      <c r="AJ1773" s="9" t="s">
        <v>1823</v>
      </c>
      <c r="AK1773" s="11" t="str">
        <f t="shared" si="12"/>
        <v>2023EUR</v>
      </c>
      <c r="AL1773" s="11">
        <f>VLOOKUP(AK1773, Exchange_rates!$C:$D, 2, FALSE)</f>
        <v>0.87029999999999996</v>
      </c>
      <c r="AM1773" s="14">
        <f t="shared" si="13"/>
        <v>2535.7060799999999</v>
      </c>
      <c r="AN1773" s="20"/>
      <c r="AO1773" s="20"/>
      <c r="AP1773" s="20"/>
      <c r="AQ1773" s="27" t="s">
        <v>49</v>
      </c>
      <c r="AR1773" t="s">
        <v>2930</v>
      </c>
      <c r="AS1773" s="16"/>
      <c r="AT1773" s="20"/>
      <c r="AU1773" s="20"/>
      <c r="AV1773" s="20"/>
      <c r="AW1773" s="20"/>
      <c r="AX1773" s="20"/>
      <c r="AY1773" s="20"/>
      <c r="AZ1773" s="20"/>
      <c r="BA1773" s="20"/>
      <c r="BB1773" s="20"/>
      <c r="BC1773" s="20"/>
      <c r="BD1773" s="20"/>
      <c r="BE1773" s="20"/>
      <c r="BF1773" s="20"/>
      <c r="BG1773" s="20"/>
      <c r="BH1773" s="20"/>
    </row>
    <row r="1774" spans="1:60" ht="14.5">
      <c r="A1774" s="20" t="s">
        <v>8831</v>
      </c>
      <c r="B1774" s="20" t="s">
        <v>8832</v>
      </c>
      <c r="C1774" s="20" t="s">
        <v>8833</v>
      </c>
      <c r="D1774" s="20" t="s">
        <v>2830</v>
      </c>
      <c r="E1774" s="20" t="s">
        <v>49</v>
      </c>
      <c r="F1774" s="20" t="s">
        <v>69</v>
      </c>
      <c r="G1774" s="20" t="s">
        <v>70</v>
      </c>
      <c r="H1774" s="9" t="s">
        <v>7116</v>
      </c>
      <c r="I1774" s="20" t="s">
        <v>72</v>
      </c>
      <c r="J1774" s="22"/>
      <c r="K1774" s="22"/>
      <c r="L1774" s="22">
        <v>45015</v>
      </c>
      <c r="M1774" s="22"/>
      <c r="N1774" s="9">
        <v>2023</v>
      </c>
      <c r="O1774" s="20" t="s">
        <v>8782</v>
      </c>
      <c r="P1774" s="9" t="s">
        <v>53</v>
      </c>
      <c r="Q1774" s="9" t="s">
        <v>53</v>
      </c>
      <c r="R1774" s="20" t="s">
        <v>8834</v>
      </c>
      <c r="S1774" s="9" t="s">
        <v>7117</v>
      </c>
      <c r="T1774" s="20"/>
      <c r="V1774" s="20"/>
      <c r="W1774" s="20"/>
      <c r="X1774" s="20"/>
      <c r="Y1774" s="20"/>
      <c r="Z1774" s="20"/>
      <c r="AA1774" s="20"/>
      <c r="AB1774" s="20"/>
      <c r="AC1774" s="20" t="s">
        <v>8835</v>
      </c>
      <c r="AD1774" s="20"/>
      <c r="AE1774" s="41" t="s">
        <v>8836</v>
      </c>
      <c r="AF1774" s="20" t="s">
        <v>8835</v>
      </c>
      <c r="AG1774" s="20"/>
      <c r="AH1774" s="20">
        <v>2428</v>
      </c>
      <c r="AI1774" s="9" t="s">
        <v>77</v>
      </c>
      <c r="AJ1774" s="9" t="s">
        <v>1823</v>
      </c>
      <c r="AK1774" s="11" t="str">
        <f t="shared" si="12"/>
        <v>2023EUR</v>
      </c>
      <c r="AL1774" s="11">
        <f>VLOOKUP(AK1774, Exchange_rates!$C:$D, 2, FALSE)</f>
        <v>0.87029999999999996</v>
      </c>
      <c r="AM1774" s="14">
        <f t="shared" si="13"/>
        <v>2535.7060799999999</v>
      </c>
      <c r="AN1774" s="20"/>
      <c r="AO1774" s="20"/>
      <c r="AP1774" s="20"/>
      <c r="AQ1774" s="27" t="s">
        <v>49</v>
      </c>
      <c r="AR1774" t="s">
        <v>8837</v>
      </c>
      <c r="AS1774" s="16"/>
      <c r="AT1774" s="20"/>
      <c r="AU1774" s="20"/>
      <c r="AV1774" s="20"/>
      <c r="AW1774" s="20"/>
      <c r="AX1774" s="20"/>
      <c r="AY1774" s="20"/>
      <c r="AZ1774" s="20"/>
      <c r="BA1774" s="20"/>
      <c r="BB1774" s="20"/>
      <c r="BC1774" s="20"/>
      <c r="BD1774" s="20"/>
      <c r="BE1774" s="20"/>
      <c r="BF1774" s="20"/>
      <c r="BG1774" s="20"/>
      <c r="BH1774" s="20"/>
    </row>
    <row r="1775" spans="1:60" ht="14.5">
      <c r="A1775" s="20" t="s">
        <v>8838</v>
      </c>
      <c r="B1775" s="20" t="s">
        <v>8839</v>
      </c>
      <c r="C1775" s="20" t="s">
        <v>4008</v>
      </c>
      <c r="D1775" s="20" t="s">
        <v>2830</v>
      </c>
      <c r="E1775" s="20" t="s">
        <v>49</v>
      </c>
      <c r="F1775" s="20" t="s">
        <v>69</v>
      </c>
      <c r="G1775" s="20" t="s">
        <v>70</v>
      </c>
      <c r="H1775" s="9" t="s">
        <v>7116</v>
      </c>
      <c r="I1775" s="20" t="s">
        <v>72</v>
      </c>
      <c r="J1775" s="22"/>
      <c r="K1775" s="22"/>
      <c r="L1775" s="22">
        <v>44999</v>
      </c>
      <c r="M1775" s="22">
        <v>45019</v>
      </c>
      <c r="N1775" s="9">
        <v>2023</v>
      </c>
      <c r="O1775" s="20" t="s">
        <v>8782</v>
      </c>
      <c r="P1775" s="9" t="s">
        <v>53</v>
      </c>
      <c r="Q1775" s="9" t="s">
        <v>53</v>
      </c>
      <c r="R1775" s="20"/>
      <c r="S1775" s="9" t="s">
        <v>7117</v>
      </c>
      <c r="T1775" s="20"/>
      <c r="V1775" s="20"/>
      <c r="W1775" s="20"/>
      <c r="X1775" s="20"/>
      <c r="Y1775" s="20"/>
      <c r="Z1775" s="20"/>
      <c r="AA1775" s="20"/>
      <c r="AB1775" s="20"/>
      <c r="AC1775" s="20" t="s">
        <v>8840</v>
      </c>
      <c r="AD1775" s="20"/>
      <c r="AE1775" s="20"/>
      <c r="AF1775" s="20"/>
      <c r="AG1775" s="20"/>
      <c r="AH1775" s="20">
        <v>2428</v>
      </c>
      <c r="AI1775" s="9" t="s">
        <v>77</v>
      </c>
      <c r="AJ1775" s="9" t="s">
        <v>1823</v>
      </c>
      <c r="AK1775" s="11" t="str">
        <f t="shared" si="12"/>
        <v>2023EUR</v>
      </c>
      <c r="AL1775" s="11">
        <f>VLOOKUP(AK1775, Exchange_rates!$C:$D, 2, FALSE)</f>
        <v>0.87029999999999996</v>
      </c>
      <c r="AM1775" s="14">
        <f t="shared" si="13"/>
        <v>2535.7060799999999</v>
      </c>
      <c r="AN1775" s="20"/>
      <c r="AO1775" s="20"/>
      <c r="AP1775" s="20"/>
      <c r="AQ1775" s="27" t="s">
        <v>49</v>
      </c>
      <c r="AR1775" t="s">
        <v>4010</v>
      </c>
      <c r="AS1775" s="16"/>
      <c r="AT1775" s="20"/>
      <c r="AU1775" s="20"/>
      <c r="AV1775" s="20"/>
      <c r="AW1775" s="20"/>
      <c r="AX1775" s="20"/>
      <c r="AY1775" s="20"/>
      <c r="AZ1775" s="20"/>
      <c r="BA1775" s="20"/>
      <c r="BB1775" s="20"/>
      <c r="BC1775" s="20"/>
      <c r="BD1775" s="20"/>
      <c r="BE1775" s="20"/>
      <c r="BF1775" s="20"/>
      <c r="BG1775" s="20"/>
      <c r="BH1775" s="20"/>
    </row>
    <row r="1776" spans="1:60" ht="14.5">
      <c r="A1776" s="20" t="s">
        <v>8841</v>
      </c>
      <c r="B1776" s="20" t="s">
        <v>8842</v>
      </c>
      <c r="C1776" s="20" t="s">
        <v>3659</v>
      </c>
      <c r="D1776" s="20" t="s">
        <v>2830</v>
      </c>
      <c r="E1776" s="20" t="s">
        <v>49</v>
      </c>
      <c r="F1776" s="20" t="s">
        <v>69</v>
      </c>
      <c r="G1776" s="20" t="s">
        <v>70</v>
      </c>
      <c r="H1776" s="9" t="s">
        <v>7116</v>
      </c>
      <c r="I1776" s="20" t="s">
        <v>72</v>
      </c>
      <c r="J1776" s="22"/>
      <c r="K1776" s="22"/>
      <c r="L1776" s="22">
        <v>45027</v>
      </c>
      <c r="M1776" s="22"/>
      <c r="N1776" s="9">
        <v>2023</v>
      </c>
      <c r="O1776" s="20" t="s">
        <v>8782</v>
      </c>
      <c r="P1776" s="20" t="s">
        <v>83</v>
      </c>
      <c r="Q1776" s="9" t="s">
        <v>53</v>
      </c>
      <c r="R1776" s="20" t="s">
        <v>4005</v>
      </c>
      <c r="S1776" s="9" t="s">
        <v>7117</v>
      </c>
      <c r="T1776" s="20"/>
      <c r="V1776" s="20"/>
      <c r="W1776" s="20"/>
      <c r="X1776" s="20"/>
      <c r="Y1776" s="20"/>
      <c r="Z1776" s="20"/>
      <c r="AA1776" s="20"/>
      <c r="AB1776" s="20"/>
      <c r="AC1776" s="20" t="s">
        <v>8843</v>
      </c>
      <c r="AD1776" s="20"/>
      <c r="AE1776" s="41" t="s">
        <v>8844</v>
      </c>
      <c r="AF1776" s="20" t="s">
        <v>8845</v>
      </c>
      <c r="AG1776" s="20"/>
      <c r="AH1776" s="20">
        <v>2428</v>
      </c>
      <c r="AI1776" s="9" t="s">
        <v>77</v>
      </c>
      <c r="AJ1776" s="9" t="s">
        <v>1823</v>
      </c>
      <c r="AK1776" s="11" t="str">
        <f t="shared" si="12"/>
        <v>2023EUR</v>
      </c>
      <c r="AL1776" s="11">
        <f>VLOOKUP(AK1776, Exchange_rates!$C:$D, 2, FALSE)</f>
        <v>0.87029999999999996</v>
      </c>
      <c r="AM1776" s="14">
        <f t="shared" si="13"/>
        <v>2535.7060799999999</v>
      </c>
      <c r="AN1776" s="20"/>
      <c r="AO1776" s="20"/>
      <c r="AP1776" s="20"/>
      <c r="AQ1776" s="27" t="s">
        <v>49</v>
      </c>
      <c r="AR1776" t="s">
        <v>3660</v>
      </c>
      <c r="AS1776" s="16"/>
      <c r="AT1776" s="20"/>
      <c r="AU1776" s="20"/>
      <c r="AV1776" s="20"/>
      <c r="AW1776" s="20"/>
      <c r="AX1776" s="20"/>
      <c r="AY1776" s="20"/>
      <c r="AZ1776" s="20"/>
      <c r="BA1776" s="20"/>
      <c r="BB1776" s="20"/>
      <c r="BC1776" s="20"/>
      <c r="BD1776" s="20"/>
      <c r="BE1776" s="20"/>
      <c r="BF1776" s="20"/>
      <c r="BG1776" s="20"/>
      <c r="BH1776" s="20"/>
    </row>
    <row r="1777" spans="1:60" ht="14.5">
      <c r="A1777" s="20" t="s">
        <v>8846</v>
      </c>
      <c r="B1777" s="20" t="s">
        <v>8847</v>
      </c>
      <c r="C1777" s="20" t="s">
        <v>3019</v>
      </c>
      <c r="D1777" s="20" t="s">
        <v>2830</v>
      </c>
      <c r="E1777" s="20" t="s">
        <v>49</v>
      </c>
      <c r="F1777" s="20" t="s">
        <v>69</v>
      </c>
      <c r="G1777" s="20" t="s">
        <v>70</v>
      </c>
      <c r="H1777" s="20" t="s">
        <v>7116</v>
      </c>
      <c r="I1777" s="20" t="s">
        <v>72</v>
      </c>
      <c r="J1777" s="22"/>
      <c r="K1777" s="22"/>
      <c r="L1777" s="22">
        <v>45022</v>
      </c>
      <c r="M1777" s="22"/>
      <c r="N1777" s="20">
        <v>2023</v>
      </c>
      <c r="O1777" s="20" t="s">
        <v>8782</v>
      </c>
      <c r="P1777" s="20" t="s">
        <v>83</v>
      </c>
      <c r="Q1777" s="20" t="s">
        <v>53</v>
      </c>
      <c r="R1777" s="20" t="s">
        <v>1847</v>
      </c>
      <c r="S1777" s="20" t="s">
        <v>7117</v>
      </c>
      <c r="T1777" s="20"/>
      <c r="U1777" s="20"/>
      <c r="V1777" s="20"/>
      <c r="W1777" s="20"/>
      <c r="X1777" s="20"/>
      <c r="Y1777" s="20"/>
      <c r="Z1777" s="20"/>
      <c r="AA1777" s="20"/>
      <c r="AB1777" s="20"/>
      <c r="AC1777" s="20" t="s">
        <v>8848</v>
      </c>
      <c r="AD1777" s="20"/>
      <c r="AE1777" s="41" t="s">
        <v>8849</v>
      </c>
      <c r="AF1777" s="20" t="s">
        <v>8848</v>
      </c>
      <c r="AG1777" s="20"/>
      <c r="AH1777" s="20">
        <v>2428</v>
      </c>
      <c r="AI1777" s="20" t="s">
        <v>77</v>
      </c>
      <c r="AJ1777" s="20" t="s">
        <v>1823</v>
      </c>
      <c r="AK1777" s="23" t="str">
        <f t="shared" si="12"/>
        <v>2023EUR</v>
      </c>
      <c r="AL1777" s="23">
        <f>VLOOKUP(AK1777, Exchange_rates!$C:$D, 2, FALSE)</f>
        <v>0.87029999999999996</v>
      </c>
      <c r="AM1777" s="26">
        <f t="shared" si="13"/>
        <v>2535.7060799999999</v>
      </c>
      <c r="AN1777" s="20"/>
      <c r="AO1777" s="20"/>
      <c r="AP1777" s="20"/>
      <c r="AQ1777" s="27" t="s">
        <v>49</v>
      </c>
      <c r="AR1777" t="s">
        <v>3020</v>
      </c>
      <c r="AS1777" s="16"/>
      <c r="AT1777" s="20"/>
      <c r="AU1777" s="20"/>
      <c r="AV1777" s="20"/>
      <c r="AW1777" s="20"/>
      <c r="AX1777" s="20"/>
      <c r="AY1777" s="20"/>
      <c r="AZ1777" s="20"/>
      <c r="BA1777" s="20"/>
      <c r="BB1777" s="20"/>
      <c r="BC1777" s="20"/>
      <c r="BD1777" s="20"/>
      <c r="BE1777" s="20"/>
      <c r="BF1777" s="20"/>
      <c r="BG1777" s="20"/>
      <c r="BH1777" s="20"/>
    </row>
    <row r="1778" spans="1:60" ht="14.5">
      <c r="A1778" s="9" t="s">
        <v>8850</v>
      </c>
      <c r="B1778" s="9" t="s">
        <v>8851</v>
      </c>
      <c r="C1778" s="9" t="s">
        <v>8852</v>
      </c>
      <c r="D1778" s="9" t="s">
        <v>361</v>
      </c>
      <c r="E1778" s="9" t="s">
        <v>49</v>
      </c>
      <c r="F1778" s="9" t="s">
        <v>69</v>
      </c>
      <c r="G1778" s="9" t="s">
        <v>70</v>
      </c>
      <c r="H1778" s="9" t="s">
        <v>7424</v>
      </c>
      <c r="I1778" s="9" t="s">
        <v>72</v>
      </c>
      <c r="J1778" s="10">
        <v>44783</v>
      </c>
      <c r="K1778" s="10"/>
      <c r="L1778" s="10">
        <v>44987</v>
      </c>
      <c r="M1778" s="10"/>
      <c r="N1778" s="9">
        <v>2023</v>
      </c>
      <c r="O1778" s="9" t="s">
        <v>8853</v>
      </c>
      <c r="P1778" s="9" t="s">
        <v>53</v>
      </c>
      <c r="Q1778" s="9" t="s">
        <v>53</v>
      </c>
      <c r="R1778" s="9" t="s">
        <v>8854</v>
      </c>
      <c r="T1778" s="9"/>
      <c r="V1778" s="9"/>
      <c r="AC1778" s="9" t="s">
        <v>8855</v>
      </c>
      <c r="AH1778" s="9">
        <v>2110</v>
      </c>
      <c r="AI1778" s="11" t="s">
        <v>77</v>
      </c>
      <c r="AJ1778" s="9" t="s">
        <v>301</v>
      </c>
      <c r="AK1778" s="11" t="str">
        <f t="shared" si="12"/>
        <v>2023GBP</v>
      </c>
      <c r="AL1778" s="11">
        <f>VLOOKUP(AK1778, Exchange_rates!$C:$D, 2, FALSE)</f>
        <v>1</v>
      </c>
      <c r="AM1778" s="14">
        <f t="shared" si="13"/>
        <v>2532</v>
      </c>
      <c r="AN1778" s="9"/>
      <c r="AO1778" s="9"/>
      <c r="AP1778" s="9"/>
      <c r="AQ1778" s="15" t="s">
        <v>49</v>
      </c>
      <c r="AR1778" t="s">
        <v>8856</v>
      </c>
      <c r="AS1778" s="16" t="s">
        <v>8857</v>
      </c>
    </row>
    <row r="1779" spans="1:60" ht="14.5">
      <c r="A1779" s="9" t="s">
        <v>8858</v>
      </c>
      <c r="B1779" s="9" t="s">
        <v>8859</v>
      </c>
      <c r="C1779" s="9" t="s">
        <v>1696</v>
      </c>
      <c r="D1779" s="9" t="s">
        <v>1560</v>
      </c>
      <c r="E1779" s="9" t="s">
        <v>49</v>
      </c>
      <c r="F1779" s="9" t="s">
        <v>69</v>
      </c>
      <c r="G1779" s="9" t="s">
        <v>70</v>
      </c>
      <c r="H1779" s="9" t="s">
        <v>8860</v>
      </c>
      <c r="I1779" s="9" t="s">
        <v>72</v>
      </c>
      <c r="J1779" s="10"/>
      <c r="K1779" s="10">
        <v>44936</v>
      </c>
      <c r="L1779" s="10"/>
      <c r="M1779" s="10">
        <v>44960</v>
      </c>
      <c r="N1779" s="9">
        <v>2023</v>
      </c>
      <c r="O1779" s="9" t="s">
        <v>8861</v>
      </c>
      <c r="P1779" s="9" t="s">
        <v>83</v>
      </c>
      <c r="Q1779" s="9" t="s">
        <v>53</v>
      </c>
      <c r="R1779" s="9" t="s">
        <v>4005</v>
      </c>
      <c r="T1779" s="9"/>
      <c r="V1779" s="9"/>
      <c r="AC1779" s="9" t="s">
        <v>8862</v>
      </c>
      <c r="AD1779" s="9" t="s">
        <v>8863</v>
      </c>
      <c r="AH1779" s="9">
        <v>2198</v>
      </c>
      <c r="AI1779" s="9" t="s">
        <v>77</v>
      </c>
      <c r="AJ1779" s="9" t="s">
        <v>301</v>
      </c>
      <c r="AK1779" s="11" t="str">
        <f t="shared" si="12"/>
        <v>2023GBP</v>
      </c>
      <c r="AL1779" s="11">
        <f>VLOOKUP(AK1779, Exchange_rates!$C:$D, 2, FALSE)</f>
        <v>1</v>
      </c>
      <c r="AM1779" s="14">
        <f t="shared" si="13"/>
        <v>2637.6</v>
      </c>
      <c r="AN1779" s="9"/>
      <c r="AO1779" s="9"/>
      <c r="AP1779" s="9"/>
      <c r="AQ1779" s="15" t="s">
        <v>49</v>
      </c>
      <c r="AS1779" s="16" t="s">
        <v>1700</v>
      </c>
    </row>
    <row r="1780" spans="1:60" ht="14.5">
      <c r="A1780" s="9" t="s">
        <v>8864</v>
      </c>
      <c r="B1780" s="9" t="s">
        <v>8865</v>
      </c>
      <c r="C1780" s="9" t="s">
        <v>8866</v>
      </c>
      <c r="D1780" s="9" t="s">
        <v>1560</v>
      </c>
      <c r="E1780" s="9" t="s">
        <v>49</v>
      </c>
      <c r="F1780" s="9" t="s">
        <v>69</v>
      </c>
      <c r="G1780" s="9" t="s">
        <v>70</v>
      </c>
      <c r="H1780" s="9" t="s">
        <v>8860</v>
      </c>
      <c r="I1780" s="9" t="s">
        <v>72</v>
      </c>
      <c r="J1780" s="10"/>
      <c r="K1780" s="10">
        <v>44939</v>
      </c>
      <c r="L1780" s="10"/>
      <c r="M1780" s="10">
        <v>44967</v>
      </c>
      <c r="N1780" s="9">
        <v>2023</v>
      </c>
      <c r="O1780" s="9" t="s">
        <v>8861</v>
      </c>
      <c r="P1780" s="9" t="s">
        <v>53</v>
      </c>
      <c r="Q1780" s="9" t="s">
        <v>53</v>
      </c>
      <c r="T1780" s="9"/>
      <c r="V1780" s="9"/>
      <c r="AC1780" s="9" t="s">
        <v>8867</v>
      </c>
      <c r="AD1780" s="9" t="s">
        <v>5174</v>
      </c>
      <c r="AH1780" s="9">
        <v>4442</v>
      </c>
      <c r="AI1780" s="9" t="s">
        <v>77</v>
      </c>
      <c r="AJ1780" s="9" t="s">
        <v>57</v>
      </c>
      <c r="AK1780" s="11" t="str">
        <f t="shared" si="12"/>
        <v>2023USD</v>
      </c>
      <c r="AL1780" s="11">
        <f>VLOOKUP(AK1780, Exchange_rates!$C:$D, 2, FALSE)</f>
        <v>0.80430000000000001</v>
      </c>
      <c r="AM1780" s="14">
        <f t="shared" si="13"/>
        <v>4287.2407199999998</v>
      </c>
      <c r="AN1780" s="9"/>
      <c r="AO1780" s="9"/>
      <c r="AP1780" s="9"/>
      <c r="AQ1780" s="15" t="s">
        <v>49</v>
      </c>
      <c r="AS1780" s="16" t="s">
        <v>8868</v>
      </c>
    </row>
    <row r="1781" spans="1:60" ht="14.5">
      <c r="A1781" s="9" t="s">
        <v>8869</v>
      </c>
      <c r="B1781" s="9" t="s">
        <v>8870</v>
      </c>
      <c r="C1781" s="9" t="s">
        <v>8871</v>
      </c>
      <c r="D1781" s="9" t="s">
        <v>1560</v>
      </c>
      <c r="E1781" s="9" t="s">
        <v>49</v>
      </c>
      <c r="F1781" s="9" t="s">
        <v>69</v>
      </c>
      <c r="G1781" s="9" t="s">
        <v>51</v>
      </c>
      <c r="H1781" s="9"/>
      <c r="I1781" s="9" t="s">
        <v>238</v>
      </c>
      <c r="J1781" s="10"/>
      <c r="K1781" s="10">
        <v>44943</v>
      </c>
      <c r="L1781" s="10"/>
      <c r="M1781" s="10">
        <v>44949</v>
      </c>
      <c r="N1781" s="9">
        <v>2023</v>
      </c>
      <c r="O1781" s="9" t="s">
        <v>8861</v>
      </c>
      <c r="P1781" s="9" t="s">
        <v>53</v>
      </c>
      <c r="Q1781" s="9" t="s">
        <v>53</v>
      </c>
      <c r="T1781" s="9" t="s">
        <v>723</v>
      </c>
      <c r="V1781" s="9"/>
      <c r="AC1781" s="9" t="s">
        <v>8872</v>
      </c>
      <c r="AD1781" s="9" t="s">
        <v>8873</v>
      </c>
      <c r="AH1781" s="9">
        <v>3099</v>
      </c>
      <c r="AI1781" s="9" t="s">
        <v>77</v>
      </c>
      <c r="AJ1781" s="9" t="s">
        <v>301</v>
      </c>
      <c r="AK1781" s="11" t="str">
        <f t="shared" si="12"/>
        <v>2023GBP</v>
      </c>
      <c r="AL1781" s="11">
        <f>VLOOKUP(AK1781, Exchange_rates!$C:$D, 2, FALSE)</f>
        <v>1</v>
      </c>
      <c r="AM1781" s="14">
        <f t="shared" si="13"/>
        <v>3718.7999999999997</v>
      </c>
      <c r="AN1781" s="9"/>
      <c r="AO1781" s="9"/>
      <c r="AP1781" s="9"/>
      <c r="AQ1781" s="15" t="s">
        <v>49</v>
      </c>
      <c r="AR1781" t="s">
        <v>8874</v>
      </c>
      <c r="AS1781" s="16" t="s">
        <v>8875</v>
      </c>
    </row>
    <row r="1782" spans="1:60" ht="14.5">
      <c r="A1782" s="9" t="s">
        <v>8876</v>
      </c>
      <c r="B1782" s="9" t="s">
        <v>8877</v>
      </c>
      <c r="C1782" s="9" t="s">
        <v>7395</v>
      </c>
      <c r="D1782" s="9" t="s">
        <v>1560</v>
      </c>
      <c r="E1782" s="9" t="s">
        <v>49</v>
      </c>
      <c r="F1782" s="9" t="s">
        <v>50</v>
      </c>
      <c r="G1782" s="9" t="s">
        <v>51</v>
      </c>
      <c r="H1782" s="9"/>
      <c r="I1782" s="9" t="s">
        <v>1647</v>
      </c>
      <c r="J1782" s="10"/>
      <c r="K1782" s="10">
        <v>44944</v>
      </c>
      <c r="L1782" s="10"/>
      <c r="M1782" s="10">
        <v>44982</v>
      </c>
      <c r="N1782" s="9">
        <v>2023</v>
      </c>
      <c r="O1782" s="9" t="s">
        <v>8861</v>
      </c>
      <c r="P1782" s="9" t="s">
        <v>53</v>
      </c>
      <c r="Q1782" s="9" t="s">
        <v>53</v>
      </c>
      <c r="T1782" s="9" t="s">
        <v>723</v>
      </c>
      <c r="U1782" s="9" t="s">
        <v>8878</v>
      </c>
      <c r="V1782" s="9"/>
      <c r="AC1782" s="9" t="s">
        <v>8879</v>
      </c>
      <c r="AD1782" s="9" t="s">
        <v>8880</v>
      </c>
      <c r="AH1782" s="9">
        <v>3000</v>
      </c>
      <c r="AI1782" s="9" t="s">
        <v>77</v>
      </c>
      <c r="AJ1782" s="9" t="s">
        <v>301</v>
      </c>
      <c r="AK1782" s="11" t="str">
        <f t="shared" si="12"/>
        <v>2023GBP</v>
      </c>
      <c r="AL1782" s="11">
        <f>VLOOKUP(AK1782, Exchange_rates!$C:$D, 2, FALSE)</f>
        <v>1</v>
      </c>
      <c r="AM1782" s="14">
        <f t="shared" si="13"/>
        <v>3600</v>
      </c>
      <c r="AN1782" s="9"/>
      <c r="AO1782" s="9"/>
      <c r="AP1782" s="9"/>
      <c r="AQ1782" s="15" t="s">
        <v>49</v>
      </c>
      <c r="AS1782" s="16" t="s">
        <v>7396</v>
      </c>
    </row>
    <row r="1783" spans="1:60" ht="14.5">
      <c r="A1783" s="9" t="s">
        <v>8881</v>
      </c>
      <c r="B1783" s="9" t="s">
        <v>8882</v>
      </c>
      <c r="C1783" s="9" t="s">
        <v>8883</v>
      </c>
      <c r="D1783" s="9" t="s">
        <v>1560</v>
      </c>
      <c r="E1783" s="9" t="s">
        <v>49</v>
      </c>
      <c r="F1783" s="9" t="s">
        <v>50</v>
      </c>
      <c r="G1783" s="9" t="s">
        <v>51</v>
      </c>
      <c r="H1783" s="9"/>
      <c r="I1783" s="9" t="s">
        <v>1647</v>
      </c>
      <c r="J1783" s="10"/>
      <c r="K1783" s="10">
        <v>44947</v>
      </c>
      <c r="L1783" s="10"/>
      <c r="M1783" s="10"/>
      <c r="N1783" s="9">
        <v>2023</v>
      </c>
      <c r="O1783" s="9" t="s">
        <v>8861</v>
      </c>
      <c r="P1783" s="9" t="s">
        <v>53</v>
      </c>
      <c r="Q1783" s="9" t="s">
        <v>53</v>
      </c>
      <c r="T1783" s="9" t="s">
        <v>1912</v>
      </c>
      <c r="U1783" s="9" t="s">
        <v>474</v>
      </c>
      <c r="V1783" s="9"/>
      <c r="AC1783" s="9" t="s">
        <v>8884</v>
      </c>
      <c r="AD1783" s="9" t="s">
        <v>8885</v>
      </c>
      <c r="AI1783" s="9"/>
      <c r="AJ1783" s="9"/>
      <c r="AK1783" s="11" t="str">
        <f t="shared" si="12"/>
        <v>2023</v>
      </c>
      <c r="AL1783" s="11" t="e">
        <f>VLOOKUP(AK1783, Exchange_rates!$C:$D, 2, FALSE)</f>
        <v>#N/A</v>
      </c>
      <c r="AM1783" s="14" t="str">
        <f t="shared" si="13"/>
        <v/>
      </c>
      <c r="AN1783" s="9"/>
      <c r="AO1783" s="9"/>
      <c r="AP1783" s="9"/>
      <c r="AQ1783" s="15" t="s">
        <v>49</v>
      </c>
      <c r="AR1783" t="s">
        <v>8886</v>
      </c>
      <c r="AS1783" s="16" t="s">
        <v>8887</v>
      </c>
    </row>
    <row r="1784" spans="1:60" ht="14.5">
      <c r="A1784" s="9" t="s">
        <v>8888</v>
      </c>
      <c r="B1784" s="9" t="s">
        <v>8889</v>
      </c>
      <c r="C1784" s="9" t="s">
        <v>8871</v>
      </c>
      <c r="D1784" s="9" t="s">
        <v>1560</v>
      </c>
      <c r="E1784" s="9" t="s">
        <v>49</v>
      </c>
      <c r="F1784" s="9" t="s">
        <v>50</v>
      </c>
      <c r="G1784" s="9" t="s">
        <v>51</v>
      </c>
      <c r="H1784" s="9"/>
      <c r="I1784" s="9" t="s">
        <v>1647</v>
      </c>
      <c r="J1784" s="10"/>
      <c r="K1784" s="10">
        <v>44953</v>
      </c>
      <c r="L1784" s="10"/>
      <c r="M1784" s="10">
        <v>44958</v>
      </c>
      <c r="N1784" s="9">
        <v>2023</v>
      </c>
      <c r="O1784" s="9" t="s">
        <v>8861</v>
      </c>
      <c r="P1784" s="9" t="s">
        <v>53</v>
      </c>
      <c r="Q1784" s="9" t="s">
        <v>53</v>
      </c>
      <c r="T1784" s="9" t="s">
        <v>5541</v>
      </c>
      <c r="U1784" s="9" t="s">
        <v>8878</v>
      </c>
      <c r="V1784" s="9"/>
      <c r="AC1784" s="9" t="s">
        <v>8890</v>
      </c>
      <c r="AD1784" s="9" t="s">
        <v>8891</v>
      </c>
      <c r="AH1784" s="9">
        <v>3099</v>
      </c>
      <c r="AI1784" s="9" t="s">
        <v>77</v>
      </c>
      <c r="AJ1784" s="9" t="s">
        <v>301</v>
      </c>
      <c r="AK1784" s="11" t="str">
        <f t="shared" si="12"/>
        <v>2023GBP</v>
      </c>
      <c r="AL1784" s="11">
        <f>VLOOKUP(AK1784, Exchange_rates!$C:$D, 2, FALSE)</f>
        <v>1</v>
      </c>
      <c r="AM1784" s="14">
        <f t="shared" si="13"/>
        <v>3718.7999999999997</v>
      </c>
      <c r="AN1784" s="9"/>
      <c r="AO1784" s="9"/>
      <c r="AP1784" s="9"/>
      <c r="AQ1784" s="15" t="s">
        <v>49</v>
      </c>
      <c r="AR1784" t="s">
        <v>8874</v>
      </c>
      <c r="AS1784" s="16" t="s">
        <v>8875</v>
      </c>
    </row>
    <row r="1785" spans="1:60" ht="14.5">
      <c r="A1785" s="9" t="s">
        <v>8892</v>
      </c>
      <c r="B1785" s="9" t="s">
        <v>8893</v>
      </c>
      <c r="C1785" s="9" t="s">
        <v>1583</v>
      </c>
      <c r="D1785" s="9" t="s">
        <v>1560</v>
      </c>
      <c r="E1785" s="9" t="s">
        <v>49</v>
      </c>
      <c r="F1785" s="9" t="s">
        <v>69</v>
      </c>
      <c r="G1785" s="9" t="s">
        <v>70</v>
      </c>
      <c r="H1785" s="9" t="s">
        <v>8860</v>
      </c>
      <c r="I1785" s="9" t="s">
        <v>72</v>
      </c>
      <c r="J1785" s="10"/>
      <c r="K1785" s="10">
        <v>44963</v>
      </c>
      <c r="L1785" s="10"/>
      <c r="M1785" s="10">
        <v>44966</v>
      </c>
      <c r="N1785" s="9">
        <v>2023</v>
      </c>
      <c r="O1785" s="9" t="s">
        <v>8861</v>
      </c>
      <c r="P1785" s="9" t="s">
        <v>53</v>
      </c>
      <c r="Q1785" s="9" t="s">
        <v>53</v>
      </c>
      <c r="T1785" s="9"/>
      <c r="V1785" s="9"/>
      <c r="AC1785" s="9" t="s">
        <v>8894</v>
      </c>
      <c r="AD1785" s="9" t="s">
        <v>8895</v>
      </c>
      <c r="AH1785" s="9">
        <v>4941</v>
      </c>
      <c r="AI1785" s="9" t="s">
        <v>77</v>
      </c>
      <c r="AJ1785" s="9" t="s">
        <v>57</v>
      </c>
      <c r="AK1785" s="11" t="str">
        <f t="shared" si="12"/>
        <v>2023USD</v>
      </c>
      <c r="AL1785" s="11">
        <f>VLOOKUP(AK1785, Exchange_rates!$C:$D, 2, FALSE)</f>
        <v>0.80430000000000001</v>
      </c>
      <c r="AM1785" s="14">
        <f t="shared" si="13"/>
        <v>4768.85556</v>
      </c>
      <c r="AN1785" s="9"/>
      <c r="AO1785" s="9"/>
      <c r="AP1785" s="9"/>
      <c r="AQ1785" s="15" t="s">
        <v>49</v>
      </c>
      <c r="AR1785" t="s">
        <v>1587</v>
      </c>
      <c r="AS1785" s="16" t="s">
        <v>1588</v>
      </c>
    </row>
    <row r="1786" spans="1:60" ht="14.5">
      <c r="A1786" s="9" t="s">
        <v>8896</v>
      </c>
      <c r="B1786" s="9" t="s">
        <v>8897</v>
      </c>
      <c r="C1786" s="9" t="s">
        <v>8898</v>
      </c>
      <c r="D1786" s="9" t="s">
        <v>1560</v>
      </c>
      <c r="E1786" s="9" t="s">
        <v>8899</v>
      </c>
      <c r="F1786" s="9" t="s">
        <v>50</v>
      </c>
      <c r="G1786" s="9" t="s">
        <v>51</v>
      </c>
      <c r="H1786" s="9"/>
      <c r="I1786" s="9" t="s">
        <v>1841</v>
      </c>
      <c r="J1786" s="10"/>
      <c r="K1786" s="10">
        <v>44965</v>
      </c>
      <c r="L1786" s="10"/>
      <c r="M1786" s="10">
        <v>44981</v>
      </c>
      <c r="N1786" s="9">
        <v>2023</v>
      </c>
      <c r="O1786" s="9" t="s">
        <v>8861</v>
      </c>
      <c r="P1786" s="9" t="s">
        <v>53</v>
      </c>
      <c r="Q1786" s="9" t="s">
        <v>53</v>
      </c>
      <c r="T1786" s="9" t="s">
        <v>279</v>
      </c>
      <c r="U1786" s="9" t="s">
        <v>8900</v>
      </c>
      <c r="V1786" s="9"/>
      <c r="AC1786" s="9" t="s">
        <v>8901</v>
      </c>
      <c r="AD1786" s="9" t="s">
        <v>8902</v>
      </c>
      <c r="AI1786" s="9"/>
      <c r="AJ1786" s="9"/>
      <c r="AK1786" s="11" t="str">
        <f t="shared" si="12"/>
        <v>2023</v>
      </c>
      <c r="AL1786" s="11" t="e">
        <f>VLOOKUP(AK1786, Exchange_rates!$C:$D, 2, FALSE)</f>
        <v>#N/A</v>
      </c>
      <c r="AM1786" s="14" t="str">
        <f t="shared" si="13"/>
        <v/>
      </c>
      <c r="AN1786" s="9"/>
      <c r="AO1786" s="9"/>
      <c r="AP1786" s="9"/>
      <c r="AQ1786" s="15" t="s">
        <v>8899</v>
      </c>
      <c r="AR1786" t="s">
        <v>8903</v>
      </c>
      <c r="AS1786" s="16" t="s">
        <v>8904</v>
      </c>
    </row>
    <row r="1787" spans="1:60" ht="14.5">
      <c r="A1787" s="9" t="s">
        <v>8905</v>
      </c>
      <c r="B1787" s="9" t="s">
        <v>8906</v>
      </c>
      <c r="C1787" s="9" t="s">
        <v>8907</v>
      </c>
      <c r="D1787" s="9" t="s">
        <v>1560</v>
      </c>
      <c r="E1787" s="9" t="s">
        <v>49</v>
      </c>
      <c r="F1787" s="9" t="s">
        <v>69</v>
      </c>
      <c r="G1787" s="9" t="s">
        <v>51</v>
      </c>
      <c r="H1787" s="9"/>
      <c r="I1787" s="9" t="s">
        <v>238</v>
      </c>
      <c r="J1787" s="10"/>
      <c r="K1787" s="10">
        <v>44966</v>
      </c>
      <c r="L1787" s="10"/>
      <c r="M1787" s="10"/>
      <c r="N1787" s="9">
        <v>2023</v>
      </c>
      <c r="O1787" s="9" t="s">
        <v>8861</v>
      </c>
      <c r="P1787" s="9" t="s">
        <v>53</v>
      </c>
      <c r="Q1787" s="9" t="s">
        <v>53</v>
      </c>
      <c r="T1787" s="9" t="s">
        <v>723</v>
      </c>
      <c r="V1787" s="9"/>
      <c r="AC1787" s="9" t="s">
        <v>8908</v>
      </c>
      <c r="AD1787" s="9" t="s">
        <v>8909</v>
      </c>
      <c r="AH1787" s="9">
        <v>2132</v>
      </c>
      <c r="AI1787" s="9" t="s">
        <v>77</v>
      </c>
      <c r="AJ1787" s="9" t="s">
        <v>301</v>
      </c>
      <c r="AK1787" s="11" t="str">
        <f t="shared" ref="AK1787:AK2017" si="14">CONCATENATE(N1787,AJ1787)</f>
        <v>2023GBP</v>
      </c>
      <c r="AL1787" s="11">
        <f>VLOOKUP(AK1787, Exchange_rates!$C:$D, 2, FALSE)</f>
        <v>1</v>
      </c>
      <c r="AM1787" s="14">
        <f t="shared" ref="AM1787:AM2017" si="15">IFERROR(((AH1787*AL1787)*1.2), "")</f>
        <v>2558.4</v>
      </c>
      <c r="AN1787" s="9"/>
      <c r="AO1787" s="9"/>
      <c r="AP1787" s="9"/>
      <c r="AQ1787" s="15" t="s">
        <v>49</v>
      </c>
      <c r="AR1787" t="s">
        <v>8910</v>
      </c>
      <c r="AS1787" s="16" t="s">
        <v>8911</v>
      </c>
    </row>
    <row r="1788" spans="1:60" ht="14.5">
      <c r="A1788" s="9" t="s">
        <v>8912</v>
      </c>
      <c r="B1788" s="9" t="s">
        <v>8913</v>
      </c>
      <c r="C1788" s="9" t="s">
        <v>1559</v>
      </c>
      <c r="D1788" s="9" t="s">
        <v>1560</v>
      </c>
      <c r="E1788" s="9" t="s">
        <v>49</v>
      </c>
      <c r="F1788" s="9" t="s">
        <v>50</v>
      </c>
      <c r="G1788" s="9" t="s">
        <v>51</v>
      </c>
      <c r="H1788" s="9"/>
      <c r="I1788" s="9" t="s">
        <v>1647</v>
      </c>
      <c r="J1788" s="10"/>
      <c r="K1788" s="10">
        <v>44966</v>
      </c>
      <c r="L1788" s="10"/>
      <c r="M1788" s="10"/>
      <c r="N1788" s="9">
        <v>2023</v>
      </c>
      <c r="O1788" s="9" t="s">
        <v>8861</v>
      </c>
      <c r="P1788" s="9" t="s">
        <v>53</v>
      </c>
      <c r="Q1788" s="9" t="s">
        <v>53</v>
      </c>
      <c r="T1788" s="9" t="s">
        <v>1912</v>
      </c>
      <c r="U1788" s="9" t="s">
        <v>8914</v>
      </c>
      <c r="V1788" s="9"/>
      <c r="AC1788" s="9" t="s">
        <v>1563</v>
      </c>
      <c r="AD1788" s="9" t="s">
        <v>1564</v>
      </c>
      <c r="AH1788" s="9">
        <v>3198</v>
      </c>
      <c r="AI1788" s="9" t="s">
        <v>77</v>
      </c>
      <c r="AJ1788" s="9" t="s">
        <v>57</v>
      </c>
      <c r="AK1788" s="11" t="str">
        <f t="shared" si="14"/>
        <v>2023USD</v>
      </c>
      <c r="AL1788" s="11">
        <f>VLOOKUP(AK1788, Exchange_rates!$C:$D, 2, FALSE)</f>
        <v>0.80430000000000001</v>
      </c>
      <c r="AM1788" s="14">
        <f t="shared" si="15"/>
        <v>3086.5816800000002</v>
      </c>
      <c r="AN1788" s="9"/>
      <c r="AO1788" s="9"/>
      <c r="AP1788" s="9"/>
      <c r="AQ1788" s="15" t="s">
        <v>49</v>
      </c>
      <c r="AR1788" t="s">
        <v>1565</v>
      </c>
      <c r="AS1788" s="16" t="s">
        <v>1566</v>
      </c>
    </row>
    <row r="1789" spans="1:60" ht="14.5">
      <c r="A1789" s="9" t="s">
        <v>8915</v>
      </c>
      <c r="B1789" s="9" t="s">
        <v>8916</v>
      </c>
      <c r="C1789" s="9" t="s">
        <v>8917</v>
      </c>
      <c r="D1789" s="9" t="s">
        <v>1560</v>
      </c>
      <c r="E1789" s="9" t="s">
        <v>49</v>
      </c>
      <c r="F1789" s="9" t="s">
        <v>50</v>
      </c>
      <c r="G1789" s="9" t="s">
        <v>51</v>
      </c>
      <c r="H1789" s="9"/>
      <c r="I1789" s="9" t="s">
        <v>1647</v>
      </c>
      <c r="J1789" s="10"/>
      <c r="K1789" s="10">
        <v>44971</v>
      </c>
      <c r="L1789" s="10"/>
      <c r="M1789" s="10">
        <v>44985</v>
      </c>
      <c r="N1789" s="9">
        <v>2023</v>
      </c>
      <c r="O1789" s="9" t="s">
        <v>8861</v>
      </c>
      <c r="P1789" s="9" t="s">
        <v>53</v>
      </c>
      <c r="Q1789" s="9" t="s">
        <v>53</v>
      </c>
      <c r="T1789" s="9" t="s">
        <v>1912</v>
      </c>
      <c r="U1789" s="9" t="s">
        <v>474</v>
      </c>
      <c r="V1789" s="9"/>
      <c r="AC1789" s="9" t="s">
        <v>8918</v>
      </c>
      <c r="AD1789" s="9" t="s">
        <v>8919</v>
      </c>
      <c r="AH1789" s="9">
        <v>2808</v>
      </c>
      <c r="AI1789" s="9" t="s">
        <v>77</v>
      </c>
      <c r="AJ1789" s="9" t="s">
        <v>301</v>
      </c>
      <c r="AK1789" s="11" t="str">
        <f t="shared" si="14"/>
        <v>2023GBP</v>
      </c>
      <c r="AL1789" s="11">
        <f>VLOOKUP(AK1789, Exchange_rates!$C:$D, 2, FALSE)</f>
        <v>1</v>
      </c>
      <c r="AM1789" s="14">
        <f t="shared" si="15"/>
        <v>3369.6</v>
      </c>
      <c r="AN1789" s="9"/>
      <c r="AO1789" s="9"/>
      <c r="AP1789" s="9"/>
      <c r="AQ1789" s="15" t="s">
        <v>49</v>
      </c>
      <c r="AS1789" s="16" t="s">
        <v>8920</v>
      </c>
    </row>
    <row r="1790" spans="1:60" ht="14.5">
      <c r="A1790" s="9" t="s">
        <v>8921</v>
      </c>
      <c r="B1790" s="9" t="s">
        <v>8922</v>
      </c>
      <c r="C1790" s="9" t="s">
        <v>8923</v>
      </c>
      <c r="D1790" s="9" t="s">
        <v>1560</v>
      </c>
      <c r="E1790" s="9" t="s">
        <v>49</v>
      </c>
      <c r="F1790" s="9" t="s">
        <v>69</v>
      </c>
      <c r="G1790" s="9" t="s">
        <v>70</v>
      </c>
      <c r="H1790" s="9" t="s">
        <v>8860</v>
      </c>
      <c r="I1790" s="9" t="s">
        <v>72</v>
      </c>
      <c r="J1790" s="10"/>
      <c r="K1790" s="10">
        <v>44985</v>
      </c>
      <c r="L1790" s="10"/>
      <c r="M1790" s="10">
        <v>44988</v>
      </c>
      <c r="N1790" s="9">
        <v>2023</v>
      </c>
      <c r="O1790" s="9" t="s">
        <v>8861</v>
      </c>
      <c r="P1790" s="9" t="s">
        <v>53</v>
      </c>
      <c r="Q1790" s="9" t="s">
        <v>53</v>
      </c>
      <c r="R1790" s="9" t="s">
        <v>8924</v>
      </c>
      <c r="T1790" s="9"/>
      <c r="V1790" s="9"/>
      <c r="AC1790" s="9" t="s">
        <v>8925</v>
      </c>
      <c r="AD1790" s="9" t="s">
        <v>8926</v>
      </c>
      <c r="AH1790" s="9">
        <v>2650</v>
      </c>
      <c r="AI1790" s="9" t="s">
        <v>77</v>
      </c>
      <c r="AJ1790" s="9" t="s">
        <v>301</v>
      </c>
      <c r="AK1790" s="11" t="str">
        <f t="shared" si="14"/>
        <v>2023GBP</v>
      </c>
      <c r="AL1790" s="11">
        <f>VLOOKUP(AK1790, Exchange_rates!$C:$D, 2, FALSE)</f>
        <v>1</v>
      </c>
      <c r="AM1790" s="14">
        <f t="shared" si="15"/>
        <v>3180</v>
      </c>
      <c r="AN1790" s="9"/>
      <c r="AO1790" s="9"/>
      <c r="AP1790" s="9"/>
      <c r="AQ1790" s="15" t="s">
        <v>49</v>
      </c>
      <c r="AS1790" s="16" t="s">
        <v>8927</v>
      </c>
    </row>
    <row r="1791" spans="1:60" ht="14.5">
      <c r="A1791" s="9" t="s">
        <v>8928</v>
      </c>
      <c r="B1791" s="9" t="s">
        <v>8929</v>
      </c>
      <c r="C1791" s="9" t="s">
        <v>8930</v>
      </c>
      <c r="D1791" s="9" t="s">
        <v>1560</v>
      </c>
      <c r="E1791" s="9" t="s">
        <v>49</v>
      </c>
      <c r="F1791" s="9" t="s">
        <v>69</v>
      </c>
      <c r="G1791" s="9" t="s">
        <v>70</v>
      </c>
      <c r="H1791" s="9" t="s">
        <v>8860</v>
      </c>
      <c r="I1791" s="9" t="s">
        <v>72</v>
      </c>
      <c r="J1791" s="10"/>
      <c r="K1791" s="10">
        <v>44993</v>
      </c>
      <c r="L1791" s="10"/>
      <c r="M1791" s="10"/>
      <c r="N1791" s="9">
        <v>2023</v>
      </c>
      <c r="O1791" s="9" t="s">
        <v>8861</v>
      </c>
      <c r="P1791" s="9" t="s">
        <v>53</v>
      </c>
      <c r="Q1791" s="9" t="s">
        <v>53</v>
      </c>
      <c r="T1791" s="9"/>
      <c r="V1791" s="9"/>
      <c r="AC1791" s="9" t="s">
        <v>8931</v>
      </c>
      <c r="AD1791" s="9" t="s">
        <v>8072</v>
      </c>
      <c r="AH1791" s="9">
        <v>4152</v>
      </c>
      <c r="AI1791" s="9" t="s">
        <v>77</v>
      </c>
      <c r="AJ1791" s="9" t="s">
        <v>57</v>
      </c>
      <c r="AK1791" s="11" t="str">
        <f t="shared" si="14"/>
        <v>2023USD</v>
      </c>
      <c r="AL1791" s="11">
        <f>VLOOKUP(AK1791, Exchange_rates!$C:$D, 2, FALSE)</f>
        <v>0.80430000000000001</v>
      </c>
      <c r="AM1791" s="14">
        <f t="shared" si="15"/>
        <v>4007.3443200000002</v>
      </c>
      <c r="AN1791" s="9"/>
      <c r="AO1791" s="9"/>
      <c r="AP1791" s="9"/>
      <c r="AQ1791" s="15" t="s">
        <v>49</v>
      </c>
      <c r="AS1791" s="16" t="s">
        <v>8932</v>
      </c>
    </row>
    <row r="1792" spans="1:60" ht="14.5">
      <c r="A1792" s="9" t="s">
        <v>8933</v>
      </c>
      <c r="B1792" s="9" t="s">
        <v>8934</v>
      </c>
      <c r="C1792" s="9" t="s">
        <v>1597</v>
      </c>
      <c r="D1792" s="9" t="s">
        <v>1560</v>
      </c>
      <c r="E1792" s="9" t="s">
        <v>49</v>
      </c>
      <c r="F1792" s="9" t="s">
        <v>50</v>
      </c>
      <c r="G1792" s="9" t="s">
        <v>51</v>
      </c>
      <c r="H1792" s="9"/>
      <c r="I1792" s="9" t="s">
        <v>1647</v>
      </c>
      <c r="J1792" s="10"/>
      <c r="K1792" s="10">
        <v>45008</v>
      </c>
      <c r="L1792" s="10"/>
      <c r="M1792" s="10"/>
      <c r="N1792" s="9">
        <v>2023</v>
      </c>
      <c r="O1792" s="9" t="s">
        <v>8861</v>
      </c>
      <c r="P1792" s="9" t="s">
        <v>53</v>
      </c>
      <c r="Q1792" s="9" t="s">
        <v>53</v>
      </c>
      <c r="T1792" s="9" t="s">
        <v>1912</v>
      </c>
      <c r="U1792" s="9" t="s">
        <v>474</v>
      </c>
      <c r="V1792" s="9"/>
      <c r="AC1792" s="9" t="s">
        <v>8935</v>
      </c>
      <c r="AD1792" s="9" t="s">
        <v>8936</v>
      </c>
      <c r="AH1792" s="9">
        <v>3119</v>
      </c>
      <c r="AI1792" s="9" t="s">
        <v>77</v>
      </c>
      <c r="AJ1792" s="9" t="s">
        <v>301</v>
      </c>
      <c r="AK1792" s="11" t="str">
        <f t="shared" si="14"/>
        <v>2023GBP</v>
      </c>
      <c r="AL1792" s="11">
        <f>VLOOKUP(AK1792, Exchange_rates!$C:$D, 2, FALSE)</f>
        <v>1</v>
      </c>
      <c r="AM1792" s="14">
        <f t="shared" si="15"/>
        <v>3742.7999999999997</v>
      </c>
      <c r="AN1792" s="9"/>
      <c r="AO1792" s="9"/>
      <c r="AP1792" s="9"/>
      <c r="AQ1792" s="15" t="s">
        <v>49</v>
      </c>
      <c r="AR1792" t="s">
        <v>1601</v>
      </c>
      <c r="AS1792" s="16" t="s">
        <v>1602</v>
      </c>
    </row>
    <row r="1793" spans="1:60" ht="14.5">
      <c r="A1793" s="20" t="s">
        <v>8937</v>
      </c>
      <c r="B1793" s="20" t="s">
        <v>8938</v>
      </c>
      <c r="C1793" s="20" t="s">
        <v>1723</v>
      </c>
      <c r="D1793" s="20" t="s">
        <v>1560</v>
      </c>
      <c r="E1793" s="20" t="s">
        <v>49</v>
      </c>
      <c r="F1793" s="20" t="s">
        <v>69</v>
      </c>
      <c r="G1793" s="20" t="s">
        <v>70</v>
      </c>
      <c r="H1793" s="20" t="s">
        <v>8860</v>
      </c>
      <c r="I1793" s="20" t="s">
        <v>72</v>
      </c>
      <c r="J1793" s="22"/>
      <c r="K1793" s="22">
        <v>45012</v>
      </c>
      <c r="L1793" s="22"/>
      <c r="M1793" s="22"/>
      <c r="N1793" s="20">
        <v>2023</v>
      </c>
      <c r="O1793" s="20" t="s">
        <v>8861</v>
      </c>
      <c r="P1793" s="20" t="s">
        <v>53</v>
      </c>
      <c r="Q1793" s="20" t="s">
        <v>53</v>
      </c>
      <c r="R1793" s="20"/>
      <c r="S1793" s="20"/>
      <c r="T1793" s="20"/>
      <c r="U1793" s="20"/>
      <c r="V1793" s="20"/>
      <c r="W1793" s="20"/>
      <c r="X1793" s="20"/>
      <c r="Y1793" s="20"/>
      <c r="Z1793" s="20"/>
      <c r="AA1793" s="20"/>
      <c r="AB1793" s="20"/>
      <c r="AC1793" s="20" t="s">
        <v>8939</v>
      </c>
      <c r="AD1793" s="20" t="s">
        <v>8940</v>
      </c>
      <c r="AE1793" s="20"/>
      <c r="AF1793" s="20"/>
      <c r="AG1793" s="20"/>
      <c r="AH1793" s="20">
        <v>3090</v>
      </c>
      <c r="AI1793" s="20" t="s">
        <v>77</v>
      </c>
      <c r="AJ1793" s="20" t="s">
        <v>301</v>
      </c>
      <c r="AK1793" s="23" t="str">
        <f t="shared" si="14"/>
        <v>2023GBP</v>
      </c>
      <c r="AL1793" s="23">
        <f>VLOOKUP(AK1793, Exchange_rates!$C:$D, 2, FALSE)</f>
        <v>1</v>
      </c>
      <c r="AM1793" s="26">
        <f t="shared" si="15"/>
        <v>3708</v>
      </c>
      <c r="AN1793" s="20"/>
      <c r="AO1793" s="20"/>
      <c r="AP1793" s="20"/>
      <c r="AQ1793" s="27" t="s">
        <v>49</v>
      </c>
      <c r="AS1793" s="16" t="s">
        <v>1726</v>
      </c>
      <c r="AT1793" s="20"/>
      <c r="AU1793" s="20"/>
      <c r="AV1793" s="20"/>
      <c r="AW1793" s="20"/>
      <c r="AX1793" s="20"/>
      <c r="AY1793" s="20"/>
      <c r="AZ1793" s="20"/>
      <c r="BA1793" s="20"/>
      <c r="BB1793" s="20"/>
      <c r="BC1793" s="20"/>
      <c r="BD1793" s="20"/>
      <c r="BE1793" s="20"/>
      <c r="BF1793" s="20"/>
      <c r="BG1793" s="20"/>
      <c r="BH1793" s="20"/>
    </row>
    <row r="1794" spans="1:60" ht="14.5">
      <c r="A1794" s="9" t="s">
        <v>8941</v>
      </c>
      <c r="B1794" s="9" t="s">
        <v>8942</v>
      </c>
      <c r="C1794" s="9" t="s">
        <v>2065</v>
      </c>
      <c r="D1794" s="9" t="s">
        <v>1994</v>
      </c>
      <c r="E1794" s="9" t="s">
        <v>125</v>
      </c>
      <c r="F1794" s="9" t="s">
        <v>69</v>
      </c>
      <c r="G1794" s="9" t="s">
        <v>70</v>
      </c>
      <c r="H1794" s="9" t="s">
        <v>8943</v>
      </c>
      <c r="I1794" s="9" t="s">
        <v>72</v>
      </c>
      <c r="J1794" s="28">
        <v>44855</v>
      </c>
      <c r="K1794" s="10">
        <v>44945</v>
      </c>
      <c r="L1794" s="10"/>
      <c r="M1794" s="10"/>
      <c r="N1794" s="9">
        <v>2023</v>
      </c>
      <c r="O1794" s="9" t="s">
        <v>8944</v>
      </c>
      <c r="P1794" s="9" t="s">
        <v>53</v>
      </c>
      <c r="Q1794" s="9" t="s">
        <v>53</v>
      </c>
      <c r="R1794" s="9" t="s">
        <v>8945</v>
      </c>
      <c r="T1794" s="9"/>
      <c r="V1794" s="9"/>
      <c r="AC1794" s="9" t="s">
        <v>8946</v>
      </c>
      <c r="AD1794" s="9" t="s">
        <v>8947</v>
      </c>
      <c r="AH1794" s="9">
        <v>2655</v>
      </c>
      <c r="AI1794" s="9" t="s">
        <v>77</v>
      </c>
      <c r="AJ1794" s="9" t="s">
        <v>57</v>
      </c>
      <c r="AK1794" s="11" t="str">
        <f t="shared" si="14"/>
        <v>2023USD</v>
      </c>
      <c r="AL1794" s="11">
        <f>VLOOKUP(AK1794, Exchange_rates!$C:$D, 2, FALSE)</f>
        <v>0.80430000000000001</v>
      </c>
      <c r="AM1794" s="14">
        <f t="shared" si="15"/>
        <v>2562.4997999999996</v>
      </c>
      <c r="AN1794" s="9"/>
      <c r="AO1794" s="9"/>
      <c r="AP1794" s="9"/>
      <c r="AQ1794" s="15" t="s">
        <v>125</v>
      </c>
      <c r="AR1794" t="s">
        <v>2070</v>
      </c>
      <c r="AS1794" s="16"/>
    </row>
    <row r="1795" spans="1:60" ht="14.5">
      <c r="A1795" s="9" t="s">
        <v>8948</v>
      </c>
      <c r="B1795" s="9" t="s">
        <v>8949</v>
      </c>
      <c r="C1795" s="9" t="s">
        <v>1993</v>
      </c>
      <c r="D1795" s="9" t="s">
        <v>1994</v>
      </c>
      <c r="E1795" s="9" t="s">
        <v>125</v>
      </c>
      <c r="F1795" s="9" t="s">
        <v>69</v>
      </c>
      <c r="G1795" s="9" t="s">
        <v>70</v>
      </c>
      <c r="H1795" s="9" t="s">
        <v>8943</v>
      </c>
      <c r="I1795" s="9" t="s">
        <v>72</v>
      </c>
      <c r="J1795" s="10">
        <v>44777</v>
      </c>
      <c r="K1795" s="10">
        <v>44945</v>
      </c>
      <c r="L1795" s="10"/>
      <c r="M1795" s="10"/>
      <c r="N1795" s="9">
        <v>2023</v>
      </c>
      <c r="O1795" s="9" t="s">
        <v>8944</v>
      </c>
      <c r="P1795" s="9" t="s">
        <v>53</v>
      </c>
      <c r="Q1795" s="9" t="s">
        <v>53</v>
      </c>
      <c r="R1795" s="9" t="s">
        <v>8950</v>
      </c>
      <c r="T1795" s="9"/>
      <c r="V1795" s="9"/>
      <c r="AC1795" s="9" t="s">
        <v>8951</v>
      </c>
      <c r="AD1795" s="9" t="s">
        <v>8952</v>
      </c>
      <c r="AH1795" s="9">
        <v>1805</v>
      </c>
      <c r="AI1795" s="9" t="s">
        <v>77</v>
      </c>
      <c r="AJ1795" s="9" t="s">
        <v>57</v>
      </c>
      <c r="AK1795" s="11" t="str">
        <f t="shared" si="14"/>
        <v>2023USD</v>
      </c>
      <c r="AL1795" s="11">
        <f>VLOOKUP(AK1795, Exchange_rates!$C:$D, 2, FALSE)</f>
        <v>0.80430000000000001</v>
      </c>
      <c r="AM1795" s="14">
        <f t="shared" si="15"/>
        <v>1742.1138000000001</v>
      </c>
      <c r="AN1795" s="9"/>
      <c r="AO1795" s="9"/>
      <c r="AP1795" s="9"/>
      <c r="AQ1795" s="15" t="s">
        <v>125</v>
      </c>
      <c r="AR1795" t="s">
        <v>2000</v>
      </c>
      <c r="AS1795" s="16"/>
    </row>
    <row r="1796" spans="1:60" ht="14.5">
      <c r="A1796" s="9" t="s">
        <v>8953</v>
      </c>
      <c r="B1796" s="9" t="s">
        <v>8954</v>
      </c>
      <c r="C1796" s="9" t="s">
        <v>1993</v>
      </c>
      <c r="D1796" s="9" t="s">
        <v>1994</v>
      </c>
      <c r="E1796" s="9" t="s">
        <v>125</v>
      </c>
      <c r="F1796" s="9" t="s">
        <v>69</v>
      </c>
      <c r="G1796" s="9" t="s">
        <v>70</v>
      </c>
      <c r="H1796" s="9" t="s">
        <v>8943</v>
      </c>
      <c r="I1796" s="9" t="s">
        <v>72</v>
      </c>
      <c r="J1796" s="10">
        <v>44839</v>
      </c>
      <c r="K1796" s="10">
        <v>44839</v>
      </c>
      <c r="L1796" s="10"/>
      <c r="M1796" s="10"/>
      <c r="N1796" s="9">
        <v>2023</v>
      </c>
      <c r="O1796" s="9" t="s">
        <v>8955</v>
      </c>
      <c r="P1796" s="9" t="s">
        <v>83</v>
      </c>
      <c r="Q1796" s="9" t="s">
        <v>53</v>
      </c>
      <c r="R1796" s="9" t="s">
        <v>8956</v>
      </c>
      <c r="S1796" s="9" t="s">
        <v>8957</v>
      </c>
      <c r="T1796" s="9"/>
      <c r="V1796" s="9"/>
      <c r="AC1796" s="9" t="s">
        <v>8958</v>
      </c>
      <c r="AD1796" s="9" t="s">
        <v>8959</v>
      </c>
      <c r="AH1796" s="9">
        <v>1805</v>
      </c>
      <c r="AI1796" s="9" t="s">
        <v>77</v>
      </c>
      <c r="AJ1796" s="9" t="s">
        <v>57</v>
      </c>
      <c r="AK1796" s="11" t="str">
        <f t="shared" si="14"/>
        <v>2023USD</v>
      </c>
      <c r="AL1796" s="11">
        <f>VLOOKUP(AK1796, Exchange_rates!$C:$D, 2, FALSE)</f>
        <v>0.80430000000000001</v>
      </c>
      <c r="AM1796" s="14">
        <f t="shared" si="15"/>
        <v>1742.1138000000001</v>
      </c>
      <c r="AN1796" s="9"/>
      <c r="AO1796" s="9"/>
      <c r="AP1796" s="9"/>
      <c r="AQ1796" s="15" t="s">
        <v>125</v>
      </c>
      <c r="AR1796" t="s">
        <v>2000</v>
      </c>
      <c r="AS1796" s="16"/>
    </row>
    <row r="1797" spans="1:60" ht="14.5">
      <c r="A1797" s="9" t="s">
        <v>8960</v>
      </c>
      <c r="B1797" s="9" t="s">
        <v>8961</v>
      </c>
      <c r="C1797" s="9" t="s">
        <v>7876</v>
      </c>
      <c r="D1797" s="9" t="s">
        <v>2268</v>
      </c>
      <c r="E1797" s="21" t="s">
        <v>49</v>
      </c>
      <c r="F1797" s="9" t="s">
        <v>69</v>
      </c>
      <c r="G1797" s="9" t="s">
        <v>70</v>
      </c>
      <c r="H1797" s="9" t="s">
        <v>7853</v>
      </c>
      <c r="I1797" s="9" t="s">
        <v>72</v>
      </c>
      <c r="J1797" s="10">
        <v>44844</v>
      </c>
      <c r="K1797" s="10">
        <v>44974</v>
      </c>
      <c r="L1797" s="10"/>
      <c r="M1797" s="10"/>
      <c r="N1797" s="9">
        <v>2023</v>
      </c>
      <c r="O1797" s="9" t="s">
        <v>8962</v>
      </c>
      <c r="P1797" s="9" t="s">
        <v>53</v>
      </c>
      <c r="Q1797" s="9" t="s">
        <v>53</v>
      </c>
      <c r="R1797" s="9" t="s">
        <v>178</v>
      </c>
      <c r="T1797" s="9"/>
      <c r="V1797" s="9"/>
      <c r="AC1797" s="9" t="s">
        <v>199</v>
      </c>
      <c r="AH1797" s="9">
        <v>2500</v>
      </c>
      <c r="AI1797" s="9" t="s">
        <v>875</v>
      </c>
      <c r="AJ1797" s="9" t="s">
        <v>301</v>
      </c>
      <c r="AK1797" s="11" t="str">
        <f t="shared" si="14"/>
        <v>2023GBP</v>
      </c>
      <c r="AL1797" s="11">
        <f>VLOOKUP(AK1797, Exchange_rates!$C:$D, 2, FALSE)</f>
        <v>1</v>
      </c>
      <c r="AM1797" s="14">
        <f t="shared" si="15"/>
        <v>3000</v>
      </c>
      <c r="AN1797" s="9"/>
      <c r="AO1797" s="9"/>
      <c r="AP1797" s="21"/>
      <c r="AQ1797" s="27" t="s">
        <v>49</v>
      </c>
      <c r="AR1797" t="s">
        <v>7878</v>
      </c>
      <c r="AS1797" s="16"/>
    </row>
    <row r="1798" spans="1:60" ht="14.5">
      <c r="A1798" s="20" t="s">
        <v>8963</v>
      </c>
      <c r="B1798" s="20" t="s">
        <v>8964</v>
      </c>
      <c r="C1798" s="20" t="s">
        <v>2361</v>
      </c>
      <c r="D1798" s="20" t="s">
        <v>2268</v>
      </c>
      <c r="E1798" s="21" t="s">
        <v>49</v>
      </c>
      <c r="F1798" s="20" t="s">
        <v>69</v>
      </c>
      <c r="G1798" s="20" t="s">
        <v>70</v>
      </c>
      <c r="H1798" s="20" t="s">
        <v>7853</v>
      </c>
      <c r="I1798" s="20" t="s">
        <v>72</v>
      </c>
      <c r="J1798" s="22">
        <v>44867</v>
      </c>
      <c r="K1798" s="22">
        <v>44985</v>
      </c>
      <c r="L1798" s="22"/>
      <c r="M1798" s="22"/>
      <c r="N1798" s="20">
        <v>2023</v>
      </c>
      <c r="O1798" s="20" t="s">
        <v>8962</v>
      </c>
      <c r="P1798" s="20" t="s">
        <v>83</v>
      </c>
      <c r="Q1798" s="20" t="s">
        <v>53</v>
      </c>
      <c r="R1798" s="20" t="s">
        <v>8965</v>
      </c>
      <c r="S1798" s="20"/>
      <c r="T1798" s="20"/>
      <c r="U1798" s="20"/>
      <c r="V1798" s="20"/>
      <c r="W1798" s="20"/>
      <c r="X1798" s="20"/>
      <c r="Y1798" s="20"/>
      <c r="Z1798" s="20"/>
      <c r="AA1798" s="20"/>
      <c r="AB1798" s="20"/>
      <c r="AC1798" s="20" t="s">
        <v>8966</v>
      </c>
      <c r="AD1798" s="20"/>
      <c r="AE1798" s="20"/>
      <c r="AF1798" s="20"/>
      <c r="AG1798" s="20"/>
      <c r="AH1798" s="20">
        <v>2500</v>
      </c>
      <c r="AI1798" s="20" t="s">
        <v>875</v>
      </c>
      <c r="AJ1798" s="20" t="s">
        <v>301</v>
      </c>
      <c r="AK1798" s="23" t="str">
        <f t="shared" si="14"/>
        <v>2023GBP</v>
      </c>
      <c r="AL1798" s="23">
        <f>VLOOKUP(AK1798, Exchange_rates!$C:$D, 2, FALSE)</f>
        <v>1</v>
      </c>
      <c r="AM1798" s="26">
        <f t="shared" si="15"/>
        <v>3000</v>
      </c>
      <c r="AN1798" s="20"/>
      <c r="AO1798" s="20"/>
      <c r="AP1798" s="21"/>
      <c r="AQ1798" s="27" t="s">
        <v>49</v>
      </c>
      <c r="AR1798" t="s">
        <v>2363</v>
      </c>
      <c r="AS1798" s="16"/>
      <c r="AT1798" s="20"/>
      <c r="AU1798" s="20"/>
      <c r="AV1798" s="20"/>
      <c r="AW1798" s="20"/>
      <c r="AX1798" s="20"/>
      <c r="AY1798" s="20"/>
      <c r="AZ1798" s="20"/>
      <c r="BA1798" s="20"/>
      <c r="BB1798" s="20"/>
      <c r="BC1798" s="20"/>
      <c r="BD1798" s="20"/>
      <c r="BE1798" s="20"/>
      <c r="BF1798" s="20"/>
      <c r="BG1798" s="20"/>
      <c r="BH1798" s="20"/>
    </row>
    <row r="1799" spans="1:60" ht="14.5">
      <c r="A1799" s="9" t="s">
        <v>8967</v>
      </c>
      <c r="B1799" s="9" t="s">
        <v>8968</v>
      </c>
      <c r="C1799" s="9" t="s">
        <v>8969</v>
      </c>
      <c r="D1799" s="9" t="s">
        <v>48</v>
      </c>
      <c r="E1799" s="21" t="s">
        <v>49</v>
      </c>
      <c r="F1799" s="9" t="s">
        <v>69</v>
      </c>
      <c r="G1799" s="9" t="s">
        <v>70</v>
      </c>
      <c r="H1799" s="9" t="s">
        <v>7292</v>
      </c>
      <c r="I1799" s="9" t="s">
        <v>72</v>
      </c>
      <c r="J1799" s="10">
        <v>44957</v>
      </c>
      <c r="K1799" s="10">
        <v>45048</v>
      </c>
      <c r="L1799" s="10">
        <v>45048</v>
      </c>
      <c r="M1799" s="10"/>
      <c r="N1799" s="9">
        <v>2023</v>
      </c>
      <c r="O1799" s="9" t="s">
        <v>8970</v>
      </c>
      <c r="P1799" s="9" t="s">
        <v>83</v>
      </c>
      <c r="Q1799" s="9" t="s">
        <v>53</v>
      </c>
      <c r="R1799" s="9" t="s">
        <v>1980</v>
      </c>
      <c r="T1799" s="9"/>
      <c r="V1799" s="9"/>
      <c r="AC1799" s="9" t="s">
        <v>8971</v>
      </c>
      <c r="AD1799" s="9" t="s">
        <v>8972</v>
      </c>
      <c r="AE1799" s="9" t="s">
        <v>8973</v>
      </c>
      <c r="AH1799" s="9">
        <v>4000</v>
      </c>
      <c r="AI1799" s="9" t="s">
        <v>77</v>
      </c>
      <c r="AJ1799" s="9" t="s">
        <v>57</v>
      </c>
      <c r="AK1799" s="11" t="str">
        <f t="shared" si="14"/>
        <v>2023USD</v>
      </c>
      <c r="AL1799" s="11">
        <f>VLOOKUP(AK1799, Exchange_rates!$C:$D, 2, FALSE)</f>
        <v>0.80430000000000001</v>
      </c>
      <c r="AM1799" s="14">
        <f t="shared" si="15"/>
        <v>3860.6400000000003</v>
      </c>
      <c r="AN1799" s="9"/>
      <c r="AO1799" s="9"/>
      <c r="AP1799" s="21"/>
      <c r="AQ1799" s="27" t="s">
        <v>49</v>
      </c>
      <c r="AR1799" t="s">
        <v>8974</v>
      </c>
      <c r="AS1799" s="16" t="s">
        <v>8975</v>
      </c>
    </row>
    <row r="1800" spans="1:60" ht="14.5">
      <c r="A1800" s="9" t="s">
        <v>8976</v>
      </c>
      <c r="B1800" s="9" t="s">
        <v>8977</v>
      </c>
      <c r="C1800" s="9" t="s">
        <v>8978</v>
      </c>
      <c r="D1800" s="9" t="s">
        <v>48</v>
      </c>
      <c r="E1800" s="21" t="s">
        <v>49</v>
      </c>
      <c r="F1800" s="9" t="s">
        <v>69</v>
      </c>
      <c r="G1800" s="9" t="s">
        <v>70</v>
      </c>
      <c r="H1800" s="9" t="s">
        <v>7292</v>
      </c>
      <c r="I1800" s="9" t="s">
        <v>72</v>
      </c>
      <c r="J1800" s="10">
        <v>44992</v>
      </c>
      <c r="K1800" s="10">
        <v>45041</v>
      </c>
      <c r="L1800" s="10">
        <v>45041</v>
      </c>
      <c r="M1800" s="10"/>
      <c r="N1800" s="9">
        <v>2023</v>
      </c>
      <c r="O1800" s="9" t="s">
        <v>8970</v>
      </c>
      <c r="P1800" s="9" t="s">
        <v>83</v>
      </c>
      <c r="Q1800" s="9" t="s">
        <v>53</v>
      </c>
      <c r="R1800" s="9" t="s">
        <v>8979</v>
      </c>
      <c r="T1800" s="9"/>
      <c r="V1800" s="9"/>
      <c r="AC1800" s="9" t="s">
        <v>8980</v>
      </c>
      <c r="AD1800" s="9" t="s">
        <v>8981</v>
      </c>
      <c r="AE1800" s="9" t="s">
        <v>8982</v>
      </c>
      <c r="AH1800" s="9">
        <v>4000</v>
      </c>
      <c r="AI1800" s="9" t="s">
        <v>77</v>
      </c>
      <c r="AJ1800" s="9" t="s">
        <v>57</v>
      </c>
      <c r="AK1800" s="11" t="str">
        <f t="shared" si="14"/>
        <v>2023USD</v>
      </c>
      <c r="AL1800" s="11">
        <f>VLOOKUP(AK1800, Exchange_rates!$C:$D, 2, FALSE)</f>
        <v>0.80430000000000001</v>
      </c>
      <c r="AM1800" s="14">
        <f t="shared" si="15"/>
        <v>3860.6400000000003</v>
      </c>
      <c r="AN1800" s="9"/>
      <c r="AO1800" s="9"/>
      <c r="AP1800" s="21"/>
      <c r="AQ1800" s="27" t="s">
        <v>49</v>
      </c>
      <c r="AR1800" t="s">
        <v>8983</v>
      </c>
      <c r="AS1800" s="16"/>
    </row>
    <row r="1801" spans="1:60" ht="14.5">
      <c r="A1801" s="9" t="s">
        <v>8984</v>
      </c>
      <c r="B1801" s="9" t="s">
        <v>8985</v>
      </c>
      <c r="C1801" s="9" t="s">
        <v>47</v>
      </c>
      <c r="D1801" s="9" t="s">
        <v>48</v>
      </c>
      <c r="E1801" s="21" t="s">
        <v>49</v>
      </c>
      <c r="F1801" s="9" t="s">
        <v>69</v>
      </c>
      <c r="G1801" s="9" t="s">
        <v>70</v>
      </c>
      <c r="H1801" s="9" t="s">
        <v>7292</v>
      </c>
      <c r="I1801" s="9" t="s">
        <v>72</v>
      </c>
      <c r="J1801" s="10">
        <v>44907</v>
      </c>
      <c r="K1801" s="10">
        <v>45030</v>
      </c>
      <c r="L1801" s="10">
        <v>45030</v>
      </c>
      <c r="M1801" s="10"/>
      <c r="N1801" s="9">
        <v>2023</v>
      </c>
      <c r="O1801" s="9" t="s">
        <v>8970</v>
      </c>
      <c r="P1801" s="9" t="s">
        <v>53</v>
      </c>
      <c r="Q1801" s="9" t="s">
        <v>53</v>
      </c>
      <c r="T1801" s="9"/>
      <c r="V1801" s="9"/>
      <c r="AC1801" s="9" t="s">
        <v>8986</v>
      </c>
      <c r="AD1801" s="9" t="s">
        <v>8987</v>
      </c>
      <c r="AE1801" s="9" t="s">
        <v>8988</v>
      </c>
      <c r="AH1801" s="9">
        <v>4000</v>
      </c>
      <c r="AI1801" s="9" t="s">
        <v>77</v>
      </c>
      <c r="AJ1801" s="9" t="s">
        <v>57</v>
      </c>
      <c r="AK1801" s="11" t="str">
        <f t="shared" si="14"/>
        <v>2023USD</v>
      </c>
      <c r="AL1801" s="11">
        <f>VLOOKUP(AK1801, Exchange_rates!$C:$D, 2, FALSE)</f>
        <v>0.80430000000000001</v>
      </c>
      <c r="AM1801" s="14">
        <f t="shared" si="15"/>
        <v>3860.6400000000003</v>
      </c>
      <c r="AN1801" s="9"/>
      <c r="AO1801" s="9"/>
      <c r="AP1801" s="21"/>
      <c r="AQ1801" s="27" t="s">
        <v>49</v>
      </c>
      <c r="AR1801" t="s">
        <v>58</v>
      </c>
      <c r="AS1801" s="16" t="s">
        <v>59</v>
      </c>
    </row>
    <row r="1802" spans="1:60" ht="14.5">
      <c r="A1802" s="9" t="s">
        <v>8989</v>
      </c>
      <c r="B1802" s="9" t="s">
        <v>8990</v>
      </c>
      <c r="C1802" s="9" t="s">
        <v>139</v>
      </c>
      <c r="D1802" s="9" t="s">
        <v>48</v>
      </c>
      <c r="E1802" s="21" t="s">
        <v>49</v>
      </c>
      <c r="F1802" s="9" t="s">
        <v>69</v>
      </c>
      <c r="G1802" s="9" t="s">
        <v>70</v>
      </c>
      <c r="H1802" s="9" t="s">
        <v>7292</v>
      </c>
      <c r="I1802" s="9" t="s">
        <v>72</v>
      </c>
      <c r="J1802" s="10">
        <v>44953</v>
      </c>
      <c r="K1802" s="10">
        <v>45021</v>
      </c>
      <c r="L1802" s="10">
        <v>45021</v>
      </c>
      <c r="M1802" s="10"/>
      <c r="N1802" s="9">
        <v>2023</v>
      </c>
      <c r="O1802" s="9" t="s">
        <v>8970</v>
      </c>
      <c r="P1802" s="9" t="s">
        <v>53</v>
      </c>
      <c r="Q1802" s="9" t="s">
        <v>53</v>
      </c>
      <c r="R1802" s="9" t="s">
        <v>8991</v>
      </c>
      <c r="T1802" s="9"/>
      <c r="V1802" s="9"/>
      <c r="AC1802" s="9" t="s">
        <v>141</v>
      </c>
      <c r="AD1802" s="9" t="s">
        <v>142</v>
      </c>
      <c r="AE1802" s="9" t="s">
        <v>8992</v>
      </c>
      <c r="AH1802" s="9">
        <v>4000</v>
      </c>
      <c r="AI1802" s="9" t="s">
        <v>77</v>
      </c>
      <c r="AJ1802" s="9" t="s">
        <v>57</v>
      </c>
      <c r="AK1802" s="11" t="str">
        <f t="shared" si="14"/>
        <v>2023USD</v>
      </c>
      <c r="AL1802" s="11">
        <f>VLOOKUP(AK1802, Exchange_rates!$C:$D, 2, FALSE)</f>
        <v>0.80430000000000001</v>
      </c>
      <c r="AM1802" s="14">
        <f t="shared" si="15"/>
        <v>3860.6400000000003</v>
      </c>
      <c r="AN1802" s="9"/>
      <c r="AO1802" s="9"/>
      <c r="AP1802" s="21"/>
      <c r="AQ1802" s="27" t="s">
        <v>49</v>
      </c>
      <c r="AR1802" t="s">
        <v>143</v>
      </c>
      <c r="AS1802" s="16" t="s">
        <v>144</v>
      </c>
    </row>
    <row r="1803" spans="1:60" ht="14.5">
      <c r="A1803" s="9" t="s">
        <v>8993</v>
      </c>
      <c r="B1803" s="9" t="s">
        <v>8994</v>
      </c>
      <c r="C1803" s="9" t="s">
        <v>91</v>
      </c>
      <c r="D1803" s="9" t="s">
        <v>48</v>
      </c>
      <c r="E1803" s="21" t="s">
        <v>49</v>
      </c>
      <c r="F1803" s="9" t="s">
        <v>69</v>
      </c>
      <c r="G1803" s="9" t="s">
        <v>70</v>
      </c>
      <c r="H1803" s="9" t="s">
        <v>7292</v>
      </c>
      <c r="I1803" s="9" t="s">
        <v>72</v>
      </c>
      <c r="J1803" s="10">
        <v>44929</v>
      </c>
      <c r="K1803" s="10">
        <v>44996</v>
      </c>
      <c r="L1803" s="10">
        <v>44996</v>
      </c>
      <c r="M1803" s="10"/>
      <c r="N1803" s="9">
        <v>2023</v>
      </c>
      <c r="O1803" s="9" t="s">
        <v>8970</v>
      </c>
      <c r="P1803" s="9" t="s">
        <v>83</v>
      </c>
      <c r="Q1803" s="9" t="s">
        <v>53</v>
      </c>
      <c r="R1803" s="9" t="s">
        <v>8995</v>
      </c>
      <c r="S1803" s="9"/>
      <c r="T1803" s="9"/>
      <c r="V1803" s="9"/>
      <c r="AC1803" s="9" t="s">
        <v>100</v>
      </c>
      <c r="AD1803" s="9" t="s">
        <v>101</v>
      </c>
      <c r="AE1803" s="9" t="s">
        <v>6910</v>
      </c>
      <c r="AH1803" s="9">
        <v>4000</v>
      </c>
      <c r="AI1803" s="9" t="s">
        <v>77</v>
      </c>
      <c r="AJ1803" s="9" t="s">
        <v>57</v>
      </c>
      <c r="AK1803" s="11" t="str">
        <f t="shared" si="14"/>
        <v>2023USD</v>
      </c>
      <c r="AL1803" s="11">
        <f>VLOOKUP(AK1803, Exchange_rates!$C:$D, 2, FALSE)</f>
        <v>0.80430000000000001</v>
      </c>
      <c r="AM1803" s="14">
        <f t="shared" si="15"/>
        <v>3860.6400000000003</v>
      </c>
      <c r="AN1803" s="9"/>
      <c r="AO1803" s="9"/>
      <c r="AP1803" s="21"/>
      <c r="AQ1803" s="27" t="s">
        <v>49</v>
      </c>
      <c r="AR1803" t="s">
        <v>95</v>
      </c>
      <c r="AS1803" s="16" t="s">
        <v>96</v>
      </c>
    </row>
    <row r="1804" spans="1:60" ht="14.5">
      <c r="A1804" s="9" t="s">
        <v>8996</v>
      </c>
      <c r="B1804" s="9" t="s">
        <v>8997</v>
      </c>
      <c r="C1804" s="9" t="s">
        <v>68</v>
      </c>
      <c r="D1804" s="9" t="s">
        <v>48</v>
      </c>
      <c r="E1804" s="21" t="s">
        <v>49</v>
      </c>
      <c r="F1804" s="9" t="s">
        <v>69</v>
      </c>
      <c r="G1804" s="9" t="s">
        <v>70</v>
      </c>
      <c r="H1804" s="9" t="s">
        <v>7292</v>
      </c>
      <c r="I1804" s="9" t="s">
        <v>72</v>
      </c>
      <c r="J1804" s="10">
        <v>44946</v>
      </c>
      <c r="K1804" s="10">
        <v>44994</v>
      </c>
      <c r="L1804" s="10">
        <v>44994</v>
      </c>
      <c r="M1804" s="10"/>
      <c r="N1804" s="9">
        <v>2023</v>
      </c>
      <c r="O1804" s="9" t="s">
        <v>8970</v>
      </c>
      <c r="P1804" s="9" t="s">
        <v>53</v>
      </c>
      <c r="Q1804" s="9" t="s">
        <v>53</v>
      </c>
      <c r="T1804" s="9"/>
      <c r="V1804" s="9"/>
      <c r="AC1804" s="9" t="s">
        <v>7314</v>
      </c>
      <c r="AD1804" s="9" t="s">
        <v>7315</v>
      </c>
      <c r="AE1804" s="9" t="s">
        <v>8998</v>
      </c>
      <c r="AH1804" s="9">
        <v>4000</v>
      </c>
      <c r="AI1804" s="9" t="s">
        <v>77</v>
      </c>
      <c r="AJ1804" s="9" t="s">
        <v>57</v>
      </c>
      <c r="AK1804" s="11" t="str">
        <f t="shared" si="14"/>
        <v>2023USD</v>
      </c>
      <c r="AL1804" s="11">
        <f>VLOOKUP(AK1804, Exchange_rates!$C:$D, 2, FALSE)</f>
        <v>0.80430000000000001</v>
      </c>
      <c r="AM1804" s="14">
        <f t="shared" si="15"/>
        <v>3860.6400000000003</v>
      </c>
      <c r="AN1804" s="9"/>
      <c r="AO1804" s="9"/>
      <c r="AP1804" s="21"/>
      <c r="AQ1804" s="27" t="s">
        <v>49</v>
      </c>
      <c r="AR1804" t="s">
        <v>78</v>
      </c>
      <c r="AS1804" s="16" t="s">
        <v>79</v>
      </c>
    </row>
    <row r="1805" spans="1:60" ht="14.5">
      <c r="A1805" s="20" t="s">
        <v>8999</v>
      </c>
      <c r="B1805" s="20" t="s">
        <v>9000</v>
      </c>
      <c r="C1805" s="20" t="s">
        <v>9001</v>
      </c>
      <c r="D1805" s="20" t="s">
        <v>48</v>
      </c>
      <c r="E1805" s="21" t="s">
        <v>49</v>
      </c>
      <c r="F1805" s="20" t="s">
        <v>69</v>
      </c>
      <c r="G1805" s="20" t="s">
        <v>70</v>
      </c>
      <c r="H1805" s="20" t="s">
        <v>7292</v>
      </c>
      <c r="I1805" s="20" t="s">
        <v>72</v>
      </c>
      <c r="J1805" s="22">
        <v>44908</v>
      </c>
      <c r="K1805" s="22">
        <v>44959</v>
      </c>
      <c r="L1805" s="22">
        <v>44959</v>
      </c>
      <c r="M1805" s="22"/>
      <c r="N1805" s="20">
        <v>2023</v>
      </c>
      <c r="O1805" s="20" t="s">
        <v>8970</v>
      </c>
      <c r="P1805" s="20" t="s">
        <v>83</v>
      </c>
      <c r="Q1805" s="20" t="s">
        <v>53</v>
      </c>
      <c r="R1805" s="20" t="s">
        <v>1385</v>
      </c>
      <c r="S1805" s="20"/>
      <c r="T1805" s="20"/>
      <c r="U1805" s="20"/>
      <c r="V1805" s="20"/>
      <c r="W1805" s="20"/>
      <c r="X1805" s="20"/>
      <c r="Y1805" s="20"/>
      <c r="Z1805" s="20"/>
      <c r="AA1805" s="20"/>
      <c r="AB1805" s="20"/>
      <c r="AC1805" s="20" t="s">
        <v>179</v>
      </c>
      <c r="AD1805" s="20" t="s">
        <v>180</v>
      </c>
      <c r="AE1805" s="20" t="s">
        <v>9002</v>
      </c>
      <c r="AF1805" s="20"/>
      <c r="AG1805" s="20"/>
      <c r="AH1805" s="20">
        <v>4000</v>
      </c>
      <c r="AI1805" s="20" t="s">
        <v>77</v>
      </c>
      <c r="AJ1805" s="20" t="s">
        <v>57</v>
      </c>
      <c r="AK1805" s="23" t="str">
        <f t="shared" si="14"/>
        <v>2023USD</v>
      </c>
      <c r="AL1805" s="23">
        <f>VLOOKUP(AK1805, Exchange_rates!$C:$D, 2, FALSE)</f>
        <v>0.80430000000000001</v>
      </c>
      <c r="AM1805" s="26">
        <f t="shared" si="15"/>
        <v>3860.6400000000003</v>
      </c>
      <c r="AN1805" s="20"/>
      <c r="AO1805" s="20"/>
      <c r="AP1805" s="21"/>
      <c r="AQ1805" s="27" t="s">
        <v>49</v>
      </c>
      <c r="AR1805" t="s">
        <v>9003</v>
      </c>
      <c r="AS1805" s="16" t="s">
        <v>9004</v>
      </c>
      <c r="AT1805" s="20"/>
      <c r="AU1805" s="20"/>
      <c r="AV1805" s="20"/>
      <c r="AW1805" s="20"/>
      <c r="AX1805" s="20"/>
      <c r="AY1805" s="20"/>
      <c r="AZ1805" s="20"/>
      <c r="BA1805" s="20"/>
      <c r="BB1805" s="20"/>
      <c r="BC1805" s="20"/>
      <c r="BD1805" s="20"/>
      <c r="BE1805" s="20"/>
      <c r="BF1805" s="20"/>
      <c r="BG1805" s="20"/>
      <c r="BH1805" s="20"/>
    </row>
    <row r="1806" spans="1:60" ht="14.5">
      <c r="A1806" s="9" t="s">
        <v>9005</v>
      </c>
      <c r="B1806" s="9" t="s">
        <v>9006</v>
      </c>
      <c r="C1806" s="9" t="s">
        <v>9007</v>
      </c>
      <c r="D1806" s="9" t="s">
        <v>185</v>
      </c>
      <c r="E1806" s="9" t="s">
        <v>125</v>
      </c>
      <c r="F1806" s="9" t="s">
        <v>69</v>
      </c>
      <c r="G1806" s="9" t="s">
        <v>70</v>
      </c>
      <c r="H1806" s="9" t="s">
        <v>9008</v>
      </c>
      <c r="I1806" s="9" t="s">
        <v>72</v>
      </c>
      <c r="J1806" s="10">
        <v>44993</v>
      </c>
      <c r="K1806" s="10">
        <v>44994</v>
      </c>
      <c r="L1806" s="10">
        <v>44995</v>
      </c>
      <c r="M1806" s="10">
        <v>45014</v>
      </c>
      <c r="N1806" s="9">
        <v>2023</v>
      </c>
      <c r="O1806" s="9" t="s">
        <v>9009</v>
      </c>
      <c r="P1806" s="9" t="s">
        <v>53</v>
      </c>
      <c r="Q1806" s="9" t="s">
        <v>53</v>
      </c>
      <c r="R1806" s="9" t="s">
        <v>9010</v>
      </c>
      <c r="T1806" s="9"/>
      <c r="V1806" s="9"/>
      <c r="AC1806" s="9" t="s">
        <v>9011</v>
      </c>
      <c r="AD1806" s="9" t="s">
        <v>9012</v>
      </c>
      <c r="AH1806" s="9">
        <v>1200</v>
      </c>
      <c r="AI1806" s="9" t="s">
        <v>77</v>
      </c>
      <c r="AJ1806" s="9" t="s">
        <v>301</v>
      </c>
      <c r="AK1806" s="11" t="str">
        <f t="shared" si="14"/>
        <v>2023GBP</v>
      </c>
      <c r="AL1806" s="11">
        <f>VLOOKUP(AK1806, Exchange_rates!$C:$D, 2, FALSE)</f>
        <v>1</v>
      </c>
      <c r="AM1806" s="14">
        <f t="shared" si="15"/>
        <v>1440</v>
      </c>
      <c r="AN1806" s="9"/>
      <c r="AO1806" s="9"/>
      <c r="AP1806" s="9"/>
      <c r="AQ1806" s="15" t="s">
        <v>125</v>
      </c>
      <c r="AS1806" s="16" t="s">
        <v>9013</v>
      </c>
    </row>
    <row r="1807" spans="1:60" ht="14.5">
      <c r="A1807" s="20" t="s">
        <v>9014</v>
      </c>
      <c r="B1807" s="20" t="s">
        <v>9015</v>
      </c>
      <c r="C1807" s="20" t="s">
        <v>9016</v>
      </c>
      <c r="D1807" s="20" t="s">
        <v>361</v>
      </c>
      <c r="E1807" s="20" t="s">
        <v>49</v>
      </c>
      <c r="F1807" s="20" t="s">
        <v>50</v>
      </c>
      <c r="G1807" s="20" t="s">
        <v>51</v>
      </c>
      <c r="H1807" s="20"/>
      <c r="I1807" s="20"/>
      <c r="J1807" s="22"/>
      <c r="K1807" s="22"/>
      <c r="L1807" s="22"/>
      <c r="M1807" s="22">
        <v>45050</v>
      </c>
      <c r="N1807" s="20">
        <v>2023</v>
      </c>
      <c r="O1807" s="20" t="s">
        <v>9017</v>
      </c>
      <c r="P1807" s="20" t="s">
        <v>53</v>
      </c>
      <c r="Q1807" s="20" t="s">
        <v>53</v>
      </c>
      <c r="R1807" s="20"/>
      <c r="S1807" s="20"/>
      <c r="T1807" s="20" t="s">
        <v>723</v>
      </c>
      <c r="U1807" s="20"/>
      <c r="V1807" s="20"/>
      <c r="W1807" s="20"/>
      <c r="X1807" s="20"/>
      <c r="Y1807" s="20"/>
      <c r="Z1807" s="20"/>
      <c r="AA1807" s="20"/>
      <c r="AB1807" s="20"/>
      <c r="AC1807" s="20" t="s">
        <v>9018</v>
      </c>
      <c r="AD1807" s="20"/>
      <c r="AE1807" s="20"/>
      <c r="AF1807" s="20"/>
      <c r="AG1807" s="20"/>
      <c r="AH1807" s="20"/>
      <c r="AI1807" s="20"/>
      <c r="AJ1807" s="20"/>
      <c r="AK1807" s="23" t="str">
        <f t="shared" si="14"/>
        <v>2023</v>
      </c>
      <c r="AL1807" s="23" t="e">
        <f>VLOOKUP(AK1807, Exchange_rates!$C:$D, 2, FALSE)</f>
        <v>#N/A</v>
      </c>
      <c r="AM1807" s="26" t="str">
        <f t="shared" si="15"/>
        <v/>
      </c>
      <c r="AN1807" s="20"/>
      <c r="AO1807" s="20"/>
      <c r="AP1807" s="20"/>
      <c r="AQ1807" s="27" t="s">
        <v>49</v>
      </c>
      <c r="AR1807" t="s">
        <v>9019</v>
      </c>
      <c r="AS1807" s="16" t="s">
        <v>9020</v>
      </c>
      <c r="AT1807" s="20"/>
      <c r="AU1807" s="20"/>
      <c r="AV1807" s="20"/>
      <c r="AW1807" s="20"/>
      <c r="AX1807" s="20"/>
      <c r="AY1807" s="20"/>
      <c r="AZ1807" s="20"/>
      <c r="BA1807" s="20"/>
      <c r="BB1807" s="20"/>
      <c r="BC1807" s="20"/>
      <c r="BD1807" s="20"/>
      <c r="BE1807" s="20"/>
      <c r="BF1807" s="20"/>
      <c r="BG1807" s="20"/>
      <c r="BH1807" s="20"/>
    </row>
    <row r="1808" spans="1:60" ht="14.5">
      <c r="A1808" s="9" t="s">
        <v>9021</v>
      </c>
      <c r="B1808" s="9" t="s">
        <v>9022</v>
      </c>
      <c r="C1808" s="9" t="s">
        <v>714</v>
      </c>
      <c r="D1808" s="9" t="s">
        <v>361</v>
      </c>
      <c r="E1808" s="9" t="s">
        <v>49</v>
      </c>
      <c r="F1808" s="9" t="s">
        <v>69</v>
      </c>
      <c r="G1808" s="9" t="s">
        <v>70</v>
      </c>
      <c r="H1808" s="9" t="s">
        <v>7424</v>
      </c>
      <c r="I1808" s="9" t="s">
        <v>72</v>
      </c>
      <c r="J1808" s="10"/>
      <c r="K1808" s="10"/>
      <c r="L1808" s="10"/>
      <c r="M1808" s="10" t="s">
        <v>9023</v>
      </c>
      <c r="N1808" s="9">
        <v>2023</v>
      </c>
      <c r="O1808" s="9" t="s">
        <v>9024</v>
      </c>
      <c r="P1808" s="9" t="s">
        <v>83</v>
      </c>
      <c r="Q1808" s="9" t="s">
        <v>53</v>
      </c>
      <c r="R1808" s="9" t="s">
        <v>9025</v>
      </c>
      <c r="T1808" s="9"/>
      <c r="V1808" s="9"/>
      <c r="AC1808" s="9" t="s">
        <v>9026</v>
      </c>
      <c r="AH1808" s="9">
        <v>2110</v>
      </c>
      <c r="AI1808" s="9" t="s">
        <v>875</v>
      </c>
      <c r="AJ1808" s="9" t="s">
        <v>301</v>
      </c>
      <c r="AK1808" s="11" t="str">
        <f t="shared" si="14"/>
        <v>2023GBP</v>
      </c>
      <c r="AL1808" s="11">
        <f>VLOOKUP(AK1808, Exchange_rates!$C:$D, 2, FALSE)</f>
        <v>1</v>
      </c>
      <c r="AM1808" s="14">
        <f t="shared" si="15"/>
        <v>2532</v>
      </c>
      <c r="AN1808" s="9"/>
      <c r="AO1808" s="9"/>
      <c r="AP1808" s="9"/>
      <c r="AQ1808" s="15" t="s">
        <v>49</v>
      </c>
      <c r="AR1808" t="s">
        <v>717</v>
      </c>
      <c r="AS1808" s="16" t="s">
        <v>718</v>
      </c>
    </row>
    <row r="1809" spans="1:60" ht="14.5">
      <c r="A1809" s="20" t="s">
        <v>9027</v>
      </c>
      <c r="B1809" s="20" t="s">
        <v>9028</v>
      </c>
      <c r="C1809" s="20" t="s">
        <v>1399</v>
      </c>
      <c r="D1809" s="20" t="s">
        <v>1240</v>
      </c>
      <c r="E1809" s="20" t="s">
        <v>49</v>
      </c>
      <c r="F1809" s="20" t="s">
        <v>69</v>
      </c>
      <c r="G1809" s="20" t="s">
        <v>70</v>
      </c>
      <c r="H1809" s="20" t="s">
        <v>1448</v>
      </c>
      <c r="I1809" s="20" t="s">
        <v>72</v>
      </c>
      <c r="J1809" s="22"/>
      <c r="K1809" s="22">
        <v>44894</v>
      </c>
      <c r="L1809" s="22"/>
      <c r="M1809" s="22">
        <v>44908</v>
      </c>
      <c r="N1809" s="20">
        <v>2022</v>
      </c>
      <c r="O1809" s="9" t="s">
        <v>9029</v>
      </c>
      <c r="P1809" s="20" t="s">
        <v>53</v>
      </c>
      <c r="Q1809" s="20" t="s">
        <v>53</v>
      </c>
      <c r="R1809" s="20"/>
      <c r="S1809" s="20"/>
      <c r="T1809" s="20"/>
      <c r="U1809" s="20"/>
      <c r="V1809" s="20"/>
      <c r="W1809" s="20"/>
      <c r="X1809" s="20"/>
      <c r="Y1809" s="20"/>
      <c r="Z1809" s="20"/>
      <c r="AA1809" s="20"/>
      <c r="AB1809" s="20"/>
      <c r="AC1809" s="20" t="s">
        <v>9030</v>
      </c>
      <c r="AD1809" s="20"/>
      <c r="AE1809" s="20"/>
      <c r="AF1809" s="20"/>
      <c r="AG1809" s="20"/>
      <c r="AH1809" s="20">
        <v>2125</v>
      </c>
      <c r="AI1809" s="20" t="s">
        <v>77</v>
      </c>
      <c r="AJ1809" s="20" t="s">
        <v>301</v>
      </c>
      <c r="AK1809" s="23" t="str">
        <f t="shared" si="14"/>
        <v>2022GBP</v>
      </c>
      <c r="AL1809" s="23">
        <f>VLOOKUP(AK1809, Exchange_rates!$C:$D, 2, FALSE)</f>
        <v>1</v>
      </c>
      <c r="AM1809" s="26">
        <f t="shared" si="15"/>
        <v>2550</v>
      </c>
      <c r="AN1809" s="20"/>
      <c r="AO1809" s="20"/>
      <c r="AP1809" s="20"/>
      <c r="AQ1809" s="27" t="s">
        <v>49</v>
      </c>
      <c r="AR1809" t="s">
        <v>1243</v>
      </c>
      <c r="AS1809" s="16" t="s">
        <v>1244</v>
      </c>
      <c r="AT1809" s="20"/>
      <c r="AU1809" s="20"/>
      <c r="AV1809" s="20"/>
      <c r="AW1809" s="20"/>
      <c r="AX1809" s="20"/>
      <c r="AY1809" s="20"/>
      <c r="AZ1809" s="20"/>
      <c r="BA1809" s="20"/>
      <c r="BB1809" s="20"/>
      <c r="BC1809" s="20"/>
      <c r="BD1809" s="20"/>
      <c r="BE1809" s="20"/>
      <c r="BF1809" s="20"/>
      <c r="BG1809" s="20"/>
      <c r="BH1809" s="20"/>
    </row>
    <row r="1810" spans="1:60" ht="14.5">
      <c r="A1810" s="20" t="s">
        <v>9031</v>
      </c>
      <c r="B1810" s="20" t="s">
        <v>9032</v>
      </c>
      <c r="C1810" s="20" t="s">
        <v>1371</v>
      </c>
      <c r="D1810" s="20" t="s">
        <v>1240</v>
      </c>
      <c r="E1810" s="20" t="s">
        <v>49</v>
      </c>
      <c r="F1810" s="20" t="s">
        <v>69</v>
      </c>
      <c r="G1810" s="20" t="s">
        <v>70</v>
      </c>
      <c r="H1810" s="20" t="s">
        <v>1448</v>
      </c>
      <c r="I1810" s="20" t="s">
        <v>72</v>
      </c>
      <c r="J1810" s="22"/>
      <c r="K1810" s="22">
        <v>44902</v>
      </c>
      <c r="L1810" s="22"/>
      <c r="M1810" s="22">
        <v>44911</v>
      </c>
      <c r="N1810" s="20">
        <v>2022</v>
      </c>
      <c r="O1810" s="9" t="s">
        <v>9029</v>
      </c>
      <c r="P1810" s="20" t="s">
        <v>53</v>
      </c>
      <c r="Q1810" s="20" t="s">
        <v>53</v>
      </c>
      <c r="R1810" s="20"/>
      <c r="S1810" s="20"/>
      <c r="T1810" s="20"/>
      <c r="U1810" s="20"/>
      <c r="V1810" s="20"/>
      <c r="W1810" s="20"/>
      <c r="X1810" s="20"/>
      <c r="Y1810" s="20"/>
      <c r="Z1810" s="20"/>
      <c r="AA1810" s="20"/>
      <c r="AB1810" s="20"/>
      <c r="AC1810" s="20" t="s">
        <v>9033</v>
      </c>
      <c r="AD1810" s="20"/>
      <c r="AE1810" s="20"/>
      <c r="AF1810" s="20"/>
      <c r="AG1810" s="20"/>
      <c r="AH1810" s="20">
        <v>2125</v>
      </c>
      <c r="AI1810" s="20" t="s">
        <v>77</v>
      </c>
      <c r="AJ1810" s="20" t="s">
        <v>301</v>
      </c>
      <c r="AK1810" s="23" t="str">
        <f t="shared" si="14"/>
        <v>2022GBP</v>
      </c>
      <c r="AL1810" s="23">
        <f>VLOOKUP(AK1810, Exchange_rates!$C:$D, 2, FALSE)</f>
        <v>1</v>
      </c>
      <c r="AM1810" s="26">
        <f t="shared" si="15"/>
        <v>2550</v>
      </c>
      <c r="AN1810" s="20"/>
      <c r="AO1810" s="20"/>
      <c r="AP1810" s="20"/>
      <c r="AQ1810" s="27" t="s">
        <v>49</v>
      </c>
      <c r="AR1810" t="s">
        <v>1327</v>
      </c>
      <c r="AS1810" s="16" t="s">
        <v>1328</v>
      </c>
      <c r="AT1810" s="20"/>
      <c r="AU1810" s="20"/>
      <c r="AV1810" s="20"/>
      <c r="AW1810" s="20"/>
      <c r="AX1810" s="20"/>
      <c r="AY1810" s="20"/>
      <c r="AZ1810" s="20"/>
      <c r="BA1810" s="20"/>
      <c r="BB1810" s="20"/>
      <c r="BC1810" s="20"/>
      <c r="BD1810" s="20"/>
      <c r="BE1810" s="20"/>
      <c r="BF1810" s="20"/>
      <c r="BG1810" s="20"/>
      <c r="BH1810" s="20"/>
    </row>
    <row r="1811" spans="1:60" ht="14.5">
      <c r="A1811" s="20" t="s">
        <v>9034</v>
      </c>
      <c r="B1811" s="20" t="s">
        <v>9035</v>
      </c>
      <c r="C1811" s="20" t="s">
        <v>1468</v>
      </c>
      <c r="D1811" s="20" t="s">
        <v>1240</v>
      </c>
      <c r="E1811" s="20" t="s">
        <v>49</v>
      </c>
      <c r="F1811" s="20" t="s">
        <v>69</v>
      </c>
      <c r="G1811" s="20" t="s">
        <v>70</v>
      </c>
      <c r="H1811" s="20" t="s">
        <v>1448</v>
      </c>
      <c r="I1811" s="20" t="s">
        <v>72</v>
      </c>
      <c r="J1811" s="22"/>
      <c r="K1811" s="22">
        <v>44903</v>
      </c>
      <c r="L1811" s="22"/>
      <c r="M1811" s="22">
        <v>44965</v>
      </c>
      <c r="N1811" s="20">
        <v>2022</v>
      </c>
      <c r="O1811" s="9" t="s">
        <v>9029</v>
      </c>
      <c r="P1811" s="20" t="s">
        <v>53</v>
      </c>
      <c r="Q1811" s="20" t="s">
        <v>83</v>
      </c>
      <c r="R1811" s="20" t="s">
        <v>9036</v>
      </c>
      <c r="S1811" s="20"/>
      <c r="T1811" s="20"/>
      <c r="U1811" s="20"/>
      <c r="V1811" s="20"/>
      <c r="W1811" s="20"/>
      <c r="X1811" s="20"/>
      <c r="Y1811" s="20"/>
      <c r="Z1811" s="20"/>
      <c r="AA1811" s="20"/>
      <c r="AB1811" s="20"/>
      <c r="AC1811" s="20" t="s">
        <v>9037</v>
      </c>
      <c r="AD1811" s="20"/>
      <c r="AE1811" s="20"/>
      <c r="AF1811" s="20"/>
      <c r="AG1811" s="20"/>
      <c r="AH1811" s="20">
        <v>2125</v>
      </c>
      <c r="AI1811" s="20" t="s">
        <v>77</v>
      </c>
      <c r="AJ1811" s="20" t="s">
        <v>301</v>
      </c>
      <c r="AK1811" s="23" t="str">
        <f t="shared" si="14"/>
        <v>2022GBP</v>
      </c>
      <c r="AL1811" s="23">
        <f>VLOOKUP(AK1811, Exchange_rates!$C:$D, 2, FALSE)</f>
        <v>1</v>
      </c>
      <c r="AM1811" s="26">
        <f t="shared" si="15"/>
        <v>2550</v>
      </c>
      <c r="AN1811" s="20"/>
      <c r="AO1811" s="20"/>
      <c r="AP1811" s="20"/>
      <c r="AQ1811" s="27" t="s">
        <v>49</v>
      </c>
      <c r="AR1811" t="s">
        <v>1301</v>
      </c>
      <c r="AS1811" s="16" t="s">
        <v>1302</v>
      </c>
      <c r="AT1811" s="20"/>
      <c r="AU1811" s="20"/>
      <c r="AV1811" s="20"/>
      <c r="AW1811" s="20"/>
      <c r="AX1811" s="20"/>
      <c r="AY1811" s="20"/>
      <c r="AZ1811" s="20"/>
      <c r="BA1811" s="20"/>
      <c r="BB1811" s="20"/>
      <c r="BC1811" s="20"/>
      <c r="BD1811" s="20"/>
      <c r="BE1811" s="20"/>
      <c r="BF1811" s="20"/>
      <c r="BG1811" s="20"/>
      <c r="BH1811" s="20"/>
    </row>
    <row r="1812" spans="1:60" ht="14.5">
      <c r="A1812" s="20" t="s">
        <v>9038</v>
      </c>
      <c r="B1812" s="20" t="s">
        <v>9039</v>
      </c>
      <c r="C1812" s="20" t="s">
        <v>1380</v>
      </c>
      <c r="D1812" s="20" t="s">
        <v>1240</v>
      </c>
      <c r="E1812" s="20" t="s">
        <v>49</v>
      </c>
      <c r="F1812" s="20" t="s">
        <v>69</v>
      </c>
      <c r="G1812" s="20" t="s">
        <v>70</v>
      </c>
      <c r="H1812" s="20" t="s">
        <v>9040</v>
      </c>
      <c r="I1812" s="20" t="s">
        <v>72</v>
      </c>
      <c r="J1812" s="22"/>
      <c r="K1812" s="22">
        <v>44937</v>
      </c>
      <c r="L1812" s="22"/>
      <c r="M1812" s="22">
        <v>44965</v>
      </c>
      <c r="N1812" s="20">
        <v>2023</v>
      </c>
      <c r="O1812" s="20" t="s">
        <v>9041</v>
      </c>
      <c r="P1812" s="20" t="s">
        <v>53</v>
      </c>
      <c r="Q1812" s="20" t="s">
        <v>53</v>
      </c>
      <c r="R1812" s="20" t="s">
        <v>9042</v>
      </c>
      <c r="S1812" s="20"/>
      <c r="T1812" s="20"/>
      <c r="U1812" s="20"/>
      <c r="V1812" s="20"/>
      <c r="W1812" s="20"/>
      <c r="X1812" s="20"/>
      <c r="Y1812" s="20"/>
      <c r="Z1812" s="20"/>
      <c r="AA1812" s="20"/>
      <c r="AB1812" s="20"/>
      <c r="AC1812" s="20" t="s">
        <v>9043</v>
      </c>
      <c r="AD1812" s="20"/>
      <c r="AE1812" s="20"/>
      <c r="AF1812" s="20"/>
      <c r="AG1812" s="20"/>
      <c r="AH1812" s="20">
        <v>2125</v>
      </c>
      <c r="AI1812" s="20" t="s">
        <v>77</v>
      </c>
      <c r="AJ1812" s="20" t="s">
        <v>301</v>
      </c>
      <c r="AK1812" s="23" t="str">
        <f t="shared" si="14"/>
        <v>2023GBP</v>
      </c>
      <c r="AL1812" s="23">
        <f>VLOOKUP(AK1812, Exchange_rates!$C:$D, 2, FALSE)</f>
        <v>1</v>
      </c>
      <c r="AM1812" s="26">
        <f t="shared" si="15"/>
        <v>2550</v>
      </c>
      <c r="AN1812" s="20"/>
      <c r="AO1812" s="20"/>
      <c r="AP1812" s="20"/>
      <c r="AQ1812" s="27" t="s">
        <v>49</v>
      </c>
      <c r="AR1812" t="s">
        <v>1249</v>
      </c>
      <c r="AS1812" s="16" t="s">
        <v>1250</v>
      </c>
      <c r="AT1812" s="20"/>
      <c r="AU1812" s="20"/>
      <c r="AV1812" s="20"/>
      <c r="AW1812" s="20"/>
      <c r="AX1812" s="20"/>
      <c r="AY1812" s="20"/>
      <c r="AZ1812" s="20"/>
      <c r="BA1812" s="20"/>
      <c r="BB1812" s="20"/>
      <c r="BC1812" s="20"/>
      <c r="BD1812" s="20"/>
      <c r="BE1812" s="20"/>
      <c r="BF1812" s="20"/>
      <c r="BG1812" s="20"/>
      <c r="BH1812" s="20"/>
    </row>
    <row r="1813" spans="1:60" ht="14.5">
      <c r="A1813" s="20" t="s">
        <v>9044</v>
      </c>
      <c r="B1813" s="20" t="s">
        <v>9045</v>
      </c>
      <c r="C1813" s="20" t="s">
        <v>1388</v>
      </c>
      <c r="D1813" s="20" t="s">
        <v>1240</v>
      </c>
      <c r="E1813" s="20" t="s">
        <v>49</v>
      </c>
      <c r="F1813" s="20" t="s">
        <v>69</v>
      </c>
      <c r="G1813" s="20" t="s">
        <v>70</v>
      </c>
      <c r="H1813" s="20" t="s">
        <v>9040</v>
      </c>
      <c r="I1813" s="20" t="s">
        <v>72</v>
      </c>
      <c r="J1813" s="22"/>
      <c r="K1813" s="22">
        <v>44935</v>
      </c>
      <c r="L1813" s="22"/>
      <c r="M1813" s="22">
        <v>44988</v>
      </c>
      <c r="N1813" s="20">
        <v>2023</v>
      </c>
      <c r="O1813" s="20" t="s">
        <v>9041</v>
      </c>
      <c r="P1813" s="20" t="s">
        <v>83</v>
      </c>
      <c r="Q1813" s="20" t="s">
        <v>53</v>
      </c>
      <c r="R1813" s="20" t="s">
        <v>117</v>
      </c>
      <c r="S1813" s="20"/>
      <c r="T1813" s="20"/>
      <c r="U1813" s="20"/>
      <c r="V1813" s="20"/>
      <c r="W1813" s="20"/>
      <c r="X1813" s="20"/>
      <c r="Y1813" s="20"/>
      <c r="Z1813" s="20"/>
      <c r="AA1813" s="20"/>
      <c r="AB1813" s="20"/>
      <c r="AC1813" s="20" t="s">
        <v>9046</v>
      </c>
      <c r="AD1813" s="20"/>
      <c r="AE1813" s="20"/>
      <c r="AF1813" s="20"/>
      <c r="AG1813" s="20"/>
      <c r="AH1813" s="20">
        <v>2125</v>
      </c>
      <c r="AI1813" s="20" t="s">
        <v>77</v>
      </c>
      <c r="AJ1813" s="20" t="s">
        <v>301</v>
      </c>
      <c r="AK1813" s="23" t="str">
        <f t="shared" si="14"/>
        <v>2023GBP</v>
      </c>
      <c r="AL1813" s="23">
        <f>VLOOKUP(AK1813, Exchange_rates!$C:$D, 2, FALSE)</f>
        <v>1</v>
      </c>
      <c r="AM1813" s="26">
        <f t="shared" si="15"/>
        <v>2550</v>
      </c>
      <c r="AN1813" s="20"/>
      <c r="AO1813" s="20"/>
      <c r="AP1813" s="20"/>
      <c r="AQ1813" s="27" t="s">
        <v>49</v>
      </c>
      <c r="AR1813" t="s">
        <v>1283</v>
      </c>
      <c r="AS1813" s="16" t="s">
        <v>1284</v>
      </c>
      <c r="AT1813" s="20"/>
      <c r="AU1813" s="20"/>
      <c r="AV1813" s="20"/>
      <c r="AW1813" s="20"/>
      <c r="AX1813" s="20"/>
      <c r="AY1813" s="20"/>
      <c r="AZ1813" s="20"/>
      <c r="BA1813" s="20"/>
      <c r="BB1813" s="20"/>
      <c r="BC1813" s="20"/>
      <c r="BD1813" s="20"/>
      <c r="BE1813" s="20"/>
      <c r="BF1813" s="20"/>
      <c r="BG1813" s="20"/>
      <c r="BH1813" s="20"/>
    </row>
    <row r="1814" spans="1:60" ht="14.5">
      <c r="A1814" s="20" t="s">
        <v>9047</v>
      </c>
      <c r="B1814" s="20" t="s">
        <v>9048</v>
      </c>
      <c r="C1814" s="20" t="s">
        <v>1388</v>
      </c>
      <c r="D1814" s="20" t="s">
        <v>1240</v>
      </c>
      <c r="E1814" s="20" t="s">
        <v>49</v>
      </c>
      <c r="F1814" s="20" t="s">
        <v>69</v>
      </c>
      <c r="G1814" s="20" t="s">
        <v>70</v>
      </c>
      <c r="H1814" s="20" t="s">
        <v>9040</v>
      </c>
      <c r="I1814" s="20" t="s">
        <v>72</v>
      </c>
      <c r="J1814" s="22"/>
      <c r="K1814" s="22">
        <v>44945</v>
      </c>
      <c r="L1814" s="22"/>
      <c r="M1814" s="22">
        <v>44963</v>
      </c>
      <c r="N1814" s="20">
        <v>2023</v>
      </c>
      <c r="O1814" s="20" t="s">
        <v>9041</v>
      </c>
      <c r="P1814" s="20" t="s">
        <v>83</v>
      </c>
      <c r="Q1814" s="20" t="s">
        <v>53</v>
      </c>
      <c r="R1814" s="20" t="s">
        <v>9049</v>
      </c>
      <c r="S1814" s="20"/>
      <c r="T1814" s="20"/>
      <c r="U1814" s="20"/>
      <c r="V1814" s="20"/>
      <c r="W1814" s="20"/>
      <c r="X1814" s="20"/>
      <c r="Y1814" s="20"/>
      <c r="Z1814" s="20"/>
      <c r="AA1814" s="20"/>
      <c r="AB1814" s="20"/>
      <c r="AC1814" s="20" t="s">
        <v>9050</v>
      </c>
      <c r="AD1814" s="20"/>
      <c r="AE1814" s="20"/>
      <c r="AF1814" s="20"/>
      <c r="AG1814" s="20"/>
      <c r="AH1814" s="20">
        <v>2125</v>
      </c>
      <c r="AI1814" s="20" t="s">
        <v>77</v>
      </c>
      <c r="AJ1814" s="20" t="s">
        <v>301</v>
      </c>
      <c r="AK1814" s="23" t="str">
        <f t="shared" si="14"/>
        <v>2023GBP</v>
      </c>
      <c r="AL1814" s="23">
        <f>VLOOKUP(AK1814, Exchange_rates!$C:$D, 2, FALSE)</f>
        <v>1</v>
      </c>
      <c r="AM1814" s="26">
        <f t="shared" si="15"/>
        <v>2550</v>
      </c>
      <c r="AN1814" s="20"/>
      <c r="AO1814" s="20"/>
      <c r="AP1814" s="20"/>
      <c r="AQ1814" s="27" t="s">
        <v>49</v>
      </c>
      <c r="AR1814" t="s">
        <v>1283</v>
      </c>
      <c r="AS1814" s="16" t="s">
        <v>1284</v>
      </c>
      <c r="AT1814" s="20"/>
      <c r="AU1814" s="20"/>
      <c r="AV1814" s="20"/>
      <c r="AW1814" s="20"/>
      <c r="AX1814" s="20"/>
      <c r="AY1814" s="20"/>
      <c r="AZ1814" s="20"/>
      <c r="BA1814" s="20"/>
      <c r="BB1814" s="20"/>
      <c r="BC1814" s="20"/>
      <c r="BD1814" s="20"/>
      <c r="BE1814" s="20"/>
      <c r="BF1814" s="20"/>
      <c r="BG1814" s="20"/>
      <c r="BH1814" s="20"/>
    </row>
    <row r="1815" spans="1:60" ht="14.5">
      <c r="A1815" s="20" t="s">
        <v>9051</v>
      </c>
      <c r="B1815" s="20" t="s">
        <v>9052</v>
      </c>
      <c r="C1815" s="20" t="s">
        <v>1388</v>
      </c>
      <c r="D1815" s="20" t="s">
        <v>1240</v>
      </c>
      <c r="E1815" s="20" t="s">
        <v>49</v>
      </c>
      <c r="F1815" s="20" t="s">
        <v>69</v>
      </c>
      <c r="G1815" s="20" t="s">
        <v>70</v>
      </c>
      <c r="H1815" s="20" t="s">
        <v>9040</v>
      </c>
      <c r="I1815" s="20" t="s">
        <v>72</v>
      </c>
      <c r="J1815" s="22"/>
      <c r="K1815" s="22">
        <v>45007</v>
      </c>
      <c r="L1815" s="22"/>
      <c r="M1815" s="22">
        <v>45028</v>
      </c>
      <c r="N1815" s="20">
        <v>2023</v>
      </c>
      <c r="O1815" s="20" t="s">
        <v>9041</v>
      </c>
      <c r="P1815" s="20" t="s">
        <v>83</v>
      </c>
      <c r="Q1815" s="20" t="s">
        <v>53</v>
      </c>
      <c r="R1815" s="20" t="s">
        <v>9053</v>
      </c>
      <c r="S1815" s="20"/>
      <c r="T1815" s="20"/>
      <c r="U1815" s="20"/>
      <c r="V1815" s="20"/>
      <c r="W1815" s="20"/>
      <c r="X1815" s="20"/>
      <c r="Y1815" s="20"/>
      <c r="Z1815" s="20"/>
      <c r="AA1815" s="20"/>
      <c r="AB1815" s="20"/>
      <c r="AC1815" s="20" t="s">
        <v>9046</v>
      </c>
      <c r="AD1815" s="20"/>
      <c r="AE1815" s="20"/>
      <c r="AF1815" s="20"/>
      <c r="AG1815" s="20"/>
      <c r="AH1815" s="20">
        <v>2125</v>
      </c>
      <c r="AI1815" s="20" t="s">
        <v>77</v>
      </c>
      <c r="AJ1815" s="20" t="s">
        <v>301</v>
      </c>
      <c r="AK1815" s="23" t="str">
        <f t="shared" si="14"/>
        <v>2023GBP</v>
      </c>
      <c r="AL1815" s="23">
        <f>VLOOKUP(AK1815, Exchange_rates!$C:$D, 2, FALSE)</f>
        <v>1</v>
      </c>
      <c r="AM1815" s="26">
        <f t="shared" si="15"/>
        <v>2550</v>
      </c>
      <c r="AN1815" s="20"/>
      <c r="AO1815" s="20"/>
      <c r="AP1815" s="20"/>
      <c r="AQ1815" s="27" t="s">
        <v>49</v>
      </c>
      <c r="AR1815" t="s">
        <v>1283</v>
      </c>
      <c r="AS1815" s="16" t="s">
        <v>1284</v>
      </c>
      <c r="AT1815" s="20"/>
      <c r="AU1815" s="20"/>
      <c r="AV1815" s="20"/>
      <c r="AW1815" s="20"/>
      <c r="AX1815" s="20"/>
      <c r="AY1815" s="20"/>
      <c r="AZ1815" s="20"/>
      <c r="BA1815" s="20"/>
      <c r="BB1815" s="20"/>
      <c r="BC1815" s="20"/>
      <c r="BD1815" s="20"/>
      <c r="BE1815" s="20"/>
      <c r="BF1815" s="20"/>
      <c r="BG1815" s="20"/>
      <c r="BH1815" s="20"/>
    </row>
    <row r="1816" spans="1:60" ht="14.5">
      <c r="A1816" s="20" t="s">
        <v>9054</v>
      </c>
      <c r="B1816" s="20" t="s">
        <v>9055</v>
      </c>
      <c r="C1816" s="20" t="s">
        <v>1468</v>
      </c>
      <c r="D1816" s="20" t="s">
        <v>1240</v>
      </c>
      <c r="E1816" s="20" t="s">
        <v>49</v>
      </c>
      <c r="F1816" s="20" t="s">
        <v>69</v>
      </c>
      <c r="G1816" s="20" t="s">
        <v>70</v>
      </c>
      <c r="H1816" s="20" t="s">
        <v>9040</v>
      </c>
      <c r="I1816" s="20" t="s">
        <v>72</v>
      </c>
      <c r="J1816" s="22"/>
      <c r="K1816" s="22">
        <v>45061</v>
      </c>
      <c r="L1816" s="22"/>
      <c r="M1816" s="22">
        <v>45083</v>
      </c>
      <c r="N1816" s="20">
        <v>2023</v>
      </c>
      <c r="O1816" s="20" t="s">
        <v>9041</v>
      </c>
      <c r="P1816" s="20" t="s">
        <v>83</v>
      </c>
      <c r="Q1816" s="20" t="s">
        <v>53</v>
      </c>
      <c r="R1816" s="20" t="s">
        <v>9056</v>
      </c>
      <c r="S1816" s="20"/>
      <c r="T1816" s="20"/>
      <c r="U1816" s="20"/>
      <c r="V1816" s="20"/>
      <c r="W1816" s="20"/>
      <c r="X1816" s="20"/>
      <c r="Y1816" s="20"/>
      <c r="Z1816" s="20"/>
      <c r="AA1816" s="20"/>
      <c r="AB1816" s="20"/>
      <c r="AC1816" s="20" t="s">
        <v>9057</v>
      </c>
      <c r="AD1816" s="20"/>
      <c r="AE1816" s="20"/>
      <c r="AF1816" s="20"/>
      <c r="AG1816" s="20"/>
      <c r="AH1816" s="20">
        <v>2125</v>
      </c>
      <c r="AI1816" s="20" t="s">
        <v>77</v>
      </c>
      <c r="AJ1816" s="20" t="s">
        <v>301</v>
      </c>
      <c r="AK1816" s="23" t="str">
        <f t="shared" si="14"/>
        <v>2023GBP</v>
      </c>
      <c r="AL1816" s="23">
        <f>VLOOKUP(AK1816, Exchange_rates!$C:$D, 2, FALSE)</f>
        <v>1</v>
      </c>
      <c r="AM1816" s="26">
        <f t="shared" si="15"/>
        <v>2550</v>
      </c>
      <c r="AN1816" s="20"/>
      <c r="AO1816" s="20"/>
      <c r="AP1816" s="20"/>
      <c r="AQ1816" s="27" t="s">
        <v>49</v>
      </c>
      <c r="AR1816" t="s">
        <v>1301</v>
      </c>
      <c r="AS1816" s="16" t="s">
        <v>1302</v>
      </c>
      <c r="AT1816" s="20"/>
      <c r="AU1816" s="20"/>
      <c r="AV1816" s="20"/>
      <c r="AW1816" s="20"/>
      <c r="AX1816" s="20"/>
      <c r="AY1816" s="20"/>
      <c r="AZ1816" s="20"/>
      <c r="BA1816" s="20"/>
      <c r="BB1816" s="20"/>
      <c r="BC1816" s="20"/>
      <c r="BD1816" s="20"/>
      <c r="BE1816" s="20"/>
      <c r="BF1816" s="20"/>
      <c r="BG1816" s="20"/>
      <c r="BH1816" s="20"/>
    </row>
    <row r="1817" spans="1:60" ht="14.5">
      <c r="A1817" s="20" t="s">
        <v>9058</v>
      </c>
      <c r="B1817" s="20" t="s">
        <v>9059</v>
      </c>
      <c r="C1817" s="20" t="s">
        <v>1331</v>
      </c>
      <c r="D1817" s="20" t="s">
        <v>1240</v>
      </c>
      <c r="E1817" s="20" t="s">
        <v>49</v>
      </c>
      <c r="F1817" s="20" t="s">
        <v>69</v>
      </c>
      <c r="G1817" s="20" t="s">
        <v>70</v>
      </c>
      <c r="H1817" s="20" t="s">
        <v>9040</v>
      </c>
      <c r="I1817" s="20" t="s">
        <v>72</v>
      </c>
      <c r="J1817" s="22"/>
      <c r="K1817" s="22">
        <v>44993</v>
      </c>
      <c r="L1817" s="22"/>
      <c r="M1817" s="22">
        <v>45019</v>
      </c>
      <c r="N1817" s="20">
        <v>2023</v>
      </c>
      <c r="O1817" s="20" t="s">
        <v>9041</v>
      </c>
      <c r="P1817" s="20" t="s">
        <v>83</v>
      </c>
      <c r="Q1817" s="20" t="s">
        <v>53</v>
      </c>
      <c r="R1817" s="20" t="s">
        <v>9060</v>
      </c>
      <c r="S1817" s="20"/>
      <c r="T1817" s="20"/>
      <c r="U1817" s="20"/>
      <c r="V1817" s="20"/>
      <c r="W1817" s="20"/>
      <c r="X1817" s="20"/>
      <c r="Y1817" s="20"/>
      <c r="Z1817" s="20"/>
      <c r="AA1817" s="20"/>
      <c r="AB1817" s="20"/>
      <c r="AC1817" s="20" t="s">
        <v>9061</v>
      </c>
      <c r="AD1817" s="20"/>
      <c r="AE1817" s="20"/>
      <c r="AF1817" s="20"/>
      <c r="AG1817" s="20"/>
      <c r="AH1817" s="20">
        <v>2000</v>
      </c>
      <c r="AI1817" s="20" t="s">
        <v>77</v>
      </c>
      <c r="AJ1817" s="20" t="s">
        <v>301</v>
      </c>
      <c r="AK1817" s="23" t="str">
        <f t="shared" si="14"/>
        <v>2023GBP</v>
      </c>
      <c r="AL1817" s="23">
        <f>VLOOKUP(AK1817, Exchange_rates!$C:$D, 2, FALSE)</f>
        <v>1</v>
      </c>
      <c r="AM1817" s="26">
        <f t="shared" si="15"/>
        <v>2400</v>
      </c>
      <c r="AN1817" s="20"/>
      <c r="AO1817" s="20"/>
      <c r="AP1817" s="20"/>
      <c r="AQ1817" s="27" t="s">
        <v>49</v>
      </c>
      <c r="AR1817" t="s">
        <v>1336</v>
      </c>
      <c r="AS1817" s="16" t="s">
        <v>1337</v>
      </c>
      <c r="AT1817" s="20"/>
      <c r="AU1817" s="20"/>
      <c r="AV1817" s="20"/>
      <c r="AW1817" s="20"/>
      <c r="AX1817" s="20"/>
      <c r="AY1817" s="20"/>
      <c r="AZ1817" s="20"/>
      <c r="BA1817" s="20"/>
      <c r="BB1817" s="20"/>
      <c r="BC1817" s="20"/>
      <c r="BD1817" s="20"/>
      <c r="BE1817" s="20"/>
      <c r="BF1817" s="20"/>
      <c r="BG1817" s="20"/>
      <c r="BH1817" s="20"/>
    </row>
    <row r="1818" spans="1:60" ht="14.5">
      <c r="A1818" s="20" t="s">
        <v>9062</v>
      </c>
      <c r="B1818" s="20" t="s">
        <v>9063</v>
      </c>
      <c r="C1818" s="20" t="s">
        <v>1331</v>
      </c>
      <c r="D1818" s="20" t="s">
        <v>1240</v>
      </c>
      <c r="E1818" s="20" t="s">
        <v>49</v>
      </c>
      <c r="F1818" s="20" t="s">
        <v>69</v>
      </c>
      <c r="G1818" s="20" t="s">
        <v>70</v>
      </c>
      <c r="H1818" s="20" t="s">
        <v>9040</v>
      </c>
      <c r="I1818" s="20" t="s">
        <v>72</v>
      </c>
      <c r="J1818" s="22"/>
      <c r="K1818" s="22">
        <v>44994</v>
      </c>
      <c r="L1818" s="22"/>
      <c r="M1818" s="22">
        <v>45007</v>
      </c>
      <c r="N1818" s="20">
        <v>2023</v>
      </c>
      <c r="O1818" s="20" t="s">
        <v>9041</v>
      </c>
      <c r="P1818" s="20" t="s">
        <v>83</v>
      </c>
      <c r="Q1818" s="20" t="s">
        <v>53</v>
      </c>
      <c r="R1818" s="20" t="s">
        <v>117</v>
      </c>
      <c r="S1818" s="20"/>
      <c r="T1818" s="20"/>
      <c r="U1818" s="20"/>
      <c r="V1818" s="20"/>
      <c r="W1818" s="20"/>
      <c r="X1818" s="20"/>
      <c r="Y1818" s="20"/>
      <c r="Z1818" s="20"/>
      <c r="AA1818" s="20"/>
      <c r="AB1818" s="20"/>
      <c r="AC1818" s="20" t="s">
        <v>9064</v>
      </c>
      <c r="AD1818" s="20"/>
      <c r="AE1818" s="20"/>
      <c r="AF1818" s="20"/>
      <c r="AG1818" s="20"/>
      <c r="AH1818" s="20">
        <v>2000</v>
      </c>
      <c r="AI1818" s="20" t="s">
        <v>77</v>
      </c>
      <c r="AJ1818" s="20" t="s">
        <v>301</v>
      </c>
      <c r="AK1818" s="23" t="str">
        <f t="shared" si="14"/>
        <v>2023GBP</v>
      </c>
      <c r="AL1818" s="23">
        <f>VLOOKUP(AK1818, Exchange_rates!$C:$D, 2, FALSE)</f>
        <v>1</v>
      </c>
      <c r="AM1818" s="26">
        <f t="shared" si="15"/>
        <v>2400</v>
      </c>
      <c r="AN1818" s="20"/>
      <c r="AO1818" s="20"/>
      <c r="AP1818" s="20"/>
      <c r="AQ1818" s="27" t="s">
        <v>49</v>
      </c>
      <c r="AR1818" t="s">
        <v>1336</v>
      </c>
      <c r="AS1818" s="16" t="s">
        <v>1337</v>
      </c>
      <c r="AT1818" s="20"/>
      <c r="AU1818" s="20"/>
      <c r="AV1818" s="20"/>
      <c r="AW1818" s="20"/>
      <c r="AX1818" s="20"/>
      <c r="AY1818" s="20"/>
      <c r="AZ1818" s="20"/>
      <c r="BA1818" s="20"/>
      <c r="BB1818" s="20"/>
      <c r="BC1818" s="20"/>
      <c r="BD1818" s="20"/>
      <c r="BE1818" s="20"/>
      <c r="BF1818" s="20"/>
      <c r="BG1818" s="20"/>
      <c r="BH1818" s="20"/>
    </row>
    <row r="1819" spans="1:60" ht="14.5">
      <c r="A1819" s="20" t="s">
        <v>9065</v>
      </c>
      <c r="B1819" s="20" t="s">
        <v>9066</v>
      </c>
      <c r="C1819" s="20" t="s">
        <v>9067</v>
      </c>
      <c r="D1819" s="20" t="s">
        <v>1240</v>
      </c>
      <c r="E1819" s="20" t="s">
        <v>49</v>
      </c>
      <c r="F1819" s="20" t="s">
        <v>69</v>
      </c>
      <c r="G1819" s="20" t="s">
        <v>70</v>
      </c>
      <c r="H1819" s="20" t="s">
        <v>9040</v>
      </c>
      <c r="I1819" s="20" t="s">
        <v>72</v>
      </c>
      <c r="J1819" s="22"/>
      <c r="K1819" s="22">
        <v>45069</v>
      </c>
      <c r="L1819" s="22"/>
      <c r="M1819" s="22">
        <v>45084</v>
      </c>
      <c r="N1819" s="20">
        <v>2023</v>
      </c>
      <c r="O1819" s="20" t="s">
        <v>9041</v>
      </c>
      <c r="P1819" s="20" t="s">
        <v>53</v>
      </c>
      <c r="Q1819" s="20" t="s">
        <v>53</v>
      </c>
      <c r="R1819" s="20"/>
      <c r="S1819" s="20"/>
      <c r="T1819" s="20"/>
      <c r="U1819" s="20"/>
      <c r="V1819" s="20"/>
      <c r="W1819" s="20"/>
      <c r="X1819" s="20"/>
      <c r="Y1819" s="20"/>
      <c r="Z1819" s="20"/>
      <c r="AA1819" s="20"/>
      <c r="AB1819" s="20"/>
      <c r="AC1819" s="20" t="s">
        <v>9068</v>
      </c>
      <c r="AD1819" s="20"/>
      <c r="AE1819" s="20"/>
      <c r="AF1819" s="20"/>
      <c r="AG1819" s="20"/>
      <c r="AH1819" s="20">
        <v>1920</v>
      </c>
      <c r="AI1819" s="20" t="s">
        <v>77</v>
      </c>
      <c r="AJ1819" s="20" t="s">
        <v>301</v>
      </c>
      <c r="AK1819" s="23" t="str">
        <f t="shared" si="14"/>
        <v>2023GBP</v>
      </c>
      <c r="AL1819" s="23">
        <f>VLOOKUP(AK1819, Exchange_rates!$C:$D, 2, FALSE)</f>
        <v>1</v>
      </c>
      <c r="AM1819" s="26">
        <f t="shared" si="15"/>
        <v>2304</v>
      </c>
      <c r="AN1819" s="20"/>
      <c r="AO1819" s="20"/>
      <c r="AP1819" s="20"/>
      <c r="AQ1819" s="27" t="s">
        <v>49</v>
      </c>
      <c r="AR1819" t="s">
        <v>9069</v>
      </c>
      <c r="AS1819" s="16"/>
      <c r="AT1819" s="20"/>
      <c r="AU1819" s="20"/>
      <c r="AV1819" s="20"/>
      <c r="AW1819" s="20"/>
      <c r="AX1819" s="20"/>
      <c r="AY1819" s="20"/>
      <c r="AZ1819" s="20"/>
      <c r="BA1819" s="20"/>
      <c r="BB1819" s="20"/>
      <c r="BC1819" s="20"/>
      <c r="BD1819" s="20"/>
      <c r="BE1819" s="20"/>
      <c r="BF1819" s="20"/>
      <c r="BG1819" s="20"/>
      <c r="BH1819" s="20"/>
    </row>
    <row r="1820" spans="1:60" ht="14.5">
      <c r="A1820" s="9" t="s">
        <v>9070</v>
      </c>
      <c r="B1820" s="9" t="s">
        <v>9071</v>
      </c>
      <c r="C1820" s="9" t="s">
        <v>9072</v>
      </c>
      <c r="D1820" s="9" t="s">
        <v>9073</v>
      </c>
      <c r="E1820" s="9" t="s">
        <v>49</v>
      </c>
      <c r="F1820" s="9" t="s">
        <v>69</v>
      </c>
      <c r="G1820" s="9" t="s">
        <v>70</v>
      </c>
      <c r="H1820" s="9" t="s">
        <v>9074</v>
      </c>
      <c r="I1820" s="9" t="s">
        <v>72</v>
      </c>
      <c r="J1820" s="10"/>
      <c r="K1820" s="10">
        <v>45096</v>
      </c>
      <c r="L1820" s="10"/>
      <c r="M1820" s="10">
        <v>45104</v>
      </c>
      <c r="N1820" s="9">
        <v>2023</v>
      </c>
      <c r="O1820" s="9" t="s">
        <v>9075</v>
      </c>
      <c r="P1820" s="9" t="s">
        <v>83</v>
      </c>
      <c r="Q1820" s="9" t="s">
        <v>53</v>
      </c>
      <c r="R1820" s="9" t="s">
        <v>9076</v>
      </c>
      <c r="T1820" s="9"/>
      <c r="V1820" s="9"/>
      <c r="AC1820" s="9" t="s">
        <v>9077</v>
      </c>
      <c r="AE1820" s="9" t="s">
        <v>9078</v>
      </c>
      <c r="AH1820" s="9">
        <v>5975</v>
      </c>
      <c r="AI1820" s="9" t="s">
        <v>77</v>
      </c>
      <c r="AJ1820" s="9" t="s">
        <v>57</v>
      </c>
      <c r="AK1820" s="11" t="str">
        <f t="shared" si="14"/>
        <v>2023USD</v>
      </c>
      <c r="AL1820" s="11">
        <f>VLOOKUP(AK1820, Exchange_rates!$C:$D, 2, FALSE)</f>
        <v>0.80430000000000001</v>
      </c>
      <c r="AM1820" s="14">
        <f t="shared" si="15"/>
        <v>5766.8310000000001</v>
      </c>
      <c r="AN1820" s="9"/>
      <c r="AO1820" s="9"/>
      <c r="AP1820" s="9"/>
      <c r="AQ1820" s="15" t="s">
        <v>49</v>
      </c>
      <c r="AR1820" t="s">
        <v>9079</v>
      </c>
      <c r="AS1820" s="16" t="s">
        <v>9080</v>
      </c>
    </row>
    <row r="1821" spans="1:60" ht="14.5">
      <c r="A1821" s="9" t="s">
        <v>9081</v>
      </c>
      <c r="B1821" s="9" t="s">
        <v>9082</v>
      </c>
      <c r="C1821" s="9" t="s">
        <v>8263</v>
      </c>
      <c r="D1821" s="9" t="s">
        <v>2479</v>
      </c>
      <c r="E1821" s="9" t="s">
        <v>49</v>
      </c>
      <c r="F1821" s="9" t="s">
        <v>69</v>
      </c>
      <c r="G1821" s="9" t="s">
        <v>70</v>
      </c>
      <c r="H1821" s="9" t="s">
        <v>8594</v>
      </c>
      <c r="I1821" s="9" t="s">
        <v>238</v>
      </c>
      <c r="J1821" s="10"/>
      <c r="K1821" s="10">
        <v>45003</v>
      </c>
      <c r="L1821" s="10"/>
      <c r="M1821" s="10">
        <v>45049</v>
      </c>
      <c r="N1821" s="9">
        <v>2023</v>
      </c>
      <c r="O1821" s="9" t="s">
        <v>9083</v>
      </c>
      <c r="P1821" s="9" t="s">
        <v>53</v>
      </c>
      <c r="Q1821" s="9" t="s">
        <v>53</v>
      </c>
      <c r="T1821" s="9"/>
      <c r="V1821" s="9"/>
      <c r="AC1821" s="9" t="s">
        <v>8301</v>
      </c>
      <c r="AD1821" s="9" t="s">
        <v>8302</v>
      </c>
      <c r="AE1821" s="9" t="s">
        <v>9084</v>
      </c>
      <c r="AF1821" s="9" t="s">
        <v>9085</v>
      </c>
      <c r="AH1821" s="9">
        <v>2383.23</v>
      </c>
      <c r="AI1821" s="9" t="s">
        <v>77</v>
      </c>
      <c r="AJ1821" s="9" t="s">
        <v>301</v>
      </c>
      <c r="AK1821" s="11" t="str">
        <f t="shared" si="14"/>
        <v>2023GBP</v>
      </c>
      <c r="AL1821" s="11">
        <f>VLOOKUP(AK1821, Exchange_rates!$C:$D, 2, FALSE)</f>
        <v>1</v>
      </c>
      <c r="AM1821" s="14">
        <f t="shared" si="15"/>
        <v>2859.8759999999997</v>
      </c>
      <c r="AN1821" s="9"/>
      <c r="AO1821" s="9"/>
      <c r="AP1821" s="9"/>
      <c r="AQ1821" s="15" t="s">
        <v>49</v>
      </c>
      <c r="AR1821" t="s">
        <v>8266</v>
      </c>
      <c r="AS1821" s="16" t="s">
        <v>8267</v>
      </c>
    </row>
    <row r="1822" spans="1:60" ht="14.5">
      <c r="A1822" s="9" t="s">
        <v>9086</v>
      </c>
      <c r="B1822" s="9" t="s">
        <v>9087</v>
      </c>
      <c r="C1822" s="9" t="s">
        <v>2550</v>
      </c>
      <c r="D1822" s="9" t="s">
        <v>2479</v>
      </c>
      <c r="E1822" s="9" t="s">
        <v>49</v>
      </c>
      <c r="F1822" s="9" t="s">
        <v>69</v>
      </c>
      <c r="G1822" s="9" t="s">
        <v>70</v>
      </c>
      <c r="H1822" s="9" t="s">
        <v>8594</v>
      </c>
      <c r="I1822" s="9" t="s">
        <v>72</v>
      </c>
      <c r="J1822" s="10"/>
      <c r="K1822" s="10">
        <v>45018</v>
      </c>
      <c r="L1822" s="10"/>
      <c r="M1822" s="10">
        <v>45048</v>
      </c>
      <c r="N1822" s="9">
        <v>2023</v>
      </c>
      <c r="O1822" s="9" t="s">
        <v>9083</v>
      </c>
      <c r="P1822" s="9" t="s">
        <v>53</v>
      </c>
      <c r="Q1822" s="9" t="s">
        <v>53</v>
      </c>
      <c r="R1822" s="9" t="s">
        <v>9088</v>
      </c>
      <c r="T1822" s="9"/>
      <c r="V1822" s="9"/>
      <c r="AC1822" s="9" t="s">
        <v>8372</v>
      </c>
      <c r="AD1822" s="9" t="s">
        <v>8373</v>
      </c>
      <c r="AE1822" s="9" t="s">
        <v>9089</v>
      </c>
      <c r="AF1822" s="9" t="s">
        <v>9090</v>
      </c>
      <c r="AH1822" s="9">
        <v>2933.2</v>
      </c>
      <c r="AI1822" s="9" t="s">
        <v>77</v>
      </c>
      <c r="AJ1822" s="9" t="s">
        <v>301</v>
      </c>
      <c r="AK1822" s="11" t="str">
        <f t="shared" si="14"/>
        <v>2023GBP</v>
      </c>
      <c r="AL1822" s="11">
        <f>VLOOKUP(AK1822, Exchange_rates!$C:$D, 2, FALSE)</f>
        <v>1</v>
      </c>
      <c r="AM1822" s="14">
        <f t="shared" si="15"/>
        <v>3519.8399999999997</v>
      </c>
      <c r="AN1822" s="9"/>
      <c r="AO1822" s="9"/>
      <c r="AP1822" s="9"/>
      <c r="AQ1822" s="15" t="s">
        <v>49</v>
      </c>
      <c r="AR1822" t="s">
        <v>2552</v>
      </c>
      <c r="AS1822" s="16" t="s">
        <v>2553</v>
      </c>
    </row>
    <row r="1823" spans="1:60" ht="14.5">
      <c r="A1823" s="9" t="s">
        <v>9091</v>
      </c>
      <c r="B1823" s="9" t="s">
        <v>9092</v>
      </c>
      <c r="C1823" s="9" t="s">
        <v>9093</v>
      </c>
      <c r="D1823" s="9" t="s">
        <v>2479</v>
      </c>
      <c r="E1823" s="9" t="s">
        <v>49</v>
      </c>
      <c r="F1823" s="9" t="s">
        <v>69</v>
      </c>
      <c r="G1823" s="9" t="s">
        <v>70</v>
      </c>
      <c r="H1823" s="9" t="s">
        <v>8594</v>
      </c>
      <c r="I1823" s="9" t="s">
        <v>238</v>
      </c>
      <c r="J1823" s="10"/>
      <c r="K1823" s="10">
        <v>44994</v>
      </c>
      <c r="L1823" s="10"/>
      <c r="M1823" s="10">
        <v>45044</v>
      </c>
      <c r="N1823" s="9">
        <v>2023</v>
      </c>
      <c r="O1823" s="9" t="s">
        <v>9083</v>
      </c>
      <c r="P1823" s="9" t="s">
        <v>53</v>
      </c>
      <c r="Q1823" s="9" t="s">
        <v>53</v>
      </c>
      <c r="T1823" s="9"/>
      <c r="V1823" s="9"/>
      <c r="AC1823" s="9" t="s">
        <v>9094</v>
      </c>
      <c r="AD1823" s="9" t="s">
        <v>9095</v>
      </c>
      <c r="AH1823" s="9">
        <v>2383.23</v>
      </c>
      <c r="AI1823" s="9" t="s">
        <v>77</v>
      </c>
      <c r="AJ1823" s="9" t="s">
        <v>301</v>
      </c>
      <c r="AK1823" s="11" t="str">
        <f t="shared" si="14"/>
        <v>2023GBP</v>
      </c>
      <c r="AL1823" s="11">
        <f>VLOOKUP(AK1823, Exchange_rates!$C:$D, 2, FALSE)</f>
        <v>1</v>
      </c>
      <c r="AM1823" s="14">
        <f t="shared" si="15"/>
        <v>2859.8759999999997</v>
      </c>
      <c r="AN1823" s="9"/>
      <c r="AO1823" s="9"/>
      <c r="AP1823" s="9"/>
      <c r="AQ1823" s="15" t="s">
        <v>49</v>
      </c>
      <c r="AR1823" t="s">
        <v>9096</v>
      </c>
      <c r="AS1823" s="16" t="s">
        <v>9097</v>
      </c>
    </row>
    <row r="1824" spans="1:60" ht="14.5">
      <c r="A1824" s="9" t="s">
        <v>9098</v>
      </c>
      <c r="B1824" s="9" t="s">
        <v>9099</v>
      </c>
      <c r="C1824" s="9" t="s">
        <v>2550</v>
      </c>
      <c r="D1824" s="9" t="s">
        <v>2479</v>
      </c>
      <c r="E1824" s="9" t="s">
        <v>49</v>
      </c>
      <c r="F1824" s="9" t="s">
        <v>69</v>
      </c>
      <c r="G1824" s="9" t="s">
        <v>70</v>
      </c>
      <c r="H1824" s="9" t="s">
        <v>8594</v>
      </c>
      <c r="I1824" s="9" t="s">
        <v>72</v>
      </c>
      <c r="J1824" s="10"/>
      <c r="K1824" s="28">
        <v>44925</v>
      </c>
      <c r="L1824" s="10"/>
      <c r="M1824" s="10">
        <v>45037</v>
      </c>
      <c r="N1824" s="9">
        <v>2023</v>
      </c>
      <c r="O1824" s="9" t="s">
        <v>9083</v>
      </c>
      <c r="P1824" s="9" t="s">
        <v>53</v>
      </c>
      <c r="Q1824" s="9" t="s">
        <v>53</v>
      </c>
      <c r="T1824" s="9"/>
      <c r="V1824" s="9"/>
      <c r="AC1824" s="9" t="s">
        <v>9100</v>
      </c>
      <c r="AD1824" s="9" t="s">
        <v>9101</v>
      </c>
      <c r="AE1824" s="9" t="s">
        <v>9102</v>
      </c>
      <c r="AF1824" s="9" t="s">
        <v>9103</v>
      </c>
      <c r="AH1824" s="9">
        <v>2933.2</v>
      </c>
      <c r="AI1824" s="9" t="s">
        <v>77</v>
      </c>
      <c r="AJ1824" s="9" t="s">
        <v>301</v>
      </c>
      <c r="AK1824" s="11" t="str">
        <f t="shared" si="14"/>
        <v>2023GBP</v>
      </c>
      <c r="AL1824" s="11">
        <f>VLOOKUP(AK1824, Exchange_rates!$C:$D, 2, FALSE)</f>
        <v>1</v>
      </c>
      <c r="AM1824" s="14">
        <f t="shared" si="15"/>
        <v>3519.8399999999997</v>
      </c>
      <c r="AN1824" s="9"/>
      <c r="AO1824" s="9"/>
      <c r="AP1824" s="9"/>
      <c r="AQ1824" s="15" t="s">
        <v>49</v>
      </c>
      <c r="AR1824" t="s">
        <v>2552</v>
      </c>
      <c r="AS1824" s="16" t="s">
        <v>2553</v>
      </c>
    </row>
    <row r="1825" spans="1:60" ht="14.5">
      <c r="A1825" s="9" t="s">
        <v>9104</v>
      </c>
      <c r="B1825" s="9" t="s">
        <v>9105</v>
      </c>
      <c r="C1825" s="9" t="s">
        <v>2550</v>
      </c>
      <c r="D1825" s="9" t="s">
        <v>2479</v>
      </c>
      <c r="E1825" s="9" t="s">
        <v>49</v>
      </c>
      <c r="F1825" s="9" t="s">
        <v>69</v>
      </c>
      <c r="G1825" s="9" t="s">
        <v>70</v>
      </c>
      <c r="H1825" s="9" t="s">
        <v>8594</v>
      </c>
      <c r="I1825" s="9" t="s">
        <v>72</v>
      </c>
      <c r="J1825" s="10"/>
      <c r="K1825" s="10">
        <v>45024</v>
      </c>
      <c r="L1825" s="10"/>
      <c r="M1825" s="10">
        <v>45048</v>
      </c>
      <c r="N1825" s="9">
        <v>2023</v>
      </c>
      <c r="O1825" s="9" t="s">
        <v>9083</v>
      </c>
      <c r="P1825" s="9" t="s">
        <v>53</v>
      </c>
      <c r="Q1825" s="9" t="s">
        <v>53</v>
      </c>
      <c r="R1825" s="9" t="s">
        <v>9106</v>
      </c>
      <c r="T1825" s="9"/>
      <c r="V1825" s="9"/>
      <c r="AC1825" s="9" t="s">
        <v>9107</v>
      </c>
      <c r="AD1825" s="9" t="s">
        <v>8909</v>
      </c>
      <c r="AE1825" s="9" t="s">
        <v>9108</v>
      </c>
      <c r="AF1825" s="9" t="s">
        <v>9109</v>
      </c>
      <c r="AH1825" s="9">
        <v>2933.2</v>
      </c>
      <c r="AI1825" s="9" t="s">
        <v>77</v>
      </c>
      <c r="AJ1825" s="9" t="s">
        <v>301</v>
      </c>
      <c r="AK1825" s="11" t="str">
        <f t="shared" si="14"/>
        <v>2023GBP</v>
      </c>
      <c r="AL1825" s="11">
        <f>VLOOKUP(AK1825, Exchange_rates!$C:$D, 2, FALSE)</f>
        <v>1</v>
      </c>
      <c r="AM1825" s="14">
        <f t="shared" si="15"/>
        <v>3519.8399999999997</v>
      </c>
      <c r="AN1825" s="9"/>
      <c r="AO1825" s="9"/>
      <c r="AP1825" s="9"/>
      <c r="AQ1825" s="15" t="s">
        <v>49</v>
      </c>
      <c r="AR1825" t="s">
        <v>2552</v>
      </c>
      <c r="AS1825" s="16" t="s">
        <v>2553</v>
      </c>
    </row>
    <row r="1826" spans="1:60" ht="14.5">
      <c r="A1826" s="9" t="s">
        <v>9110</v>
      </c>
      <c r="B1826" s="9" t="s">
        <v>9111</v>
      </c>
      <c r="C1826" s="9" t="s">
        <v>8188</v>
      </c>
      <c r="D1826" s="9" t="s">
        <v>2479</v>
      </c>
      <c r="E1826" s="9" t="s">
        <v>49</v>
      </c>
      <c r="F1826" s="9" t="s">
        <v>69</v>
      </c>
      <c r="G1826" s="9" t="s">
        <v>70</v>
      </c>
      <c r="H1826" s="9" t="s">
        <v>8594</v>
      </c>
      <c r="I1826" s="9" t="s">
        <v>72</v>
      </c>
      <c r="J1826" s="10"/>
      <c r="K1826" s="10">
        <v>45032</v>
      </c>
      <c r="L1826" s="10"/>
      <c r="M1826" s="10">
        <v>45064</v>
      </c>
      <c r="N1826" s="9">
        <v>2023</v>
      </c>
      <c r="O1826" s="9" t="s">
        <v>9083</v>
      </c>
      <c r="P1826" s="9" t="s">
        <v>53</v>
      </c>
      <c r="Q1826" s="9" t="s">
        <v>53</v>
      </c>
      <c r="T1826" s="9"/>
      <c r="V1826" s="9"/>
      <c r="AC1826" s="9" t="s">
        <v>826</v>
      </c>
      <c r="AD1826" s="9" t="s">
        <v>827</v>
      </c>
      <c r="AE1826" s="9" t="s">
        <v>9112</v>
      </c>
      <c r="AF1826" s="9" t="s">
        <v>6011</v>
      </c>
      <c r="AH1826" s="9">
        <v>2383.23</v>
      </c>
      <c r="AI1826" s="9" t="s">
        <v>77</v>
      </c>
      <c r="AJ1826" s="9" t="s">
        <v>301</v>
      </c>
      <c r="AK1826" s="11" t="str">
        <f t="shared" si="14"/>
        <v>2023GBP</v>
      </c>
      <c r="AL1826" s="11">
        <f>VLOOKUP(AK1826, Exchange_rates!$C:$D, 2, FALSE)</f>
        <v>1</v>
      </c>
      <c r="AM1826" s="14">
        <f t="shared" si="15"/>
        <v>2859.8759999999997</v>
      </c>
      <c r="AN1826" s="9"/>
      <c r="AO1826" s="9"/>
      <c r="AP1826" s="9"/>
      <c r="AQ1826" s="15" t="s">
        <v>49</v>
      </c>
      <c r="AR1826" t="s">
        <v>2786</v>
      </c>
      <c r="AS1826" s="16" t="s">
        <v>2787</v>
      </c>
    </row>
    <row r="1827" spans="1:60" ht="14.5">
      <c r="A1827" s="9" t="s">
        <v>9113</v>
      </c>
      <c r="B1827" s="9" t="s">
        <v>9114</v>
      </c>
      <c r="C1827" s="9" t="s">
        <v>9115</v>
      </c>
      <c r="D1827" s="9" t="s">
        <v>2479</v>
      </c>
      <c r="E1827" s="9" t="s">
        <v>49</v>
      </c>
      <c r="F1827" s="9" t="s">
        <v>69</v>
      </c>
      <c r="G1827" s="9" t="s">
        <v>70</v>
      </c>
      <c r="H1827" s="9" t="s">
        <v>8594</v>
      </c>
      <c r="I1827" s="9" t="s">
        <v>72</v>
      </c>
      <c r="J1827" s="10"/>
      <c r="K1827" s="10">
        <v>45051</v>
      </c>
      <c r="L1827" s="10"/>
      <c r="M1827" s="10">
        <v>45075</v>
      </c>
      <c r="N1827" s="9">
        <v>2023</v>
      </c>
      <c r="O1827" s="9" t="s">
        <v>9083</v>
      </c>
      <c r="P1827" s="9" t="s">
        <v>53</v>
      </c>
      <c r="Q1827" s="9" t="s">
        <v>53</v>
      </c>
      <c r="R1827" s="9" t="s">
        <v>2492</v>
      </c>
      <c r="T1827" s="9"/>
      <c r="V1827" s="9"/>
      <c r="AC1827" s="9" t="s">
        <v>9116</v>
      </c>
      <c r="AD1827" s="9" t="s">
        <v>9117</v>
      </c>
      <c r="AE1827" s="9" t="s">
        <v>9118</v>
      </c>
      <c r="AH1827" s="9">
        <v>2383.23</v>
      </c>
      <c r="AI1827" s="9" t="s">
        <v>77</v>
      </c>
      <c r="AJ1827" s="9" t="s">
        <v>301</v>
      </c>
      <c r="AK1827" s="11" t="str">
        <f t="shared" si="14"/>
        <v>2023GBP</v>
      </c>
      <c r="AL1827" s="11">
        <f>VLOOKUP(AK1827, Exchange_rates!$C:$D, 2, FALSE)</f>
        <v>1</v>
      </c>
      <c r="AM1827" s="14">
        <f t="shared" si="15"/>
        <v>2859.8759999999997</v>
      </c>
      <c r="AN1827" s="9"/>
      <c r="AO1827" s="9"/>
      <c r="AP1827" s="9"/>
      <c r="AQ1827" s="15" t="s">
        <v>49</v>
      </c>
      <c r="AR1827" t="s">
        <v>9119</v>
      </c>
      <c r="AS1827" s="16" t="s">
        <v>9120</v>
      </c>
    </row>
    <row r="1828" spans="1:60" ht="14.5">
      <c r="A1828" s="9" t="s">
        <v>9121</v>
      </c>
      <c r="B1828" s="9" t="s">
        <v>9122</v>
      </c>
      <c r="C1828" s="9" t="s">
        <v>2683</v>
      </c>
      <c r="D1828" s="9" t="s">
        <v>2479</v>
      </c>
      <c r="E1828" s="9" t="s">
        <v>49</v>
      </c>
      <c r="F1828" s="9" t="s">
        <v>69</v>
      </c>
      <c r="G1828" s="9" t="s">
        <v>70</v>
      </c>
      <c r="H1828" s="9" t="s">
        <v>8594</v>
      </c>
      <c r="I1828" s="9" t="s">
        <v>238</v>
      </c>
      <c r="J1828" s="10"/>
      <c r="K1828" s="10">
        <v>45056</v>
      </c>
      <c r="L1828" s="10"/>
      <c r="M1828" s="10"/>
      <c r="N1828" s="9">
        <v>2023</v>
      </c>
      <c r="O1828" s="9" t="s">
        <v>9083</v>
      </c>
      <c r="P1828" s="9" t="s">
        <v>53</v>
      </c>
      <c r="Q1828" s="9" t="s">
        <v>53</v>
      </c>
      <c r="R1828" s="9" t="s">
        <v>2492</v>
      </c>
      <c r="T1828" s="9"/>
      <c r="V1828" s="9"/>
      <c r="AC1828" s="9" t="s">
        <v>9123</v>
      </c>
      <c r="AD1828" s="9" t="s">
        <v>9124</v>
      </c>
      <c r="AE1828" s="9" t="s">
        <v>9125</v>
      </c>
      <c r="AH1828" s="9">
        <v>2383.23</v>
      </c>
      <c r="AI1828" s="9" t="s">
        <v>77</v>
      </c>
      <c r="AJ1828" s="9" t="s">
        <v>301</v>
      </c>
      <c r="AK1828" s="11" t="str">
        <f t="shared" si="14"/>
        <v>2023GBP</v>
      </c>
      <c r="AL1828" s="11">
        <f>VLOOKUP(AK1828, Exchange_rates!$C:$D, 2, FALSE)</f>
        <v>1</v>
      </c>
      <c r="AM1828" s="14">
        <f t="shared" si="15"/>
        <v>2859.8759999999997</v>
      </c>
      <c r="AN1828" s="9"/>
      <c r="AO1828" s="9"/>
      <c r="AP1828" s="9"/>
      <c r="AQ1828" s="15" t="s">
        <v>49</v>
      </c>
      <c r="AR1828" t="s">
        <v>2685</v>
      </c>
      <c r="AS1828" s="16" t="s">
        <v>2685</v>
      </c>
    </row>
    <row r="1829" spans="1:60" ht="14.5">
      <c r="A1829" s="9" t="s">
        <v>9126</v>
      </c>
      <c r="B1829" s="9" t="s">
        <v>9127</v>
      </c>
      <c r="C1829" s="9" t="s">
        <v>8313</v>
      </c>
      <c r="D1829" s="9" t="s">
        <v>2479</v>
      </c>
      <c r="E1829" s="9" t="s">
        <v>49</v>
      </c>
      <c r="F1829" s="9" t="s">
        <v>50</v>
      </c>
      <c r="G1829" s="9" t="s">
        <v>51</v>
      </c>
      <c r="H1829" s="9"/>
      <c r="I1829" s="9"/>
      <c r="J1829" s="10"/>
      <c r="K1829" s="10">
        <v>44789</v>
      </c>
      <c r="L1829" s="10"/>
      <c r="M1829" s="10">
        <v>45132</v>
      </c>
      <c r="N1829" s="9">
        <v>2023</v>
      </c>
      <c r="O1829" s="9" t="s">
        <v>9083</v>
      </c>
      <c r="P1829" s="9"/>
      <c r="Q1829" s="9"/>
      <c r="T1829" s="9" t="s">
        <v>1912</v>
      </c>
      <c r="U1829" s="9" t="s">
        <v>474</v>
      </c>
      <c r="V1829" s="9"/>
      <c r="AC1829" s="9" t="s">
        <v>9128</v>
      </c>
      <c r="AD1829" s="9" t="s">
        <v>9129</v>
      </c>
      <c r="AI1829" s="9"/>
      <c r="AJ1829" s="9"/>
      <c r="AK1829" s="11" t="str">
        <f t="shared" si="14"/>
        <v>2023</v>
      </c>
      <c r="AL1829" s="11" t="e">
        <f>VLOOKUP(AK1829, Exchange_rates!$C:$D, 2, FALSE)</f>
        <v>#N/A</v>
      </c>
      <c r="AM1829" s="14" t="str">
        <f t="shared" si="15"/>
        <v/>
      </c>
      <c r="AN1829" s="9"/>
      <c r="AO1829" s="9"/>
      <c r="AP1829" s="9"/>
      <c r="AQ1829" s="15" t="s">
        <v>49</v>
      </c>
      <c r="AR1829" t="s">
        <v>8317</v>
      </c>
      <c r="AS1829" s="16" t="s">
        <v>8318</v>
      </c>
    </row>
    <row r="1830" spans="1:60" ht="14.5">
      <c r="A1830" s="9" t="s">
        <v>9130</v>
      </c>
      <c r="B1830" s="9" t="s">
        <v>9131</v>
      </c>
      <c r="C1830" s="9" t="s">
        <v>9132</v>
      </c>
      <c r="D1830" s="9" t="s">
        <v>2479</v>
      </c>
      <c r="E1830" s="9" t="s">
        <v>125</v>
      </c>
      <c r="F1830" s="9" t="s">
        <v>69</v>
      </c>
      <c r="G1830" s="9" t="s">
        <v>51</v>
      </c>
      <c r="H1830" s="9"/>
      <c r="I1830" s="9" t="s">
        <v>72</v>
      </c>
      <c r="J1830" s="10"/>
      <c r="K1830" s="10">
        <v>45096</v>
      </c>
      <c r="L1830" s="10"/>
      <c r="M1830" s="10"/>
      <c r="N1830" s="9">
        <v>2023</v>
      </c>
      <c r="O1830" s="9" t="s">
        <v>9083</v>
      </c>
      <c r="P1830" s="9" t="s">
        <v>83</v>
      </c>
      <c r="Q1830" s="9" t="s">
        <v>53</v>
      </c>
      <c r="R1830" s="9" t="s">
        <v>9133</v>
      </c>
      <c r="T1830" s="9" t="s">
        <v>279</v>
      </c>
      <c r="U1830" s="9" t="s">
        <v>8194</v>
      </c>
      <c r="V1830" s="9"/>
      <c r="AC1830" s="9" t="s">
        <v>9134</v>
      </c>
      <c r="AD1830" s="9" t="s">
        <v>9135</v>
      </c>
      <c r="AE1830" s="9" t="s">
        <v>9136</v>
      </c>
      <c r="AF1830" s="9" t="s">
        <v>9137</v>
      </c>
      <c r="AH1830" s="9">
        <v>1629.54</v>
      </c>
      <c r="AI1830" s="9" t="s">
        <v>77</v>
      </c>
      <c r="AJ1830" s="9" t="s">
        <v>301</v>
      </c>
      <c r="AK1830" s="11" t="str">
        <f t="shared" si="14"/>
        <v>2023GBP</v>
      </c>
      <c r="AL1830" s="11">
        <f>VLOOKUP(AK1830, Exchange_rates!$C:$D, 2, FALSE)</f>
        <v>1</v>
      </c>
      <c r="AM1830" s="14">
        <f t="shared" si="15"/>
        <v>1955.4479999999999</v>
      </c>
      <c r="AN1830" s="9"/>
      <c r="AO1830" s="9"/>
      <c r="AP1830" s="9"/>
      <c r="AQ1830" s="15" t="s">
        <v>125</v>
      </c>
      <c r="AR1830" t="s">
        <v>9138</v>
      </c>
      <c r="AS1830" s="16" t="s">
        <v>9139</v>
      </c>
    </row>
    <row r="1831" spans="1:60" ht="14.5">
      <c r="A1831" s="9" t="s">
        <v>9140</v>
      </c>
      <c r="B1831" s="9" t="s">
        <v>9141</v>
      </c>
      <c r="C1831" s="20" t="s">
        <v>9142</v>
      </c>
      <c r="D1831" s="20" t="s">
        <v>4371</v>
      </c>
      <c r="E1831" s="21" t="s">
        <v>49</v>
      </c>
      <c r="F1831" s="9" t="s">
        <v>50</v>
      </c>
      <c r="G1831" s="9" t="s">
        <v>51</v>
      </c>
      <c r="H1831" s="9"/>
      <c r="I1831" s="9"/>
      <c r="J1831" s="10">
        <v>44911</v>
      </c>
      <c r="K1831" s="10">
        <v>45022</v>
      </c>
      <c r="L1831" s="10"/>
      <c r="M1831" s="10"/>
      <c r="N1831" s="9">
        <v>2023</v>
      </c>
      <c r="O1831" s="20" t="s">
        <v>9143</v>
      </c>
      <c r="P1831" s="20" t="s">
        <v>53</v>
      </c>
      <c r="Q1831" s="20" t="s">
        <v>53</v>
      </c>
      <c r="R1831" s="20"/>
      <c r="T1831" s="9" t="s">
        <v>55</v>
      </c>
      <c r="U1831" s="9" t="s">
        <v>9144</v>
      </c>
      <c r="V1831" s="9"/>
      <c r="AC1831" s="9"/>
      <c r="AD1831" s="9"/>
      <c r="AE1831" s="9" t="s">
        <v>9145</v>
      </c>
      <c r="AG1831" s="9" t="s">
        <v>70</v>
      </c>
      <c r="AI1831" s="9"/>
      <c r="AJ1831" s="9"/>
      <c r="AK1831" s="11" t="str">
        <f t="shared" si="14"/>
        <v>2023</v>
      </c>
      <c r="AL1831" s="11" t="e">
        <f>VLOOKUP(AK1831, Exchange_rates!$C:$D, 2, FALSE)</f>
        <v>#N/A</v>
      </c>
      <c r="AM1831" s="14" t="str">
        <f t="shared" si="15"/>
        <v/>
      </c>
      <c r="AN1831" s="9"/>
      <c r="AO1831" s="9"/>
      <c r="AP1831" s="21"/>
      <c r="AQ1831" s="27" t="s">
        <v>49</v>
      </c>
      <c r="AR1831" t="s">
        <v>9146</v>
      </c>
      <c r="AS1831" s="16" t="s">
        <v>9147</v>
      </c>
    </row>
    <row r="1832" spans="1:60" ht="14.5">
      <c r="A1832" s="9" t="s">
        <v>9148</v>
      </c>
      <c r="B1832" s="9" t="s">
        <v>9149</v>
      </c>
      <c r="C1832" s="20" t="s">
        <v>5140</v>
      </c>
      <c r="D1832" s="20" t="s">
        <v>4371</v>
      </c>
      <c r="E1832" s="21" t="s">
        <v>49</v>
      </c>
      <c r="F1832" s="9" t="s">
        <v>50</v>
      </c>
      <c r="G1832" s="9" t="s">
        <v>51</v>
      </c>
      <c r="H1832" s="9"/>
      <c r="I1832" s="9"/>
      <c r="J1832" s="10">
        <v>44959</v>
      </c>
      <c r="K1832" s="10">
        <v>44981</v>
      </c>
      <c r="L1832" s="10"/>
      <c r="M1832" s="10"/>
      <c r="N1832" s="9">
        <v>2023</v>
      </c>
      <c r="O1832" s="20" t="s">
        <v>9143</v>
      </c>
      <c r="P1832" s="20" t="s">
        <v>53</v>
      </c>
      <c r="Q1832" s="20" t="s">
        <v>53</v>
      </c>
      <c r="R1832" s="20"/>
      <c r="T1832" s="9" t="s">
        <v>55</v>
      </c>
      <c r="U1832" s="9" t="s">
        <v>9144</v>
      </c>
      <c r="V1832" s="9"/>
      <c r="AC1832" s="9"/>
      <c r="AD1832" s="9"/>
      <c r="AE1832" s="9" t="s">
        <v>9145</v>
      </c>
      <c r="AG1832" s="9" t="s">
        <v>70</v>
      </c>
      <c r="AI1832" s="9"/>
      <c r="AJ1832" s="9"/>
      <c r="AK1832" s="11" t="str">
        <f t="shared" si="14"/>
        <v>2023</v>
      </c>
      <c r="AL1832" s="11" t="e">
        <f>VLOOKUP(AK1832, Exchange_rates!$C:$D, 2, FALSE)</f>
        <v>#N/A</v>
      </c>
      <c r="AM1832" s="14" t="str">
        <f t="shared" si="15"/>
        <v/>
      </c>
      <c r="AN1832" s="9"/>
      <c r="AO1832" s="9"/>
      <c r="AP1832" s="21"/>
      <c r="AQ1832" s="27" t="s">
        <v>49</v>
      </c>
      <c r="AR1832" t="s">
        <v>5143</v>
      </c>
      <c r="AS1832" s="16" t="s">
        <v>5144</v>
      </c>
    </row>
    <row r="1833" spans="1:60" ht="14.5">
      <c r="A1833" s="9" t="s">
        <v>9150</v>
      </c>
      <c r="B1833" s="9" t="s">
        <v>9151</v>
      </c>
      <c r="C1833" s="20" t="s">
        <v>4897</v>
      </c>
      <c r="D1833" s="20" t="s">
        <v>4371</v>
      </c>
      <c r="E1833" s="21" t="s">
        <v>49</v>
      </c>
      <c r="F1833" s="9" t="s">
        <v>50</v>
      </c>
      <c r="G1833" s="9" t="s">
        <v>51</v>
      </c>
      <c r="H1833" s="9"/>
      <c r="I1833" s="9"/>
      <c r="J1833" s="10">
        <v>44687</v>
      </c>
      <c r="K1833" s="10">
        <v>44804</v>
      </c>
      <c r="L1833" s="10"/>
      <c r="M1833" s="10"/>
      <c r="N1833" s="9">
        <v>2022</v>
      </c>
      <c r="O1833" s="20" t="s">
        <v>9143</v>
      </c>
      <c r="P1833" s="20" t="s">
        <v>53</v>
      </c>
      <c r="Q1833" s="20" t="s">
        <v>53</v>
      </c>
      <c r="R1833" s="20" t="s">
        <v>9152</v>
      </c>
      <c r="T1833" s="9" t="s">
        <v>279</v>
      </c>
      <c r="V1833" s="9"/>
      <c r="AC1833" s="9"/>
      <c r="AD1833" s="9"/>
      <c r="AE1833" s="9" t="s">
        <v>9145</v>
      </c>
      <c r="AI1833" s="9"/>
      <c r="AJ1833" s="9"/>
      <c r="AK1833" s="11" t="str">
        <f t="shared" si="14"/>
        <v>2022</v>
      </c>
      <c r="AL1833" s="11" t="e">
        <f>VLOOKUP(AK1833, Exchange_rates!$C:$D, 2, FALSE)</f>
        <v>#N/A</v>
      </c>
      <c r="AM1833" s="14" t="str">
        <f t="shared" si="15"/>
        <v/>
      </c>
      <c r="AN1833" s="9"/>
      <c r="AO1833" s="9"/>
      <c r="AP1833" s="21"/>
      <c r="AQ1833" s="27" t="s">
        <v>49</v>
      </c>
      <c r="AR1833" t="s">
        <v>4898</v>
      </c>
      <c r="AS1833" s="16" t="s">
        <v>4899</v>
      </c>
    </row>
    <row r="1834" spans="1:60" ht="14.5">
      <c r="A1834" s="9" t="s">
        <v>9153</v>
      </c>
      <c r="B1834" s="9" t="s">
        <v>9154</v>
      </c>
      <c r="C1834" s="20" t="s">
        <v>9155</v>
      </c>
      <c r="D1834" s="20" t="s">
        <v>4371</v>
      </c>
      <c r="E1834" s="21" t="s">
        <v>49</v>
      </c>
      <c r="F1834" s="9" t="s">
        <v>50</v>
      </c>
      <c r="G1834" s="9" t="s">
        <v>51</v>
      </c>
      <c r="H1834" s="9"/>
      <c r="I1834" s="9"/>
      <c r="J1834" s="10">
        <v>44435</v>
      </c>
      <c r="K1834" s="10">
        <v>44614</v>
      </c>
      <c r="L1834" s="10"/>
      <c r="M1834" s="10"/>
      <c r="N1834" s="9">
        <v>2022</v>
      </c>
      <c r="O1834" s="20" t="s">
        <v>9143</v>
      </c>
      <c r="P1834" s="20" t="s">
        <v>53</v>
      </c>
      <c r="Q1834" s="20" t="s">
        <v>53</v>
      </c>
      <c r="R1834" s="20"/>
      <c r="T1834" s="9" t="s">
        <v>55</v>
      </c>
      <c r="U1834" s="9" t="s">
        <v>9156</v>
      </c>
      <c r="V1834" s="9"/>
      <c r="AC1834" s="9"/>
      <c r="AD1834" s="9"/>
      <c r="AE1834" s="9" t="s">
        <v>9157</v>
      </c>
      <c r="AG1834" s="9" t="s">
        <v>70</v>
      </c>
      <c r="AI1834" s="9"/>
      <c r="AJ1834" s="9"/>
      <c r="AK1834" s="11" t="str">
        <f t="shared" si="14"/>
        <v>2022</v>
      </c>
      <c r="AL1834" s="11" t="e">
        <f>VLOOKUP(AK1834, Exchange_rates!$C:$D, 2, FALSE)</f>
        <v>#N/A</v>
      </c>
      <c r="AM1834" s="14" t="str">
        <f t="shared" si="15"/>
        <v/>
      </c>
      <c r="AN1834" s="9"/>
      <c r="AO1834" s="9"/>
      <c r="AP1834" s="21"/>
      <c r="AQ1834" s="27" t="s">
        <v>49</v>
      </c>
      <c r="AR1834" t="s">
        <v>9158</v>
      </c>
      <c r="AS1834" s="16" t="s">
        <v>9159</v>
      </c>
    </row>
    <row r="1835" spans="1:60" ht="14.5">
      <c r="A1835" s="9" t="s">
        <v>9160</v>
      </c>
      <c r="B1835" s="9" t="s">
        <v>9161</v>
      </c>
      <c r="C1835" s="20" t="s">
        <v>9162</v>
      </c>
      <c r="D1835" s="20" t="s">
        <v>4371</v>
      </c>
      <c r="E1835" s="21" t="s">
        <v>49</v>
      </c>
      <c r="F1835" s="9" t="s">
        <v>50</v>
      </c>
      <c r="G1835" s="9" t="s">
        <v>51</v>
      </c>
      <c r="H1835" s="9"/>
      <c r="I1835" s="9"/>
      <c r="J1835" s="10">
        <v>44781</v>
      </c>
      <c r="K1835" s="10">
        <v>44841</v>
      </c>
      <c r="L1835" s="10"/>
      <c r="M1835" s="10"/>
      <c r="N1835" s="9">
        <v>2022</v>
      </c>
      <c r="O1835" s="20" t="s">
        <v>9143</v>
      </c>
      <c r="P1835" s="20" t="s">
        <v>53</v>
      </c>
      <c r="Q1835" s="20" t="s">
        <v>53</v>
      </c>
      <c r="R1835" s="20" t="s">
        <v>9163</v>
      </c>
      <c r="T1835" s="9" t="s">
        <v>55</v>
      </c>
      <c r="U1835" s="9" t="s">
        <v>5244</v>
      </c>
      <c r="V1835" s="9"/>
      <c r="AC1835" s="9"/>
      <c r="AD1835" s="9"/>
      <c r="AE1835" s="9" t="s">
        <v>9145</v>
      </c>
      <c r="AG1835" s="9" t="s">
        <v>70</v>
      </c>
      <c r="AI1835" s="9"/>
      <c r="AJ1835" s="9"/>
      <c r="AK1835" s="11" t="str">
        <f t="shared" si="14"/>
        <v>2022</v>
      </c>
      <c r="AL1835" s="11" t="e">
        <f>VLOOKUP(AK1835, Exchange_rates!$C:$D, 2, FALSE)</f>
        <v>#N/A</v>
      </c>
      <c r="AM1835" s="14" t="str">
        <f t="shared" si="15"/>
        <v/>
      </c>
      <c r="AN1835" s="9"/>
      <c r="AO1835" s="9"/>
      <c r="AP1835" s="21"/>
      <c r="AQ1835" s="27" t="s">
        <v>49</v>
      </c>
      <c r="AR1835" t="s">
        <v>9164</v>
      </c>
      <c r="AS1835" s="16" t="s">
        <v>9165</v>
      </c>
    </row>
    <row r="1836" spans="1:60" ht="14.5">
      <c r="A1836" s="20" t="s">
        <v>9166</v>
      </c>
      <c r="B1836" s="20" t="s">
        <v>9167</v>
      </c>
      <c r="C1836" s="20" t="s">
        <v>9168</v>
      </c>
      <c r="D1836" s="20" t="s">
        <v>4371</v>
      </c>
      <c r="E1836" s="21" t="s">
        <v>49</v>
      </c>
      <c r="F1836" s="20" t="s">
        <v>50</v>
      </c>
      <c r="G1836" s="20" t="s">
        <v>51</v>
      </c>
      <c r="H1836" s="20"/>
      <c r="I1836" s="20"/>
      <c r="J1836" s="22">
        <v>44697</v>
      </c>
      <c r="K1836" s="22">
        <v>44808</v>
      </c>
      <c r="L1836" s="22"/>
      <c r="M1836" s="22"/>
      <c r="N1836" s="20">
        <v>2022</v>
      </c>
      <c r="O1836" s="20" t="s">
        <v>9143</v>
      </c>
      <c r="P1836" s="20" t="s">
        <v>53</v>
      </c>
      <c r="Q1836" s="20" t="s">
        <v>53</v>
      </c>
      <c r="R1836" s="20" t="s">
        <v>9169</v>
      </c>
      <c r="S1836" s="20"/>
      <c r="T1836" s="20" t="s">
        <v>279</v>
      </c>
      <c r="U1836" s="20"/>
      <c r="V1836" s="20"/>
      <c r="W1836" s="20"/>
      <c r="X1836" s="20"/>
      <c r="Y1836" s="20"/>
      <c r="Z1836" s="20"/>
      <c r="AA1836" s="20"/>
      <c r="AB1836" s="20"/>
      <c r="AC1836" s="20"/>
      <c r="AD1836" s="20"/>
      <c r="AE1836" s="20" t="s">
        <v>9145</v>
      </c>
      <c r="AF1836" s="20"/>
      <c r="AG1836" s="20"/>
      <c r="AH1836" s="20"/>
      <c r="AI1836" s="20"/>
      <c r="AJ1836" s="20"/>
      <c r="AK1836" s="23" t="str">
        <f t="shared" si="14"/>
        <v>2022</v>
      </c>
      <c r="AL1836" s="23" t="e">
        <f>VLOOKUP(AK1836, Exchange_rates!$C:$D, 2, FALSE)</f>
        <v>#N/A</v>
      </c>
      <c r="AM1836" s="26" t="str">
        <f t="shared" si="15"/>
        <v/>
      </c>
      <c r="AN1836" s="20"/>
      <c r="AO1836" s="20"/>
      <c r="AP1836" s="21"/>
      <c r="AQ1836" s="27" t="s">
        <v>49</v>
      </c>
      <c r="AR1836" t="s">
        <v>9170</v>
      </c>
      <c r="AS1836" s="16"/>
      <c r="AT1836" s="20"/>
      <c r="AU1836" s="20"/>
      <c r="AV1836" s="20"/>
      <c r="AW1836" s="20"/>
      <c r="AX1836" s="20"/>
      <c r="AY1836" s="20"/>
      <c r="AZ1836" s="20"/>
      <c r="BA1836" s="20"/>
      <c r="BB1836" s="20"/>
      <c r="BC1836" s="20"/>
      <c r="BD1836" s="20"/>
      <c r="BE1836" s="20"/>
      <c r="BF1836" s="20"/>
      <c r="BG1836" s="20"/>
      <c r="BH1836" s="20"/>
    </row>
    <row r="1837" spans="1:60" ht="14.5">
      <c r="A1837" s="9" t="s">
        <v>9171</v>
      </c>
      <c r="B1837" s="9" t="s">
        <v>9172</v>
      </c>
      <c r="C1837" s="9" t="s">
        <v>9173</v>
      </c>
      <c r="D1837" s="9" t="s">
        <v>870</v>
      </c>
      <c r="E1837" s="21" t="s">
        <v>49</v>
      </c>
      <c r="F1837" s="9" t="s">
        <v>69</v>
      </c>
      <c r="G1837" s="9" t="s">
        <v>70</v>
      </c>
      <c r="H1837" s="9" t="s">
        <v>7452</v>
      </c>
      <c r="I1837" s="9" t="s">
        <v>72</v>
      </c>
      <c r="J1837" s="10"/>
      <c r="K1837" s="10"/>
      <c r="L1837" s="10">
        <v>45055</v>
      </c>
      <c r="M1837" s="10"/>
      <c r="N1837" s="9">
        <v>2023</v>
      </c>
      <c r="O1837" s="9" t="s">
        <v>9174</v>
      </c>
      <c r="P1837" s="9" t="s">
        <v>53</v>
      </c>
      <c r="Q1837" s="9" t="s">
        <v>53</v>
      </c>
      <c r="T1837" s="9"/>
      <c r="V1837" s="9"/>
      <c r="AC1837" s="9" t="s">
        <v>9175</v>
      </c>
      <c r="AH1837" s="30">
        <v>2560</v>
      </c>
      <c r="AI1837" s="9" t="s">
        <v>875</v>
      </c>
      <c r="AJ1837" s="9" t="s">
        <v>301</v>
      </c>
      <c r="AK1837" s="11" t="str">
        <f t="shared" si="14"/>
        <v>2023GBP</v>
      </c>
      <c r="AL1837" s="11">
        <f>VLOOKUP(AK1837, Exchange_rates!$C:$D, 2, FALSE)</f>
        <v>1</v>
      </c>
      <c r="AM1837" s="14">
        <f t="shared" si="15"/>
        <v>3072</v>
      </c>
      <c r="AN1837" s="9"/>
      <c r="AO1837" s="9"/>
      <c r="AP1837" s="21"/>
      <c r="AQ1837" s="27" t="s">
        <v>49</v>
      </c>
      <c r="AR1837" t="s">
        <v>9176</v>
      </c>
      <c r="AS1837" s="16" t="s">
        <v>9177</v>
      </c>
    </row>
    <row r="1838" spans="1:60" ht="14.5">
      <c r="A1838" s="9" t="s">
        <v>9178</v>
      </c>
      <c r="B1838" s="9" t="s">
        <v>9179</v>
      </c>
      <c r="C1838" s="9" t="s">
        <v>1047</v>
      </c>
      <c r="D1838" s="9" t="s">
        <v>870</v>
      </c>
      <c r="E1838" s="21" t="s">
        <v>49</v>
      </c>
      <c r="F1838" s="9" t="s">
        <v>69</v>
      </c>
      <c r="G1838" s="9" t="s">
        <v>70</v>
      </c>
      <c r="H1838" s="9" t="s">
        <v>7452</v>
      </c>
      <c r="I1838" s="9" t="s">
        <v>72</v>
      </c>
      <c r="J1838" s="10"/>
      <c r="K1838" s="10"/>
      <c r="L1838" s="10">
        <v>45113</v>
      </c>
      <c r="M1838" s="10"/>
      <c r="N1838" s="9">
        <v>2023</v>
      </c>
      <c r="O1838" s="9" t="s">
        <v>9174</v>
      </c>
      <c r="P1838" s="9" t="s">
        <v>83</v>
      </c>
      <c r="Q1838" s="9" t="s">
        <v>53</v>
      </c>
      <c r="R1838" s="9" t="s">
        <v>9180</v>
      </c>
      <c r="T1838" s="9"/>
      <c r="V1838" s="9"/>
      <c r="AC1838" s="9" t="s">
        <v>9181</v>
      </c>
      <c r="AH1838" s="30">
        <v>2790</v>
      </c>
      <c r="AI1838" s="9" t="s">
        <v>875</v>
      </c>
      <c r="AJ1838" s="9" t="s">
        <v>301</v>
      </c>
      <c r="AK1838" s="11" t="str">
        <f t="shared" si="14"/>
        <v>2023GBP</v>
      </c>
      <c r="AL1838" s="11">
        <f>VLOOKUP(AK1838, Exchange_rates!$C:$D, 2, FALSE)</f>
        <v>1</v>
      </c>
      <c r="AM1838" s="14">
        <f t="shared" si="15"/>
        <v>3348</v>
      </c>
      <c r="AN1838" s="9"/>
      <c r="AO1838" s="9"/>
      <c r="AP1838" s="21"/>
      <c r="AQ1838" s="27" t="s">
        <v>49</v>
      </c>
      <c r="AS1838" s="16" t="s">
        <v>1051</v>
      </c>
    </row>
    <row r="1839" spans="1:60" ht="14.5">
      <c r="A1839" s="9" t="s">
        <v>9182</v>
      </c>
      <c r="B1839" s="9" t="s">
        <v>9183</v>
      </c>
      <c r="C1839" s="9" t="s">
        <v>7662</v>
      </c>
      <c r="D1839" s="9" t="s">
        <v>870</v>
      </c>
      <c r="E1839" s="21" t="s">
        <v>49</v>
      </c>
      <c r="F1839" s="9" t="s">
        <v>69</v>
      </c>
      <c r="G1839" s="9" t="s">
        <v>70</v>
      </c>
      <c r="H1839" s="9" t="s">
        <v>7452</v>
      </c>
      <c r="I1839" s="9" t="s">
        <v>72</v>
      </c>
      <c r="J1839" s="10"/>
      <c r="K1839" s="10"/>
      <c r="L1839" s="10">
        <v>45121</v>
      </c>
      <c r="M1839" s="10"/>
      <c r="N1839" s="9">
        <v>2023</v>
      </c>
      <c r="O1839" s="9" t="s">
        <v>9174</v>
      </c>
      <c r="P1839" s="9" t="s">
        <v>83</v>
      </c>
      <c r="Q1839" s="9" t="s">
        <v>53</v>
      </c>
      <c r="R1839" s="9" t="s">
        <v>941</v>
      </c>
      <c r="T1839" s="9"/>
      <c r="V1839" s="9"/>
      <c r="AC1839" s="9" t="s">
        <v>9184</v>
      </c>
      <c r="AH1839" s="30">
        <v>7130</v>
      </c>
      <c r="AI1839" s="9" t="s">
        <v>875</v>
      </c>
      <c r="AJ1839" s="9" t="s">
        <v>301</v>
      </c>
      <c r="AK1839" s="11" t="str">
        <f t="shared" si="14"/>
        <v>2023GBP</v>
      </c>
      <c r="AL1839" s="11">
        <f>VLOOKUP(AK1839, Exchange_rates!$C:$D, 2, FALSE)</f>
        <v>1</v>
      </c>
      <c r="AM1839" s="14">
        <f t="shared" si="15"/>
        <v>8556</v>
      </c>
      <c r="AN1839" s="9"/>
      <c r="AO1839" s="9"/>
      <c r="AP1839" s="21"/>
      <c r="AQ1839" s="27" t="s">
        <v>49</v>
      </c>
      <c r="AS1839" s="16" t="s">
        <v>7663</v>
      </c>
    </row>
    <row r="1840" spans="1:60" ht="14.5">
      <c r="A1840" s="9" t="s">
        <v>9185</v>
      </c>
      <c r="B1840" s="9" t="s">
        <v>9186</v>
      </c>
      <c r="C1840" s="9" t="s">
        <v>9187</v>
      </c>
      <c r="D1840" s="9" t="s">
        <v>870</v>
      </c>
      <c r="E1840" s="21" t="s">
        <v>49</v>
      </c>
      <c r="F1840" s="9" t="s">
        <v>69</v>
      </c>
      <c r="G1840" s="9" t="s">
        <v>70</v>
      </c>
      <c r="H1840" s="9" t="s">
        <v>7452</v>
      </c>
      <c r="I1840" s="9" t="s">
        <v>291</v>
      </c>
      <c r="J1840" s="10"/>
      <c r="K1840" s="10"/>
      <c r="L1840" s="10">
        <v>45030</v>
      </c>
      <c r="M1840" s="10"/>
      <c r="N1840" s="9">
        <v>2023</v>
      </c>
      <c r="O1840" s="9" t="s">
        <v>9174</v>
      </c>
      <c r="P1840" s="9" t="s">
        <v>53</v>
      </c>
      <c r="Q1840" s="9" t="s">
        <v>53</v>
      </c>
      <c r="R1840" s="9">
        <v>220286500</v>
      </c>
      <c r="T1840" s="9"/>
      <c r="V1840" s="9"/>
      <c r="AC1840" s="9" t="s">
        <v>9188</v>
      </c>
      <c r="AH1840" s="30">
        <v>2750</v>
      </c>
      <c r="AI1840" s="9" t="s">
        <v>875</v>
      </c>
      <c r="AJ1840" s="9" t="s">
        <v>301</v>
      </c>
      <c r="AK1840" s="11" t="str">
        <f t="shared" si="14"/>
        <v>2023GBP</v>
      </c>
      <c r="AL1840" s="11">
        <f>VLOOKUP(AK1840, Exchange_rates!$C:$D, 2, FALSE)</f>
        <v>1</v>
      </c>
      <c r="AM1840" s="14">
        <f t="shared" si="15"/>
        <v>3300</v>
      </c>
      <c r="AN1840" s="9"/>
      <c r="AO1840" s="9"/>
      <c r="AP1840" s="21"/>
      <c r="AQ1840" s="27" t="s">
        <v>49</v>
      </c>
      <c r="AS1840" s="16" t="s">
        <v>9189</v>
      </c>
    </row>
    <row r="1841" spans="1:45" ht="14.5">
      <c r="A1841" s="9" t="s">
        <v>9190</v>
      </c>
      <c r="B1841" s="9" t="s">
        <v>9191</v>
      </c>
      <c r="C1841" s="9" t="s">
        <v>9192</v>
      </c>
      <c r="D1841" s="9" t="s">
        <v>870</v>
      </c>
      <c r="E1841" s="21" t="s">
        <v>49</v>
      </c>
      <c r="F1841" s="9" t="s">
        <v>69</v>
      </c>
      <c r="G1841" s="9" t="s">
        <v>70</v>
      </c>
      <c r="H1841" s="9" t="s">
        <v>7452</v>
      </c>
      <c r="I1841" s="9" t="s">
        <v>72</v>
      </c>
      <c r="J1841" s="10"/>
      <c r="K1841" s="10"/>
      <c r="L1841" s="10">
        <v>45021</v>
      </c>
      <c r="M1841" s="10">
        <v>45021</v>
      </c>
      <c r="N1841" s="9">
        <v>2023</v>
      </c>
      <c r="O1841" s="9" t="s">
        <v>9174</v>
      </c>
      <c r="P1841" s="9" t="s">
        <v>53</v>
      </c>
      <c r="Q1841" s="9" t="s">
        <v>83</v>
      </c>
      <c r="R1841" s="9" t="s">
        <v>9193</v>
      </c>
      <c r="T1841" s="9"/>
      <c r="V1841" s="9"/>
      <c r="AC1841" s="9" t="s">
        <v>9194</v>
      </c>
      <c r="AH1841" s="30">
        <v>2400</v>
      </c>
      <c r="AI1841" s="9" t="s">
        <v>875</v>
      </c>
      <c r="AJ1841" s="9" t="s">
        <v>301</v>
      </c>
      <c r="AK1841" s="11" t="str">
        <f t="shared" si="14"/>
        <v>2023GBP</v>
      </c>
      <c r="AL1841" s="11">
        <f>VLOOKUP(AK1841, Exchange_rates!$C:$D, 2, FALSE)</f>
        <v>1</v>
      </c>
      <c r="AM1841" s="14">
        <f t="shared" si="15"/>
        <v>2880</v>
      </c>
      <c r="AN1841" s="9"/>
      <c r="AO1841" s="9"/>
      <c r="AP1841" s="21"/>
      <c r="AQ1841" s="27" t="s">
        <v>49</v>
      </c>
      <c r="AR1841" t="s">
        <v>9195</v>
      </c>
      <c r="AS1841" s="16" t="s">
        <v>9196</v>
      </c>
    </row>
    <row r="1842" spans="1:45" ht="14.5">
      <c r="A1842" s="9" t="s">
        <v>9197</v>
      </c>
      <c r="B1842" s="9" t="s">
        <v>9198</v>
      </c>
      <c r="C1842" s="9" t="s">
        <v>9199</v>
      </c>
      <c r="D1842" s="9" t="s">
        <v>870</v>
      </c>
      <c r="E1842" s="21" t="s">
        <v>49</v>
      </c>
      <c r="F1842" s="9" t="s">
        <v>69</v>
      </c>
      <c r="G1842" s="9" t="s">
        <v>70</v>
      </c>
      <c r="H1842" s="9" t="s">
        <v>7452</v>
      </c>
      <c r="I1842" s="9" t="s">
        <v>291</v>
      </c>
      <c r="J1842" s="10"/>
      <c r="K1842" s="10"/>
      <c r="L1842" s="10">
        <v>45049</v>
      </c>
      <c r="M1842" s="10"/>
      <c r="N1842" s="9">
        <v>2023</v>
      </c>
      <c r="O1842" s="9" t="s">
        <v>9174</v>
      </c>
      <c r="P1842" s="9" t="s">
        <v>53</v>
      </c>
      <c r="Q1842" s="9" t="s">
        <v>53</v>
      </c>
      <c r="T1842" s="9"/>
      <c r="V1842" s="9"/>
      <c r="AC1842" s="9" t="s">
        <v>9200</v>
      </c>
      <c r="AH1842" s="30">
        <v>2850</v>
      </c>
      <c r="AI1842" s="9" t="s">
        <v>875</v>
      </c>
      <c r="AJ1842" s="9" t="s">
        <v>301</v>
      </c>
      <c r="AK1842" s="11" t="str">
        <f t="shared" si="14"/>
        <v>2023GBP</v>
      </c>
      <c r="AL1842" s="11">
        <f>VLOOKUP(AK1842, Exchange_rates!$C:$D, 2, FALSE)</f>
        <v>1</v>
      </c>
      <c r="AM1842" s="14">
        <f t="shared" si="15"/>
        <v>3420</v>
      </c>
      <c r="AN1842" s="9"/>
      <c r="AO1842" s="9"/>
      <c r="AP1842" s="21"/>
      <c r="AQ1842" s="27" t="s">
        <v>49</v>
      </c>
      <c r="AS1842" s="16" t="s">
        <v>9201</v>
      </c>
    </row>
    <row r="1843" spans="1:45" ht="14.5">
      <c r="A1843" s="9" t="s">
        <v>9202</v>
      </c>
      <c r="B1843" s="9" t="s">
        <v>9203</v>
      </c>
      <c r="C1843" s="9" t="s">
        <v>1173</v>
      </c>
      <c r="D1843" s="9" t="s">
        <v>870</v>
      </c>
      <c r="E1843" s="21" t="s">
        <v>49</v>
      </c>
      <c r="F1843" s="9" t="s">
        <v>69</v>
      </c>
      <c r="G1843" s="9" t="s">
        <v>70</v>
      </c>
      <c r="H1843" s="9" t="s">
        <v>7452</v>
      </c>
      <c r="I1843" s="9" t="s">
        <v>72</v>
      </c>
      <c r="J1843" s="10"/>
      <c r="K1843" s="10"/>
      <c r="L1843" s="10">
        <v>45068</v>
      </c>
      <c r="M1843" s="10"/>
      <c r="N1843" s="9">
        <v>2023</v>
      </c>
      <c r="O1843" s="9" t="s">
        <v>9174</v>
      </c>
      <c r="P1843" s="9" t="s">
        <v>53</v>
      </c>
      <c r="Q1843" s="9" t="s">
        <v>53</v>
      </c>
      <c r="T1843" s="9"/>
      <c r="V1843" s="9"/>
      <c r="AC1843" s="9" t="s">
        <v>9204</v>
      </c>
      <c r="AH1843" s="30">
        <v>1990</v>
      </c>
      <c r="AI1843" s="9" t="s">
        <v>875</v>
      </c>
      <c r="AJ1843" s="9" t="s">
        <v>301</v>
      </c>
      <c r="AK1843" s="11" t="str">
        <f t="shared" si="14"/>
        <v>2023GBP</v>
      </c>
      <c r="AL1843" s="11">
        <f>VLOOKUP(AK1843, Exchange_rates!$C:$D, 2, FALSE)</f>
        <v>1</v>
      </c>
      <c r="AM1843" s="14">
        <f t="shared" si="15"/>
        <v>2388</v>
      </c>
      <c r="AN1843" s="9"/>
      <c r="AO1843" s="9"/>
      <c r="AP1843" s="21"/>
      <c r="AQ1843" s="27" t="s">
        <v>49</v>
      </c>
      <c r="AS1843" s="16" t="s">
        <v>1176</v>
      </c>
    </row>
    <row r="1844" spans="1:45" ht="14.5">
      <c r="A1844" s="9" t="s">
        <v>9205</v>
      </c>
      <c r="B1844" s="9" t="s">
        <v>9206</v>
      </c>
      <c r="C1844" s="9" t="s">
        <v>9207</v>
      </c>
      <c r="D1844" s="9" t="s">
        <v>870</v>
      </c>
      <c r="E1844" s="21" t="s">
        <v>49</v>
      </c>
      <c r="F1844" s="9" t="s">
        <v>69</v>
      </c>
      <c r="G1844" s="9" t="s">
        <v>70</v>
      </c>
      <c r="H1844" s="9" t="s">
        <v>7452</v>
      </c>
      <c r="I1844" s="9" t="s">
        <v>72</v>
      </c>
      <c r="J1844" s="10"/>
      <c r="K1844" s="10"/>
      <c r="L1844" s="10">
        <v>45103</v>
      </c>
      <c r="M1844" s="10"/>
      <c r="N1844" s="9">
        <v>2023</v>
      </c>
      <c r="O1844" s="9" t="s">
        <v>9174</v>
      </c>
      <c r="P1844" s="9" t="s">
        <v>53</v>
      </c>
      <c r="Q1844" s="9" t="s">
        <v>53</v>
      </c>
      <c r="R1844" s="18">
        <v>5.3700100253700096E+18</v>
      </c>
      <c r="T1844" s="9"/>
      <c r="V1844" s="9"/>
      <c r="AC1844" s="9" t="s">
        <v>9208</v>
      </c>
      <c r="AH1844" s="30">
        <v>2310</v>
      </c>
      <c r="AI1844" s="9" t="s">
        <v>875</v>
      </c>
      <c r="AJ1844" s="9" t="s">
        <v>301</v>
      </c>
      <c r="AK1844" s="11" t="str">
        <f t="shared" si="14"/>
        <v>2023GBP</v>
      </c>
      <c r="AL1844" s="11">
        <f>VLOOKUP(AK1844, Exchange_rates!$C:$D, 2, FALSE)</f>
        <v>1</v>
      </c>
      <c r="AM1844" s="14">
        <f t="shared" si="15"/>
        <v>2772</v>
      </c>
      <c r="AN1844" s="9"/>
      <c r="AO1844" s="9"/>
      <c r="AP1844" s="21"/>
      <c r="AQ1844" s="27" t="s">
        <v>49</v>
      </c>
      <c r="AS1844" s="16" t="s">
        <v>9209</v>
      </c>
    </row>
    <row r="1845" spans="1:45" ht="14.5">
      <c r="A1845" s="9" t="s">
        <v>9210</v>
      </c>
      <c r="B1845" s="9" t="s">
        <v>9211</v>
      </c>
      <c r="C1845" s="9" t="s">
        <v>9212</v>
      </c>
      <c r="D1845" s="9" t="s">
        <v>870</v>
      </c>
      <c r="E1845" s="21" t="s">
        <v>49</v>
      </c>
      <c r="F1845" s="9" t="s">
        <v>69</v>
      </c>
      <c r="G1845" s="9" t="s">
        <v>70</v>
      </c>
      <c r="H1845" s="9" t="s">
        <v>7452</v>
      </c>
      <c r="I1845" s="9" t="s">
        <v>72</v>
      </c>
      <c r="J1845" s="10"/>
      <c r="K1845" s="10"/>
      <c r="L1845" s="10">
        <v>45000</v>
      </c>
      <c r="M1845" s="10"/>
      <c r="N1845" s="9">
        <v>2023</v>
      </c>
      <c r="O1845" s="9" t="s">
        <v>9174</v>
      </c>
      <c r="P1845" s="9" t="s">
        <v>83</v>
      </c>
      <c r="Q1845" s="9" t="s">
        <v>53</v>
      </c>
      <c r="R1845" s="9" t="s">
        <v>9213</v>
      </c>
      <c r="T1845" s="9"/>
      <c r="V1845" s="9"/>
      <c r="AC1845" s="9" t="s">
        <v>9214</v>
      </c>
      <c r="AH1845" s="30">
        <v>2420</v>
      </c>
      <c r="AI1845" s="9" t="s">
        <v>875</v>
      </c>
      <c r="AJ1845" s="9" t="s">
        <v>301</v>
      </c>
      <c r="AK1845" s="11" t="str">
        <f t="shared" si="14"/>
        <v>2023GBP</v>
      </c>
      <c r="AL1845" s="11">
        <f>VLOOKUP(AK1845, Exchange_rates!$C:$D, 2, FALSE)</f>
        <v>1</v>
      </c>
      <c r="AM1845" s="14">
        <f t="shared" si="15"/>
        <v>2904</v>
      </c>
      <c r="AN1845" s="9"/>
      <c r="AO1845" s="9"/>
      <c r="AP1845" s="21"/>
      <c r="AQ1845" s="27" t="s">
        <v>49</v>
      </c>
      <c r="AS1845" s="16" t="s">
        <v>9215</v>
      </c>
    </row>
    <row r="1846" spans="1:45" ht="14.5">
      <c r="A1846" s="9" t="s">
        <v>9216</v>
      </c>
      <c r="B1846" s="9" t="s">
        <v>9217</v>
      </c>
      <c r="C1846" s="9" t="s">
        <v>9218</v>
      </c>
      <c r="D1846" s="9" t="s">
        <v>870</v>
      </c>
      <c r="E1846" s="21" t="s">
        <v>49</v>
      </c>
      <c r="F1846" s="9" t="s">
        <v>69</v>
      </c>
      <c r="G1846" s="9" t="s">
        <v>70</v>
      </c>
      <c r="H1846" s="9" t="s">
        <v>7452</v>
      </c>
      <c r="I1846" s="9" t="s">
        <v>72</v>
      </c>
      <c r="J1846" s="10"/>
      <c r="K1846" s="10"/>
      <c r="L1846" s="10">
        <v>45013</v>
      </c>
      <c r="M1846" s="10"/>
      <c r="N1846" s="9">
        <v>2023</v>
      </c>
      <c r="O1846" s="9" t="s">
        <v>9174</v>
      </c>
      <c r="P1846" s="9" t="s">
        <v>53</v>
      </c>
      <c r="Q1846" s="9" t="s">
        <v>53</v>
      </c>
      <c r="R1846" s="9" t="s">
        <v>9219</v>
      </c>
      <c r="T1846" s="9"/>
      <c r="V1846" s="9"/>
      <c r="AC1846" s="9" t="s">
        <v>9220</v>
      </c>
      <c r="AH1846" s="30">
        <v>2980</v>
      </c>
      <c r="AI1846" s="9" t="s">
        <v>875</v>
      </c>
      <c r="AJ1846" s="9" t="s">
        <v>301</v>
      </c>
      <c r="AK1846" s="11" t="str">
        <f t="shared" si="14"/>
        <v>2023GBP</v>
      </c>
      <c r="AL1846" s="11">
        <f>VLOOKUP(AK1846, Exchange_rates!$C:$D, 2, FALSE)</f>
        <v>1</v>
      </c>
      <c r="AM1846" s="14">
        <f t="shared" si="15"/>
        <v>3576</v>
      </c>
      <c r="AN1846" s="9"/>
      <c r="AO1846" s="9"/>
      <c r="AP1846" s="21"/>
      <c r="AQ1846" s="27" t="s">
        <v>49</v>
      </c>
      <c r="AS1846" s="16" t="s">
        <v>9221</v>
      </c>
    </row>
    <row r="1847" spans="1:45" ht="14.5">
      <c r="A1847" s="9" t="s">
        <v>9222</v>
      </c>
      <c r="B1847" s="9" t="s">
        <v>9223</v>
      </c>
      <c r="C1847" s="9" t="s">
        <v>9224</v>
      </c>
      <c r="D1847" s="9" t="s">
        <v>870</v>
      </c>
      <c r="E1847" s="21" t="s">
        <v>49</v>
      </c>
      <c r="F1847" s="9" t="s">
        <v>69</v>
      </c>
      <c r="G1847" s="9" t="s">
        <v>70</v>
      </c>
      <c r="H1847" s="9" t="s">
        <v>7452</v>
      </c>
      <c r="I1847" s="9" t="s">
        <v>72</v>
      </c>
      <c r="J1847" s="10"/>
      <c r="K1847" s="10"/>
      <c r="L1847" s="10">
        <v>45027</v>
      </c>
      <c r="M1847" s="10"/>
      <c r="N1847" s="9">
        <v>2023</v>
      </c>
      <c r="O1847" s="9" t="s">
        <v>9174</v>
      </c>
      <c r="P1847" s="9" t="s">
        <v>53</v>
      </c>
      <c r="Q1847" s="9" t="s">
        <v>53</v>
      </c>
      <c r="T1847" s="9"/>
      <c r="V1847" s="9"/>
      <c r="AC1847" s="9" t="s">
        <v>9225</v>
      </c>
      <c r="AH1847" s="30">
        <v>2150</v>
      </c>
      <c r="AI1847" s="9" t="s">
        <v>875</v>
      </c>
      <c r="AJ1847" s="9" t="s">
        <v>301</v>
      </c>
      <c r="AK1847" s="11" t="str">
        <f t="shared" si="14"/>
        <v>2023GBP</v>
      </c>
      <c r="AL1847" s="11">
        <f>VLOOKUP(AK1847, Exchange_rates!$C:$D, 2, FALSE)</f>
        <v>1</v>
      </c>
      <c r="AM1847" s="14">
        <f t="shared" si="15"/>
        <v>2580</v>
      </c>
      <c r="AN1847" s="9"/>
      <c r="AO1847" s="9"/>
      <c r="AP1847" s="21"/>
      <c r="AQ1847" s="27" t="s">
        <v>49</v>
      </c>
      <c r="AS1847" s="16" t="s">
        <v>9226</v>
      </c>
    </row>
    <row r="1848" spans="1:45" ht="14.5">
      <c r="A1848" s="9" t="s">
        <v>9227</v>
      </c>
      <c r="B1848" s="9" t="s">
        <v>9228</v>
      </c>
      <c r="C1848" s="9" t="s">
        <v>9229</v>
      </c>
      <c r="D1848" s="9" t="s">
        <v>870</v>
      </c>
      <c r="E1848" s="21" t="s">
        <v>49</v>
      </c>
      <c r="F1848" s="9" t="s">
        <v>69</v>
      </c>
      <c r="G1848" s="9" t="s">
        <v>70</v>
      </c>
      <c r="H1848" s="9" t="s">
        <v>7452</v>
      </c>
      <c r="I1848" s="9" t="s">
        <v>72</v>
      </c>
      <c r="J1848" s="10"/>
      <c r="K1848" s="10"/>
      <c r="L1848" s="10">
        <v>45113</v>
      </c>
      <c r="M1848" s="10"/>
      <c r="N1848" s="9">
        <v>2023</v>
      </c>
      <c r="O1848" s="9" t="s">
        <v>9174</v>
      </c>
      <c r="P1848" s="9" t="s">
        <v>53</v>
      </c>
      <c r="Q1848" s="9" t="s">
        <v>53</v>
      </c>
      <c r="T1848" s="9"/>
      <c r="V1848" s="9"/>
      <c r="AC1848" s="9" t="s">
        <v>9230</v>
      </c>
      <c r="AH1848" s="30">
        <v>2540</v>
      </c>
      <c r="AI1848" s="9" t="s">
        <v>875</v>
      </c>
      <c r="AJ1848" s="9" t="s">
        <v>301</v>
      </c>
      <c r="AK1848" s="11" t="str">
        <f t="shared" si="14"/>
        <v>2023GBP</v>
      </c>
      <c r="AL1848" s="11">
        <f>VLOOKUP(AK1848, Exchange_rates!$C:$D, 2, FALSE)</f>
        <v>1</v>
      </c>
      <c r="AM1848" s="14">
        <f t="shared" si="15"/>
        <v>3048</v>
      </c>
      <c r="AN1848" s="9"/>
      <c r="AO1848" s="9"/>
      <c r="AP1848" s="21"/>
      <c r="AQ1848" s="27" t="s">
        <v>49</v>
      </c>
      <c r="AS1848" s="16" t="s">
        <v>9231</v>
      </c>
    </row>
    <row r="1849" spans="1:45" ht="14.5">
      <c r="A1849" s="9" t="s">
        <v>9232</v>
      </c>
      <c r="B1849" s="9" t="s">
        <v>9233</v>
      </c>
      <c r="C1849" s="9" t="s">
        <v>9234</v>
      </c>
      <c r="D1849" s="9" t="s">
        <v>870</v>
      </c>
      <c r="E1849" s="21" t="s">
        <v>49</v>
      </c>
      <c r="F1849" s="9" t="s">
        <v>69</v>
      </c>
      <c r="G1849" s="9" t="s">
        <v>70</v>
      </c>
      <c r="H1849" s="9" t="s">
        <v>7452</v>
      </c>
      <c r="I1849" s="9" t="s">
        <v>291</v>
      </c>
      <c r="J1849" s="10"/>
      <c r="K1849" s="10"/>
      <c r="L1849" s="10">
        <v>45124</v>
      </c>
      <c r="M1849" s="10"/>
      <c r="N1849" s="9">
        <v>2023</v>
      </c>
      <c r="O1849" s="9" t="s">
        <v>9174</v>
      </c>
      <c r="P1849" s="9" t="s">
        <v>53</v>
      </c>
      <c r="Q1849" s="9" t="s">
        <v>53</v>
      </c>
      <c r="T1849" s="9"/>
      <c r="V1849" s="9"/>
      <c r="AC1849" s="9" t="s">
        <v>9235</v>
      </c>
      <c r="AH1849" s="30">
        <v>2150</v>
      </c>
      <c r="AI1849" s="9" t="s">
        <v>875</v>
      </c>
      <c r="AJ1849" s="9" t="s">
        <v>301</v>
      </c>
      <c r="AK1849" s="11" t="str">
        <f t="shared" si="14"/>
        <v>2023GBP</v>
      </c>
      <c r="AL1849" s="11">
        <f>VLOOKUP(AK1849, Exchange_rates!$C:$D, 2, FALSE)</f>
        <v>1</v>
      </c>
      <c r="AM1849" s="14">
        <f t="shared" si="15"/>
        <v>2580</v>
      </c>
      <c r="AN1849" s="9"/>
      <c r="AO1849" s="9"/>
      <c r="AP1849" s="21"/>
      <c r="AQ1849" s="27" t="s">
        <v>49</v>
      </c>
      <c r="AS1849" s="16" t="s">
        <v>9236</v>
      </c>
    </row>
    <row r="1850" spans="1:45" ht="14.5">
      <c r="A1850" s="9" t="s">
        <v>9237</v>
      </c>
      <c r="B1850" s="9" t="s">
        <v>9238</v>
      </c>
      <c r="C1850" s="9" t="s">
        <v>7953</v>
      </c>
      <c r="D1850" s="9" t="s">
        <v>870</v>
      </c>
      <c r="E1850" s="21" t="s">
        <v>49</v>
      </c>
      <c r="F1850" s="9" t="s">
        <v>69</v>
      </c>
      <c r="G1850" s="9" t="s">
        <v>70</v>
      </c>
      <c r="H1850" s="9" t="s">
        <v>7452</v>
      </c>
      <c r="I1850" s="9" t="s">
        <v>72</v>
      </c>
      <c r="J1850" s="10"/>
      <c r="K1850" s="10"/>
      <c r="L1850" s="10">
        <v>45048</v>
      </c>
      <c r="M1850" s="10"/>
      <c r="N1850" s="9">
        <v>2023</v>
      </c>
      <c r="O1850" s="9" t="s">
        <v>9174</v>
      </c>
      <c r="P1850" s="9" t="s">
        <v>53</v>
      </c>
      <c r="Q1850" s="9" t="s">
        <v>53</v>
      </c>
      <c r="R1850" s="9" t="s">
        <v>9239</v>
      </c>
      <c r="T1850" s="9"/>
      <c r="V1850" s="9"/>
      <c r="AC1850" s="9" t="s">
        <v>9240</v>
      </c>
      <c r="AH1850" s="30">
        <v>2240</v>
      </c>
      <c r="AI1850" s="9" t="s">
        <v>875</v>
      </c>
      <c r="AJ1850" s="9" t="s">
        <v>301</v>
      </c>
      <c r="AK1850" s="11" t="str">
        <f t="shared" si="14"/>
        <v>2023GBP</v>
      </c>
      <c r="AL1850" s="11">
        <f>VLOOKUP(AK1850, Exchange_rates!$C:$D, 2, FALSE)</f>
        <v>1</v>
      </c>
      <c r="AM1850" s="14">
        <f t="shared" si="15"/>
        <v>2688</v>
      </c>
      <c r="AN1850" s="9"/>
      <c r="AO1850" s="9"/>
      <c r="AP1850" s="21"/>
      <c r="AQ1850" s="27" t="s">
        <v>49</v>
      </c>
      <c r="AS1850" s="16" t="s">
        <v>7955</v>
      </c>
    </row>
    <row r="1851" spans="1:45" ht="14.5">
      <c r="A1851" s="9" t="s">
        <v>9241</v>
      </c>
      <c r="B1851" s="9" t="s">
        <v>9242</v>
      </c>
      <c r="C1851" s="9" t="s">
        <v>7547</v>
      </c>
      <c r="D1851" s="9" t="s">
        <v>870</v>
      </c>
      <c r="E1851" s="21" t="s">
        <v>49</v>
      </c>
      <c r="F1851" s="9" t="s">
        <v>69</v>
      </c>
      <c r="G1851" s="9" t="s">
        <v>70</v>
      </c>
      <c r="H1851" s="9" t="s">
        <v>7452</v>
      </c>
      <c r="I1851" s="9" t="s">
        <v>72</v>
      </c>
      <c r="J1851" s="10"/>
      <c r="K1851" s="10"/>
      <c r="L1851" s="10">
        <v>45068</v>
      </c>
      <c r="M1851" s="10"/>
      <c r="N1851" s="9">
        <v>2023</v>
      </c>
      <c r="O1851" s="9" t="s">
        <v>9174</v>
      </c>
      <c r="P1851" s="9" t="s">
        <v>53</v>
      </c>
      <c r="Q1851" s="9" t="s">
        <v>53</v>
      </c>
      <c r="R1851" s="9" t="s">
        <v>9243</v>
      </c>
      <c r="T1851" s="9"/>
      <c r="V1851" s="9"/>
      <c r="AC1851" s="9" t="s">
        <v>9244</v>
      </c>
      <c r="AH1851" s="30">
        <v>3010</v>
      </c>
      <c r="AI1851" s="9" t="s">
        <v>875</v>
      </c>
      <c r="AJ1851" s="9" t="s">
        <v>301</v>
      </c>
      <c r="AK1851" s="11" t="str">
        <f t="shared" si="14"/>
        <v>2023GBP</v>
      </c>
      <c r="AL1851" s="11">
        <f>VLOOKUP(AK1851, Exchange_rates!$C:$D, 2, FALSE)</f>
        <v>1</v>
      </c>
      <c r="AM1851" s="14">
        <f t="shared" si="15"/>
        <v>3612</v>
      </c>
      <c r="AN1851" s="9"/>
      <c r="AO1851" s="9"/>
      <c r="AP1851" s="21"/>
      <c r="AQ1851" s="27" t="s">
        <v>49</v>
      </c>
      <c r="AS1851" s="16" t="s">
        <v>7550</v>
      </c>
    </row>
    <row r="1852" spans="1:45" ht="14.5">
      <c r="A1852" s="9" t="s">
        <v>9245</v>
      </c>
      <c r="B1852" s="9" t="s">
        <v>9246</v>
      </c>
      <c r="C1852" s="9" t="s">
        <v>919</v>
      </c>
      <c r="D1852" s="9" t="s">
        <v>870</v>
      </c>
      <c r="E1852" s="21" t="s">
        <v>49</v>
      </c>
      <c r="F1852" s="9" t="s">
        <v>69</v>
      </c>
      <c r="G1852" s="9" t="s">
        <v>70</v>
      </c>
      <c r="H1852" s="9" t="s">
        <v>7452</v>
      </c>
      <c r="I1852" s="9" t="s">
        <v>72</v>
      </c>
      <c r="J1852" s="10"/>
      <c r="K1852" s="10"/>
      <c r="L1852" s="10">
        <v>45055</v>
      </c>
      <c r="M1852" s="10"/>
      <c r="N1852" s="9">
        <v>2023</v>
      </c>
      <c r="O1852" s="9" t="s">
        <v>9174</v>
      </c>
      <c r="P1852" s="9" t="s">
        <v>53</v>
      </c>
      <c r="Q1852" s="9" t="s">
        <v>53</v>
      </c>
      <c r="T1852" s="9"/>
      <c r="V1852" s="9"/>
      <c r="AC1852" s="9" t="s">
        <v>7658</v>
      </c>
      <c r="AH1852" s="30">
        <v>2710</v>
      </c>
      <c r="AI1852" s="9" t="s">
        <v>875</v>
      </c>
      <c r="AJ1852" s="9" t="s">
        <v>301</v>
      </c>
      <c r="AK1852" s="11" t="str">
        <f t="shared" si="14"/>
        <v>2023GBP</v>
      </c>
      <c r="AL1852" s="11">
        <f>VLOOKUP(AK1852, Exchange_rates!$C:$D, 2, FALSE)</f>
        <v>1</v>
      </c>
      <c r="AM1852" s="14">
        <f t="shared" si="15"/>
        <v>3252</v>
      </c>
      <c r="AN1852" s="9"/>
      <c r="AO1852" s="9"/>
      <c r="AP1852" s="21"/>
      <c r="AQ1852" s="27" t="s">
        <v>49</v>
      </c>
      <c r="AR1852" t="s">
        <v>922</v>
      </c>
      <c r="AS1852" s="16" t="s">
        <v>922</v>
      </c>
    </row>
    <row r="1853" spans="1:45" ht="14.5">
      <c r="A1853" s="9" t="s">
        <v>9247</v>
      </c>
      <c r="B1853" s="9" t="s">
        <v>9248</v>
      </c>
      <c r="C1853" s="9" t="s">
        <v>9249</v>
      </c>
      <c r="D1853" s="9" t="s">
        <v>870</v>
      </c>
      <c r="E1853" s="21" t="s">
        <v>125</v>
      </c>
      <c r="F1853" s="9" t="s">
        <v>69</v>
      </c>
      <c r="G1853" s="9" t="s">
        <v>70</v>
      </c>
      <c r="H1853" s="9"/>
      <c r="I1853" s="9" t="s">
        <v>72</v>
      </c>
      <c r="J1853" s="10"/>
      <c r="K1853" s="10"/>
      <c r="L1853" s="10">
        <v>45083</v>
      </c>
      <c r="M1853" s="10"/>
      <c r="N1853" s="9">
        <v>2023</v>
      </c>
      <c r="O1853" s="9" t="s">
        <v>9174</v>
      </c>
      <c r="P1853" s="9" t="s">
        <v>53</v>
      </c>
      <c r="Q1853" s="9" t="s">
        <v>53</v>
      </c>
      <c r="R1853" s="9" t="s">
        <v>9250</v>
      </c>
      <c r="T1853" s="9" t="s">
        <v>279</v>
      </c>
      <c r="U1853" s="9" t="s">
        <v>278</v>
      </c>
      <c r="V1853" s="9"/>
      <c r="AC1853" s="9" t="s">
        <v>9251</v>
      </c>
      <c r="AH1853" s="30">
        <v>1160</v>
      </c>
      <c r="AI1853" s="9" t="s">
        <v>77</v>
      </c>
      <c r="AJ1853" s="9" t="s">
        <v>301</v>
      </c>
      <c r="AK1853" s="11" t="str">
        <f t="shared" si="14"/>
        <v>2023GBP</v>
      </c>
      <c r="AL1853" s="11">
        <f>VLOOKUP(AK1853, Exchange_rates!$C:$D, 2, FALSE)</f>
        <v>1</v>
      </c>
      <c r="AM1853" s="14">
        <f t="shared" si="15"/>
        <v>1392</v>
      </c>
      <c r="AN1853" s="9"/>
      <c r="AO1853" s="9"/>
      <c r="AP1853" s="21"/>
      <c r="AQ1853" s="27" t="s">
        <v>125</v>
      </c>
      <c r="AR1853" t="s">
        <v>9252</v>
      </c>
      <c r="AS1853" s="16"/>
    </row>
    <row r="1854" spans="1:45" ht="14.5">
      <c r="A1854" s="9" t="s">
        <v>9253</v>
      </c>
      <c r="B1854" s="9" t="s">
        <v>9254</v>
      </c>
      <c r="C1854" s="9" t="s">
        <v>9255</v>
      </c>
      <c r="D1854" s="9" t="s">
        <v>870</v>
      </c>
      <c r="E1854" s="9" t="s">
        <v>125</v>
      </c>
      <c r="F1854" s="9" t="s">
        <v>69</v>
      </c>
      <c r="G1854" s="9" t="s">
        <v>70</v>
      </c>
      <c r="H1854" s="9"/>
      <c r="I1854" s="9" t="s">
        <v>291</v>
      </c>
      <c r="J1854" s="10"/>
      <c r="K1854" s="10"/>
      <c r="L1854" s="10">
        <v>45090</v>
      </c>
      <c r="M1854" s="10"/>
      <c r="N1854" s="9">
        <v>2023</v>
      </c>
      <c r="O1854" s="9" t="s">
        <v>9174</v>
      </c>
      <c r="P1854" s="9" t="s">
        <v>53</v>
      </c>
      <c r="Q1854" s="9" t="s">
        <v>53</v>
      </c>
      <c r="T1854" s="9" t="s">
        <v>279</v>
      </c>
      <c r="U1854" s="9" t="s">
        <v>278</v>
      </c>
      <c r="V1854" s="9"/>
      <c r="AC1854" s="9" t="s">
        <v>9256</v>
      </c>
      <c r="AH1854" s="30">
        <v>1530</v>
      </c>
      <c r="AI1854" s="9" t="s">
        <v>77</v>
      </c>
      <c r="AJ1854" s="9" t="s">
        <v>301</v>
      </c>
      <c r="AK1854" s="11" t="str">
        <f t="shared" si="14"/>
        <v>2023GBP</v>
      </c>
      <c r="AL1854" s="11">
        <f>VLOOKUP(AK1854, Exchange_rates!$C:$D, 2, FALSE)</f>
        <v>1</v>
      </c>
      <c r="AM1854" s="14">
        <f t="shared" si="15"/>
        <v>1836</v>
      </c>
      <c r="AN1854" s="9"/>
      <c r="AO1854" s="9"/>
      <c r="AP1854" s="21"/>
      <c r="AQ1854" s="27" t="s">
        <v>125</v>
      </c>
      <c r="AR1854" t="s">
        <v>9257</v>
      </c>
      <c r="AS1854" s="16"/>
    </row>
    <row r="1855" spans="1:45" ht="14.5">
      <c r="A1855" s="9" t="s">
        <v>9258</v>
      </c>
      <c r="B1855" s="9" t="s">
        <v>9259</v>
      </c>
      <c r="C1855" s="9" t="s">
        <v>9260</v>
      </c>
      <c r="D1855" s="9" t="s">
        <v>870</v>
      </c>
      <c r="E1855" s="21" t="s">
        <v>49</v>
      </c>
      <c r="F1855" s="9" t="s">
        <v>69</v>
      </c>
      <c r="G1855" s="9" t="s">
        <v>70</v>
      </c>
      <c r="H1855" s="9" t="s">
        <v>7452</v>
      </c>
      <c r="I1855" s="9" t="s">
        <v>72</v>
      </c>
      <c r="J1855" s="10"/>
      <c r="K1855" s="10"/>
      <c r="L1855" s="10">
        <v>45106</v>
      </c>
      <c r="M1855" s="10"/>
      <c r="N1855" s="9">
        <v>2023</v>
      </c>
      <c r="O1855" s="9" t="s">
        <v>9174</v>
      </c>
      <c r="P1855" s="9" t="s">
        <v>83</v>
      </c>
      <c r="Q1855" s="9" t="s">
        <v>53</v>
      </c>
      <c r="R1855" s="9" t="s">
        <v>9261</v>
      </c>
      <c r="T1855" s="9"/>
      <c r="V1855" s="9"/>
      <c r="AC1855" s="9" t="s">
        <v>9262</v>
      </c>
      <c r="AH1855" s="30">
        <v>2110</v>
      </c>
      <c r="AI1855" s="9" t="s">
        <v>875</v>
      </c>
      <c r="AJ1855" s="9" t="s">
        <v>301</v>
      </c>
      <c r="AK1855" s="11" t="str">
        <f t="shared" si="14"/>
        <v>2023GBP</v>
      </c>
      <c r="AL1855" s="11">
        <f>VLOOKUP(AK1855, Exchange_rates!$C:$D, 2, FALSE)</f>
        <v>1</v>
      </c>
      <c r="AM1855" s="14">
        <f t="shared" si="15"/>
        <v>2532</v>
      </c>
      <c r="AN1855" s="9"/>
      <c r="AO1855" s="9"/>
      <c r="AP1855" s="21"/>
      <c r="AQ1855" s="27" t="s">
        <v>49</v>
      </c>
      <c r="AS1855" s="16" t="s">
        <v>9263</v>
      </c>
    </row>
    <row r="1856" spans="1:45" ht="14.5">
      <c r="A1856" s="9" t="s">
        <v>9264</v>
      </c>
      <c r="B1856" s="9" t="s">
        <v>9265</v>
      </c>
      <c r="C1856" s="9" t="s">
        <v>9266</v>
      </c>
      <c r="D1856" s="9" t="s">
        <v>870</v>
      </c>
      <c r="E1856" s="21" t="s">
        <v>49</v>
      </c>
      <c r="F1856" s="9" t="s">
        <v>69</v>
      </c>
      <c r="G1856" s="9" t="s">
        <v>70</v>
      </c>
      <c r="H1856" s="9" t="s">
        <v>7452</v>
      </c>
      <c r="I1856" s="9" t="s">
        <v>72</v>
      </c>
      <c r="J1856" s="10"/>
      <c r="K1856" s="10"/>
      <c r="L1856" s="10">
        <v>45121</v>
      </c>
      <c r="M1856" s="10"/>
      <c r="N1856" s="9">
        <v>2023</v>
      </c>
      <c r="O1856" s="9" t="s">
        <v>9174</v>
      </c>
      <c r="P1856" s="9" t="s">
        <v>53</v>
      </c>
      <c r="Q1856" s="9" t="s">
        <v>53</v>
      </c>
      <c r="T1856" s="9"/>
      <c r="V1856" s="9"/>
      <c r="AC1856" s="9" t="s">
        <v>9267</v>
      </c>
      <c r="AH1856" s="30">
        <v>2830</v>
      </c>
      <c r="AI1856" s="9" t="s">
        <v>875</v>
      </c>
      <c r="AJ1856" s="9" t="s">
        <v>301</v>
      </c>
      <c r="AK1856" s="11" t="str">
        <f t="shared" si="14"/>
        <v>2023GBP</v>
      </c>
      <c r="AL1856" s="11">
        <f>VLOOKUP(AK1856, Exchange_rates!$C:$D, 2, FALSE)</f>
        <v>1</v>
      </c>
      <c r="AM1856" s="14">
        <f t="shared" si="15"/>
        <v>3396</v>
      </c>
      <c r="AN1856" s="9"/>
      <c r="AO1856" s="9"/>
      <c r="AP1856" s="21"/>
      <c r="AQ1856" s="27" t="s">
        <v>49</v>
      </c>
      <c r="AS1856" s="16" t="s">
        <v>9268</v>
      </c>
    </row>
    <row r="1857" spans="1:45" ht="14.5">
      <c r="A1857" s="9" t="s">
        <v>9269</v>
      </c>
      <c r="B1857" s="9" t="s">
        <v>9270</v>
      </c>
      <c r="C1857" s="9" t="s">
        <v>1157</v>
      </c>
      <c r="D1857" s="9" t="s">
        <v>870</v>
      </c>
      <c r="E1857" s="21" t="s">
        <v>49</v>
      </c>
      <c r="F1857" s="9" t="s">
        <v>69</v>
      </c>
      <c r="G1857" s="9" t="s">
        <v>70</v>
      </c>
      <c r="H1857" s="9" t="s">
        <v>7452</v>
      </c>
      <c r="I1857" s="9" t="s">
        <v>72</v>
      </c>
      <c r="J1857" s="10"/>
      <c r="K1857" s="10"/>
      <c r="L1857" s="10">
        <v>45117</v>
      </c>
      <c r="M1857" s="10"/>
      <c r="N1857" s="9">
        <v>2023</v>
      </c>
      <c r="O1857" s="9" t="s">
        <v>9174</v>
      </c>
      <c r="P1857" s="9" t="s">
        <v>53</v>
      </c>
      <c r="Q1857" s="9" t="s">
        <v>53</v>
      </c>
      <c r="R1857" s="9" t="s">
        <v>9271</v>
      </c>
      <c r="T1857" s="9"/>
      <c r="V1857" s="9"/>
      <c r="AC1857" s="9" t="s">
        <v>9272</v>
      </c>
      <c r="AH1857" s="30">
        <v>2320</v>
      </c>
      <c r="AI1857" s="9" t="s">
        <v>875</v>
      </c>
      <c r="AJ1857" s="9" t="s">
        <v>301</v>
      </c>
      <c r="AK1857" s="11" t="str">
        <f t="shared" si="14"/>
        <v>2023GBP</v>
      </c>
      <c r="AL1857" s="11">
        <f>VLOOKUP(AK1857, Exchange_rates!$C:$D, 2, FALSE)</f>
        <v>1</v>
      </c>
      <c r="AM1857" s="14">
        <f t="shared" si="15"/>
        <v>2784</v>
      </c>
      <c r="AN1857" s="9"/>
      <c r="AO1857" s="9"/>
      <c r="AP1857" s="21"/>
      <c r="AQ1857" s="27" t="s">
        <v>49</v>
      </c>
      <c r="AS1857" s="16" t="s">
        <v>1160</v>
      </c>
    </row>
    <row r="1858" spans="1:45" ht="14.5">
      <c r="A1858" s="9" t="s">
        <v>9273</v>
      </c>
      <c r="B1858" s="9" t="s">
        <v>9274</v>
      </c>
      <c r="C1858" s="9" t="s">
        <v>9275</v>
      </c>
      <c r="D1858" s="9" t="s">
        <v>870</v>
      </c>
      <c r="E1858" s="21" t="s">
        <v>125</v>
      </c>
      <c r="F1858" s="9" t="s">
        <v>69</v>
      </c>
      <c r="G1858" s="9" t="s">
        <v>70</v>
      </c>
      <c r="H1858" s="9"/>
      <c r="I1858" s="9" t="s">
        <v>72</v>
      </c>
      <c r="J1858" s="10"/>
      <c r="K1858" s="10"/>
      <c r="L1858" s="10">
        <v>45000</v>
      </c>
      <c r="M1858" s="10"/>
      <c r="N1858" s="9">
        <v>2023</v>
      </c>
      <c r="O1858" s="9" t="s">
        <v>9174</v>
      </c>
      <c r="P1858" s="9" t="s">
        <v>53</v>
      </c>
      <c r="Q1858" s="9" t="s">
        <v>53</v>
      </c>
      <c r="R1858" s="9" t="s">
        <v>9276</v>
      </c>
      <c r="T1858" s="9" t="s">
        <v>279</v>
      </c>
      <c r="U1858" s="9" t="s">
        <v>278</v>
      </c>
      <c r="V1858" s="9"/>
      <c r="AC1858" s="9" t="s">
        <v>9277</v>
      </c>
      <c r="AH1858" s="30">
        <v>400</v>
      </c>
      <c r="AI1858" s="9" t="s">
        <v>77</v>
      </c>
      <c r="AJ1858" s="9" t="s">
        <v>301</v>
      </c>
      <c r="AK1858" s="11" t="str">
        <f t="shared" si="14"/>
        <v>2023GBP</v>
      </c>
      <c r="AL1858" s="11">
        <f>VLOOKUP(AK1858, Exchange_rates!$C:$D, 2, FALSE)</f>
        <v>1</v>
      </c>
      <c r="AM1858" s="14">
        <f t="shared" si="15"/>
        <v>480</v>
      </c>
      <c r="AN1858" s="9"/>
      <c r="AO1858" s="9"/>
      <c r="AP1858" s="21"/>
      <c r="AQ1858" s="27" t="s">
        <v>125</v>
      </c>
      <c r="AR1858" t="s">
        <v>9278</v>
      </c>
      <c r="AS1858" s="16"/>
    </row>
    <row r="1859" spans="1:45" ht="14.5">
      <c r="A1859" s="9" t="s">
        <v>9279</v>
      </c>
      <c r="B1859" s="9" t="s">
        <v>9280</v>
      </c>
      <c r="C1859" s="9" t="s">
        <v>1186</v>
      </c>
      <c r="D1859" s="9" t="s">
        <v>870</v>
      </c>
      <c r="E1859" s="21" t="s">
        <v>49</v>
      </c>
      <c r="F1859" s="9" t="s">
        <v>69</v>
      </c>
      <c r="G1859" s="9" t="s">
        <v>70</v>
      </c>
      <c r="H1859" s="9" t="s">
        <v>7452</v>
      </c>
      <c r="I1859" s="9" t="s">
        <v>72</v>
      </c>
      <c r="J1859" s="10"/>
      <c r="K1859" s="10"/>
      <c r="L1859" s="10">
        <v>45041</v>
      </c>
      <c r="M1859" s="10"/>
      <c r="N1859" s="9">
        <v>2023</v>
      </c>
      <c r="O1859" s="9" t="s">
        <v>9174</v>
      </c>
      <c r="P1859" s="9" t="s">
        <v>53</v>
      </c>
      <c r="Q1859" s="9" t="s">
        <v>53</v>
      </c>
      <c r="T1859" s="9"/>
      <c r="V1859" s="9"/>
      <c r="AC1859" s="9" t="s">
        <v>9281</v>
      </c>
      <c r="AH1859" s="30">
        <v>2460</v>
      </c>
      <c r="AI1859" s="9" t="s">
        <v>875</v>
      </c>
      <c r="AJ1859" s="9" t="s">
        <v>301</v>
      </c>
      <c r="AK1859" s="11" t="str">
        <f t="shared" si="14"/>
        <v>2023GBP</v>
      </c>
      <c r="AL1859" s="11">
        <f>VLOOKUP(AK1859, Exchange_rates!$C:$D, 2, FALSE)</f>
        <v>1</v>
      </c>
      <c r="AM1859" s="14">
        <f t="shared" si="15"/>
        <v>2952</v>
      </c>
      <c r="AN1859" s="9"/>
      <c r="AO1859" s="9"/>
      <c r="AP1859" s="21"/>
      <c r="AQ1859" s="27" t="s">
        <v>49</v>
      </c>
      <c r="AS1859" s="16" t="s">
        <v>1189</v>
      </c>
    </row>
    <row r="1860" spans="1:45" ht="14.5">
      <c r="A1860" s="9" t="s">
        <v>9282</v>
      </c>
      <c r="B1860" s="9" t="s">
        <v>9283</v>
      </c>
      <c r="C1860" s="9" t="s">
        <v>9284</v>
      </c>
      <c r="D1860" s="9" t="s">
        <v>870</v>
      </c>
      <c r="E1860" s="21" t="s">
        <v>49</v>
      </c>
      <c r="F1860" s="9" t="s">
        <v>69</v>
      </c>
      <c r="G1860" s="9" t="s">
        <v>70</v>
      </c>
      <c r="H1860" s="9" t="s">
        <v>7452</v>
      </c>
      <c r="I1860" s="9" t="s">
        <v>72</v>
      </c>
      <c r="J1860" s="10"/>
      <c r="K1860" s="10"/>
      <c r="L1860" s="10">
        <v>45040</v>
      </c>
      <c r="M1860" s="10"/>
      <c r="N1860" s="9">
        <v>2023</v>
      </c>
      <c r="O1860" s="9" t="s">
        <v>9174</v>
      </c>
      <c r="P1860" s="9" t="s">
        <v>53</v>
      </c>
      <c r="Q1860" s="9" t="s">
        <v>53</v>
      </c>
      <c r="T1860" s="9"/>
      <c r="V1860" s="9"/>
      <c r="AC1860" s="9" t="s">
        <v>9285</v>
      </c>
      <c r="AH1860" s="30">
        <v>2680</v>
      </c>
      <c r="AI1860" s="9" t="s">
        <v>875</v>
      </c>
      <c r="AJ1860" s="9" t="s">
        <v>301</v>
      </c>
      <c r="AK1860" s="11" t="str">
        <f t="shared" si="14"/>
        <v>2023GBP</v>
      </c>
      <c r="AL1860" s="11">
        <f>VLOOKUP(AK1860, Exchange_rates!$C:$D, 2, FALSE)</f>
        <v>1</v>
      </c>
      <c r="AM1860" s="14">
        <f t="shared" si="15"/>
        <v>3216</v>
      </c>
      <c r="AN1860" s="9"/>
      <c r="AO1860" s="9"/>
      <c r="AP1860" s="21"/>
      <c r="AQ1860" s="27" t="s">
        <v>49</v>
      </c>
      <c r="AS1860" s="16" t="s">
        <v>9286</v>
      </c>
    </row>
    <row r="1861" spans="1:45" ht="14.5">
      <c r="A1861" s="9" t="s">
        <v>9287</v>
      </c>
      <c r="B1861" s="9" t="s">
        <v>9288</v>
      </c>
      <c r="C1861" s="9" t="s">
        <v>1091</v>
      </c>
      <c r="D1861" s="9" t="s">
        <v>870</v>
      </c>
      <c r="E1861" s="21" t="s">
        <v>49</v>
      </c>
      <c r="F1861" s="9" t="s">
        <v>69</v>
      </c>
      <c r="G1861" s="9" t="s">
        <v>70</v>
      </c>
      <c r="H1861" s="9" t="s">
        <v>7452</v>
      </c>
      <c r="I1861" s="9" t="s">
        <v>72</v>
      </c>
      <c r="J1861" s="10"/>
      <c r="K1861" s="10"/>
      <c r="L1861" s="10">
        <v>45030</v>
      </c>
      <c r="M1861" s="10"/>
      <c r="N1861" s="9">
        <v>2023</v>
      </c>
      <c r="O1861" s="9" t="s">
        <v>9174</v>
      </c>
      <c r="P1861" s="9" t="s">
        <v>83</v>
      </c>
      <c r="Q1861" s="9" t="s">
        <v>53</v>
      </c>
      <c r="R1861" s="9" t="s">
        <v>7639</v>
      </c>
      <c r="T1861" s="9"/>
      <c r="V1861" s="9"/>
      <c r="AC1861" s="9" t="s">
        <v>9289</v>
      </c>
      <c r="AH1861" s="30">
        <v>3030</v>
      </c>
      <c r="AI1861" s="9" t="s">
        <v>875</v>
      </c>
      <c r="AJ1861" s="9" t="s">
        <v>301</v>
      </c>
      <c r="AK1861" s="11" t="str">
        <f t="shared" si="14"/>
        <v>2023GBP</v>
      </c>
      <c r="AL1861" s="11">
        <f>VLOOKUP(AK1861, Exchange_rates!$C:$D, 2, FALSE)</f>
        <v>1</v>
      </c>
      <c r="AM1861" s="14">
        <f t="shared" si="15"/>
        <v>3636</v>
      </c>
      <c r="AN1861" s="9"/>
      <c r="AO1861" s="9"/>
      <c r="AP1861" s="21"/>
      <c r="AQ1861" s="27" t="s">
        <v>49</v>
      </c>
      <c r="AS1861" s="16" t="s">
        <v>1094</v>
      </c>
    </row>
    <row r="1862" spans="1:45" ht="14.5">
      <c r="A1862" s="9" t="s">
        <v>9290</v>
      </c>
      <c r="B1862" s="9" t="s">
        <v>9291</v>
      </c>
      <c r="C1862" s="9" t="s">
        <v>9292</v>
      </c>
      <c r="D1862" s="9" t="s">
        <v>870</v>
      </c>
      <c r="E1862" s="21" t="s">
        <v>49</v>
      </c>
      <c r="F1862" s="9" t="s">
        <v>69</v>
      </c>
      <c r="G1862" s="9" t="s">
        <v>70</v>
      </c>
      <c r="H1862" s="9" t="s">
        <v>7452</v>
      </c>
      <c r="I1862" s="9" t="s">
        <v>72</v>
      </c>
      <c r="J1862" s="10"/>
      <c r="K1862" s="10"/>
      <c r="L1862" s="10">
        <v>45058</v>
      </c>
      <c r="M1862" s="10"/>
      <c r="N1862" s="9">
        <v>2023</v>
      </c>
      <c r="O1862" s="9" t="s">
        <v>9174</v>
      </c>
      <c r="P1862" s="9" t="s">
        <v>53</v>
      </c>
      <c r="Q1862" s="9" t="s">
        <v>53</v>
      </c>
      <c r="T1862" s="9"/>
      <c r="V1862" s="9"/>
      <c r="AC1862" s="9" t="s">
        <v>9293</v>
      </c>
      <c r="AH1862" s="30">
        <v>3190</v>
      </c>
      <c r="AI1862" s="9" t="s">
        <v>875</v>
      </c>
      <c r="AJ1862" s="9" t="s">
        <v>301</v>
      </c>
      <c r="AK1862" s="11" t="str">
        <f t="shared" si="14"/>
        <v>2023GBP</v>
      </c>
      <c r="AL1862" s="11">
        <f>VLOOKUP(AK1862, Exchange_rates!$C:$D, 2, FALSE)</f>
        <v>1</v>
      </c>
      <c r="AM1862" s="14">
        <f t="shared" si="15"/>
        <v>3828</v>
      </c>
      <c r="AN1862" s="9"/>
      <c r="AO1862" s="9"/>
      <c r="AP1862" s="21"/>
      <c r="AQ1862" s="27" t="s">
        <v>49</v>
      </c>
      <c r="AS1862" s="16" t="s">
        <v>9294</v>
      </c>
    </row>
    <row r="1863" spans="1:45" ht="14.5">
      <c r="A1863" s="9" t="s">
        <v>9295</v>
      </c>
      <c r="B1863" s="9" t="s">
        <v>9296</v>
      </c>
      <c r="C1863" s="9" t="s">
        <v>9297</v>
      </c>
      <c r="D1863" s="9" t="s">
        <v>870</v>
      </c>
      <c r="E1863" s="21" t="s">
        <v>49</v>
      </c>
      <c r="F1863" s="9" t="s">
        <v>69</v>
      </c>
      <c r="G1863" s="9" t="s">
        <v>70</v>
      </c>
      <c r="H1863" s="9" t="s">
        <v>7452</v>
      </c>
      <c r="I1863" s="9" t="s">
        <v>72</v>
      </c>
      <c r="J1863" s="10"/>
      <c r="K1863" s="10"/>
      <c r="L1863" s="10">
        <v>45069</v>
      </c>
      <c r="M1863" s="10"/>
      <c r="N1863" s="9">
        <v>2023</v>
      </c>
      <c r="O1863" s="9" t="s">
        <v>9174</v>
      </c>
      <c r="P1863" s="9" t="s">
        <v>53</v>
      </c>
      <c r="Q1863" s="9" t="s">
        <v>53</v>
      </c>
      <c r="R1863" s="9">
        <v>2115</v>
      </c>
      <c r="T1863" s="9"/>
      <c r="V1863" s="9"/>
      <c r="AC1863" s="9" t="s">
        <v>9298</v>
      </c>
      <c r="AH1863" s="30">
        <v>2990</v>
      </c>
      <c r="AI1863" s="9" t="s">
        <v>875</v>
      </c>
      <c r="AJ1863" s="9" t="s">
        <v>301</v>
      </c>
      <c r="AK1863" s="11" t="str">
        <f t="shared" si="14"/>
        <v>2023GBP</v>
      </c>
      <c r="AL1863" s="11">
        <f>VLOOKUP(AK1863, Exchange_rates!$C:$D, 2, FALSE)</f>
        <v>1</v>
      </c>
      <c r="AM1863" s="14">
        <f t="shared" si="15"/>
        <v>3588</v>
      </c>
      <c r="AN1863" s="9"/>
      <c r="AO1863" s="9"/>
      <c r="AP1863" s="21"/>
      <c r="AQ1863" s="27" t="s">
        <v>49</v>
      </c>
      <c r="AS1863" s="16" t="s">
        <v>9299</v>
      </c>
    </row>
    <row r="1864" spans="1:45" ht="14.5">
      <c r="A1864" s="9" t="s">
        <v>9300</v>
      </c>
      <c r="B1864" s="9" t="s">
        <v>9301</v>
      </c>
      <c r="C1864" s="9" t="s">
        <v>9302</v>
      </c>
      <c r="D1864" s="9" t="s">
        <v>870</v>
      </c>
      <c r="E1864" s="21" t="s">
        <v>49</v>
      </c>
      <c r="F1864" s="9" t="s">
        <v>69</v>
      </c>
      <c r="G1864" s="9" t="s">
        <v>70</v>
      </c>
      <c r="H1864" s="9" t="s">
        <v>7452</v>
      </c>
      <c r="I1864" s="9" t="s">
        <v>291</v>
      </c>
      <c r="J1864" s="10"/>
      <c r="K1864" s="10"/>
      <c r="L1864" s="10">
        <v>45007</v>
      </c>
      <c r="M1864" s="10"/>
      <c r="N1864" s="9">
        <v>2023</v>
      </c>
      <c r="O1864" s="9" t="s">
        <v>9174</v>
      </c>
      <c r="P1864" s="9" t="s">
        <v>53</v>
      </c>
      <c r="Q1864" s="9" t="s">
        <v>53</v>
      </c>
      <c r="R1864" s="9" t="s">
        <v>9303</v>
      </c>
      <c r="T1864" s="9"/>
      <c r="V1864" s="9"/>
      <c r="AC1864" s="9" t="s">
        <v>9304</v>
      </c>
      <c r="AH1864" s="30">
        <v>2260</v>
      </c>
      <c r="AI1864" s="9" t="s">
        <v>875</v>
      </c>
      <c r="AJ1864" s="9" t="s">
        <v>301</v>
      </c>
      <c r="AK1864" s="11" t="str">
        <f t="shared" si="14"/>
        <v>2023GBP</v>
      </c>
      <c r="AL1864" s="11">
        <f>VLOOKUP(AK1864, Exchange_rates!$C:$D, 2, FALSE)</f>
        <v>1</v>
      </c>
      <c r="AM1864" s="14">
        <f t="shared" si="15"/>
        <v>2712</v>
      </c>
      <c r="AN1864" s="9"/>
      <c r="AO1864" s="9"/>
      <c r="AP1864" s="21"/>
      <c r="AQ1864" s="27" t="s">
        <v>49</v>
      </c>
      <c r="AS1864" s="16" t="s">
        <v>9305</v>
      </c>
    </row>
    <row r="1865" spans="1:45" ht="14.5">
      <c r="A1865" s="9" t="s">
        <v>9306</v>
      </c>
      <c r="B1865" s="9" t="s">
        <v>9307</v>
      </c>
      <c r="C1865" s="9" t="s">
        <v>7468</v>
      </c>
      <c r="D1865" s="9" t="s">
        <v>870</v>
      </c>
      <c r="E1865" s="21" t="s">
        <v>49</v>
      </c>
      <c r="F1865" s="9" t="s">
        <v>69</v>
      </c>
      <c r="G1865" s="9" t="s">
        <v>70</v>
      </c>
      <c r="H1865" s="9" t="s">
        <v>7452</v>
      </c>
      <c r="I1865" s="9" t="s">
        <v>72</v>
      </c>
      <c r="J1865" s="10"/>
      <c r="K1865" s="10"/>
      <c r="L1865" s="10">
        <v>45027</v>
      </c>
      <c r="M1865" s="10"/>
      <c r="N1865" s="9">
        <v>2023</v>
      </c>
      <c r="O1865" s="9" t="s">
        <v>9174</v>
      </c>
      <c r="P1865" s="9" t="s">
        <v>53</v>
      </c>
      <c r="Q1865" s="9" t="s">
        <v>53</v>
      </c>
      <c r="T1865" s="9"/>
      <c r="V1865" s="9"/>
      <c r="AC1865" s="9" t="s">
        <v>9308</v>
      </c>
      <c r="AH1865" s="30">
        <v>1860</v>
      </c>
      <c r="AI1865" s="9" t="s">
        <v>875</v>
      </c>
      <c r="AJ1865" s="9" t="s">
        <v>301</v>
      </c>
      <c r="AK1865" s="11" t="str">
        <f t="shared" si="14"/>
        <v>2023GBP</v>
      </c>
      <c r="AL1865" s="11">
        <f>VLOOKUP(AK1865, Exchange_rates!$C:$D, 2, FALSE)</f>
        <v>1</v>
      </c>
      <c r="AM1865" s="14">
        <f t="shared" si="15"/>
        <v>2232</v>
      </c>
      <c r="AN1865" s="9"/>
      <c r="AO1865" s="9"/>
      <c r="AP1865" s="21"/>
      <c r="AQ1865" s="27" t="s">
        <v>49</v>
      </c>
      <c r="AS1865" s="16" t="s">
        <v>7470</v>
      </c>
    </row>
    <row r="1866" spans="1:45" ht="14.5">
      <c r="A1866" s="9" t="s">
        <v>9309</v>
      </c>
      <c r="B1866" s="9" t="s">
        <v>9310</v>
      </c>
      <c r="C1866" s="9" t="s">
        <v>1058</v>
      </c>
      <c r="D1866" s="9" t="s">
        <v>870</v>
      </c>
      <c r="E1866" s="21" t="s">
        <v>49</v>
      </c>
      <c r="F1866" s="9" t="s">
        <v>69</v>
      </c>
      <c r="G1866" s="9" t="s">
        <v>70</v>
      </c>
      <c r="H1866" s="9" t="s">
        <v>7452</v>
      </c>
      <c r="I1866" s="9" t="s">
        <v>72</v>
      </c>
      <c r="J1866" s="10"/>
      <c r="K1866" s="10"/>
      <c r="L1866" s="10">
        <v>45027</v>
      </c>
      <c r="M1866" s="10"/>
      <c r="N1866" s="9">
        <v>2023</v>
      </c>
      <c r="O1866" s="9" t="s">
        <v>9174</v>
      </c>
      <c r="P1866" s="9" t="s">
        <v>53</v>
      </c>
      <c r="Q1866" s="9" t="s">
        <v>53</v>
      </c>
      <c r="R1866" s="18">
        <v>2.1007522007400201E+27</v>
      </c>
      <c r="T1866" s="9"/>
      <c r="V1866" s="9"/>
      <c r="AC1866" s="9" t="s">
        <v>9311</v>
      </c>
      <c r="AH1866" s="30">
        <v>2630</v>
      </c>
      <c r="AI1866" s="9" t="s">
        <v>875</v>
      </c>
      <c r="AJ1866" s="9" t="s">
        <v>301</v>
      </c>
      <c r="AK1866" s="11" t="str">
        <f t="shared" si="14"/>
        <v>2023GBP</v>
      </c>
      <c r="AL1866" s="11">
        <f>VLOOKUP(AK1866, Exchange_rates!$C:$D, 2, FALSE)</f>
        <v>1</v>
      </c>
      <c r="AM1866" s="14">
        <f t="shared" si="15"/>
        <v>3156</v>
      </c>
      <c r="AN1866" s="9"/>
      <c r="AO1866" s="9"/>
      <c r="AP1866" s="21"/>
      <c r="AQ1866" s="27" t="s">
        <v>49</v>
      </c>
      <c r="AS1866" s="16" t="s">
        <v>1060</v>
      </c>
    </row>
    <row r="1867" spans="1:45" ht="14.5">
      <c r="A1867" s="9" t="s">
        <v>9312</v>
      </c>
      <c r="B1867" s="9" t="s">
        <v>9313</v>
      </c>
      <c r="C1867" s="9" t="s">
        <v>9314</v>
      </c>
      <c r="D1867" s="9" t="s">
        <v>870</v>
      </c>
      <c r="E1867" s="21" t="s">
        <v>49</v>
      </c>
      <c r="F1867" s="9" t="s">
        <v>69</v>
      </c>
      <c r="G1867" s="9" t="s">
        <v>70</v>
      </c>
      <c r="H1867" s="9" t="s">
        <v>7452</v>
      </c>
      <c r="I1867" s="9" t="s">
        <v>72</v>
      </c>
      <c r="J1867" s="10"/>
      <c r="K1867" s="10"/>
      <c r="L1867" s="10">
        <v>45062</v>
      </c>
      <c r="M1867" s="10"/>
      <c r="N1867" s="9">
        <v>2023</v>
      </c>
      <c r="O1867" s="9" t="s">
        <v>9174</v>
      </c>
      <c r="P1867" s="9" t="s">
        <v>53</v>
      </c>
      <c r="Q1867" s="9" t="s">
        <v>53</v>
      </c>
      <c r="T1867" s="9"/>
      <c r="V1867" s="9"/>
      <c r="AC1867" s="9" t="s">
        <v>9315</v>
      </c>
      <c r="AH1867" s="30">
        <v>2450</v>
      </c>
      <c r="AI1867" s="9" t="s">
        <v>875</v>
      </c>
      <c r="AJ1867" s="9" t="s">
        <v>301</v>
      </c>
      <c r="AK1867" s="11" t="str">
        <f t="shared" si="14"/>
        <v>2023GBP</v>
      </c>
      <c r="AL1867" s="11">
        <f>VLOOKUP(AK1867, Exchange_rates!$C:$D, 2, FALSE)</f>
        <v>1</v>
      </c>
      <c r="AM1867" s="14">
        <f t="shared" si="15"/>
        <v>2940</v>
      </c>
      <c r="AN1867" s="9"/>
      <c r="AO1867" s="9"/>
      <c r="AP1867" s="21"/>
      <c r="AQ1867" s="27" t="s">
        <v>49</v>
      </c>
      <c r="AS1867" s="16" t="s">
        <v>9316</v>
      </c>
    </row>
    <row r="1868" spans="1:45" ht="14.5">
      <c r="A1868" s="9" t="s">
        <v>9317</v>
      </c>
      <c r="B1868" s="9" t="s">
        <v>9318</v>
      </c>
      <c r="C1868" s="9" t="s">
        <v>9319</v>
      </c>
      <c r="D1868" s="9" t="s">
        <v>870</v>
      </c>
      <c r="E1868" s="21" t="s">
        <v>49</v>
      </c>
      <c r="F1868" s="9" t="s">
        <v>69</v>
      </c>
      <c r="G1868" s="9" t="s">
        <v>70</v>
      </c>
      <c r="H1868" s="9" t="s">
        <v>7452</v>
      </c>
      <c r="I1868" s="9" t="s">
        <v>72</v>
      </c>
      <c r="J1868" s="10"/>
      <c r="K1868" s="10"/>
      <c r="L1868" s="10">
        <v>45063</v>
      </c>
      <c r="M1868" s="10"/>
      <c r="N1868" s="9">
        <v>2023</v>
      </c>
      <c r="O1868" s="9" t="s">
        <v>9174</v>
      </c>
      <c r="P1868" s="9" t="s">
        <v>53</v>
      </c>
      <c r="Q1868" s="9" t="s">
        <v>53</v>
      </c>
      <c r="R1868" s="9" t="s">
        <v>9320</v>
      </c>
      <c r="T1868" s="9"/>
      <c r="V1868" s="9"/>
      <c r="AC1868" s="9" t="s">
        <v>9321</v>
      </c>
      <c r="AH1868" s="30">
        <v>2860</v>
      </c>
      <c r="AI1868" s="9" t="s">
        <v>875</v>
      </c>
      <c r="AJ1868" s="9" t="s">
        <v>301</v>
      </c>
      <c r="AK1868" s="11" t="str">
        <f t="shared" si="14"/>
        <v>2023GBP</v>
      </c>
      <c r="AL1868" s="11">
        <f>VLOOKUP(AK1868, Exchange_rates!$C:$D, 2, FALSE)</f>
        <v>1</v>
      </c>
      <c r="AM1868" s="14">
        <f t="shared" si="15"/>
        <v>3432</v>
      </c>
      <c r="AN1868" s="9"/>
      <c r="AO1868" s="9"/>
      <c r="AP1868" s="21"/>
      <c r="AQ1868" s="27" t="s">
        <v>49</v>
      </c>
      <c r="AS1868" s="16" t="s">
        <v>9322</v>
      </c>
    </row>
    <row r="1869" spans="1:45" ht="14.5">
      <c r="A1869" s="9" t="s">
        <v>9323</v>
      </c>
      <c r="B1869" s="9" t="s">
        <v>9324</v>
      </c>
      <c r="C1869" s="9" t="s">
        <v>1047</v>
      </c>
      <c r="D1869" s="9" t="s">
        <v>870</v>
      </c>
      <c r="E1869" s="21" t="s">
        <v>49</v>
      </c>
      <c r="F1869" s="9" t="s">
        <v>69</v>
      </c>
      <c r="G1869" s="9" t="s">
        <v>70</v>
      </c>
      <c r="H1869" s="9" t="s">
        <v>7452</v>
      </c>
      <c r="I1869" s="9" t="s">
        <v>291</v>
      </c>
      <c r="J1869" s="10"/>
      <c r="K1869" s="10"/>
      <c r="L1869" s="10">
        <v>45096</v>
      </c>
      <c r="M1869" s="10"/>
      <c r="N1869" s="9">
        <v>2023</v>
      </c>
      <c r="O1869" s="9" t="s">
        <v>9174</v>
      </c>
      <c r="P1869" s="9" t="s">
        <v>53</v>
      </c>
      <c r="Q1869" s="9" t="s">
        <v>53</v>
      </c>
      <c r="T1869" s="9"/>
      <c r="V1869" s="9"/>
      <c r="AC1869" s="9" t="s">
        <v>9325</v>
      </c>
      <c r="AH1869" s="30">
        <v>2790</v>
      </c>
      <c r="AI1869" s="9" t="s">
        <v>875</v>
      </c>
      <c r="AJ1869" s="9" t="s">
        <v>301</v>
      </c>
      <c r="AK1869" s="11" t="str">
        <f t="shared" si="14"/>
        <v>2023GBP</v>
      </c>
      <c r="AL1869" s="11">
        <f>VLOOKUP(AK1869, Exchange_rates!$C:$D, 2, FALSE)</f>
        <v>1</v>
      </c>
      <c r="AM1869" s="14">
        <f t="shared" si="15"/>
        <v>3348</v>
      </c>
      <c r="AN1869" s="9"/>
      <c r="AO1869" s="9"/>
      <c r="AP1869" s="21"/>
      <c r="AQ1869" s="27" t="s">
        <v>49</v>
      </c>
      <c r="AS1869" s="16" t="s">
        <v>1051</v>
      </c>
    </row>
    <row r="1870" spans="1:45" ht="14.5">
      <c r="A1870" s="9" t="s">
        <v>9326</v>
      </c>
      <c r="B1870" s="9" t="s">
        <v>9327</v>
      </c>
      <c r="C1870" s="9" t="s">
        <v>9328</v>
      </c>
      <c r="D1870" s="9" t="s">
        <v>870</v>
      </c>
      <c r="E1870" s="21" t="s">
        <v>49</v>
      </c>
      <c r="F1870" s="9" t="s">
        <v>69</v>
      </c>
      <c r="G1870" s="9" t="s">
        <v>70</v>
      </c>
      <c r="H1870" s="9" t="s">
        <v>7452</v>
      </c>
      <c r="I1870" s="9" t="s">
        <v>72</v>
      </c>
      <c r="J1870" s="10"/>
      <c r="K1870" s="10"/>
      <c r="L1870" s="10">
        <v>45121</v>
      </c>
      <c r="M1870" s="10"/>
      <c r="N1870" s="9">
        <v>2023</v>
      </c>
      <c r="O1870" s="9" t="s">
        <v>9174</v>
      </c>
      <c r="P1870" s="9" t="s">
        <v>83</v>
      </c>
      <c r="Q1870" s="9" t="s">
        <v>53</v>
      </c>
      <c r="R1870" s="9" t="s">
        <v>9329</v>
      </c>
      <c r="T1870" s="9"/>
      <c r="V1870" s="9"/>
      <c r="AC1870" s="9" t="s">
        <v>9330</v>
      </c>
      <c r="AH1870" s="30">
        <v>2620</v>
      </c>
      <c r="AI1870" s="9" t="s">
        <v>875</v>
      </c>
      <c r="AJ1870" s="9" t="s">
        <v>301</v>
      </c>
      <c r="AK1870" s="11" t="str">
        <f t="shared" si="14"/>
        <v>2023GBP</v>
      </c>
      <c r="AL1870" s="11">
        <f>VLOOKUP(AK1870, Exchange_rates!$C:$D, 2, FALSE)</f>
        <v>1</v>
      </c>
      <c r="AM1870" s="14">
        <f t="shared" si="15"/>
        <v>3144</v>
      </c>
      <c r="AN1870" s="9"/>
      <c r="AO1870" s="9"/>
      <c r="AP1870" s="21"/>
      <c r="AQ1870" s="27" t="s">
        <v>49</v>
      </c>
      <c r="AS1870" s="16" t="s">
        <v>9331</v>
      </c>
    </row>
    <row r="1871" spans="1:45" ht="14.5">
      <c r="A1871" s="9" t="s">
        <v>9332</v>
      </c>
      <c r="B1871" s="9" t="s">
        <v>9333</v>
      </c>
      <c r="C1871" s="9" t="s">
        <v>9314</v>
      </c>
      <c r="D1871" s="9" t="s">
        <v>870</v>
      </c>
      <c r="E1871" s="21" t="s">
        <v>49</v>
      </c>
      <c r="F1871" s="9" t="s">
        <v>69</v>
      </c>
      <c r="G1871" s="9" t="s">
        <v>70</v>
      </c>
      <c r="H1871" s="9" t="s">
        <v>7452</v>
      </c>
      <c r="I1871" s="9" t="s">
        <v>72</v>
      </c>
      <c r="J1871" s="10"/>
      <c r="K1871" s="10"/>
      <c r="L1871" s="10">
        <v>45099</v>
      </c>
      <c r="M1871" s="10"/>
      <c r="N1871" s="9">
        <v>2023</v>
      </c>
      <c r="O1871" s="9" t="s">
        <v>9174</v>
      </c>
      <c r="P1871" s="9" t="s">
        <v>53</v>
      </c>
      <c r="Q1871" s="9" t="s">
        <v>53</v>
      </c>
      <c r="T1871" s="9"/>
      <c r="V1871" s="9"/>
      <c r="AC1871" s="9" t="s">
        <v>9315</v>
      </c>
      <c r="AH1871" s="30">
        <v>2450</v>
      </c>
      <c r="AI1871" s="9" t="s">
        <v>875</v>
      </c>
      <c r="AJ1871" s="9" t="s">
        <v>301</v>
      </c>
      <c r="AK1871" s="11" t="str">
        <f t="shared" si="14"/>
        <v>2023GBP</v>
      </c>
      <c r="AL1871" s="11">
        <f>VLOOKUP(AK1871, Exchange_rates!$C:$D, 2, FALSE)</f>
        <v>1</v>
      </c>
      <c r="AM1871" s="14">
        <f t="shared" si="15"/>
        <v>2940</v>
      </c>
      <c r="AN1871" s="9"/>
      <c r="AO1871" s="9"/>
      <c r="AP1871" s="21"/>
      <c r="AQ1871" s="27" t="s">
        <v>49</v>
      </c>
      <c r="AS1871" s="16" t="s">
        <v>9316</v>
      </c>
    </row>
    <row r="1872" spans="1:45" ht="14.5">
      <c r="A1872" s="9" t="s">
        <v>9334</v>
      </c>
      <c r="B1872" s="9" t="s">
        <v>9335</v>
      </c>
      <c r="C1872" s="9" t="s">
        <v>9336</v>
      </c>
      <c r="D1872" s="9" t="s">
        <v>870</v>
      </c>
      <c r="E1872" s="21" t="s">
        <v>49</v>
      </c>
      <c r="F1872" s="9" t="s">
        <v>69</v>
      </c>
      <c r="G1872" s="9" t="s">
        <v>70</v>
      </c>
      <c r="H1872" s="9" t="s">
        <v>7452</v>
      </c>
      <c r="I1872" s="9" t="s">
        <v>72</v>
      </c>
      <c r="J1872" s="10"/>
      <c r="K1872" s="10"/>
      <c r="L1872" s="10">
        <v>45097</v>
      </c>
      <c r="M1872" s="10"/>
      <c r="N1872" s="9">
        <v>2023</v>
      </c>
      <c r="O1872" s="9" t="s">
        <v>9174</v>
      </c>
      <c r="P1872" s="9" t="s">
        <v>53</v>
      </c>
      <c r="Q1872" s="9" t="s">
        <v>53</v>
      </c>
      <c r="T1872" s="9"/>
      <c r="V1872" s="9"/>
      <c r="AC1872" s="9" t="s">
        <v>9337</v>
      </c>
      <c r="AH1872" s="30">
        <v>2490</v>
      </c>
      <c r="AI1872" s="9" t="s">
        <v>875</v>
      </c>
      <c r="AJ1872" s="9" t="s">
        <v>301</v>
      </c>
      <c r="AK1872" s="11" t="str">
        <f t="shared" si="14"/>
        <v>2023GBP</v>
      </c>
      <c r="AL1872" s="11">
        <f>VLOOKUP(AK1872, Exchange_rates!$C:$D, 2, FALSE)</f>
        <v>1</v>
      </c>
      <c r="AM1872" s="14">
        <f t="shared" si="15"/>
        <v>2988</v>
      </c>
      <c r="AN1872" s="9"/>
      <c r="AO1872" s="9"/>
      <c r="AP1872" s="21"/>
      <c r="AQ1872" s="27" t="s">
        <v>49</v>
      </c>
      <c r="AS1872" s="16" t="s">
        <v>9338</v>
      </c>
    </row>
    <row r="1873" spans="1:45" ht="14.5">
      <c r="A1873" s="9" t="s">
        <v>9339</v>
      </c>
      <c r="B1873" s="9" t="s">
        <v>9340</v>
      </c>
      <c r="C1873" s="9" t="s">
        <v>940</v>
      </c>
      <c r="D1873" s="9" t="s">
        <v>870</v>
      </c>
      <c r="E1873" s="21" t="s">
        <v>49</v>
      </c>
      <c r="F1873" s="9" t="s">
        <v>69</v>
      </c>
      <c r="G1873" s="9" t="s">
        <v>70</v>
      </c>
      <c r="H1873" s="9" t="s">
        <v>7452</v>
      </c>
      <c r="I1873" s="9" t="s">
        <v>72</v>
      </c>
      <c r="J1873" s="10"/>
      <c r="K1873" s="10"/>
      <c r="L1873" s="10">
        <v>45020</v>
      </c>
      <c r="M1873" s="10"/>
      <c r="N1873" s="9">
        <v>2023</v>
      </c>
      <c r="O1873" s="9" t="s">
        <v>9174</v>
      </c>
      <c r="P1873" s="9" t="s">
        <v>53</v>
      </c>
      <c r="Q1873" s="9" t="s">
        <v>53</v>
      </c>
      <c r="T1873" s="9"/>
      <c r="V1873" s="9"/>
      <c r="AC1873" s="9" t="s">
        <v>9341</v>
      </c>
      <c r="AH1873" s="30">
        <v>2640</v>
      </c>
      <c r="AI1873" s="9" t="s">
        <v>875</v>
      </c>
      <c r="AJ1873" s="9" t="s">
        <v>301</v>
      </c>
      <c r="AK1873" s="11" t="str">
        <f t="shared" si="14"/>
        <v>2023GBP</v>
      </c>
      <c r="AL1873" s="11">
        <f>VLOOKUP(AK1873, Exchange_rates!$C:$D, 2, FALSE)</f>
        <v>1</v>
      </c>
      <c r="AM1873" s="14">
        <f t="shared" si="15"/>
        <v>3168</v>
      </c>
      <c r="AN1873" s="9"/>
      <c r="AO1873" s="9"/>
      <c r="AP1873" s="21"/>
      <c r="AQ1873" s="27" t="s">
        <v>49</v>
      </c>
      <c r="AR1873" t="s">
        <v>943</v>
      </c>
      <c r="AS1873" s="16"/>
    </row>
    <row r="1874" spans="1:45" ht="14.5">
      <c r="A1874" s="9" t="s">
        <v>9342</v>
      </c>
      <c r="B1874" s="9" t="s">
        <v>9343</v>
      </c>
      <c r="C1874" s="9" t="s">
        <v>1109</v>
      </c>
      <c r="D1874" s="9" t="s">
        <v>870</v>
      </c>
      <c r="E1874" s="21" t="s">
        <v>49</v>
      </c>
      <c r="F1874" s="9" t="s">
        <v>69</v>
      </c>
      <c r="G1874" s="9" t="s">
        <v>70</v>
      </c>
      <c r="H1874" s="9" t="s">
        <v>7452</v>
      </c>
      <c r="I1874" s="9" t="s">
        <v>72</v>
      </c>
      <c r="J1874" s="10"/>
      <c r="K1874" s="10"/>
      <c r="L1874" s="10">
        <v>45091</v>
      </c>
      <c r="M1874" s="10"/>
      <c r="N1874" s="9">
        <v>2023</v>
      </c>
      <c r="O1874" s="9" t="s">
        <v>9174</v>
      </c>
      <c r="P1874" s="9" t="s">
        <v>53</v>
      </c>
      <c r="Q1874" s="9" t="s">
        <v>53</v>
      </c>
      <c r="T1874" s="9"/>
      <c r="V1874" s="9"/>
      <c r="AC1874" s="9" t="s">
        <v>9344</v>
      </c>
      <c r="AH1874" s="30">
        <v>2670</v>
      </c>
      <c r="AI1874" s="9" t="s">
        <v>875</v>
      </c>
      <c r="AJ1874" s="9" t="s">
        <v>301</v>
      </c>
      <c r="AK1874" s="11" t="str">
        <f t="shared" si="14"/>
        <v>2023GBP</v>
      </c>
      <c r="AL1874" s="11">
        <f>VLOOKUP(AK1874, Exchange_rates!$C:$D, 2, FALSE)</f>
        <v>1</v>
      </c>
      <c r="AM1874" s="14">
        <f t="shared" si="15"/>
        <v>3204</v>
      </c>
      <c r="AN1874" s="9"/>
      <c r="AO1874" s="9"/>
      <c r="AP1874" s="21"/>
      <c r="AQ1874" s="27" t="s">
        <v>49</v>
      </c>
      <c r="AS1874" s="16" t="s">
        <v>1112</v>
      </c>
    </row>
    <row r="1875" spans="1:45" ht="14.5">
      <c r="A1875" s="9" t="s">
        <v>9345</v>
      </c>
      <c r="B1875" s="9" t="s">
        <v>9346</v>
      </c>
      <c r="C1875" s="9" t="s">
        <v>9347</v>
      </c>
      <c r="D1875" s="9" t="s">
        <v>870</v>
      </c>
      <c r="E1875" s="21" t="s">
        <v>49</v>
      </c>
      <c r="F1875" s="9" t="s">
        <v>69</v>
      </c>
      <c r="G1875" s="9" t="s">
        <v>70</v>
      </c>
      <c r="H1875" s="9" t="s">
        <v>7452</v>
      </c>
      <c r="I1875" s="9" t="s">
        <v>72</v>
      </c>
      <c r="J1875" s="10"/>
      <c r="K1875" s="10"/>
      <c r="L1875" s="10">
        <v>45078</v>
      </c>
      <c r="M1875" s="10"/>
      <c r="N1875" s="9">
        <v>2023</v>
      </c>
      <c r="O1875" s="9" t="s">
        <v>9174</v>
      </c>
      <c r="P1875" s="9" t="s">
        <v>53</v>
      </c>
      <c r="Q1875" s="9" t="s">
        <v>53</v>
      </c>
      <c r="T1875" s="9"/>
      <c r="V1875" s="9"/>
      <c r="AC1875" s="9" t="s">
        <v>9348</v>
      </c>
      <c r="AH1875" s="30">
        <v>2110</v>
      </c>
      <c r="AI1875" s="9" t="s">
        <v>875</v>
      </c>
      <c r="AJ1875" s="9" t="s">
        <v>301</v>
      </c>
      <c r="AK1875" s="11" t="str">
        <f t="shared" si="14"/>
        <v>2023GBP</v>
      </c>
      <c r="AL1875" s="11">
        <f>VLOOKUP(AK1875, Exchange_rates!$C:$D, 2, FALSE)</f>
        <v>1</v>
      </c>
      <c r="AM1875" s="14">
        <f t="shared" si="15"/>
        <v>2532</v>
      </c>
      <c r="AN1875" s="9"/>
      <c r="AO1875" s="9"/>
      <c r="AP1875" s="21"/>
      <c r="AQ1875" s="27" t="s">
        <v>49</v>
      </c>
      <c r="AS1875" s="16" t="s">
        <v>9349</v>
      </c>
    </row>
    <row r="1876" spans="1:45" ht="14.5">
      <c r="A1876" s="9" t="s">
        <v>9350</v>
      </c>
      <c r="B1876" s="9" t="s">
        <v>9351</v>
      </c>
      <c r="C1876" s="9" t="s">
        <v>9260</v>
      </c>
      <c r="D1876" s="9" t="s">
        <v>870</v>
      </c>
      <c r="E1876" s="21" t="s">
        <v>49</v>
      </c>
      <c r="F1876" s="9" t="s">
        <v>69</v>
      </c>
      <c r="G1876" s="9" t="s">
        <v>70</v>
      </c>
      <c r="H1876" s="9" t="s">
        <v>7452</v>
      </c>
      <c r="I1876" s="9" t="s">
        <v>72</v>
      </c>
      <c r="J1876" s="10"/>
      <c r="K1876" s="10"/>
      <c r="L1876" s="10">
        <v>45078</v>
      </c>
      <c r="M1876" s="10"/>
      <c r="N1876" s="9">
        <v>2023</v>
      </c>
      <c r="O1876" s="9" t="s">
        <v>9174</v>
      </c>
      <c r="P1876" s="9" t="s">
        <v>53</v>
      </c>
      <c r="Q1876" s="9" t="s">
        <v>53</v>
      </c>
      <c r="R1876" s="9" t="s">
        <v>9352</v>
      </c>
      <c r="T1876" s="9"/>
      <c r="V1876" s="9"/>
      <c r="AC1876" s="9" t="s">
        <v>9353</v>
      </c>
      <c r="AH1876" s="30">
        <v>2110</v>
      </c>
      <c r="AI1876" s="9" t="s">
        <v>875</v>
      </c>
      <c r="AJ1876" s="9" t="s">
        <v>301</v>
      </c>
      <c r="AK1876" s="11" t="str">
        <f t="shared" si="14"/>
        <v>2023GBP</v>
      </c>
      <c r="AL1876" s="11">
        <f>VLOOKUP(AK1876, Exchange_rates!$C:$D, 2, FALSE)</f>
        <v>1</v>
      </c>
      <c r="AM1876" s="14">
        <f t="shared" si="15"/>
        <v>2532</v>
      </c>
      <c r="AN1876" s="9"/>
      <c r="AO1876" s="9"/>
      <c r="AP1876" s="21"/>
      <c r="AQ1876" s="27" t="s">
        <v>49</v>
      </c>
      <c r="AS1876" s="16" t="s">
        <v>9263</v>
      </c>
    </row>
    <row r="1877" spans="1:45" ht="14.5">
      <c r="A1877" s="9" t="s">
        <v>9354</v>
      </c>
      <c r="B1877" s="9" t="s">
        <v>9355</v>
      </c>
      <c r="C1877" s="9" t="s">
        <v>7682</v>
      </c>
      <c r="D1877" s="9" t="s">
        <v>870</v>
      </c>
      <c r="E1877" s="9" t="s">
        <v>125</v>
      </c>
      <c r="F1877" s="9" t="s">
        <v>69</v>
      </c>
      <c r="G1877" s="9" t="s">
        <v>51</v>
      </c>
      <c r="H1877" s="9"/>
      <c r="I1877" s="9" t="s">
        <v>72</v>
      </c>
      <c r="J1877" s="10"/>
      <c r="K1877" s="10"/>
      <c r="L1877" s="10">
        <v>45096</v>
      </c>
      <c r="M1877" s="10"/>
      <c r="N1877" s="9">
        <v>2023</v>
      </c>
      <c r="O1877" s="9" t="s">
        <v>9174</v>
      </c>
      <c r="P1877" s="9" t="s">
        <v>53</v>
      </c>
      <c r="Q1877" s="9" t="s">
        <v>53</v>
      </c>
      <c r="T1877" s="9" t="s">
        <v>279</v>
      </c>
      <c r="U1877" s="9" t="s">
        <v>278</v>
      </c>
      <c r="V1877" s="9"/>
      <c r="AC1877" s="9" t="s">
        <v>9356</v>
      </c>
      <c r="AH1877" s="30">
        <v>2760</v>
      </c>
      <c r="AI1877" s="9" t="s">
        <v>77</v>
      </c>
      <c r="AJ1877" s="9" t="s">
        <v>301</v>
      </c>
      <c r="AK1877" s="11" t="str">
        <f t="shared" si="14"/>
        <v>2023GBP</v>
      </c>
      <c r="AL1877" s="11">
        <f>VLOOKUP(AK1877, Exchange_rates!$C:$D, 2, FALSE)</f>
        <v>1</v>
      </c>
      <c r="AM1877" s="14">
        <f t="shared" si="15"/>
        <v>3312</v>
      </c>
      <c r="AN1877" s="9"/>
      <c r="AO1877" s="9"/>
      <c r="AP1877" s="21"/>
      <c r="AQ1877" s="27" t="s">
        <v>125</v>
      </c>
      <c r="AR1877" t="s">
        <v>7686</v>
      </c>
      <c r="AS1877" s="16" t="s">
        <v>7687</v>
      </c>
    </row>
    <row r="1878" spans="1:45" ht="14.5">
      <c r="A1878" s="9" t="s">
        <v>9357</v>
      </c>
      <c r="B1878" s="9" t="s">
        <v>9358</v>
      </c>
      <c r="C1878" s="9" t="s">
        <v>1047</v>
      </c>
      <c r="D1878" s="9" t="s">
        <v>870</v>
      </c>
      <c r="E1878" s="21" t="s">
        <v>49</v>
      </c>
      <c r="F1878" s="9" t="s">
        <v>69</v>
      </c>
      <c r="G1878" s="9" t="s">
        <v>70</v>
      </c>
      <c r="H1878" s="9" t="s">
        <v>7452</v>
      </c>
      <c r="I1878" s="9" t="s">
        <v>72</v>
      </c>
      <c r="J1878" s="10"/>
      <c r="K1878" s="10"/>
      <c r="L1878" s="10">
        <v>45107</v>
      </c>
      <c r="M1878" s="10"/>
      <c r="N1878" s="9">
        <v>2023</v>
      </c>
      <c r="O1878" s="9" t="s">
        <v>9174</v>
      </c>
      <c r="P1878" s="9" t="s">
        <v>83</v>
      </c>
      <c r="Q1878" s="9" t="s">
        <v>53</v>
      </c>
      <c r="R1878" s="9" t="s">
        <v>9359</v>
      </c>
      <c r="T1878" s="9"/>
      <c r="V1878" s="9"/>
      <c r="AC1878" s="9" t="s">
        <v>9360</v>
      </c>
      <c r="AH1878" s="30">
        <v>2790</v>
      </c>
      <c r="AI1878" s="9" t="s">
        <v>875</v>
      </c>
      <c r="AJ1878" s="9" t="s">
        <v>301</v>
      </c>
      <c r="AK1878" s="11" t="str">
        <f t="shared" si="14"/>
        <v>2023GBP</v>
      </c>
      <c r="AL1878" s="11">
        <f>VLOOKUP(AK1878, Exchange_rates!$C:$D, 2, FALSE)</f>
        <v>1</v>
      </c>
      <c r="AM1878" s="14">
        <f t="shared" si="15"/>
        <v>3348</v>
      </c>
      <c r="AN1878" s="9"/>
      <c r="AO1878" s="9"/>
      <c r="AP1878" s="21"/>
      <c r="AQ1878" s="27" t="s">
        <v>49</v>
      </c>
      <c r="AS1878" s="16" t="s">
        <v>1051</v>
      </c>
    </row>
    <row r="1879" spans="1:45" ht="14.5">
      <c r="A1879" s="9" t="s">
        <v>9361</v>
      </c>
      <c r="B1879" s="9" t="s">
        <v>9362</v>
      </c>
      <c r="C1879" s="9" t="s">
        <v>9363</v>
      </c>
      <c r="D1879" s="9" t="s">
        <v>870</v>
      </c>
      <c r="E1879" s="21" t="s">
        <v>49</v>
      </c>
      <c r="F1879" s="9" t="s">
        <v>69</v>
      </c>
      <c r="G1879" s="9" t="s">
        <v>70</v>
      </c>
      <c r="H1879" s="9" t="s">
        <v>7452</v>
      </c>
      <c r="I1879" s="9" t="s">
        <v>72</v>
      </c>
      <c r="J1879" s="10"/>
      <c r="K1879" s="10"/>
      <c r="L1879" s="10">
        <v>45112</v>
      </c>
      <c r="M1879" s="10"/>
      <c r="N1879" s="9">
        <v>2023</v>
      </c>
      <c r="O1879" s="9" t="s">
        <v>9174</v>
      </c>
      <c r="P1879" s="9" t="s">
        <v>83</v>
      </c>
      <c r="Q1879" s="9" t="s">
        <v>53</v>
      </c>
      <c r="R1879" s="9" t="s">
        <v>9364</v>
      </c>
      <c r="T1879" s="9"/>
      <c r="V1879" s="9"/>
      <c r="AC1879" s="9" t="s">
        <v>9365</v>
      </c>
      <c r="AH1879" s="30">
        <v>2910</v>
      </c>
      <c r="AI1879" s="9" t="s">
        <v>875</v>
      </c>
      <c r="AJ1879" s="9" t="s">
        <v>301</v>
      </c>
      <c r="AK1879" s="11" t="str">
        <f t="shared" si="14"/>
        <v>2023GBP</v>
      </c>
      <c r="AL1879" s="11">
        <f>VLOOKUP(AK1879, Exchange_rates!$C:$D, 2, FALSE)</f>
        <v>1</v>
      </c>
      <c r="AM1879" s="14">
        <f t="shared" si="15"/>
        <v>3492</v>
      </c>
      <c r="AN1879" s="9"/>
      <c r="AO1879" s="9"/>
      <c r="AP1879" s="21"/>
      <c r="AQ1879" s="27" t="s">
        <v>49</v>
      </c>
      <c r="AS1879" s="16" t="s">
        <v>9366</v>
      </c>
    </row>
    <row r="1880" spans="1:45" ht="14.5">
      <c r="A1880" s="9" t="s">
        <v>9367</v>
      </c>
      <c r="B1880" s="9" t="s">
        <v>9368</v>
      </c>
      <c r="C1880" s="9" t="s">
        <v>9369</v>
      </c>
      <c r="D1880" s="9" t="s">
        <v>870</v>
      </c>
      <c r="E1880" s="21" t="s">
        <v>49</v>
      </c>
      <c r="F1880" s="9" t="s">
        <v>69</v>
      </c>
      <c r="G1880" s="9" t="s">
        <v>70</v>
      </c>
      <c r="H1880" s="9" t="s">
        <v>7452</v>
      </c>
      <c r="I1880" s="9" t="s">
        <v>72</v>
      </c>
      <c r="J1880" s="10"/>
      <c r="K1880" s="10"/>
      <c r="L1880" s="10">
        <v>45006</v>
      </c>
      <c r="M1880" s="10"/>
      <c r="N1880" s="9">
        <v>2023</v>
      </c>
      <c r="O1880" s="9" t="s">
        <v>9174</v>
      </c>
      <c r="P1880" s="9" t="s">
        <v>53</v>
      </c>
      <c r="Q1880" s="9" t="s">
        <v>53</v>
      </c>
      <c r="R1880" s="9" t="s">
        <v>9370</v>
      </c>
      <c r="T1880" s="9"/>
      <c r="V1880" s="9"/>
      <c r="AC1880" s="9" t="s">
        <v>9371</v>
      </c>
      <c r="AH1880" s="30">
        <v>2670</v>
      </c>
      <c r="AI1880" s="9" t="s">
        <v>875</v>
      </c>
      <c r="AJ1880" s="9" t="s">
        <v>301</v>
      </c>
      <c r="AK1880" s="11" t="str">
        <f t="shared" si="14"/>
        <v>2023GBP</v>
      </c>
      <c r="AL1880" s="11">
        <f>VLOOKUP(AK1880, Exchange_rates!$C:$D, 2, FALSE)</f>
        <v>1</v>
      </c>
      <c r="AM1880" s="14">
        <f t="shared" si="15"/>
        <v>3204</v>
      </c>
      <c r="AN1880" s="9"/>
      <c r="AO1880" s="9"/>
      <c r="AP1880" s="21"/>
      <c r="AQ1880" s="27" t="s">
        <v>49</v>
      </c>
      <c r="AS1880" s="16" t="s">
        <v>9372</v>
      </c>
    </row>
    <row r="1881" spans="1:45" ht="14.5">
      <c r="A1881" s="9" t="s">
        <v>9373</v>
      </c>
      <c r="B1881" s="9" t="s">
        <v>9374</v>
      </c>
      <c r="C1881" s="9" t="s">
        <v>9375</v>
      </c>
      <c r="D1881" s="9" t="s">
        <v>870</v>
      </c>
      <c r="E1881" s="21" t="s">
        <v>49</v>
      </c>
      <c r="F1881" s="9" t="s">
        <v>69</v>
      </c>
      <c r="G1881" s="9" t="s">
        <v>70</v>
      </c>
      <c r="H1881" s="9" t="s">
        <v>7452</v>
      </c>
      <c r="I1881" s="9" t="s">
        <v>291</v>
      </c>
      <c r="J1881" s="10"/>
      <c r="K1881" s="10"/>
      <c r="L1881" s="10">
        <v>45009</v>
      </c>
      <c r="M1881" s="10"/>
      <c r="N1881" s="9">
        <v>2023</v>
      </c>
      <c r="O1881" s="9" t="s">
        <v>9174</v>
      </c>
      <c r="P1881" s="9" t="s">
        <v>53</v>
      </c>
      <c r="Q1881" s="9" t="s">
        <v>53</v>
      </c>
      <c r="T1881" s="9"/>
      <c r="V1881" s="9"/>
      <c r="AC1881" s="9" t="s">
        <v>9376</v>
      </c>
      <c r="AH1881" s="30">
        <v>2950</v>
      </c>
      <c r="AI1881" s="9" t="s">
        <v>875</v>
      </c>
      <c r="AJ1881" s="9" t="s">
        <v>301</v>
      </c>
      <c r="AK1881" s="11" t="str">
        <f t="shared" si="14"/>
        <v>2023GBP</v>
      </c>
      <c r="AL1881" s="11">
        <f>VLOOKUP(AK1881, Exchange_rates!$C:$D, 2, FALSE)</f>
        <v>1</v>
      </c>
      <c r="AM1881" s="14">
        <f t="shared" si="15"/>
        <v>3540</v>
      </c>
      <c r="AN1881" s="9"/>
      <c r="AO1881" s="9"/>
      <c r="AP1881" s="21"/>
      <c r="AQ1881" s="27" t="s">
        <v>49</v>
      </c>
      <c r="AS1881" s="16" t="s">
        <v>9377</v>
      </c>
    </row>
    <row r="1882" spans="1:45" ht="14.5">
      <c r="A1882" s="9" t="s">
        <v>9378</v>
      </c>
      <c r="B1882" s="9" t="s">
        <v>9379</v>
      </c>
      <c r="C1882" s="9" t="s">
        <v>7644</v>
      </c>
      <c r="D1882" s="9" t="s">
        <v>870</v>
      </c>
      <c r="E1882" s="21" t="s">
        <v>49</v>
      </c>
      <c r="F1882" s="9" t="s">
        <v>69</v>
      </c>
      <c r="G1882" s="9" t="s">
        <v>70</v>
      </c>
      <c r="H1882" s="9" t="s">
        <v>7452</v>
      </c>
      <c r="I1882" s="9" t="s">
        <v>72</v>
      </c>
      <c r="J1882" s="10"/>
      <c r="K1882" s="10"/>
      <c r="L1882" s="10">
        <v>45028</v>
      </c>
      <c r="M1882" s="10"/>
      <c r="N1882" s="9">
        <v>2023</v>
      </c>
      <c r="O1882" s="9" t="s">
        <v>9174</v>
      </c>
      <c r="P1882" s="9" t="s">
        <v>83</v>
      </c>
      <c r="Q1882" s="9" t="s">
        <v>53</v>
      </c>
      <c r="R1882" s="9" t="s">
        <v>240</v>
      </c>
      <c r="T1882" s="9"/>
      <c r="V1882" s="9"/>
      <c r="AC1882" s="9" t="s">
        <v>955</v>
      </c>
      <c r="AH1882" s="30">
        <v>1830</v>
      </c>
      <c r="AI1882" s="9" t="s">
        <v>875</v>
      </c>
      <c r="AJ1882" s="9" t="s">
        <v>301</v>
      </c>
      <c r="AK1882" s="11" t="str">
        <f t="shared" si="14"/>
        <v>2023GBP</v>
      </c>
      <c r="AL1882" s="11">
        <f>VLOOKUP(AK1882, Exchange_rates!$C:$D, 2, FALSE)</f>
        <v>1</v>
      </c>
      <c r="AM1882" s="14">
        <f t="shared" si="15"/>
        <v>2196</v>
      </c>
      <c r="AN1882" s="9"/>
      <c r="AO1882" s="9"/>
      <c r="AP1882" s="21"/>
      <c r="AQ1882" s="27" t="s">
        <v>49</v>
      </c>
      <c r="AS1882" s="16" t="s">
        <v>7646</v>
      </c>
    </row>
    <row r="1883" spans="1:45" ht="14.5">
      <c r="A1883" s="9" t="s">
        <v>9380</v>
      </c>
      <c r="B1883" s="9" t="s">
        <v>9381</v>
      </c>
      <c r="C1883" s="9" t="s">
        <v>1047</v>
      </c>
      <c r="D1883" s="9" t="s">
        <v>870</v>
      </c>
      <c r="E1883" s="21" t="s">
        <v>49</v>
      </c>
      <c r="F1883" s="9" t="s">
        <v>69</v>
      </c>
      <c r="G1883" s="9" t="s">
        <v>70</v>
      </c>
      <c r="H1883" s="9" t="s">
        <v>7452</v>
      </c>
      <c r="I1883" s="9" t="s">
        <v>291</v>
      </c>
      <c r="J1883" s="10"/>
      <c r="K1883" s="10"/>
      <c r="L1883" s="10">
        <v>45022</v>
      </c>
      <c r="M1883" s="10"/>
      <c r="N1883" s="9">
        <v>2023</v>
      </c>
      <c r="O1883" s="9" t="s">
        <v>9174</v>
      </c>
      <c r="P1883" s="9" t="s">
        <v>53</v>
      </c>
      <c r="Q1883" s="9" t="s">
        <v>53</v>
      </c>
      <c r="R1883" s="9">
        <v>12271176</v>
      </c>
      <c r="T1883" s="9"/>
      <c r="V1883" s="9"/>
      <c r="AC1883" s="9" t="s">
        <v>1050</v>
      </c>
      <c r="AH1883" s="30">
        <v>2790</v>
      </c>
      <c r="AI1883" s="9" t="s">
        <v>875</v>
      </c>
      <c r="AJ1883" s="9" t="s">
        <v>301</v>
      </c>
      <c r="AK1883" s="11" t="str">
        <f t="shared" si="14"/>
        <v>2023GBP</v>
      </c>
      <c r="AL1883" s="11">
        <f>VLOOKUP(AK1883, Exchange_rates!$C:$D, 2, FALSE)</f>
        <v>1</v>
      </c>
      <c r="AM1883" s="14">
        <f t="shared" si="15"/>
        <v>3348</v>
      </c>
      <c r="AN1883" s="9"/>
      <c r="AO1883" s="9"/>
      <c r="AP1883" s="21"/>
      <c r="AQ1883" s="27" t="s">
        <v>49</v>
      </c>
      <c r="AS1883" s="16" t="s">
        <v>1051</v>
      </c>
    </row>
    <row r="1884" spans="1:45" ht="14.5">
      <c r="A1884" s="9" t="s">
        <v>9382</v>
      </c>
      <c r="B1884" s="9" t="s">
        <v>9383</v>
      </c>
      <c r="C1884" s="9" t="s">
        <v>9384</v>
      </c>
      <c r="D1884" s="9" t="s">
        <v>870</v>
      </c>
      <c r="E1884" s="21" t="s">
        <v>49</v>
      </c>
      <c r="F1884" s="9" t="s">
        <v>69</v>
      </c>
      <c r="G1884" s="9" t="s">
        <v>70</v>
      </c>
      <c r="H1884" s="9" t="s">
        <v>7452</v>
      </c>
      <c r="I1884" s="9" t="s">
        <v>291</v>
      </c>
      <c r="J1884" s="10"/>
      <c r="K1884" s="10"/>
      <c r="L1884" s="10">
        <v>45055</v>
      </c>
      <c r="M1884" s="10"/>
      <c r="N1884" s="9">
        <v>2023</v>
      </c>
      <c r="O1884" s="9" t="s">
        <v>9174</v>
      </c>
      <c r="P1884" s="9" t="s">
        <v>53</v>
      </c>
      <c r="Q1884" s="9" t="s">
        <v>53</v>
      </c>
      <c r="T1884" s="9"/>
      <c r="V1884" s="9"/>
      <c r="AC1884" s="9" t="s">
        <v>9385</v>
      </c>
      <c r="AH1884" s="30">
        <v>2560</v>
      </c>
      <c r="AI1884" s="9" t="s">
        <v>875</v>
      </c>
      <c r="AJ1884" s="9" t="s">
        <v>301</v>
      </c>
      <c r="AK1884" s="11" t="str">
        <f t="shared" si="14"/>
        <v>2023GBP</v>
      </c>
      <c r="AL1884" s="11">
        <f>VLOOKUP(AK1884, Exchange_rates!$C:$D, 2, FALSE)</f>
        <v>1</v>
      </c>
      <c r="AM1884" s="14">
        <f t="shared" si="15"/>
        <v>3072</v>
      </c>
      <c r="AN1884" s="9"/>
      <c r="AO1884" s="9"/>
      <c r="AP1884" s="21"/>
      <c r="AQ1884" s="27" t="s">
        <v>49</v>
      </c>
      <c r="AS1884" s="16" t="s">
        <v>9386</v>
      </c>
    </row>
    <row r="1885" spans="1:45" ht="14.5">
      <c r="A1885" s="9" t="s">
        <v>9387</v>
      </c>
      <c r="B1885" s="9" t="s">
        <v>9388</v>
      </c>
      <c r="C1885" s="9" t="s">
        <v>7657</v>
      </c>
      <c r="D1885" s="9" t="s">
        <v>870</v>
      </c>
      <c r="E1885" s="21" t="s">
        <v>49</v>
      </c>
      <c r="F1885" s="9" t="s">
        <v>69</v>
      </c>
      <c r="G1885" s="9" t="s">
        <v>70</v>
      </c>
      <c r="H1885" s="9" t="s">
        <v>7452</v>
      </c>
      <c r="I1885" s="9" t="s">
        <v>72</v>
      </c>
      <c r="J1885" s="10"/>
      <c r="K1885" s="10"/>
      <c r="L1885" s="10">
        <v>45092</v>
      </c>
      <c r="M1885" s="10"/>
      <c r="N1885" s="9">
        <v>2023</v>
      </c>
      <c r="O1885" s="9" t="s">
        <v>9174</v>
      </c>
      <c r="P1885" s="9" t="s">
        <v>83</v>
      </c>
      <c r="Q1885" s="9" t="s">
        <v>53</v>
      </c>
      <c r="R1885" s="9" t="s">
        <v>9389</v>
      </c>
      <c r="T1885" s="9"/>
      <c r="V1885" s="9"/>
      <c r="AC1885" s="9" t="s">
        <v>9390</v>
      </c>
      <c r="AH1885" s="30">
        <v>2540</v>
      </c>
      <c r="AI1885" s="9" t="s">
        <v>875</v>
      </c>
      <c r="AJ1885" s="9" t="s">
        <v>301</v>
      </c>
      <c r="AK1885" s="11" t="str">
        <f t="shared" si="14"/>
        <v>2023GBP</v>
      </c>
      <c r="AL1885" s="11">
        <f>VLOOKUP(AK1885, Exchange_rates!$C:$D, 2, FALSE)</f>
        <v>1</v>
      </c>
      <c r="AM1885" s="14">
        <f t="shared" si="15"/>
        <v>3048</v>
      </c>
      <c r="AN1885" s="9"/>
      <c r="AO1885" s="9"/>
      <c r="AP1885" s="21"/>
      <c r="AQ1885" s="27" t="s">
        <v>49</v>
      </c>
      <c r="AS1885" s="16" t="s">
        <v>7659</v>
      </c>
    </row>
    <row r="1886" spans="1:45" ht="14.5">
      <c r="A1886" s="9" t="s">
        <v>9391</v>
      </c>
      <c r="B1886" s="9" t="s">
        <v>9392</v>
      </c>
      <c r="C1886" s="9" t="s">
        <v>901</v>
      </c>
      <c r="D1886" s="9" t="s">
        <v>870</v>
      </c>
      <c r="E1886" s="21" t="s">
        <v>49</v>
      </c>
      <c r="F1886" s="9" t="s">
        <v>69</v>
      </c>
      <c r="G1886" s="9" t="s">
        <v>70</v>
      </c>
      <c r="H1886" s="9" t="s">
        <v>7452</v>
      </c>
      <c r="I1886" s="9" t="s">
        <v>72</v>
      </c>
      <c r="J1886" s="10"/>
      <c r="K1886" s="10"/>
      <c r="L1886" s="10">
        <v>45099</v>
      </c>
      <c r="M1886" s="10"/>
      <c r="N1886" s="9">
        <v>2023</v>
      </c>
      <c r="O1886" s="9" t="s">
        <v>9174</v>
      </c>
      <c r="P1886" s="9" t="s">
        <v>83</v>
      </c>
      <c r="Q1886" s="9" t="s">
        <v>53</v>
      </c>
      <c r="R1886" s="9" t="s">
        <v>9393</v>
      </c>
      <c r="T1886" s="9"/>
      <c r="V1886" s="9"/>
      <c r="AC1886" s="9" t="s">
        <v>9394</v>
      </c>
      <c r="AH1886" s="30">
        <v>2770</v>
      </c>
      <c r="AI1886" s="9" t="s">
        <v>875</v>
      </c>
      <c r="AJ1886" s="9" t="s">
        <v>301</v>
      </c>
      <c r="AK1886" s="11" t="str">
        <f t="shared" si="14"/>
        <v>2023GBP</v>
      </c>
      <c r="AL1886" s="11">
        <f>VLOOKUP(AK1886, Exchange_rates!$C:$D, 2, FALSE)</f>
        <v>1</v>
      </c>
      <c r="AM1886" s="14">
        <f t="shared" si="15"/>
        <v>3324</v>
      </c>
      <c r="AN1886" s="9"/>
      <c r="AO1886" s="9"/>
      <c r="AP1886" s="21"/>
      <c r="AQ1886" s="27" t="s">
        <v>49</v>
      </c>
      <c r="AR1886" t="s">
        <v>903</v>
      </c>
      <c r="AS1886" s="16" t="s">
        <v>904</v>
      </c>
    </row>
    <row r="1887" spans="1:45" ht="14.5">
      <c r="A1887" s="9" t="s">
        <v>9395</v>
      </c>
      <c r="B1887" s="9" t="s">
        <v>9396</v>
      </c>
      <c r="C1887" s="9" t="s">
        <v>9397</v>
      </c>
      <c r="D1887" s="9" t="s">
        <v>870</v>
      </c>
      <c r="E1887" s="21" t="s">
        <v>49</v>
      </c>
      <c r="F1887" s="9" t="s">
        <v>69</v>
      </c>
      <c r="G1887" s="9" t="s">
        <v>70</v>
      </c>
      <c r="H1887" s="9" t="s">
        <v>7452</v>
      </c>
      <c r="I1887" s="9" t="s">
        <v>72</v>
      </c>
      <c r="J1887" s="10"/>
      <c r="K1887" s="10"/>
      <c r="L1887" s="10">
        <v>45112</v>
      </c>
      <c r="M1887" s="10"/>
      <c r="N1887" s="9">
        <v>2023</v>
      </c>
      <c r="O1887" s="9" t="s">
        <v>9174</v>
      </c>
      <c r="P1887" s="9" t="s">
        <v>53</v>
      </c>
      <c r="Q1887" s="9" t="s">
        <v>53</v>
      </c>
      <c r="T1887" s="9"/>
      <c r="V1887" s="9"/>
      <c r="AC1887" s="9" t="s">
        <v>9398</v>
      </c>
      <c r="AH1887" s="30">
        <v>2320</v>
      </c>
      <c r="AI1887" s="9" t="s">
        <v>875</v>
      </c>
      <c r="AJ1887" s="9" t="s">
        <v>301</v>
      </c>
      <c r="AK1887" s="11" t="str">
        <f t="shared" si="14"/>
        <v>2023GBP</v>
      </c>
      <c r="AL1887" s="11">
        <f>VLOOKUP(AK1887, Exchange_rates!$C:$D, 2, FALSE)</f>
        <v>1</v>
      </c>
      <c r="AM1887" s="14">
        <f t="shared" si="15"/>
        <v>2784</v>
      </c>
      <c r="AN1887" s="9"/>
      <c r="AO1887" s="9"/>
      <c r="AP1887" s="21"/>
      <c r="AQ1887" s="27" t="s">
        <v>49</v>
      </c>
      <c r="AS1887" s="16" t="s">
        <v>9399</v>
      </c>
    </row>
    <row r="1888" spans="1:45" ht="14.5">
      <c r="A1888" s="9" t="s">
        <v>9400</v>
      </c>
      <c r="B1888" s="9" t="s">
        <v>9401</v>
      </c>
      <c r="C1888" s="9" t="s">
        <v>9402</v>
      </c>
      <c r="D1888" s="9" t="s">
        <v>8136</v>
      </c>
      <c r="E1888" s="9" t="s">
        <v>49</v>
      </c>
      <c r="F1888" s="9" t="s">
        <v>69</v>
      </c>
      <c r="G1888" s="9" t="s">
        <v>70</v>
      </c>
      <c r="H1888" s="9" t="s">
        <v>9403</v>
      </c>
      <c r="I1888" s="9" t="s">
        <v>72</v>
      </c>
      <c r="J1888" s="10">
        <v>44683</v>
      </c>
      <c r="K1888" s="10">
        <v>44921</v>
      </c>
      <c r="L1888" s="10"/>
      <c r="M1888" s="10">
        <v>44974</v>
      </c>
      <c r="N1888" s="9">
        <v>2023</v>
      </c>
      <c r="O1888" s="9" t="s">
        <v>9404</v>
      </c>
      <c r="P1888" s="9" t="s">
        <v>53</v>
      </c>
      <c r="Q1888" s="9" t="s">
        <v>53</v>
      </c>
      <c r="R1888" s="20" t="s">
        <v>8139</v>
      </c>
      <c r="T1888" s="9"/>
      <c r="V1888" s="9"/>
      <c r="AC1888" s="9" t="s">
        <v>9405</v>
      </c>
      <c r="AH1888" s="9">
        <v>1800</v>
      </c>
      <c r="AI1888" s="9" t="s">
        <v>875</v>
      </c>
      <c r="AJ1888" s="9" t="s">
        <v>1823</v>
      </c>
      <c r="AK1888" s="11" t="str">
        <f t="shared" si="14"/>
        <v>2023EUR</v>
      </c>
      <c r="AL1888" s="11">
        <f>VLOOKUP(AK1888, Exchange_rates!$C:$D, 2, FALSE)</f>
        <v>0.87029999999999996</v>
      </c>
      <c r="AM1888" s="14">
        <f t="shared" si="15"/>
        <v>1879.848</v>
      </c>
      <c r="AN1888" s="9"/>
      <c r="AO1888" s="9"/>
      <c r="AP1888" s="9"/>
      <c r="AQ1888" s="15" t="s">
        <v>49</v>
      </c>
      <c r="AR1888" t="s">
        <v>9406</v>
      </c>
      <c r="AS1888" s="16" t="s">
        <v>9407</v>
      </c>
    </row>
    <row r="1889" spans="1:45" ht="14.5">
      <c r="A1889" s="9" t="s">
        <v>9408</v>
      </c>
      <c r="B1889" s="9" t="s">
        <v>9409</v>
      </c>
      <c r="C1889" s="9" t="s">
        <v>4652</v>
      </c>
      <c r="D1889" s="9" t="s">
        <v>4371</v>
      </c>
      <c r="E1889" s="21" t="s">
        <v>49</v>
      </c>
      <c r="F1889" s="9" t="s">
        <v>69</v>
      </c>
      <c r="G1889" s="9" t="s">
        <v>70</v>
      </c>
      <c r="H1889" s="9" t="s">
        <v>7152</v>
      </c>
      <c r="I1889" s="9" t="s">
        <v>72</v>
      </c>
      <c r="J1889" s="10">
        <v>44799</v>
      </c>
      <c r="K1889" s="10">
        <v>45028</v>
      </c>
      <c r="L1889" s="10"/>
      <c r="M1889" s="10">
        <v>45054</v>
      </c>
      <c r="N1889" s="9">
        <v>2023</v>
      </c>
      <c r="O1889" s="9" t="s">
        <v>9410</v>
      </c>
      <c r="P1889" s="9" t="s">
        <v>53</v>
      </c>
      <c r="Q1889" s="9" t="s">
        <v>53</v>
      </c>
      <c r="R1889" s="9" t="s">
        <v>9411</v>
      </c>
      <c r="T1889" s="9"/>
      <c r="V1889" s="9" t="s">
        <v>9412</v>
      </c>
      <c r="AC1889" s="9" t="s">
        <v>9413</v>
      </c>
      <c r="AD1889" s="9" t="s">
        <v>9414</v>
      </c>
      <c r="AE1889" s="9" t="s">
        <v>9145</v>
      </c>
      <c r="AH1889" s="9">
        <v>2495</v>
      </c>
      <c r="AI1889" s="9" t="s">
        <v>77</v>
      </c>
      <c r="AJ1889" s="9" t="s">
        <v>301</v>
      </c>
      <c r="AK1889" s="23" t="str">
        <f t="shared" si="14"/>
        <v>2023GBP</v>
      </c>
      <c r="AL1889" s="23">
        <f>VLOOKUP(AK1889, Exchange_rates!$C:$D, 2, FALSE)</f>
        <v>1</v>
      </c>
      <c r="AM1889" s="26">
        <f t="shared" si="15"/>
        <v>2994</v>
      </c>
      <c r="AN1889" s="9"/>
      <c r="AO1889" s="9"/>
      <c r="AP1889" s="21"/>
      <c r="AQ1889" s="27" t="s">
        <v>49</v>
      </c>
      <c r="AR1889" t="s">
        <v>4653</v>
      </c>
      <c r="AS1889" s="16" t="s">
        <v>4654</v>
      </c>
    </row>
    <row r="1890" spans="1:45" ht="14.5">
      <c r="A1890" s="9" t="s">
        <v>9415</v>
      </c>
      <c r="B1890" s="9" t="s">
        <v>9416</v>
      </c>
      <c r="C1890" s="9" t="s">
        <v>9417</v>
      </c>
      <c r="D1890" s="9" t="s">
        <v>4371</v>
      </c>
      <c r="E1890" s="21" t="s">
        <v>49</v>
      </c>
      <c r="F1890" s="9" t="s">
        <v>69</v>
      </c>
      <c r="G1890" s="9" t="s">
        <v>70</v>
      </c>
      <c r="H1890" s="9" t="s">
        <v>7152</v>
      </c>
      <c r="I1890" s="9" t="s">
        <v>72</v>
      </c>
      <c r="J1890" s="10">
        <v>44818</v>
      </c>
      <c r="K1890" s="10">
        <v>45027</v>
      </c>
      <c r="L1890" s="10"/>
      <c r="M1890" s="10">
        <v>45039</v>
      </c>
      <c r="N1890" s="9">
        <v>2023</v>
      </c>
      <c r="O1890" s="9" t="s">
        <v>9410</v>
      </c>
      <c r="P1890" s="9" t="s">
        <v>53</v>
      </c>
      <c r="Q1890" s="9" t="s">
        <v>53</v>
      </c>
      <c r="T1890" s="9"/>
      <c r="V1890" s="9" t="s">
        <v>9412</v>
      </c>
      <c r="AC1890" s="9" t="s">
        <v>9418</v>
      </c>
      <c r="AD1890" s="9" t="s">
        <v>9419</v>
      </c>
      <c r="AE1890" s="9" t="s">
        <v>9145</v>
      </c>
      <c r="AH1890" s="9">
        <v>2750</v>
      </c>
      <c r="AI1890" s="9" t="s">
        <v>77</v>
      </c>
      <c r="AJ1890" s="9" t="s">
        <v>301</v>
      </c>
      <c r="AK1890" s="23" t="str">
        <f t="shared" si="14"/>
        <v>2023GBP</v>
      </c>
      <c r="AL1890" s="23">
        <f>VLOOKUP(AK1890, Exchange_rates!$C:$D, 2, FALSE)</f>
        <v>1</v>
      </c>
      <c r="AM1890" s="26">
        <f t="shared" si="15"/>
        <v>3300</v>
      </c>
      <c r="AN1890" s="9"/>
      <c r="AO1890" s="9"/>
      <c r="AP1890" s="21"/>
      <c r="AQ1890" s="27" t="s">
        <v>49</v>
      </c>
      <c r="AR1890" t="s">
        <v>9420</v>
      </c>
      <c r="AS1890" s="16" t="s">
        <v>9421</v>
      </c>
    </row>
    <row r="1891" spans="1:45" ht="14.5">
      <c r="A1891" s="9" t="s">
        <v>9422</v>
      </c>
      <c r="B1891" s="9" t="s">
        <v>9423</v>
      </c>
      <c r="C1891" s="9" t="s">
        <v>9424</v>
      </c>
      <c r="D1891" s="9" t="s">
        <v>4371</v>
      </c>
      <c r="E1891" s="21" t="s">
        <v>49</v>
      </c>
      <c r="F1891" s="9" t="s">
        <v>69</v>
      </c>
      <c r="G1891" s="9" t="s">
        <v>70</v>
      </c>
      <c r="H1891" s="9" t="s">
        <v>7152</v>
      </c>
      <c r="I1891" s="9" t="s">
        <v>72</v>
      </c>
      <c r="J1891" s="10">
        <v>44833</v>
      </c>
      <c r="K1891" s="10">
        <v>45024</v>
      </c>
      <c r="L1891" s="10"/>
      <c r="M1891" s="10">
        <v>45040</v>
      </c>
      <c r="N1891" s="9">
        <v>2023</v>
      </c>
      <c r="O1891" s="9" t="s">
        <v>9410</v>
      </c>
      <c r="P1891" s="9" t="s">
        <v>53</v>
      </c>
      <c r="Q1891" s="9" t="s">
        <v>53</v>
      </c>
      <c r="R1891" s="9" t="s">
        <v>9425</v>
      </c>
      <c r="T1891" s="9"/>
      <c r="V1891" s="9" t="s">
        <v>9412</v>
      </c>
      <c r="AC1891" s="9" t="s">
        <v>9426</v>
      </c>
      <c r="AD1891" s="9" t="s">
        <v>9427</v>
      </c>
      <c r="AE1891" s="9" t="s">
        <v>9145</v>
      </c>
      <c r="AH1891" s="9">
        <v>2495</v>
      </c>
      <c r="AI1891" s="9" t="s">
        <v>77</v>
      </c>
      <c r="AJ1891" s="9" t="s">
        <v>301</v>
      </c>
      <c r="AK1891" s="23" t="str">
        <f t="shared" si="14"/>
        <v>2023GBP</v>
      </c>
      <c r="AL1891" s="23">
        <f>VLOOKUP(AK1891, Exchange_rates!$C:$D, 2, FALSE)</f>
        <v>1</v>
      </c>
      <c r="AM1891" s="26">
        <f t="shared" si="15"/>
        <v>2994</v>
      </c>
      <c r="AN1891" s="9"/>
      <c r="AO1891" s="9"/>
      <c r="AP1891" s="21"/>
      <c r="AQ1891" s="27" t="s">
        <v>49</v>
      </c>
      <c r="AR1891" t="s">
        <v>9428</v>
      </c>
      <c r="AS1891" s="16" t="s">
        <v>9429</v>
      </c>
    </row>
    <row r="1892" spans="1:45" ht="14.5">
      <c r="A1892" s="9" t="s">
        <v>9430</v>
      </c>
      <c r="B1892" s="9" t="s">
        <v>9431</v>
      </c>
      <c r="C1892" s="9" t="s">
        <v>9432</v>
      </c>
      <c r="D1892" s="9" t="s">
        <v>4371</v>
      </c>
      <c r="E1892" s="21" t="s">
        <v>49</v>
      </c>
      <c r="F1892" s="9" t="s">
        <v>69</v>
      </c>
      <c r="G1892" s="9" t="s">
        <v>70</v>
      </c>
      <c r="H1892" s="9" t="s">
        <v>7152</v>
      </c>
      <c r="I1892" s="9" t="s">
        <v>291</v>
      </c>
      <c r="J1892" s="10">
        <v>44984</v>
      </c>
      <c r="K1892" s="10">
        <v>45034</v>
      </c>
      <c r="L1892" s="10"/>
      <c r="M1892" s="10">
        <v>45076</v>
      </c>
      <c r="N1892" s="9">
        <v>2023</v>
      </c>
      <c r="O1892" s="9" t="s">
        <v>9410</v>
      </c>
      <c r="P1892" s="9" t="s">
        <v>53</v>
      </c>
      <c r="Q1892" s="9" t="s">
        <v>53</v>
      </c>
      <c r="T1892" s="9"/>
      <c r="V1892" s="9" t="s">
        <v>9412</v>
      </c>
      <c r="AC1892" s="9" t="s">
        <v>9433</v>
      </c>
      <c r="AD1892" s="9" t="s">
        <v>9434</v>
      </c>
      <c r="AE1892" s="9" t="s">
        <v>9145</v>
      </c>
      <c r="AH1892" s="9">
        <v>2495</v>
      </c>
      <c r="AI1892" s="9" t="s">
        <v>77</v>
      </c>
      <c r="AJ1892" s="9" t="s">
        <v>301</v>
      </c>
      <c r="AK1892" s="23" t="str">
        <f t="shared" si="14"/>
        <v>2023GBP</v>
      </c>
      <c r="AL1892" s="23">
        <f>VLOOKUP(AK1892, Exchange_rates!$C:$D, 2, FALSE)</f>
        <v>1</v>
      </c>
      <c r="AM1892" s="26">
        <f t="shared" si="15"/>
        <v>2994</v>
      </c>
      <c r="AN1892" s="9"/>
      <c r="AO1892" s="9"/>
      <c r="AP1892" s="21"/>
      <c r="AQ1892" s="27" t="s">
        <v>49</v>
      </c>
      <c r="AR1892" t="s">
        <v>9435</v>
      </c>
      <c r="AS1892" s="16" t="s">
        <v>9436</v>
      </c>
    </row>
    <row r="1893" spans="1:45" ht="14.5">
      <c r="A1893" s="9" t="s">
        <v>9437</v>
      </c>
      <c r="B1893" s="9" t="s">
        <v>9438</v>
      </c>
      <c r="C1893" s="9" t="s">
        <v>9439</v>
      </c>
      <c r="D1893" s="9" t="s">
        <v>4371</v>
      </c>
      <c r="E1893" s="21" t="s">
        <v>49</v>
      </c>
      <c r="F1893" s="9" t="s">
        <v>69</v>
      </c>
      <c r="G1893" s="9" t="s">
        <v>70</v>
      </c>
      <c r="H1893" s="9" t="s">
        <v>7152</v>
      </c>
      <c r="I1893" s="9" t="s">
        <v>291</v>
      </c>
      <c r="J1893" s="10"/>
      <c r="K1893" s="10"/>
      <c r="L1893" s="10"/>
      <c r="M1893" s="10">
        <v>45119</v>
      </c>
      <c r="N1893" s="9">
        <v>2023</v>
      </c>
      <c r="O1893" s="9" t="s">
        <v>9410</v>
      </c>
      <c r="P1893" s="9" t="s">
        <v>53</v>
      </c>
      <c r="Q1893" s="9" t="s">
        <v>53</v>
      </c>
      <c r="T1893" s="9"/>
      <c r="V1893" s="9" t="s">
        <v>9440</v>
      </c>
      <c r="AC1893" s="9" t="s">
        <v>9441</v>
      </c>
      <c r="AD1893" s="9" t="s">
        <v>9442</v>
      </c>
      <c r="AE1893" s="9" t="s">
        <v>9145</v>
      </c>
      <c r="AH1893" s="9">
        <v>2495</v>
      </c>
      <c r="AI1893" s="9" t="s">
        <v>77</v>
      </c>
      <c r="AJ1893" s="9" t="s">
        <v>301</v>
      </c>
      <c r="AK1893" s="23" t="str">
        <f t="shared" si="14"/>
        <v>2023GBP</v>
      </c>
      <c r="AL1893" s="23">
        <f>VLOOKUP(AK1893, Exchange_rates!$C:$D, 2, FALSE)</f>
        <v>1</v>
      </c>
      <c r="AM1893" s="26">
        <f t="shared" si="15"/>
        <v>2994</v>
      </c>
      <c r="AN1893" s="9"/>
      <c r="AO1893" s="9"/>
      <c r="AP1893" s="21"/>
      <c r="AQ1893" s="27" t="s">
        <v>49</v>
      </c>
      <c r="AR1893" t="s">
        <v>9443</v>
      </c>
      <c r="AS1893" s="16" t="s">
        <v>9444</v>
      </c>
    </row>
    <row r="1894" spans="1:45" ht="14.5">
      <c r="A1894" s="9" t="s">
        <v>9445</v>
      </c>
      <c r="B1894" s="9" t="s">
        <v>9446</v>
      </c>
      <c r="C1894" s="9" t="s">
        <v>9447</v>
      </c>
      <c r="D1894" s="9" t="s">
        <v>4371</v>
      </c>
      <c r="E1894" s="21" t="s">
        <v>49</v>
      </c>
      <c r="F1894" s="9" t="s">
        <v>69</v>
      </c>
      <c r="G1894" s="9" t="s">
        <v>70</v>
      </c>
      <c r="H1894" s="9" t="s">
        <v>7152</v>
      </c>
      <c r="I1894" s="9" t="s">
        <v>72</v>
      </c>
      <c r="J1894" s="10">
        <v>44636</v>
      </c>
      <c r="K1894" s="10">
        <v>45068</v>
      </c>
      <c r="L1894" s="10"/>
      <c r="M1894" s="10">
        <v>45082</v>
      </c>
      <c r="N1894" s="9">
        <v>2023</v>
      </c>
      <c r="O1894" s="9" t="s">
        <v>9410</v>
      </c>
      <c r="P1894" s="9" t="s">
        <v>83</v>
      </c>
      <c r="Q1894" s="9" t="s">
        <v>53</v>
      </c>
      <c r="R1894" s="9" t="s">
        <v>1847</v>
      </c>
      <c r="T1894" s="9"/>
      <c r="V1894" s="9" t="s">
        <v>9412</v>
      </c>
      <c r="AC1894" s="9" t="s">
        <v>9448</v>
      </c>
      <c r="AD1894" s="9" t="s">
        <v>9449</v>
      </c>
      <c r="AE1894" s="9" t="s">
        <v>9450</v>
      </c>
      <c r="AH1894" s="9">
        <v>2495</v>
      </c>
      <c r="AI1894" s="9" t="s">
        <v>77</v>
      </c>
      <c r="AJ1894" s="9" t="s">
        <v>301</v>
      </c>
      <c r="AK1894" s="23" t="str">
        <f t="shared" si="14"/>
        <v>2023GBP</v>
      </c>
      <c r="AL1894" s="23">
        <f>VLOOKUP(AK1894, Exchange_rates!$C:$D, 2, FALSE)</f>
        <v>1</v>
      </c>
      <c r="AM1894" s="26">
        <f t="shared" si="15"/>
        <v>2994</v>
      </c>
      <c r="AN1894" s="9"/>
      <c r="AO1894" s="9"/>
      <c r="AP1894" s="21"/>
      <c r="AQ1894" s="27" t="s">
        <v>49</v>
      </c>
      <c r="AR1894" t="s">
        <v>9451</v>
      </c>
      <c r="AS1894" s="16" t="s">
        <v>9452</v>
      </c>
    </row>
    <row r="1895" spans="1:45" ht="14.5">
      <c r="A1895" s="9" t="s">
        <v>9453</v>
      </c>
      <c r="B1895" s="9" t="s">
        <v>9454</v>
      </c>
      <c r="C1895" s="9" t="s">
        <v>4983</v>
      </c>
      <c r="D1895" s="9" t="s">
        <v>4371</v>
      </c>
      <c r="E1895" s="21" t="s">
        <v>49</v>
      </c>
      <c r="F1895" s="9" t="s">
        <v>69</v>
      </c>
      <c r="G1895" s="9" t="s">
        <v>70</v>
      </c>
      <c r="H1895" s="9" t="s">
        <v>7152</v>
      </c>
      <c r="I1895" s="9" t="s">
        <v>291</v>
      </c>
      <c r="J1895" s="10"/>
      <c r="K1895" s="10"/>
      <c r="L1895" s="10"/>
      <c r="M1895" s="10">
        <v>45112</v>
      </c>
      <c r="N1895" s="9">
        <v>2023</v>
      </c>
      <c r="O1895" s="9" t="s">
        <v>9410</v>
      </c>
      <c r="P1895" s="9" t="s">
        <v>53</v>
      </c>
      <c r="Q1895" s="9" t="s">
        <v>53</v>
      </c>
      <c r="T1895" s="9"/>
      <c r="V1895" s="9" t="s">
        <v>9412</v>
      </c>
      <c r="AC1895" s="9" t="s">
        <v>9455</v>
      </c>
      <c r="AD1895" s="9" t="s">
        <v>9456</v>
      </c>
      <c r="AE1895" s="9" t="s">
        <v>9145</v>
      </c>
      <c r="AH1895" s="9">
        <v>2495</v>
      </c>
      <c r="AI1895" s="9" t="s">
        <v>77</v>
      </c>
      <c r="AJ1895" s="9" t="s">
        <v>301</v>
      </c>
      <c r="AK1895" s="23" t="str">
        <f t="shared" si="14"/>
        <v>2023GBP</v>
      </c>
      <c r="AL1895" s="23">
        <f>VLOOKUP(AK1895, Exchange_rates!$C:$D, 2, FALSE)</f>
        <v>1</v>
      </c>
      <c r="AM1895" s="26">
        <f t="shared" si="15"/>
        <v>2994</v>
      </c>
      <c r="AN1895" s="9"/>
      <c r="AO1895" s="9"/>
      <c r="AP1895" s="21"/>
      <c r="AQ1895" s="27" t="s">
        <v>49</v>
      </c>
      <c r="AR1895" t="s">
        <v>4984</v>
      </c>
      <c r="AS1895" s="16" t="s">
        <v>4985</v>
      </c>
    </row>
    <row r="1896" spans="1:45" ht="14.5">
      <c r="A1896" s="9" t="s">
        <v>9457</v>
      </c>
      <c r="B1896" s="9" t="s">
        <v>9458</v>
      </c>
      <c r="C1896" s="9" t="s">
        <v>5414</v>
      </c>
      <c r="D1896" s="9" t="s">
        <v>4371</v>
      </c>
      <c r="E1896" s="21" t="s">
        <v>49</v>
      </c>
      <c r="F1896" s="9" t="s">
        <v>69</v>
      </c>
      <c r="G1896" s="9" t="s">
        <v>70</v>
      </c>
      <c r="H1896" s="9" t="s">
        <v>7152</v>
      </c>
      <c r="I1896" s="9" t="s">
        <v>72</v>
      </c>
      <c r="J1896" s="10">
        <v>44776</v>
      </c>
      <c r="K1896" s="10">
        <v>45064</v>
      </c>
      <c r="L1896" s="10"/>
      <c r="M1896" s="10">
        <v>45077</v>
      </c>
      <c r="N1896" s="9">
        <v>2023</v>
      </c>
      <c r="O1896" s="9" t="s">
        <v>9410</v>
      </c>
      <c r="P1896" s="9" t="s">
        <v>53</v>
      </c>
      <c r="Q1896" s="9" t="s">
        <v>53</v>
      </c>
      <c r="R1896" s="9" t="s">
        <v>9459</v>
      </c>
      <c r="T1896" s="9"/>
      <c r="V1896" s="9" t="s">
        <v>9412</v>
      </c>
      <c r="AC1896" s="9" t="s">
        <v>9460</v>
      </c>
      <c r="AD1896" s="9" t="s">
        <v>9461</v>
      </c>
      <c r="AE1896" s="9" t="s">
        <v>9145</v>
      </c>
      <c r="AH1896" s="9">
        <v>2495</v>
      </c>
      <c r="AI1896" s="9" t="s">
        <v>77</v>
      </c>
      <c r="AJ1896" s="9" t="s">
        <v>301</v>
      </c>
      <c r="AK1896" s="23" t="str">
        <f t="shared" si="14"/>
        <v>2023GBP</v>
      </c>
      <c r="AL1896" s="23">
        <f>VLOOKUP(AK1896, Exchange_rates!$C:$D, 2, FALSE)</f>
        <v>1</v>
      </c>
      <c r="AM1896" s="26">
        <f t="shared" si="15"/>
        <v>2994</v>
      </c>
      <c r="AN1896" s="9"/>
      <c r="AO1896" s="9"/>
      <c r="AP1896" s="21"/>
      <c r="AQ1896" s="27" t="s">
        <v>49</v>
      </c>
      <c r="AR1896" t="s">
        <v>5415</v>
      </c>
      <c r="AS1896" s="16" t="s">
        <v>5416</v>
      </c>
    </row>
    <row r="1897" spans="1:45" ht="14.5">
      <c r="A1897" s="9" t="s">
        <v>9462</v>
      </c>
      <c r="B1897" s="9" t="s">
        <v>9463</v>
      </c>
      <c r="C1897" s="9" t="s">
        <v>9464</v>
      </c>
      <c r="D1897" s="9" t="s">
        <v>4371</v>
      </c>
      <c r="E1897" s="21" t="s">
        <v>49</v>
      </c>
      <c r="F1897" s="9" t="s">
        <v>69</v>
      </c>
      <c r="G1897" s="9" t="s">
        <v>70</v>
      </c>
      <c r="H1897" s="9" t="s">
        <v>7152</v>
      </c>
      <c r="I1897" s="9" t="s">
        <v>291</v>
      </c>
      <c r="J1897" s="10">
        <v>44896</v>
      </c>
      <c r="K1897" s="10">
        <v>45020</v>
      </c>
      <c r="L1897" s="10"/>
      <c r="M1897" s="10">
        <v>45031</v>
      </c>
      <c r="N1897" s="9">
        <v>2023</v>
      </c>
      <c r="O1897" s="9" t="s">
        <v>9410</v>
      </c>
      <c r="P1897" s="9" t="s">
        <v>53</v>
      </c>
      <c r="Q1897" s="9" t="s">
        <v>53</v>
      </c>
      <c r="T1897" s="9"/>
      <c r="V1897" s="9" t="s">
        <v>9412</v>
      </c>
      <c r="AC1897" s="9" t="s">
        <v>9465</v>
      </c>
      <c r="AD1897" s="9" t="s">
        <v>9466</v>
      </c>
      <c r="AE1897" s="9" t="s">
        <v>9145</v>
      </c>
      <c r="AH1897" s="9">
        <v>2915</v>
      </c>
      <c r="AI1897" s="9" t="s">
        <v>77</v>
      </c>
      <c r="AJ1897" s="9" t="s">
        <v>301</v>
      </c>
      <c r="AK1897" s="23" t="str">
        <f t="shared" si="14"/>
        <v>2023GBP</v>
      </c>
      <c r="AL1897" s="23">
        <f>VLOOKUP(AK1897, Exchange_rates!$C:$D, 2, FALSE)</f>
        <v>1</v>
      </c>
      <c r="AM1897" s="26">
        <f t="shared" si="15"/>
        <v>3498</v>
      </c>
      <c r="AN1897" s="9"/>
      <c r="AO1897" s="9"/>
      <c r="AP1897" s="21"/>
      <c r="AQ1897" s="27" t="s">
        <v>49</v>
      </c>
      <c r="AR1897" t="s">
        <v>9467</v>
      </c>
      <c r="AS1897" s="16" t="s">
        <v>9468</v>
      </c>
    </row>
    <row r="1898" spans="1:45" ht="14.5">
      <c r="A1898" s="9" t="s">
        <v>9469</v>
      </c>
      <c r="B1898" s="9" t="s">
        <v>9470</v>
      </c>
      <c r="C1898" s="9" t="s">
        <v>9471</v>
      </c>
      <c r="D1898" s="9" t="s">
        <v>4371</v>
      </c>
      <c r="E1898" s="21" t="s">
        <v>49</v>
      </c>
      <c r="F1898" s="9" t="s">
        <v>69</v>
      </c>
      <c r="G1898" s="9" t="s">
        <v>70</v>
      </c>
      <c r="H1898" s="9" t="s">
        <v>7152</v>
      </c>
      <c r="I1898" s="9" t="s">
        <v>291</v>
      </c>
      <c r="J1898" s="10">
        <v>44691</v>
      </c>
      <c r="K1898" s="10">
        <v>45016</v>
      </c>
      <c r="L1898" s="10"/>
      <c r="M1898" s="10">
        <v>45117</v>
      </c>
      <c r="N1898" s="9">
        <v>2023</v>
      </c>
      <c r="O1898" s="9" t="s">
        <v>9410</v>
      </c>
      <c r="P1898" s="9" t="s">
        <v>53</v>
      </c>
      <c r="Q1898" s="9" t="s">
        <v>53</v>
      </c>
      <c r="R1898" s="9" t="s">
        <v>9472</v>
      </c>
      <c r="T1898" s="9"/>
      <c r="V1898" s="9" t="s">
        <v>9412</v>
      </c>
      <c r="AC1898" s="9" t="s">
        <v>9473</v>
      </c>
      <c r="AD1898" s="9" t="s">
        <v>9474</v>
      </c>
      <c r="AE1898" s="9" t="s">
        <v>9475</v>
      </c>
      <c r="AH1898" s="9">
        <v>2915</v>
      </c>
      <c r="AI1898" s="9" t="s">
        <v>77</v>
      </c>
      <c r="AJ1898" s="9" t="s">
        <v>301</v>
      </c>
      <c r="AK1898" s="23" t="str">
        <f t="shared" si="14"/>
        <v>2023GBP</v>
      </c>
      <c r="AL1898" s="23">
        <f>VLOOKUP(AK1898, Exchange_rates!$C:$D, 2, FALSE)</f>
        <v>1</v>
      </c>
      <c r="AM1898" s="26">
        <f t="shared" si="15"/>
        <v>3498</v>
      </c>
      <c r="AN1898" s="9"/>
      <c r="AO1898" s="9"/>
      <c r="AP1898" s="21"/>
      <c r="AQ1898" s="27" t="s">
        <v>49</v>
      </c>
      <c r="AR1898" t="s">
        <v>9476</v>
      </c>
      <c r="AS1898" s="16" t="s">
        <v>9477</v>
      </c>
    </row>
    <row r="1899" spans="1:45" ht="14.5">
      <c r="A1899" s="9" t="s">
        <v>9478</v>
      </c>
      <c r="B1899" s="9" t="s">
        <v>9479</v>
      </c>
      <c r="C1899" s="9" t="s">
        <v>9480</v>
      </c>
      <c r="D1899" s="9" t="s">
        <v>4371</v>
      </c>
      <c r="E1899" s="21" t="s">
        <v>49</v>
      </c>
      <c r="F1899" s="9" t="s">
        <v>69</v>
      </c>
      <c r="G1899" s="9" t="s">
        <v>70</v>
      </c>
      <c r="H1899" s="9" t="s">
        <v>7152</v>
      </c>
      <c r="I1899" s="9" t="s">
        <v>291</v>
      </c>
      <c r="J1899" s="10">
        <v>44852</v>
      </c>
      <c r="K1899" s="10">
        <v>45084</v>
      </c>
      <c r="L1899" s="10"/>
      <c r="M1899" s="10">
        <v>45118</v>
      </c>
      <c r="N1899" s="9">
        <v>2023</v>
      </c>
      <c r="O1899" s="9" t="s">
        <v>9410</v>
      </c>
      <c r="P1899" s="9" t="s">
        <v>53</v>
      </c>
      <c r="Q1899" s="9" t="s">
        <v>53</v>
      </c>
      <c r="T1899" s="9"/>
      <c r="V1899" s="9" t="s">
        <v>9412</v>
      </c>
      <c r="AC1899" s="9" t="s">
        <v>9481</v>
      </c>
      <c r="AD1899" s="9" t="s">
        <v>9482</v>
      </c>
      <c r="AE1899" s="9" t="s">
        <v>9145</v>
      </c>
      <c r="AH1899" s="9">
        <v>2335</v>
      </c>
      <c r="AI1899" s="9" t="s">
        <v>77</v>
      </c>
      <c r="AJ1899" s="9" t="s">
        <v>301</v>
      </c>
      <c r="AK1899" s="23" t="str">
        <f t="shared" si="14"/>
        <v>2023GBP</v>
      </c>
      <c r="AL1899" s="23">
        <f>VLOOKUP(AK1899, Exchange_rates!$C:$D, 2, FALSE)</f>
        <v>1</v>
      </c>
      <c r="AM1899" s="26">
        <f t="shared" si="15"/>
        <v>2802</v>
      </c>
      <c r="AN1899" s="9"/>
      <c r="AO1899" s="9"/>
      <c r="AP1899" s="21"/>
      <c r="AQ1899" s="27" t="s">
        <v>49</v>
      </c>
      <c r="AR1899" t="s">
        <v>9483</v>
      </c>
      <c r="AS1899" s="16" t="s">
        <v>9484</v>
      </c>
    </row>
    <row r="1900" spans="1:45" ht="14.5">
      <c r="A1900" s="9" t="s">
        <v>9485</v>
      </c>
      <c r="B1900" s="9" t="s">
        <v>9486</v>
      </c>
      <c r="C1900" s="9" t="s">
        <v>4489</v>
      </c>
      <c r="D1900" s="9" t="s">
        <v>4371</v>
      </c>
      <c r="E1900" s="21" t="s">
        <v>49</v>
      </c>
      <c r="F1900" s="9" t="s">
        <v>69</v>
      </c>
      <c r="G1900" s="9" t="s">
        <v>70</v>
      </c>
      <c r="H1900" s="9" t="s">
        <v>7152</v>
      </c>
      <c r="I1900" s="9" t="s">
        <v>291</v>
      </c>
      <c r="J1900" s="10">
        <v>44922</v>
      </c>
      <c r="K1900" s="10">
        <v>45012</v>
      </c>
      <c r="L1900" s="10"/>
      <c r="M1900" s="10">
        <v>45041</v>
      </c>
      <c r="N1900" s="9">
        <v>2023</v>
      </c>
      <c r="O1900" s="9" t="s">
        <v>9410</v>
      </c>
      <c r="P1900" s="9" t="s">
        <v>53</v>
      </c>
      <c r="Q1900" s="9" t="s">
        <v>53</v>
      </c>
      <c r="T1900" s="9"/>
      <c r="V1900" s="9" t="s">
        <v>9412</v>
      </c>
      <c r="AC1900" s="9" t="s">
        <v>9487</v>
      </c>
      <c r="AD1900" s="9" t="s">
        <v>9488</v>
      </c>
      <c r="AE1900" s="9" t="s">
        <v>9489</v>
      </c>
      <c r="AH1900" s="9">
        <v>2750</v>
      </c>
      <c r="AI1900" s="9" t="s">
        <v>77</v>
      </c>
      <c r="AJ1900" s="9" t="s">
        <v>301</v>
      </c>
      <c r="AK1900" s="23" t="str">
        <f t="shared" si="14"/>
        <v>2023GBP</v>
      </c>
      <c r="AL1900" s="23">
        <f>VLOOKUP(AK1900, Exchange_rates!$C:$D, 2, FALSE)</f>
        <v>1</v>
      </c>
      <c r="AM1900" s="26">
        <f t="shared" si="15"/>
        <v>3300</v>
      </c>
      <c r="AN1900" s="9"/>
      <c r="AO1900" s="9"/>
      <c r="AP1900" s="21"/>
      <c r="AQ1900" s="27" t="s">
        <v>49</v>
      </c>
      <c r="AR1900" t="s">
        <v>4493</v>
      </c>
      <c r="AS1900" s="16" t="s">
        <v>4494</v>
      </c>
    </row>
    <row r="1901" spans="1:45" ht="14.5">
      <c r="A1901" s="9" t="s">
        <v>9490</v>
      </c>
      <c r="B1901" s="9" t="s">
        <v>9491</v>
      </c>
      <c r="C1901" s="9" t="s">
        <v>4416</v>
      </c>
      <c r="D1901" s="9" t="s">
        <v>4371</v>
      </c>
      <c r="E1901" s="21" t="s">
        <v>49</v>
      </c>
      <c r="F1901" s="9" t="s">
        <v>69</v>
      </c>
      <c r="G1901" s="9" t="s">
        <v>70</v>
      </c>
      <c r="H1901" s="9" t="s">
        <v>7152</v>
      </c>
      <c r="I1901" s="9" t="s">
        <v>72</v>
      </c>
      <c r="J1901" s="10">
        <v>44967</v>
      </c>
      <c r="K1901" s="10">
        <v>45010</v>
      </c>
      <c r="L1901" s="10"/>
      <c r="M1901" s="10">
        <v>45026</v>
      </c>
      <c r="N1901" s="9">
        <v>2023</v>
      </c>
      <c r="O1901" s="9" t="s">
        <v>9410</v>
      </c>
      <c r="P1901" s="9" t="s">
        <v>83</v>
      </c>
      <c r="Q1901" s="9" t="s">
        <v>53</v>
      </c>
      <c r="R1901" s="9" t="s">
        <v>117</v>
      </c>
      <c r="T1901" s="9"/>
      <c r="V1901" s="9" t="s">
        <v>9412</v>
      </c>
      <c r="AC1901" s="9" t="s">
        <v>9492</v>
      </c>
      <c r="AD1901" s="9" t="s">
        <v>9493</v>
      </c>
      <c r="AE1901" s="9" t="s">
        <v>9145</v>
      </c>
      <c r="AH1901" s="9">
        <v>2915</v>
      </c>
      <c r="AI1901" s="9" t="s">
        <v>77</v>
      </c>
      <c r="AJ1901" s="9" t="s">
        <v>301</v>
      </c>
      <c r="AK1901" s="23" t="str">
        <f t="shared" si="14"/>
        <v>2023GBP</v>
      </c>
      <c r="AL1901" s="23">
        <f>VLOOKUP(AK1901, Exchange_rates!$C:$D, 2, FALSE)</f>
        <v>1</v>
      </c>
      <c r="AM1901" s="26">
        <f t="shared" si="15"/>
        <v>3498</v>
      </c>
      <c r="AN1901" s="9"/>
      <c r="AO1901" s="9"/>
      <c r="AP1901" s="21"/>
      <c r="AQ1901" s="27" t="s">
        <v>49</v>
      </c>
      <c r="AR1901" t="s">
        <v>4419</v>
      </c>
      <c r="AS1901" s="16" t="s">
        <v>4420</v>
      </c>
    </row>
    <row r="1902" spans="1:45" ht="14.5">
      <c r="A1902" s="9" t="s">
        <v>9494</v>
      </c>
      <c r="B1902" s="9" t="s">
        <v>9495</v>
      </c>
      <c r="C1902" s="9" t="s">
        <v>4906</v>
      </c>
      <c r="D1902" s="9" t="s">
        <v>4371</v>
      </c>
      <c r="E1902" s="21" t="s">
        <v>49</v>
      </c>
      <c r="F1902" s="9" t="s">
        <v>69</v>
      </c>
      <c r="G1902" s="9" t="s">
        <v>70</v>
      </c>
      <c r="H1902" s="9" t="s">
        <v>7152</v>
      </c>
      <c r="I1902" s="9" t="s">
        <v>291</v>
      </c>
      <c r="J1902" s="10">
        <v>44623</v>
      </c>
      <c r="K1902" s="10">
        <v>44880</v>
      </c>
      <c r="L1902" s="10"/>
      <c r="M1902" s="10">
        <v>45103</v>
      </c>
      <c r="N1902" s="9">
        <v>2023</v>
      </c>
      <c r="O1902" s="9" t="s">
        <v>9410</v>
      </c>
      <c r="P1902" s="9" t="s">
        <v>53</v>
      </c>
      <c r="Q1902" s="9" t="s">
        <v>53</v>
      </c>
      <c r="T1902" s="9"/>
      <c r="V1902" s="9" t="s">
        <v>9412</v>
      </c>
      <c r="AC1902" s="9" t="s">
        <v>9496</v>
      </c>
      <c r="AD1902" s="9" t="s">
        <v>9497</v>
      </c>
      <c r="AE1902" s="9" t="s">
        <v>9145</v>
      </c>
      <c r="AH1902" s="9">
        <v>2495</v>
      </c>
      <c r="AI1902" s="9" t="s">
        <v>77</v>
      </c>
      <c r="AJ1902" s="9" t="s">
        <v>301</v>
      </c>
      <c r="AK1902" s="23" t="str">
        <f t="shared" si="14"/>
        <v>2023GBP</v>
      </c>
      <c r="AL1902" s="23">
        <f>VLOOKUP(AK1902, Exchange_rates!$C:$D, 2, FALSE)</f>
        <v>1</v>
      </c>
      <c r="AM1902" s="26">
        <f t="shared" si="15"/>
        <v>2994</v>
      </c>
      <c r="AN1902" s="9"/>
      <c r="AO1902" s="9"/>
      <c r="AP1902" s="21"/>
      <c r="AQ1902" s="27" t="s">
        <v>49</v>
      </c>
      <c r="AR1902" t="s">
        <v>4908</v>
      </c>
      <c r="AS1902" s="16" t="s">
        <v>4909</v>
      </c>
    </row>
    <row r="1903" spans="1:45" ht="14.5">
      <c r="A1903" s="9" t="s">
        <v>9498</v>
      </c>
      <c r="B1903" s="9" t="s">
        <v>9499</v>
      </c>
      <c r="C1903" s="9" t="s">
        <v>9500</v>
      </c>
      <c r="D1903" s="9" t="s">
        <v>4371</v>
      </c>
      <c r="E1903" s="21" t="s">
        <v>49</v>
      </c>
      <c r="F1903" s="9" t="s">
        <v>69</v>
      </c>
      <c r="G1903" s="9" t="s">
        <v>70</v>
      </c>
      <c r="H1903" s="9" t="s">
        <v>7152</v>
      </c>
      <c r="I1903" s="9" t="s">
        <v>72</v>
      </c>
      <c r="J1903" s="10">
        <v>44613</v>
      </c>
      <c r="K1903" s="10">
        <v>45055</v>
      </c>
      <c r="L1903" s="10"/>
      <c r="M1903" s="10">
        <v>45082</v>
      </c>
      <c r="N1903" s="9">
        <v>2023</v>
      </c>
      <c r="O1903" s="9" t="s">
        <v>9410</v>
      </c>
      <c r="P1903" s="9" t="s">
        <v>53</v>
      </c>
      <c r="Q1903" s="9" t="s">
        <v>53</v>
      </c>
      <c r="T1903" s="9"/>
      <c r="V1903" s="9" t="s">
        <v>9412</v>
      </c>
      <c r="AC1903" s="9" t="s">
        <v>9501</v>
      </c>
      <c r="AD1903" s="9" t="s">
        <v>9502</v>
      </c>
      <c r="AE1903" s="9" t="s">
        <v>9503</v>
      </c>
      <c r="AH1903" s="9">
        <v>2915</v>
      </c>
      <c r="AI1903" s="9" t="s">
        <v>77</v>
      </c>
      <c r="AJ1903" s="9" t="s">
        <v>301</v>
      </c>
      <c r="AK1903" s="23" t="str">
        <f t="shared" si="14"/>
        <v>2023GBP</v>
      </c>
      <c r="AL1903" s="23">
        <f>VLOOKUP(AK1903, Exchange_rates!$C:$D, 2, FALSE)</f>
        <v>1</v>
      </c>
      <c r="AM1903" s="26">
        <f t="shared" si="15"/>
        <v>3498</v>
      </c>
      <c r="AN1903" s="9"/>
      <c r="AO1903" s="9"/>
      <c r="AP1903" s="21"/>
      <c r="AQ1903" s="27" t="s">
        <v>49</v>
      </c>
      <c r="AR1903" t="s">
        <v>9504</v>
      </c>
      <c r="AS1903" s="16" t="s">
        <v>9505</v>
      </c>
    </row>
    <row r="1904" spans="1:45" ht="14.5">
      <c r="A1904" s="9" t="s">
        <v>9506</v>
      </c>
      <c r="B1904" s="9" t="s">
        <v>9507</v>
      </c>
      <c r="C1904" s="9" t="s">
        <v>9508</v>
      </c>
      <c r="D1904" s="9" t="s">
        <v>4371</v>
      </c>
      <c r="E1904" s="21" t="s">
        <v>49</v>
      </c>
      <c r="F1904" s="9" t="s">
        <v>69</v>
      </c>
      <c r="G1904" s="9" t="s">
        <v>70</v>
      </c>
      <c r="H1904" s="9" t="s">
        <v>7152</v>
      </c>
      <c r="I1904" s="9" t="s">
        <v>291</v>
      </c>
      <c r="J1904" s="10"/>
      <c r="K1904" s="10">
        <v>44931</v>
      </c>
      <c r="L1904" s="10"/>
      <c r="M1904" s="10">
        <v>45026</v>
      </c>
      <c r="N1904" s="9">
        <v>2023</v>
      </c>
      <c r="O1904" s="9" t="s">
        <v>9410</v>
      </c>
      <c r="P1904" s="9" t="s">
        <v>53</v>
      </c>
      <c r="Q1904" s="9" t="s">
        <v>53</v>
      </c>
      <c r="T1904" s="9"/>
      <c r="V1904" s="9" t="s">
        <v>7155</v>
      </c>
      <c r="AC1904" s="9" t="s">
        <v>9509</v>
      </c>
      <c r="AD1904" s="9" t="s">
        <v>9510</v>
      </c>
      <c r="AE1904" s="9" t="s">
        <v>9145</v>
      </c>
      <c r="AH1904" s="9">
        <v>2435</v>
      </c>
      <c r="AI1904" s="9" t="s">
        <v>7159</v>
      </c>
      <c r="AJ1904" s="9" t="s">
        <v>301</v>
      </c>
      <c r="AK1904" s="23" t="str">
        <f t="shared" si="14"/>
        <v>2023GBP</v>
      </c>
      <c r="AL1904" s="23">
        <f>VLOOKUP(AK1904, Exchange_rates!$C:$D, 2, FALSE)</f>
        <v>1</v>
      </c>
      <c r="AM1904" s="26">
        <f t="shared" si="15"/>
        <v>2922</v>
      </c>
      <c r="AN1904" s="9"/>
      <c r="AO1904" s="9"/>
      <c r="AP1904" s="21"/>
      <c r="AQ1904" s="27" t="s">
        <v>49</v>
      </c>
      <c r="AR1904" t="s">
        <v>9511</v>
      </c>
      <c r="AS1904" s="16" t="s">
        <v>9512</v>
      </c>
    </row>
    <row r="1905" spans="1:45" ht="14.5">
      <c r="A1905" s="9" t="s">
        <v>9513</v>
      </c>
      <c r="B1905" s="9" t="s">
        <v>9514</v>
      </c>
      <c r="C1905" s="9" t="s">
        <v>9515</v>
      </c>
      <c r="D1905" s="9" t="s">
        <v>4371</v>
      </c>
      <c r="E1905" s="21" t="s">
        <v>49</v>
      </c>
      <c r="F1905" s="9" t="s">
        <v>69</v>
      </c>
      <c r="G1905" s="9" t="s">
        <v>70</v>
      </c>
      <c r="H1905" s="9" t="s">
        <v>7152</v>
      </c>
      <c r="I1905" s="9" t="s">
        <v>291</v>
      </c>
      <c r="J1905" s="10">
        <v>44788</v>
      </c>
      <c r="K1905" s="10">
        <v>45092</v>
      </c>
      <c r="L1905" s="10"/>
      <c r="M1905" s="10">
        <v>45103</v>
      </c>
      <c r="N1905" s="9">
        <v>2023</v>
      </c>
      <c r="O1905" s="9" t="s">
        <v>9410</v>
      </c>
      <c r="P1905" s="9" t="s">
        <v>53</v>
      </c>
      <c r="Q1905" s="9" t="s">
        <v>53</v>
      </c>
      <c r="T1905" s="9"/>
      <c r="V1905" s="9" t="s">
        <v>9412</v>
      </c>
      <c r="AC1905" s="9" t="s">
        <v>9516</v>
      </c>
      <c r="AD1905" s="9" t="s">
        <v>9517</v>
      </c>
      <c r="AE1905" s="9" t="s">
        <v>9145</v>
      </c>
      <c r="AH1905" s="9">
        <v>2495</v>
      </c>
      <c r="AI1905" s="9" t="s">
        <v>77</v>
      </c>
      <c r="AJ1905" s="9" t="s">
        <v>301</v>
      </c>
      <c r="AK1905" s="23" t="str">
        <f t="shared" si="14"/>
        <v>2023GBP</v>
      </c>
      <c r="AL1905" s="23">
        <f>VLOOKUP(AK1905, Exchange_rates!$C:$D, 2, FALSE)</f>
        <v>1</v>
      </c>
      <c r="AM1905" s="26">
        <f t="shared" si="15"/>
        <v>2994</v>
      </c>
      <c r="AN1905" s="9"/>
      <c r="AO1905" s="9"/>
      <c r="AP1905" s="21"/>
      <c r="AQ1905" s="27" t="s">
        <v>49</v>
      </c>
      <c r="AR1905" t="s">
        <v>9518</v>
      </c>
      <c r="AS1905" s="16" t="s">
        <v>9519</v>
      </c>
    </row>
    <row r="1906" spans="1:45" ht="14.5">
      <c r="A1906" s="9" t="s">
        <v>9520</v>
      </c>
      <c r="B1906" s="9" t="s">
        <v>9521</v>
      </c>
      <c r="C1906" s="9" t="s">
        <v>9522</v>
      </c>
      <c r="D1906" s="9" t="s">
        <v>4371</v>
      </c>
      <c r="E1906" s="21" t="s">
        <v>49</v>
      </c>
      <c r="F1906" s="9" t="s">
        <v>69</v>
      </c>
      <c r="G1906" s="9" t="s">
        <v>70</v>
      </c>
      <c r="H1906" s="9" t="s">
        <v>7152</v>
      </c>
      <c r="I1906" s="9" t="s">
        <v>291</v>
      </c>
      <c r="J1906" s="10">
        <v>44872</v>
      </c>
      <c r="K1906" s="10">
        <v>45051</v>
      </c>
      <c r="L1906" s="10"/>
      <c r="M1906" s="10">
        <v>45056</v>
      </c>
      <c r="N1906" s="9">
        <v>2023</v>
      </c>
      <c r="O1906" s="9" t="s">
        <v>9410</v>
      </c>
      <c r="P1906" s="9" t="s">
        <v>53</v>
      </c>
      <c r="Q1906" s="9" t="s">
        <v>53</v>
      </c>
      <c r="R1906" s="9" t="s">
        <v>8664</v>
      </c>
      <c r="T1906" s="9"/>
      <c r="V1906" s="9" t="s">
        <v>9412</v>
      </c>
      <c r="AC1906" s="9" t="s">
        <v>9523</v>
      </c>
      <c r="AD1906" s="9" t="s">
        <v>9524</v>
      </c>
      <c r="AE1906" s="9" t="s">
        <v>9525</v>
      </c>
      <c r="AH1906" s="9">
        <v>2495</v>
      </c>
      <c r="AI1906" s="9" t="s">
        <v>77</v>
      </c>
      <c r="AJ1906" s="9" t="s">
        <v>301</v>
      </c>
      <c r="AK1906" s="23" t="str">
        <f t="shared" si="14"/>
        <v>2023GBP</v>
      </c>
      <c r="AL1906" s="23">
        <f>VLOOKUP(AK1906, Exchange_rates!$C:$D, 2, FALSE)</f>
        <v>1</v>
      </c>
      <c r="AM1906" s="26">
        <f t="shared" si="15"/>
        <v>2994</v>
      </c>
      <c r="AN1906" s="9"/>
      <c r="AO1906" s="9"/>
      <c r="AP1906" s="21"/>
      <c r="AQ1906" s="27" t="s">
        <v>49</v>
      </c>
      <c r="AR1906" t="s">
        <v>9526</v>
      </c>
      <c r="AS1906" s="16" t="s">
        <v>9527</v>
      </c>
    </row>
    <row r="1907" spans="1:45" ht="14.5">
      <c r="A1907" s="9" t="s">
        <v>9528</v>
      </c>
      <c r="B1907" s="9" t="s">
        <v>9529</v>
      </c>
      <c r="C1907" s="9" t="s">
        <v>9530</v>
      </c>
      <c r="D1907" s="9" t="s">
        <v>4371</v>
      </c>
      <c r="E1907" s="21" t="s">
        <v>49</v>
      </c>
      <c r="F1907" s="9" t="s">
        <v>69</v>
      </c>
      <c r="G1907" s="9" t="s">
        <v>70</v>
      </c>
      <c r="H1907" s="9" t="s">
        <v>7152</v>
      </c>
      <c r="I1907" s="9" t="s">
        <v>291</v>
      </c>
      <c r="J1907" s="10">
        <v>44741</v>
      </c>
      <c r="K1907" s="10">
        <v>44999</v>
      </c>
      <c r="L1907" s="10"/>
      <c r="M1907" s="10">
        <v>45015</v>
      </c>
      <c r="N1907" s="9">
        <v>2023</v>
      </c>
      <c r="O1907" s="9" t="s">
        <v>9410</v>
      </c>
      <c r="P1907" s="9" t="s">
        <v>53</v>
      </c>
      <c r="Q1907" s="9" t="s">
        <v>53</v>
      </c>
      <c r="T1907" s="9"/>
      <c r="V1907" s="9" t="s">
        <v>7155</v>
      </c>
      <c r="AC1907" s="9" t="s">
        <v>9531</v>
      </c>
      <c r="AD1907" s="9" t="s">
        <v>9532</v>
      </c>
      <c r="AE1907" s="9" t="s">
        <v>9145</v>
      </c>
      <c r="AH1907" s="9">
        <v>2435</v>
      </c>
      <c r="AI1907" s="9" t="s">
        <v>7159</v>
      </c>
      <c r="AJ1907" s="9" t="s">
        <v>301</v>
      </c>
      <c r="AK1907" s="23" t="str">
        <f t="shared" si="14"/>
        <v>2023GBP</v>
      </c>
      <c r="AL1907" s="23">
        <f>VLOOKUP(AK1907, Exchange_rates!$C:$D, 2, FALSE)</f>
        <v>1</v>
      </c>
      <c r="AM1907" s="26">
        <f t="shared" si="15"/>
        <v>2922</v>
      </c>
      <c r="AN1907" s="9"/>
      <c r="AO1907" s="9"/>
      <c r="AP1907" s="21"/>
      <c r="AQ1907" s="27" t="s">
        <v>49</v>
      </c>
      <c r="AR1907" t="s">
        <v>9533</v>
      </c>
      <c r="AS1907" s="16" t="s">
        <v>9534</v>
      </c>
    </row>
    <row r="1908" spans="1:45" ht="14.5">
      <c r="A1908" s="9" t="s">
        <v>9535</v>
      </c>
      <c r="B1908" s="9" t="s">
        <v>9536</v>
      </c>
      <c r="C1908" s="9" t="s">
        <v>7151</v>
      </c>
      <c r="D1908" s="9" t="s">
        <v>4371</v>
      </c>
      <c r="E1908" s="21" t="s">
        <v>49</v>
      </c>
      <c r="F1908" s="9" t="s">
        <v>69</v>
      </c>
      <c r="G1908" s="9" t="s">
        <v>70</v>
      </c>
      <c r="H1908" s="9" t="s">
        <v>7152</v>
      </c>
      <c r="I1908" s="9" t="s">
        <v>72</v>
      </c>
      <c r="J1908" s="10">
        <v>44991</v>
      </c>
      <c r="K1908" s="10">
        <v>45088</v>
      </c>
      <c r="L1908" s="10"/>
      <c r="M1908" s="10">
        <v>45093</v>
      </c>
      <c r="N1908" s="9">
        <v>2023</v>
      </c>
      <c r="O1908" s="9" t="s">
        <v>9410</v>
      </c>
      <c r="P1908" s="9" t="s">
        <v>53</v>
      </c>
      <c r="Q1908" s="9" t="s">
        <v>53</v>
      </c>
      <c r="T1908" s="9"/>
      <c r="V1908" s="9" t="s">
        <v>9412</v>
      </c>
      <c r="AC1908" s="9" t="s">
        <v>9537</v>
      </c>
      <c r="AD1908" s="9" t="s">
        <v>9538</v>
      </c>
      <c r="AE1908" s="9" t="s">
        <v>9145</v>
      </c>
      <c r="AH1908" s="9">
        <v>2495</v>
      </c>
      <c r="AI1908" s="9" t="s">
        <v>77</v>
      </c>
      <c r="AJ1908" s="9" t="s">
        <v>301</v>
      </c>
      <c r="AK1908" s="23" t="str">
        <f t="shared" si="14"/>
        <v>2023GBP</v>
      </c>
      <c r="AL1908" s="23">
        <f>VLOOKUP(AK1908, Exchange_rates!$C:$D, 2, FALSE)</f>
        <v>1</v>
      </c>
      <c r="AM1908" s="26">
        <f t="shared" si="15"/>
        <v>2994</v>
      </c>
      <c r="AN1908" s="9"/>
      <c r="AO1908" s="9"/>
      <c r="AP1908" s="21"/>
      <c r="AQ1908" s="27" t="s">
        <v>49</v>
      </c>
      <c r="AR1908" t="s">
        <v>7160</v>
      </c>
      <c r="AS1908" s="16" t="s">
        <v>7161</v>
      </c>
    </row>
    <row r="1909" spans="1:45" ht="14.5">
      <c r="A1909" s="9" t="s">
        <v>9539</v>
      </c>
      <c r="B1909" s="9" t="s">
        <v>9540</v>
      </c>
      <c r="C1909" s="9" t="s">
        <v>9541</v>
      </c>
      <c r="D1909" s="9" t="s">
        <v>4371</v>
      </c>
      <c r="E1909" s="21" t="s">
        <v>49</v>
      </c>
      <c r="F1909" s="9" t="s">
        <v>69</v>
      </c>
      <c r="G1909" s="9" t="s">
        <v>70</v>
      </c>
      <c r="H1909" s="9" t="s">
        <v>7152</v>
      </c>
      <c r="I1909" s="9" t="s">
        <v>291</v>
      </c>
      <c r="J1909" s="10">
        <v>44679</v>
      </c>
      <c r="K1909" s="10">
        <v>45056</v>
      </c>
      <c r="L1909" s="10"/>
      <c r="M1909" s="10">
        <v>45099</v>
      </c>
      <c r="N1909" s="9">
        <v>2023</v>
      </c>
      <c r="O1909" s="9" t="s">
        <v>9410</v>
      </c>
      <c r="P1909" s="9" t="s">
        <v>83</v>
      </c>
      <c r="Q1909" s="9" t="s">
        <v>53</v>
      </c>
      <c r="R1909" s="9" t="s">
        <v>9542</v>
      </c>
      <c r="T1909" s="9"/>
      <c r="V1909" s="9" t="s">
        <v>9412</v>
      </c>
      <c r="AC1909" s="9" t="s">
        <v>9543</v>
      </c>
      <c r="AD1909" s="9" t="s">
        <v>9544</v>
      </c>
      <c r="AE1909" s="9" t="s">
        <v>9145</v>
      </c>
      <c r="AH1909" s="9">
        <v>2750</v>
      </c>
      <c r="AI1909" s="9" t="s">
        <v>77</v>
      </c>
      <c r="AJ1909" s="9" t="s">
        <v>301</v>
      </c>
      <c r="AK1909" s="23" t="str">
        <f t="shared" si="14"/>
        <v>2023GBP</v>
      </c>
      <c r="AL1909" s="23">
        <f>VLOOKUP(AK1909, Exchange_rates!$C:$D, 2, FALSE)</f>
        <v>1</v>
      </c>
      <c r="AM1909" s="26">
        <f t="shared" si="15"/>
        <v>3300</v>
      </c>
      <c r="AN1909" s="9"/>
      <c r="AO1909" s="9"/>
      <c r="AP1909" s="21"/>
      <c r="AQ1909" s="27" t="s">
        <v>49</v>
      </c>
      <c r="AR1909" t="s">
        <v>9545</v>
      </c>
      <c r="AS1909" s="16" t="s">
        <v>9546</v>
      </c>
    </row>
    <row r="1910" spans="1:45" ht="14.5">
      <c r="A1910" s="9" t="s">
        <v>9547</v>
      </c>
      <c r="B1910" s="9" t="s">
        <v>9548</v>
      </c>
      <c r="C1910" s="9" t="s">
        <v>9549</v>
      </c>
      <c r="D1910" s="9" t="s">
        <v>4371</v>
      </c>
      <c r="E1910" s="21" t="s">
        <v>49</v>
      </c>
      <c r="F1910" s="9" t="s">
        <v>69</v>
      </c>
      <c r="G1910" s="9" t="s">
        <v>70</v>
      </c>
      <c r="H1910" s="9" t="s">
        <v>7152</v>
      </c>
      <c r="I1910" s="9" t="s">
        <v>72</v>
      </c>
      <c r="J1910" s="10">
        <v>44453</v>
      </c>
      <c r="K1910" s="10">
        <v>44998</v>
      </c>
      <c r="L1910" s="10"/>
      <c r="M1910" s="10">
        <v>45044</v>
      </c>
      <c r="N1910" s="9">
        <v>2023</v>
      </c>
      <c r="O1910" s="9" t="s">
        <v>9410</v>
      </c>
      <c r="P1910" s="9" t="s">
        <v>53</v>
      </c>
      <c r="Q1910" s="9" t="s">
        <v>53</v>
      </c>
      <c r="T1910" s="9"/>
      <c r="V1910" s="9" t="s">
        <v>7155</v>
      </c>
      <c r="AC1910" s="9" t="s">
        <v>9550</v>
      </c>
      <c r="AD1910" s="9" t="s">
        <v>9551</v>
      </c>
      <c r="AE1910" s="9" t="s">
        <v>9145</v>
      </c>
      <c r="AH1910" s="9">
        <v>2435</v>
      </c>
      <c r="AI1910" s="9" t="s">
        <v>7159</v>
      </c>
      <c r="AJ1910" s="9" t="s">
        <v>301</v>
      </c>
      <c r="AK1910" s="23" t="str">
        <f t="shared" si="14"/>
        <v>2023GBP</v>
      </c>
      <c r="AL1910" s="23">
        <f>VLOOKUP(AK1910, Exchange_rates!$C:$D, 2, FALSE)</f>
        <v>1</v>
      </c>
      <c r="AM1910" s="26">
        <f t="shared" si="15"/>
        <v>2922</v>
      </c>
      <c r="AN1910" s="9"/>
      <c r="AO1910" s="9"/>
      <c r="AP1910" s="21"/>
      <c r="AQ1910" s="27" t="s">
        <v>49</v>
      </c>
      <c r="AR1910" t="s">
        <v>9552</v>
      </c>
      <c r="AS1910" s="16" t="s">
        <v>9553</v>
      </c>
    </row>
    <row r="1911" spans="1:45" ht="14.5">
      <c r="A1911" s="9" t="s">
        <v>9554</v>
      </c>
      <c r="B1911" s="9" t="s">
        <v>9555</v>
      </c>
      <c r="C1911" s="9" t="s">
        <v>9556</v>
      </c>
      <c r="D1911" s="9" t="s">
        <v>4371</v>
      </c>
      <c r="E1911" s="21" t="s">
        <v>49</v>
      </c>
      <c r="F1911" s="9" t="s">
        <v>69</v>
      </c>
      <c r="G1911" s="9" t="s">
        <v>70</v>
      </c>
      <c r="H1911" s="9" t="s">
        <v>7152</v>
      </c>
      <c r="I1911" s="9" t="s">
        <v>291</v>
      </c>
      <c r="J1911" s="10">
        <v>44770</v>
      </c>
      <c r="K1911" s="10">
        <v>45030</v>
      </c>
      <c r="L1911" s="10"/>
      <c r="M1911" s="10">
        <v>45050</v>
      </c>
      <c r="N1911" s="9">
        <v>2023</v>
      </c>
      <c r="O1911" s="9" t="s">
        <v>9410</v>
      </c>
      <c r="P1911" s="9" t="s">
        <v>53</v>
      </c>
      <c r="Q1911" s="9" t="s">
        <v>53</v>
      </c>
      <c r="T1911" s="9"/>
      <c r="V1911" s="9" t="s">
        <v>9412</v>
      </c>
      <c r="AC1911" s="9" t="s">
        <v>9557</v>
      </c>
      <c r="AD1911" s="9" t="s">
        <v>9558</v>
      </c>
      <c r="AE1911" s="9" t="s">
        <v>9145</v>
      </c>
      <c r="AH1911" s="9">
        <v>2495</v>
      </c>
      <c r="AI1911" s="9" t="s">
        <v>77</v>
      </c>
      <c r="AJ1911" s="9" t="s">
        <v>301</v>
      </c>
      <c r="AK1911" s="23" t="str">
        <f t="shared" si="14"/>
        <v>2023GBP</v>
      </c>
      <c r="AL1911" s="23">
        <f>VLOOKUP(AK1911, Exchange_rates!$C:$D, 2, FALSE)</f>
        <v>1</v>
      </c>
      <c r="AM1911" s="26">
        <f t="shared" si="15"/>
        <v>2994</v>
      </c>
      <c r="AN1911" s="9"/>
      <c r="AO1911" s="9"/>
      <c r="AP1911" s="21"/>
      <c r="AQ1911" s="27" t="s">
        <v>49</v>
      </c>
      <c r="AR1911" t="s">
        <v>9559</v>
      </c>
      <c r="AS1911" s="16" t="s">
        <v>9560</v>
      </c>
    </row>
    <row r="1912" spans="1:45" ht="14.5">
      <c r="A1912" s="9" t="s">
        <v>9561</v>
      </c>
      <c r="B1912" s="9" t="s">
        <v>9562</v>
      </c>
      <c r="C1912" s="9" t="s">
        <v>4922</v>
      </c>
      <c r="D1912" s="9" t="s">
        <v>4371</v>
      </c>
      <c r="E1912" s="21" t="s">
        <v>49</v>
      </c>
      <c r="F1912" s="9" t="s">
        <v>69</v>
      </c>
      <c r="G1912" s="9" t="s">
        <v>70</v>
      </c>
      <c r="H1912" s="9" t="s">
        <v>7152</v>
      </c>
      <c r="I1912" s="9" t="s">
        <v>72</v>
      </c>
      <c r="J1912" s="10">
        <v>44911</v>
      </c>
      <c r="K1912" s="10">
        <v>45044</v>
      </c>
      <c r="L1912" s="10"/>
      <c r="M1912" s="10">
        <v>45050</v>
      </c>
      <c r="N1912" s="9">
        <v>2023</v>
      </c>
      <c r="O1912" s="9" t="s">
        <v>9410</v>
      </c>
      <c r="P1912" s="9" t="s">
        <v>53</v>
      </c>
      <c r="Q1912" s="9" t="s">
        <v>53</v>
      </c>
      <c r="T1912" s="9"/>
      <c r="V1912" s="9" t="s">
        <v>9412</v>
      </c>
      <c r="AC1912" s="9" t="s">
        <v>9563</v>
      </c>
      <c r="AD1912" s="9" t="s">
        <v>9564</v>
      </c>
      <c r="AE1912" s="9" t="s">
        <v>9145</v>
      </c>
      <c r="AH1912" s="9">
        <v>2495</v>
      </c>
      <c r="AI1912" s="9" t="s">
        <v>77</v>
      </c>
      <c r="AJ1912" s="9" t="s">
        <v>301</v>
      </c>
      <c r="AK1912" s="23" t="str">
        <f t="shared" si="14"/>
        <v>2023GBP</v>
      </c>
      <c r="AL1912" s="23">
        <f>VLOOKUP(AK1912, Exchange_rates!$C:$D, 2, FALSE)</f>
        <v>1</v>
      </c>
      <c r="AM1912" s="26">
        <f t="shared" si="15"/>
        <v>2994</v>
      </c>
      <c r="AN1912" s="9"/>
      <c r="AO1912" s="9"/>
      <c r="AP1912" s="21"/>
      <c r="AQ1912" s="27" t="s">
        <v>49</v>
      </c>
      <c r="AR1912" t="s">
        <v>4924</v>
      </c>
      <c r="AS1912" s="16" t="s">
        <v>4925</v>
      </c>
    </row>
    <row r="1913" spans="1:45" ht="14.5">
      <c r="A1913" s="9" t="s">
        <v>9565</v>
      </c>
      <c r="B1913" s="9" t="s">
        <v>9566</v>
      </c>
      <c r="C1913" s="9" t="s">
        <v>4922</v>
      </c>
      <c r="D1913" s="9" t="s">
        <v>4371</v>
      </c>
      <c r="E1913" s="21" t="s">
        <v>49</v>
      </c>
      <c r="F1913" s="9" t="s">
        <v>69</v>
      </c>
      <c r="G1913" s="9" t="s">
        <v>70</v>
      </c>
      <c r="H1913" s="9" t="s">
        <v>7152</v>
      </c>
      <c r="I1913" s="9" t="s">
        <v>291</v>
      </c>
      <c r="J1913" s="10">
        <v>44908</v>
      </c>
      <c r="K1913" s="10">
        <v>45044</v>
      </c>
      <c r="L1913" s="10"/>
      <c r="M1913" s="10">
        <v>45076</v>
      </c>
      <c r="N1913" s="9">
        <v>2023</v>
      </c>
      <c r="O1913" s="9" t="s">
        <v>9410</v>
      </c>
      <c r="P1913" s="9" t="s">
        <v>53</v>
      </c>
      <c r="Q1913" s="9" t="s">
        <v>53</v>
      </c>
      <c r="R1913" s="9" t="s">
        <v>178</v>
      </c>
      <c r="T1913" s="9"/>
      <c r="V1913" s="9" t="s">
        <v>9412</v>
      </c>
      <c r="AC1913" s="9" t="s">
        <v>9567</v>
      </c>
      <c r="AD1913" s="9" t="s">
        <v>9568</v>
      </c>
      <c r="AE1913" s="9" t="s">
        <v>9569</v>
      </c>
      <c r="AH1913" s="9">
        <v>2495</v>
      </c>
      <c r="AI1913" s="9" t="s">
        <v>77</v>
      </c>
      <c r="AJ1913" s="9" t="s">
        <v>301</v>
      </c>
      <c r="AK1913" s="23" t="str">
        <f t="shared" si="14"/>
        <v>2023GBP</v>
      </c>
      <c r="AL1913" s="23">
        <f>VLOOKUP(AK1913, Exchange_rates!$C:$D, 2, FALSE)</f>
        <v>1</v>
      </c>
      <c r="AM1913" s="26">
        <f t="shared" si="15"/>
        <v>2994</v>
      </c>
      <c r="AN1913" s="9"/>
      <c r="AO1913" s="9"/>
      <c r="AP1913" s="21"/>
      <c r="AQ1913" s="27" t="s">
        <v>49</v>
      </c>
      <c r="AR1913" t="s">
        <v>4924</v>
      </c>
      <c r="AS1913" s="16" t="s">
        <v>4925</v>
      </c>
    </row>
    <row r="1914" spans="1:45" ht="14.5">
      <c r="A1914" s="9" t="s">
        <v>9570</v>
      </c>
      <c r="B1914" s="9" t="s">
        <v>9571</v>
      </c>
      <c r="C1914" s="9" t="s">
        <v>9572</v>
      </c>
      <c r="D1914" s="9" t="s">
        <v>4371</v>
      </c>
      <c r="E1914" s="21" t="s">
        <v>49</v>
      </c>
      <c r="F1914" s="9" t="s">
        <v>69</v>
      </c>
      <c r="G1914" s="9" t="s">
        <v>70</v>
      </c>
      <c r="H1914" s="9" t="s">
        <v>7152</v>
      </c>
      <c r="I1914" s="9" t="s">
        <v>291</v>
      </c>
      <c r="J1914" s="10"/>
      <c r="K1914" s="10"/>
      <c r="L1914" s="10"/>
      <c r="M1914" s="10">
        <v>45059</v>
      </c>
      <c r="N1914" s="9">
        <v>2023</v>
      </c>
      <c r="O1914" s="9" t="s">
        <v>9410</v>
      </c>
      <c r="P1914" s="9" t="s">
        <v>53</v>
      </c>
      <c r="Q1914" s="9" t="s">
        <v>53</v>
      </c>
      <c r="T1914" s="9"/>
      <c r="V1914" s="9" t="s">
        <v>9412</v>
      </c>
      <c r="AC1914" s="9" t="s">
        <v>9557</v>
      </c>
      <c r="AD1914" s="9" t="s">
        <v>9558</v>
      </c>
      <c r="AE1914" s="9" t="s">
        <v>9145</v>
      </c>
      <c r="AH1914" s="9">
        <v>2915</v>
      </c>
      <c r="AI1914" s="9" t="s">
        <v>77</v>
      </c>
      <c r="AJ1914" s="9" t="s">
        <v>301</v>
      </c>
      <c r="AK1914" s="23" t="str">
        <f t="shared" si="14"/>
        <v>2023GBP</v>
      </c>
      <c r="AL1914" s="23">
        <f>VLOOKUP(AK1914, Exchange_rates!$C:$D, 2, FALSE)</f>
        <v>1</v>
      </c>
      <c r="AM1914" s="26">
        <f t="shared" si="15"/>
        <v>3498</v>
      </c>
      <c r="AN1914" s="9"/>
      <c r="AO1914" s="9"/>
      <c r="AP1914" s="21"/>
      <c r="AQ1914" s="27" t="s">
        <v>49</v>
      </c>
      <c r="AR1914" t="s">
        <v>9573</v>
      </c>
      <c r="AS1914" s="16" t="s">
        <v>9574</v>
      </c>
    </row>
    <row r="1915" spans="1:45" ht="14.5">
      <c r="A1915" s="9" t="s">
        <v>9575</v>
      </c>
      <c r="B1915" s="9" t="s">
        <v>9576</v>
      </c>
      <c r="C1915" s="9" t="s">
        <v>9577</v>
      </c>
      <c r="D1915" s="9" t="s">
        <v>4371</v>
      </c>
      <c r="E1915" s="21" t="s">
        <v>49</v>
      </c>
      <c r="F1915" s="9" t="s">
        <v>69</v>
      </c>
      <c r="G1915" s="9" t="s">
        <v>70</v>
      </c>
      <c r="H1915" s="9" t="s">
        <v>7152</v>
      </c>
      <c r="I1915" s="9" t="s">
        <v>291</v>
      </c>
      <c r="J1915" s="10">
        <v>44697</v>
      </c>
      <c r="K1915" s="10">
        <v>44848</v>
      </c>
      <c r="L1915" s="10"/>
      <c r="M1915" s="10">
        <v>45050</v>
      </c>
      <c r="N1915" s="9">
        <v>2023</v>
      </c>
      <c r="O1915" s="9" t="s">
        <v>9410</v>
      </c>
      <c r="P1915" s="9" t="s">
        <v>53</v>
      </c>
      <c r="Q1915" s="9" t="s">
        <v>53</v>
      </c>
      <c r="T1915" s="9"/>
      <c r="V1915" s="9" t="s">
        <v>9412</v>
      </c>
      <c r="AC1915" s="9" t="s">
        <v>9578</v>
      </c>
      <c r="AD1915" s="9" t="s">
        <v>9579</v>
      </c>
      <c r="AE1915" s="9" t="s">
        <v>9145</v>
      </c>
      <c r="AH1915" s="9">
        <v>2915</v>
      </c>
      <c r="AI1915" s="9" t="s">
        <v>77</v>
      </c>
      <c r="AJ1915" s="9" t="s">
        <v>301</v>
      </c>
      <c r="AK1915" s="23" t="str">
        <f t="shared" si="14"/>
        <v>2023GBP</v>
      </c>
      <c r="AL1915" s="23">
        <f>VLOOKUP(AK1915, Exchange_rates!$C:$D, 2, FALSE)</f>
        <v>1</v>
      </c>
      <c r="AM1915" s="26">
        <f t="shared" si="15"/>
        <v>3498</v>
      </c>
      <c r="AN1915" s="9"/>
      <c r="AO1915" s="9"/>
      <c r="AP1915" s="21"/>
      <c r="AQ1915" s="27" t="s">
        <v>49</v>
      </c>
      <c r="AR1915" t="s">
        <v>9580</v>
      </c>
      <c r="AS1915" s="16" t="s">
        <v>9581</v>
      </c>
    </row>
    <row r="1916" spans="1:45" ht="14.5">
      <c r="A1916" s="9" t="s">
        <v>9582</v>
      </c>
      <c r="B1916" s="9" t="s">
        <v>9583</v>
      </c>
      <c r="C1916" s="9" t="s">
        <v>4983</v>
      </c>
      <c r="D1916" s="9" t="s">
        <v>4371</v>
      </c>
      <c r="E1916" s="21" t="s">
        <v>49</v>
      </c>
      <c r="F1916" s="9" t="s">
        <v>69</v>
      </c>
      <c r="G1916" s="9" t="s">
        <v>70</v>
      </c>
      <c r="H1916" s="9" t="s">
        <v>7152</v>
      </c>
      <c r="I1916" s="9" t="s">
        <v>291</v>
      </c>
      <c r="J1916" s="10"/>
      <c r="K1916" s="10"/>
      <c r="L1916" s="10"/>
      <c r="M1916" s="10">
        <v>44928</v>
      </c>
      <c r="N1916" s="9">
        <v>2023</v>
      </c>
      <c r="O1916" s="9" t="s">
        <v>9410</v>
      </c>
      <c r="P1916" s="9" t="s">
        <v>53</v>
      </c>
      <c r="Q1916" s="9" t="s">
        <v>53</v>
      </c>
      <c r="T1916" s="9"/>
      <c r="V1916" s="9" t="s">
        <v>7155</v>
      </c>
      <c r="AC1916" s="9" t="s">
        <v>9584</v>
      </c>
      <c r="AD1916" s="9" t="s">
        <v>9585</v>
      </c>
      <c r="AE1916" s="9" t="s">
        <v>9145</v>
      </c>
      <c r="AH1916" s="9">
        <v>2435</v>
      </c>
      <c r="AI1916" s="9" t="s">
        <v>7159</v>
      </c>
      <c r="AJ1916" s="9" t="s">
        <v>301</v>
      </c>
      <c r="AK1916" s="23" t="str">
        <f t="shared" si="14"/>
        <v>2023GBP</v>
      </c>
      <c r="AL1916" s="23">
        <f>VLOOKUP(AK1916, Exchange_rates!$C:$D, 2, FALSE)</f>
        <v>1</v>
      </c>
      <c r="AM1916" s="26">
        <f t="shared" si="15"/>
        <v>2922</v>
      </c>
      <c r="AN1916" s="9"/>
      <c r="AO1916" s="9"/>
      <c r="AP1916" s="21"/>
      <c r="AQ1916" s="27" t="s">
        <v>49</v>
      </c>
      <c r="AR1916" t="s">
        <v>4984</v>
      </c>
      <c r="AS1916" s="16" t="s">
        <v>4985</v>
      </c>
    </row>
    <row r="1917" spans="1:45" ht="14.5">
      <c r="A1917" s="9" t="s">
        <v>9586</v>
      </c>
      <c r="B1917" s="9" t="s">
        <v>9587</v>
      </c>
      <c r="C1917" s="9" t="s">
        <v>7248</v>
      </c>
      <c r="D1917" s="9" t="s">
        <v>4371</v>
      </c>
      <c r="E1917" s="21" t="s">
        <v>49</v>
      </c>
      <c r="F1917" s="9" t="s">
        <v>69</v>
      </c>
      <c r="G1917" s="9" t="s">
        <v>70</v>
      </c>
      <c r="H1917" s="9" t="s">
        <v>7152</v>
      </c>
      <c r="I1917" s="9" t="s">
        <v>291</v>
      </c>
      <c r="J1917" s="10">
        <v>44878</v>
      </c>
      <c r="K1917" s="10">
        <v>45030</v>
      </c>
      <c r="L1917" s="10"/>
      <c r="M1917" s="10">
        <v>45050</v>
      </c>
      <c r="N1917" s="9">
        <v>2023</v>
      </c>
      <c r="O1917" s="9" t="s">
        <v>9410</v>
      </c>
      <c r="P1917" s="9" t="s">
        <v>53</v>
      </c>
      <c r="Q1917" s="9" t="s">
        <v>53</v>
      </c>
      <c r="T1917" s="9"/>
      <c r="V1917" s="9" t="s">
        <v>9412</v>
      </c>
      <c r="AC1917" s="9" t="s">
        <v>9588</v>
      </c>
      <c r="AD1917" s="9" t="s">
        <v>9589</v>
      </c>
      <c r="AE1917" s="9" t="s">
        <v>9590</v>
      </c>
      <c r="AH1917" s="9">
        <v>2335</v>
      </c>
      <c r="AI1917" s="9" t="s">
        <v>77</v>
      </c>
      <c r="AJ1917" s="9" t="s">
        <v>301</v>
      </c>
      <c r="AK1917" s="23" t="str">
        <f t="shared" si="14"/>
        <v>2023GBP</v>
      </c>
      <c r="AL1917" s="23">
        <f>VLOOKUP(AK1917, Exchange_rates!$C:$D, 2, FALSE)</f>
        <v>1</v>
      </c>
      <c r="AM1917" s="26">
        <f t="shared" si="15"/>
        <v>2802</v>
      </c>
      <c r="AN1917" s="9"/>
      <c r="AO1917" s="9"/>
      <c r="AP1917" s="21"/>
      <c r="AQ1917" s="27" t="s">
        <v>49</v>
      </c>
      <c r="AR1917" t="s">
        <v>7251</v>
      </c>
      <c r="AS1917" s="16" t="s">
        <v>7252</v>
      </c>
    </row>
    <row r="1918" spans="1:45" ht="14.5">
      <c r="A1918" s="9" t="s">
        <v>9591</v>
      </c>
      <c r="B1918" s="9" t="s">
        <v>9592</v>
      </c>
      <c r="C1918" s="9" t="s">
        <v>9593</v>
      </c>
      <c r="D1918" s="9" t="s">
        <v>4371</v>
      </c>
      <c r="E1918" s="21" t="s">
        <v>49</v>
      </c>
      <c r="F1918" s="9" t="s">
        <v>69</v>
      </c>
      <c r="G1918" s="9" t="s">
        <v>70</v>
      </c>
      <c r="H1918" s="9" t="s">
        <v>7152</v>
      </c>
      <c r="I1918" s="9" t="s">
        <v>72</v>
      </c>
      <c r="J1918" s="10">
        <v>44730</v>
      </c>
      <c r="K1918" s="10">
        <v>45083</v>
      </c>
      <c r="L1918" s="10"/>
      <c r="M1918" s="10">
        <v>45106</v>
      </c>
      <c r="N1918" s="9">
        <v>2023</v>
      </c>
      <c r="O1918" s="9" t="s">
        <v>9410</v>
      </c>
      <c r="P1918" s="9" t="s">
        <v>53</v>
      </c>
      <c r="Q1918" s="9" t="s">
        <v>53</v>
      </c>
      <c r="R1918" s="9" t="s">
        <v>9594</v>
      </c>
      <c r="T1918" s="9"/>
      <c r="V1918" s="9" t="s">
        <v>9412</v>
      </c>
      <c r="AC1918" s="9" t="s">
        <v>9487</v>
      </c>
      <c r="AD1918" s="9" t="s">
        <v>9488</v>
      </c>
      <c r="AE1918" s="9" t="s">
        <v>9145</v>
      </c>
      <c r="AH1918" s="9">
        <v>2495</v>
      </c>
      <c r="AI1918" s="9" t="s">
        <v>77</v>
      </c>
      <c r="AJ1918" s="9" t="s">
        <v>301</v>
      </c>
      <c r="AK1918" s="23" t="str">
        <f t="shared" si="14"/>
        <v>2023GBP</v>
      </c>
      <c r="AL1918" s="23">
        <f>VLOOKUP(AK1918, Exchange_rates!$C:$D, 2, FALSE)</f>
        <v>1</v>
      </c>
      <c r="AM1918" s="26">
        <f t="shared" si="15"/>
        <v>2994</v>
      </c>
      <c r="AN1918" s="9"/>
      <c r="AO1918" s="9"/>
      <c r="AP1918" s="21"/>
      <c r="AQ1918" s="27" t="s">
        <v>49</v>
      </c>
      <c r="AR1918" t="s">
        <v>9595</v>
      </c>
      <c r="AS1918" s="16" t="s">
        <v>9596</v>
      </c>
    </row>
    <row r="1919" spans="1:45" ht="14.5">
      <c r="A1919" s="9" t="s">
        <v>9597</v>
      </c>
      <c r="B1919" s="9" t="s">
        <v>9598</v>
      </c>
      <c r="C1919" s="9" t="s">
        <v>9599</v>
      </c>
      <c r="D1919" s="9" t="s">
        <v>4371</v>
      </c>
      <c r="E1919" s="21" t="s">
        <v>49</v>
      </c>
      <c r="F1919" s="9" t="s">
        <v>69</v>
      </c>
      <c r="G1919" s="9" t="s">
        <v>70</v>
      </c>
      <c r="H1919" s="9" t="s">
        <v>7152</v>
      </c>
      <c r="I1919" s="9" t="s">
        <v>72</v>
      </c>
      <c r="J1919" s="10">
        <v>44949</v>
      </c>
      <c r="K1919" s="10">
        <v>45037</v>
      </c>
      <c r="L1919" s="10"/>
      <c r="M1919" s="10">
        <v>45048</v>
      </c>
      <c r="N1919" s="9">
        <v>2023</v>
      </c>
      <c r="O1919" s="9" t="s">
        <v>9410</v>
      </c>
      <c r="P1919" s="9" t="s">
        <v>53</v>
      </c>
      <c r="Q1919" s="9" t="s">
        <v>53</v>
      </c>
      <c r="T1919" s="9"/>
      <c r="V1919" s="9" t="s">
        <v>9412</v>
      </c>
      <c r="AC1919" s="9" t="s">
        <v>9600</v>
      </c>
      <c r="AD1919" s="9" t="s">
        <v>9601</v>
      </c>
      <c r="AE1919" s="9" t="s">
        <v>9145</v>
      </c>
      <c r="AH1919" s="9">
        <v>2495</v>
      </c>
      <c r="AI1919" s="9" t="s">
        <v>77</v>
      </c>
      <c r="AJ1919" s="9" t="s">
        <v>301</v>
      </c>
      <c r="AK1919" s="23" t="str">
        <f t="shared" si="14"/>
        <v>2023GBP</v>
      </c>
      <c r="AL1919" s="23">
        <f>VLOOKUP(AK1919, Exchange_rates!$C:$D, 2, FALSE)</f>
        <v>1</v>
      </c>
      <c r="AM1919" s="26">
        <f t="shared" si="15"/>
        <v>2994</v>
      </c>
      <c r="AN1919" s="9"/>
      <c r="AO1919" s="9"/>
      <c r="AP1919" s="21"/>
      <c r="AQ1919" s="27" t="s">
        <v>49</v>
      </c>
      <c r="AR1919" t="s">
        <v>9602</v>
      </c>
      <c r="AS1919" s="16" t="s">
        <v>9603</v>
      </c>
    </row>
    <row r="1920" spans="1:45" ht="14.5">
      <c r="A1920" s="9" t="s">
        <v>9604</v>
      </c>
      <c r="B1920" s="9" t="s">
        <v>9605</v>
      </c>
      <c r="C1920" s="9" t="s">
        <v>5123</v>
      </c>
      <c r="D1920" s="9" t="s">
        <v>4371</v>
      </c>
      <c r="E1920" s="21" t="s">
        <v>49</v>
      </c>
      <c r="F1920" s="9" t="s">
        <v>69</v>
      </c>
      <c r="G1920" s="9" t="s">
        <v>70</v>
      </c>
      <c r="H1920" s="9" t="s">
        <v>7152</v>
      </c>
      <c r="I1920" s="9" t="s">
        <v>291</v>
      </c>
      <c r="J1920" s="10"/>
      <c r="K1920" s="10"/>
      <c r="L1920" s="10"/>
      <c r="M1920" s="10">
        <v>45019</v>
      </c>
      <c r="N1920" s="9">
        <v>2023</v>
      </c>
      <c r="O1920" s="9" t="s">
        <v>9410</v>
      </c>
      <c r="P1920" s="9" t="s">
        <v>53</v>
      </c>
      <c r="Q1920" s="9" t="s">
        <v>53</v>
      </c>
      <c r="T1920" s="9"/>
      <c r="V1920" s="9" t="s">
        <v>9412</v>
      </c>
      <c r="AC1920" s="9" t="s">
        <v>9455</v>
      </c>
      <c r="AD1920" s="9" t="s">
        <v>9456</v>
      </c>
      <c r="AE1920" s="9" t="s">
        <v>9145</v>
      </c>
      <c r="AH1920" s="9">
        <v>2495</v>
      </c>
      <c r="AI1920" s="9" t="s">
        <v>77</v>
      </c>
      <c r="AJ1920" s="9" t="s">
        <v>301</v>
      </c>
      <c r="AK1920" s="23" t="str">
        <f t="shared" si="14"/>
        <v>2023GBP</v>
      </c>
      <c r="AL1920" s="23">
        <f>VLOOKUP(AK1920, Exchange_rates!$C:$D, 2, FALSE)</f>
        <v>1</v>
      </c>
      <c r="AM1920" s="26">
        <f t="shared" si="15"/>
        <v>2994</v>
      </c>
      <c r="AN1920" s="9"/>
      <c r="AO1920" s="9"/>
      <c r="AP1920" s="21"/>
      <c r="AQ1920" s="27" t="s">
        <v>49</v>
      </c>
      <c r="AR1920" t="s">
        <v>5125</v>
      </c>
      <c r="AS1920" s="16" t="s">
        <v>5126</v>
      </c>
    </row>
    <row r="1921" spans="1:60" ht="14.5">
      <c r="A1921" s="9" t="s">
        <v>9606</v>
      </c>
      <c r="B1921" s="9" t="s">
        <v>9607</v>
      </c>
      <c r="C1921" s="9" t="s">
        <v>4546</v>
      </c>
      <c r="D1921" s="9" t="s">
        <v>4371</v>
      </c>
      <c r="E1921" s="21" t="s">
        <v>49</v>
      </c>
      <c r="F1921" s="9" t="s">
        <v>69</v>
      </c>
      <c r="G1921" s="9" t="s">
        <v>70</v>
      </c>
      <c r="H1921" s="9" t="s">
        <v>7152</v>
      </c>
      <c r="I1921" s="9" t="s">
        <v>72</v>
      </c>
      <c r="J1921" s="10">
        <v>44953</v>
      </c>
      <c r="K1921" s="10">
        <v>45037</v>
      </c>
      <c r="L1921" s="10"/>
      <c r="M1921" s="10">
        <v>45044</v>
      </c>
      <c r="N1921" s="9">
        <v>2023</v>
      </c>
      <c r="O1921" s="9" t="s">
        <v>9410</v>
      </c>
      <c r="P1921" s="9" t="s">
        <v>53</v>
      </c>
      <c r="Q1921" s="9" t="s">
        <v>53</v>
      </c>
      <c r="R1921" s="9" t="s">
        <v>8793</v>
      </c>
      <c r="T1921" s="9"/>
      <c r="V1921" s="9" t="s">
        <v>9412</v>
      </c>
      <c r="AC1921" s="9" t="s">
        <v>9608</v>
      </c>
      <c r="AD1921" s="9" t="s">
        <v>9609</v>
      </c>
      <c r="AE1921" s="9" t="s">
        <v>9145</v>
      </c>
      <c r="AH1921" s="9">
        <v>2915</v>
      </c>
      <c r="AI1921" s="9" t="s">
        <v>77</v>
      </c>
      <c r="AJ1921" s="9" t="s">
        <v>301</v>
      </c>
      <c r="AK1921" s="23" t="str">
        <f t="shared" si="14"/>
        <v>2023GBP</v>
      </c>
      <c r="AL1921" s="23">
        <f>VLOOKUP(AK1921, Exchange_rates!$C:$D, 2, FALSE)</f>
        <v>1</v>
      </c>
      <c r="AM1921" s="26">
        <f t="shared" si="15"/>
        <v>3498</v>
      </c>
      <c r="AN1921" s="9"/>
      <c r="AO1921" s="9"/>
      <c r="AP1921" s="21"/>
      <c r="AQ1921" s="27" t="s">
        <v>49</v>
      </c>
      <c r="AR1921" t="s">
        <v>4550</v>
      </c>
      <c r="AS1921" s="16" t="s">
        <v>4551</v>
      </c>
    </row>
    <row r="1922" spans="1:60" ht="14.5">
      <c r="A1922" s="9" t="s">
        <v>9610</v>
      </c>
      <c r="B1922" s="9" t="s">
        <v>9611</v>
      </c>
      <c r="C1922" s="9" t="s">
        <v>9612</v>
      </c>
      <c r="D1922" s="9" t="s">
        <v>4371</v>
      </c>
      <c r="E1922" s="21" t="s">
        <v>49</v>
      </c>
      <c r="F1922" s="9" t="s">
        <v>69</v>
      </c>
      <c r="G1922" s="9" t="s">
        <v>70</v>
      </c>
      <c r="H1922" s="9" t="s">
        <v>7152</v>
      </c>
      <c r="I1922" s="9" t="s">
        <v>291</v>
      </c>
      <c r="J1922" s="10">
        <v>44631</v>
      </c>
      <c r="K1922" s="10">
        <v>45074</v>
      </c>
      <c r="L1922" s="10"/>
      <c r="M1922" s="10">
        <v>45110</v>
      </c>
      <c r="N1922" s="9">
        <v>2023</v>
      </c>
      <c r="O1922" s="9" t="s">
        <v>9410</v>
      </c>
      <c r="P1922" s="9" t="s">
        <v>53</v>
      </c>
      <c r="Q1922" s="9" t="s">
        <v>53</v>
      </c>
      <c r="T1922" s="9"/>
      <c r="V1922" s="9" t="s">
        <v>9412</v>
      </c>
      <c r="AC1922" s="9" t="s">
        <v>9613</v>
      </c>
      <c r="AD1922" s="9" t="s">
        <v>9614</v>
      </c>
      <c r="AE1922" s="9" t="s">
        <v>9615</v>
      </c>
      <c r="AH1922" s="9">
        <v>2750</v>
      </c>
      <c r="AI1922" s="9" t="s">
        <v>77</v>
      </c>
      <c r="AJ1922" s="9" t="s">
        <v>301</v>
      </c>
      <c r="AK1922" s="23" t="str">
        <f t="shared" si="14"/>
        <v>2023GBP</v>
      </c>
      <c r="AL1922" s="23">
        <f>VLOOKUP(AK1922, Exchange_rates!$C:$D, 2, FALSE)</f>
        <v>1</v>
      </c>
      <c r="AM1922" s="26">
        <f t="shared" si="15"/>
        <v>3300</v>
      </c>
      <c r="AN1922" s="9"/>
      <c r="AO1922" s="9"/>
      <c r="AP1922" s="21"/>
      <c r="AQ1922" s="27" t="s">
        <v>49</v>
      </c>
      <c r="AR1922" t="s">
        <v>9616</v>
      </c>
      <c r="AS1922" s="16" t="s">
        <v>9617</v>
      </c>
    </row>
    <row r="1923" spans="1:60" ht="14.5">
      <c r="A1923" s="9" t="s">
        <v>9618</v>
      </c>
      <c r="B1923" s="9" t="s">
        <v>9619</v>
      </c>
      <c r="C1923" s="9" t="s">
        <v>9620</v>
      </c>
      <c r="D1923" s="9" t="s">
        <v>4371</v>
      </c>
      <c r="E1923" s="21" t="s">
        <v>49</v>
      </c>
      <c r="F1923" s="9" t="s">
        <v>69</v>
      </c>
      <c r="G1923" s="9" t="s">
        <v>70</v>
      </c>
      <c r="H1923" s="9" t="s">
        <v>7152</v>
      </c>
      <c r="I1923" s="9" t="s">
        <v>291</v>
      </c>
      <c r="J1923" s="10">
        <v>44879</v>
      </c>
      <c r="K1923" s="10">
        <v>45033</v>
      </c>
      <c r="L1923" s="10"/>
      <c r="M1923" s="10">
        <v>45111</v>
      </c>
      <c r="N1923" s="9">
        <v>2023</v>
      </c>
      <c r="O1923" s="9" t="s">
        <v>9410</v>
      </c>
      <c r="P1923" s="9" t="s">
        <v>53</v>
      </c>
      <c r="Q1923" s="9" t="s">
        <v>53</v>
      </c>
      <c r="T1923" s="9"/>
      <c r="V1923" s="9" t="s">
        <v>9412</v>
      </c>
      <c r="AC1923" s="9" t="s">
        <v>9621</v>
      </c>
      <c r="AD1923" s="9" t="s">
        <v>9622</v>
      </c>
      <c r="AE1923" s="9" t="s">
        <v>9623</v>
      </c>
      <c r="AH1923" s="9">
        <v>2495</v>
      </c>
      <c r="AI1923" s="9" t="s">
        <v>77</v>
      </c>
      <c r="AJ1923" s="9" t="s">
        <v>301</v>
      </c>
      <c r="AK1923" s="23" t="str">
        <f t="shared" si="14"/>
        <v>2023GBP</v>
      </c>
      <c r="AL1923" s="23">
        <f>VLOOKUP(AK1923, Exchange_rates!$C:$D, 2, FALSE)</f>
        <v>1</v>
      </c>
      <c r="AM1923" s="26">
        <f t="shared" si="15"/>
        <v>2994</v>
      </c>
      <c r="AN1923" s="9"/>
      <c r="AO1923" s="9"/>
      <c r="AP1923" s="21"/>
      <c r="AQ1923" s="27" t="s">
        <v>49</v>
      </c>
      <c r="AR1923" t="s">
        <v>9624</v>
      </c>
      <c r="AS1923" s="16" t="s">
        <v>9625</v>
      </c>
    </row>
    <row r="1924" spans="1:60" ht="14.5">
      <c r="A1924" s="9" t="s">
        <v>9626</v>
      </c>
      <c r="B1924" s="9" t="s">
        <v>9627</v>
      </c>
      <c r="C1924" s="9" t="s">
        <v>9628</v>
      </c>
      <c r="D1924" s="9" t="s">
        <v>4371</v>
      </c>
      <c r="E1924" s="21" t="s">
        <v>49</v>
      </c>
      <c r="F1924" s="9" t="s">
        <v>69</v>
      </c>
      <c r="G1924" s="9" t="s">
        <v>70</v>
      </c>
      <c r="H1924" s="9" t="s">
        <v>7152</v>
      </c>
      <c r="I1924" s="9" t="s">
        <v>291</v>
      </c>
      <c r="J1924" s="10"/>
      <c r="K1924" s="10"/>
      <c r="L1924" s="10"/>
      <c r="M1924" s="10">
        <v>45092</v>
      </c>
      <c r="N1924" s="9">
        <v>2023</v>
      </c>
      <c r="O1924" s="9" t="s">
        <v>9410</v>
      </c>
      <c r="P1924" s="9" t="s">
        <v>53</v>
      </c>
      <c r="Q1924" s="9" t="s">
        <v>53</v>
      </c>
      <c r="T1924" s="9"/>
      <c r="V1924" s="9" t="s">
        <v>9412</v>
      </c>
      <c r="AC1924" s="9" t="s">
        <v>9629</v>
      </c>
      <c r="AD1924" s="9" t="s">
        <v>9630</v>
      </c>
      <c r="AE1924" s="9" t="s">
        <v>9631</v>
      </c>
      <c r="AH1924" s="9">
        <v>2495</v>
      </c>
      <c r="AI1924" s="9" t="s">
        <v>875</v>
      </c>
      <c r="AJ1924" s="9" t="s">
        <v>301</v>
      </c>
      <c r="AK1924" s="23" t="str">
        <f t="shared" si="14"/>
        <v>2023GBP</v>
      </c>
      <c r="AL1924" s="23">
        <f>VLOOKUP(AK1924, Exchange_rates!$C:$D, 2, FALSE)</f>
        <v>1</v>
      </c>
      <c r="AM1924" s="26">
        <f t="shared" si="15"/>
        <v>2994</v>
      </c>
      <c r="AN1924" s="9"/>
      <c r="AO1924" s="9"/>
      <c r="AP1924" s="21"/>
      <c r="AQ1924" s="27" t="s">
        <v>49</v>
      </c>
      <c r="AR1924" t="s">
        <v>9632</v>
      </c>
      <c r="AS1924" s="16" t="s">
        <v>9633</v>
      </c>
    </row>
    <row r="1925" spans="1:60" ht="14.5">
      <c r="A1925" s="9" t="s">
        <v>9634</v>
      </c>
      <c r="B1925" s="9" t="s">
        <v>9635</v>
      </c>
      <c r="C1925" s="9" t="s">
        <v>9636</v>
      </c>
      <c r="D1925" s="9" t="s">
        <v>4371</v>
      </c>
      <c r="E1925" s="21" t="s">
        <v>49</v>
      </c>
      <c r="F1925" s="9" t="s">
        <v>69</v>
      </c>
      <c r="G1925" s="9" t="s">
        <v>70</v>
      </c>
      <c r="H1925" s="9" t="s">
        <v>7152</v>
      </c>
      <c r="I1925" s="9" t="s">
        <v>291</v>
      </c>
      <c r="J1925" s="10"/>
      <c r="K1925" s="10"/>
      <c r="L1925" s="10"/>
      <c r="M1925" s="10">
        <v>45205</v>
      </c>
      <c r="N1925" s="9">
        <v>2023</v>
      </c>
      <c r="O1925" s="9" t="s">
        <v>9410</v>
      </c>
      <c r="P1925" s="9" t="s">
        <v>53</v>
      </c>
      <c r="Q1925" s="9" t="s">
        <v>53</v>
      </c>
      <c r="T1925" s="9"/>
      <c r="V1925" s="9" t="s">
        <v>9412</v>
      </c>
      <c r="AC1925" s="9" t="s">
        <v>9637</v>
      </c>
      <c r="AD1925" s="9" t="s">
        <v>9638</v>
      </c>
      <c r="AE1925" s="9" t="s">
        <v>9145</v>
      </c>
      <c r="AH1925" s="9">
        <v>2335</v>
      </c>
      <c r="AI1925" s="9" t="s">
        <v>77</v>
      </c>
      <c r="AJ1925" s="9" t="s">
        <v>301</v>
      </c>
      <c r="AK1925" s="23" t="str">
        <f t="shared" si="14"/>
        <v>2023GBP</v>
      </c>
      <c r="AL1925" s="23">
        <f>VLOOKUP(AK1925, Exchange_rates!$C:$D, 2, FALSE)</f>
        <v>1</v>
      </c>
      <c r="AM1925" s="26">
        <f t="shared" si="15"/>
        <v>2802</v>
      </c>
      <c r="AN1925" s="9"/>
      <c r="AO1925" s="9"/>
      <c r="AP1925" s="21"/>
      <c r="AQ1925" s="27" t="s">
        <v>49</v>
      </c>
      <c r="AR1925" t="s">
        <v>9639</v>
      </c>
      <c r="AS1925" s="16" t="s">
        <v>9640</v>
      </c>
    </row>
    <row r="1926" spans="1:60" ht="14.5">
      <c r="A1926" s="9" t="s">
        <v>9641</v>
      </c>
      <c r="B1926" s="9" t="s">
        <v>9642</v>
      </c>
      <c r="C1926" s="9" t="s">
        <v>9643</v>
      </c>
      <c r="D1926" s="9" t="s">
        <v>4371</v>
      </c>
      <c r="E1926" s="21" t="s">
        <v>49</v>
      </c>
      <c r="F1926" s="9" t="s">
        <v>69</v>
      </c>
      <c r="G1926" s="9" t="s">
        <v>70</v>
      </c>
      <c r="H1926" s="9" t="s">
        <v>7152</v>
      </c>
      <c r="I1926" s="9" t="s">
        <v>72</v>
      </c>
      <c r="J1926" s="10">
        <v>44862</v>
      </c>
      <c r="K1926" s="10">
        <v>45033</v>
      </c>
      <c r="L1926" s="10"/>
      <c r="M1926" s="10">
        <v>45048</v>
      </c>
      <c r="N1926" s="9">
        <v>2023</v>
      </c>
      <c r="O1926" s="9" t="s">
        <v>9410</v>
      </c>
      <c r="P1926" s="9" t="s">
        <v>53</v>
      </c>
      <c r="Q1926" s="9" t="s">
        <v>53</v>
      </c>
      <c r="T1926" s="9"/>
      <c r="V1926" s="9" t="s">
        <v>9412</v>
      </c>
      <c r="AC1926" s="9" t="s">
        <v>9644</v>
      </c>
      <c r="AD1926" s="9" t="s">
        <v>9645</v>
      </c>
      <c r="AE1926" s="9" t="s">
        <v>9145</v>
      </c>
      <c r="AH1926" s="9">
        <v>2495</v>
      </c>
      <c r="AI1926" s="9" t="s">
        <v>77</v>
      </c>
      <c r="AJ1926" s="9" t="s">
        <v>301</v>
      </c>
      <c r="AK1926" s="23" t="str">
        <f t="shared" si="14"/>
        <v>2023GBP</v>
      </c>
      <c r="AL1926" s="23">
        <f>VLOOKUP(AK1926, Exchange_rates!$C:$D, 2, FALSE)</f>
        <v>1</v>
      </c>
      <c r="AM1926" s="26">
        <f t="shared" si="15"/>
        <v>2994</v>
      </c>
      <c r="AN1926" s="9"/>
      <c r="AO1926" s="9"/>
      <c r="AP1926" s="21"/>
      <c r="AQ1926" s="27" t="s">
        <v>49</v>
      </c>
      <c r="AR1926" t="s">
        <v>9646</v>
      </c>
      <c r="AS1926" s="16" t="s">
        <v>9647</v>
      </c>
    </row>
    <row r="1927" spans="1:60" ht="14.5">
      <c r="A1927" s="9" t="s">
        <v>9648</v>
      </c>
      <c r="B1927" s="9" t="s">
        <v>9649</v>
      </c>
      <c r="C1927" s="9" t="s">
        <v>9650</v>
      </c>
      <c r="D1927" s="9" t="s">
        <v>4371</v>
      </c>
      <c r="E1927" s="21" t="s">
        <v>49</v>
      </c>
      <c r="F1927" s="9" t="s">
        <v>69</v>
      </c>
      <c r="G1927" s="9" t="s">
        <v>70</v>
      </c>
      <c r="H1927" s="9" t="s">
        <v>7152</v>
      </c>
      <c r="I1927" s="9" t="s">
        <v>291</v>
      </c>
      <c r="J1927" s="10">
        <v>44707</v>
      </c>
      <c r="K1927" s="10">
        <v>45034</v>
      </c>
      <c r="L1927" s="10"/>
      <c r="M1927" s="10">
        <v>45044</v>
      </c>
      <c r="N1927" s="9">
        <v>2023</v>
      </c>
      <c r="O1927" s="9" t="s">
        <v>9410</v>
      </c>
      <c r="P1927" s="9" t="s">
        <v>53</v>
      </c>
      <c r="Q1927" s="9" t="s">
        <v>53</v>
      </c>
      <c r="T1927" s="9"/>
      <c r="V1927" s="9" t="s">
        <v>9412</v>
      </c>
      <c r="AC1927" s="9" t="s">
        <v>9651</v>
      </c>
      <c r="AD1927" s="9" t="s">
        <v>9652</v>
      </c>
      <c r="AE1927" s="9" t="s">
        <v>9653</v>
      </c>
      <c r="AH1927" s="9">
        <v>2335</v>
      </c>
      <c r="AI1927" s="9" t="s">
        <v>77</v>
      </c>
      <c r="AJ1927" s="9" t="s">
        <v>301</v>
      </c>
      <c r="AK1927" s="23" t="str">
        <f t="shared" si="14"/>
        <v>2023GBP</v>
      </c>
      <c r="AL1927" s="23">
        <f>VLOOKUP(AK1927, Exchange_rates!$C:$D, 2, FALSE)</f>
        <v>1</v>
      </c>
      <c r="AM1927" s="26">
        <f t="shared" si="15"/>
        <v>2802</v>
      </c>
      <c r="AN1927" s="9"/>
      <c r="AO1927" s="9"/>
      <c r="AP1927" s="21"/>
      <c r="AQ1927" s="27" t="s">
        <v>49</v>
      </c>
      <c r="AR1927" t="s">
        <v>9654</v>
      </c>
      <c r="AS1927" s="16" t="s">
        <v>9655</v>
      </c>
    </row>
    <row r="1928" spans="1:60" ht="14.5">
      <c r="A1928" s="9" t="s">
        <v>9656</v>
      </c>
      <c r="B1928" s="9" t="s">
        <v>9657</v>
      </c>
      <c r="C1928" s="9" t="s">
        <v>9658</v>
      </c>
      <c r="D1928" s="9" t="s">
        <v>4371</v>
      </c>
      <c r="E1928" s="21" t="s">
        <v>49</v>
      </c>
      <c r="F1928" s="9" t="s">
        <v>69</v>
      </c>
      <c r="G1928" s="9" t="s">
        <v>70</v>
      </c>
      <c r="H1928" s="9" t="s">
        <v>7152</v>
      </c>
      <c r="I1928" s="9" t="s">
        <v>72</v>
      </c>
      <c r="J1928" s="10">
        <v>44916</v>
      </c>
      <c r="K1928" s="10">
        <v>45029</v>
      </c>
      <c r="L1928" s="10"/>
      <c r="M1928" s="10">
        <v>45052</v>
      </c>
      <c r="N1928" s="9">
        <v>2023</v>
      </c>
      <c r="O1928" s="9" t="s">
        <v>9410</v>
      </c>
      <c r="P1928" s="9" t="s">
        <v>83</v>
      </c>
      <c r="Q1928" s="9" t="s">
        <v>53</v>
      </c>
      <c r="R1928" s="9" t="s">
        <v>9659</v>
      </c>
      <c r="T1928" s="9"/>
      <c r="V1928" s="9" t="s">
        <v>9412</v>
      </c>
      <c r="AC1928" s="9" t="s">
        <v>9660</v>
      </c>
      <c r="AD1928" s="9" t="s">
        <v>9661</v>
      </c>
      <c r="AE1928" s="9" t="s">
        <v>9662</v>
      </c>
      <c r="AH1928" s="9">
        <v>2085</v>
      </c>
      <c r="AI1928" s="9" t="s">
        <v>77</v>
      </c>
      <c r="AJ1928" s="9" t="s">
        <v>301</v>
      </c>
      <c r="AK1928" s="23" t="str">
        <f t="shared" si="14"/>
        <v>2023GBP</v>
      </c>
      <c r="AL1928" s="23">
        <f>VLOOKUP(AK1928, Exchange_rates!$C:$D, 2, FALSE)</f>
        <v>1</v>
      </c>
      <c r="AM1928" s="26">
        <f t="shared" si="15"/>
        <v>2502</v>
      </c>
      <c r="AN1928" s="9"/>
      <c r="AO1928" s="9"/>
      <c r="AP1928" s="21"/>
      <c r="AQ1928" s="27" t="s">
        <v>49</v>
      </c>
      <c r="AR1928" t="s">
        <v>9663</v>
      </c>
      <c r="AS1928" s="16" t="s">
        <v>9664</v>
      </c>
    </row>
    <row r="1929" spans="1:60" ht="14.5">
      <c r="A1929" s="9" t="s">
        <v>9665</v>
      </c>
      <c r="B1929" s="9" t="s">
        <v>9666</v>
      </c>
      <c r="C1929" s="9" t="s">
        <v>5014</v>
      </c>
      <c r="D1929" s="9" t="s">
        <v>4371</v>
      </c>
      <c r="E1929" s="21" t="s">
        <v>49</v>
      </c>
      <c r="F1929" s="9" t="s">
        <v>69</v>
      </c>
      <c r="G1929" s="9" t="s">
        <v>70</v>
      </c>
      <c r="H1929" s="9" t="s">
        <v>7152</v>
      </c>
      <c r="I1929" s="9" t="s">
        <v>72</v>
      </c>
      <c r="J1929" s="10">
        <v>44651</v>
      </c>
      <c r="K1929" s="10">
        <v>45075</v>
      </c>
      <c r="L1929" s="10"/>
      <c r="M1929" s="10">
        <v>45280</v>
      </c>
      <c r="N1929" s="9">
        <v>2023</v>
      </c>
      <c r="O1929" s="9" t="s">
        <v>9410</v>
      </c>
      <c r="P1929" s="9" t="s">
        <v>53</v>
      </c>
      <c r="Q1929" s="9" t="s">
        <v>53</v>
      </c>
      <c r="T1929" s="9"/>
      <c r="V1929" s="9" t="s">
        <v>9412</v>
      </c>
      <c r="AC1929" s="9" t="s">
        <v>9667</v>
      </c>
      <c r="AD1929" s="9" t="s">
        <v>9668</v>
      </c>
      <c r="AE1929" s="9" t="s">
        <v>9145</v>
      </c>
      <c r="AH1929" s="9">
        <v>2495</v>
      </c>
      <c r="AI1929" s="9" t="s">
        <v>77</v>
      </c>
      <c r="AJ1929" s="9" t="s">
        <v>301</v>
      </c>
      <c r="AK1929" s="23" t="str">
        <f t="shared" si="14"/>
        <v>2023GBP</v>
      </c>
      <c r="AL1929" s="23">
        <f>VLOOKUP(AK1929, Exchange_rates!$C:$D, 2, FALSE)</f>
        <v>1</v>
      </c>
      <c r="AM1929" s="26">
        <f t="shared" si="15"/>
        <v>2994</v>
      </c>
      <c r="AN1929" s="9"/>
      <c r="AO1929" s="9"/>
      <c r="AP1929" s="21"/>
      <c r="AQ1929" s="27" t="s">
        <v>49</v>
      </c>
      <c r="AR1929" t="s">
        <v>5016</v>
      </c>
      <c r="AS1929" s="16" t="s">
        <v>5017</v>
      </c>
    </row>
    <row r="1930" spans="1:60" ht="14.5">
      <c r="A1930" s="20" t="s">
        <v>9669</v>
      </c>
      <c r="B1930" s="20" t="s">
        <v>9670</v>
      </c>
      <c r="C1930" s="20" t="s">
        <v>4694</v>
      </c>
      <c r="D1930" s="20" t="s">
        <v>4371</v>
      </c>
      <c r="E1930" s="21" t="s">
        <v>49</v>
      </c>
      <c r="F1930" s="20" t="s">
        <v>69</v>
      </c>
      <c r="G1930" s="20" t="s">
        <v>70</v>
      </c>
      <c r="H1930" s="20" t="s">
        <v>7152</v>
      </c>
      <c r="I1930" s="20" t="s">
        <v>291</v>
      </c>
      <c r="J1930" s="22">
        <v>44879</v>
      </c>
      <c r="K1930" s="22">
        <v>45022</v>
      </c>
      <c r="L1930" s="22"/>
      <c r="M1930" s="22">
        <v>45034</v>
      </c>
      <c r="N1930" s="20">
        <v>2023</v>
      </c>
      <c r="O1930" s="20" t="s">
        <v>9410</v>
      </c>
      <c r="P1930" s="20" t="s">
        <v>53</v>
      </c>
      <c r="Q1930" s="20" t="s">
        <v>53</v>
      </c>
      <c r="R1930" s="20"/>
      <c r="S1930" s="20"/>
      <c r="T1930" s="20"/>
      <c r="U1930" s="20"/>
      <c r="V1930" s="20" t="s">
        <v>9412</v>
      </c>
      <c r="W1930" s="20"/>
      <c r="X1930" s="20"/>
      <c r="Y1930" s="20"/>
      <c r="Z1930" s="20"/>
      <c r="AA1930" s="20"/>
      <c r="AB1930" s="20"/>
      <c r="AC1930" s="20" t="s">
        <v>9644</v>
      </c>
      <c r="AD1930" s="20" t="s">
        <v>9645</v>
      </c>
      <c r="AE1930" s="20" t="s">
        <v>9145</v>
      </c>
      <c r="AF1930" s="20"/>
      <c r="AG1930" s="20"/>
      <c r="AH1930" s="20">
        <v>2750</v>
      </c>
      <c r="AI1930" s="20" t="s">
        <v>77</v>
      </c>
      <c r="AJ1930" s="20" t="s">
        <v>301</v>
      </c>
      <c r="AK1930" s="23" t="str">
        <f t="shared" si="14"/>
        <v>2023GBP</v>
      </c>
      <c r="AL1930" s="23">
        <f>VLOOKUP(AK1930, Exchange_rates!$C:$D, 2, FALSE)</f>
        <v>1</v>
      </c>
      <c r="AM1930" s="26">
        <f t="shared" si="15"/>
        <v>3300</v>
      </c>
      <c r="AN1930" s="20"/>
      <c r="AO1930" s="20"/>
      <c r="AP1930" s="21"/>
      <c r="AQ1930" s="27" t="s">
        <v>49</v>
      </c>
      <c r="AR1930" t="s">
        <v>4698</v>
      </c>
      <c r="AS1930" s="16" t="s">
        <v>4699</v>
      </c>
      <c r="AT1930" s="20"/>
      <c r="AU1930" s="20"/>
      <c r="AV1930" s="20"/>
      <c r="AW1930" s="20"/>
      <c r="AX1930" s="20"/>
      <c r="AY1930" s="20"/>
      <c r="AZ1930" s="20"/>
      <c r="BA1930" s="20"/>
      <c r="BB1930" s="20"/>
      <c r="BC1930" s="20"/>
      <c r="BD1930" s="20"/>
      <c r="BE1930" s="20"/>
      <c r="BF1930" s="20"/>
      <c r="BG1930" s="20"/>
      <c r="BH1930" s="20"/>
    </row>
    <row r="1931" spans="1:60" ht="14.5" hidden="1">
      <c r="A1931" s="9" t="s">
        <v>9671</v>
      </c>
      <c r="C1931" s="9" t="s">
        <v>6404</v>
      </c>
      <c r="D1931" s="9" t="s">
        <v>5539</v>
      </c>
      <c r="E1931" s="9" t="s">
        <v>125</v>
      </c>
      <c r="F1931" s="9" t="s">
        <v>50</v>
      </c>
      <c r="G1931" s="9" t="s">
        <v>51</v>
      </c>
      <c r="H1931" s="9"/>
      <c r="I1931" s="9"/>
      <c r="J1931" s="10"/>
      <c r="K1931" s="10"/>
      <c r="L1931" s="10"/>
      <c r="M1931" s="10"/>
      <c r="N1931" s="9">
        <v>2020</v>
      </c>
      <c r="O1931" s="9" t="s">
        <v>9672</v>
      </c>
      <c r="P1931" s="9" t="s">
        <v>53</v>
      </c>
      <c r="Q1931" s="9" t="s">
        <v>53</v>
      </c>
      <c r="S1931" s="9" t="s">
        <v>9673</v>
      </c>
      <c r="T1931" s="9" t="s">
        <v>6095</v>
      </c>
      <c r="V1931" s="9"/>
      <c r="AH1931" s="9">
        <v>1600</v>
      </c>
      <c r="AI1931" s="9" t="s">
        <v>77</v>
      </c>
      <c r="AJ1931" s="9" t="s">
        <v>301</v>
      </c>
      <c r="AK1931" s="23" t="str">
        <f t="shared" si="14"/>
        <v>2020GBP</v>
      </c>
      <c r="AL1931" s="23">
        <f>VLOOKUP(AK1931, Exchange_rates!$C:$D, 2, FALSE)</f>
        <v>1</v>
      </c>
      <c r="AM1931" s="26">
        <f t="shared" si="15"/>
        <v>1920</v>
      </c>
      <c r="AN1931" s="9"/>
      <c r="AO1931" s="9"/>
      <c r="AP1931" s="9"/>
      <c r="AQ1931" s="15" t="s">
        <v>125</v>
      </c>
      <c r="AR1931" t="s">
        <v>6409</v>
      </c>
      <c r="AS1931" s="16"/>
    </row>
    <row r="1932" spans="1:60" ht="14.5" hidden="1">
      <c r="A1932" s="9" t="s">
        <v>9674</v>
      </c>
      <c r="C1932" s="9" t="s">
        <v>5904</v>
      </c>
      <c r="D1932" s="9" t="s">
        <v>5539</v>
      </c>
      <c r="E1932" s="9" t="s">
        <v>125</v>
      </c>
      <c r="F1932" s="9" t="s">
        <v>50</v>
      </c>
      <c r="G1932" s="9" t="s">
        <v>51</v>
      </c>
      <c r="H1932" s="9"/>
      <c r="I1932" s="9"/>
      <c r="J1932" s="10"/>
      <c r="K1932" s="10"/>
      <c r="L1932" s="10"/>
      <c r="M1932" s="10"/>
      <c r="N1932" s="9">
        <v>2020</v>
      </c>
      <c r="O1932" s="9" t="s">
        <v>9672</v>
      </c>
      <c r="P1932" s="9" t="s">
        <v>53</v>
      </c>
      <c r="Q1932" s="9" t="s">
        <v>53</v>
      </c>
      <c r="S1932" s="9" t="s">
        <v>9673</v>
      </c>
      <c r="T1932" s="9" t="s">
        <v>6095</v>
      </c>
      <c r="V1932" s="9"/>
      <c r="AH1932" s="9">
        <v>1160</v>
      </c>
      <c r="AI1932" s="9" t="s">
        <v>77</v>
      </c>
      <c r="AJ1932" s="9" t="s">
        <v>301</v>
      </c>
      <c r="AK1932" s="23" t="str">
        <f t="shared" si="14"/>
        <v>2020GBP</v>
      </c>
      <c r="AL1932" s="23">
        <f>VLOOKUP(AK1932, Exchange_rates!$C:$D, 2, FALSE)</f>
        <v>1</v>
      </c>
      <c r="AM1932" s="26">
        <f t="shared" si="15"/>
        <v>1392</v>
      </c>
      <c r="AN1932" s="9"/>
      <c r="AO1932" s="9"/>
      <c r="AP1932" s="9"/>
      <c r="AQ1932" s="15" t="s">
        <v>125</v>
      </c>
      <c r="AR1932" t="s">
        <v>5909</v>
      </c>
      <c r="AS1932" s="16"/>
    </row>
    <row r="1933" spans="1:60" ht="14.5">
      <c r="A1933" s="9" t="s">
        <v>9675</v>
      </c>
      <c r="B1933" s="9" t="s">
        <v>9676</v>
      </c>
      <c r="C1933" s="9" t="s">
        <v>5634</v>
      </c>
      <c r="D1933" s="9" t="s">
        <v>5539</v>
      </c>
      <c r="E1933" s="9" t="s">
        <v>49</v>
      </c>
      <c r="F1933" s="9" t="s">
        <v>50</v>
      </c>
      <c r="G1933" s="9" t="s">
        <v>51</v>
      </c>
      <c r="H1933" s="9"/>
      <c r="I1933" s="9"/>
      <c r="J1933" s="10"/>
      <c r="K1933" s="10">
        <v>44132</v>
      </c>
      <c r="L1933" s="10"/>
      <c r="M1933" s="10">
        <v>44227</v>
      </c>
      <c r="N1933" s="9">
        <v>2021</v>
      </c>
      <c r="O1933" s="9" t="s">
        <v>9672</v>
      </c>
      <c r="P1933" s="9" t="s">
        <v>83</v>
      </c>
      <c r="Q1933" s="9" t="s">
        <v>53</v>
      </c>
      <c r="R1933" s="9" t="s">
        <v>9677</v>
      </c>
      <c r="T1933" s="9" t="s">
        <v>723</v>
      </c>
      <c r="V1933" s="9"/>
      <c r="AC1933" s="9" t="s">
        <v>9678</v>
      </c>
      <c r="AD1933" s="9" t="s">
        <v>9679</v>
      </c>
      <c r="AE1933" s="9" t="s">
        <v>9680</v>
      </c>
      <c r="AF1933" s="9" t="s">
        <v>9681</v>
      </c>
      <c r="AH1933" s="9">
        <v>2650</v>
      </c>
      <c r="AI1933" s="9" t="s">
        <v>77</v>
      </c>
      <c r="AJ1933" s="9" t="s">
        <v>301</v>
      </c>
      <c r="AK1933" s="23" t="str">
        <f t="shared" si="14"/>
        <v>2021GBP</v>
      </c>
      <c r="AL1933" s="23">
        <f>VLOOKUP(AK1933, Exchange_rates!$C:$D, 2, FALSE)</f>
        <v>1</v>
      </c>
      <c r="AM1933" s="26">
        <f t="shared" si="15"/>
        <v>3180</v>
      </c>
      <c r="AN1933" s="9"/>
      <c r="AO1933" s="9"/>
      <c r="AP1933" s="9"/>
      <c r="AQ1933" s="15" t="s">
        <v>49</v>
      </c>
      <c r="AR1933" t="s">
        <v>5551</v>
      </c>
      <c r="AS1933" s="16"/>
    </row>
    <row r="1934" spans="1:60" ht="14.5">
      <c r="A1934" s="9" t="s">
        <v>9682</v>
      </c>
      <c r="B1934" s="9" t="s">
        <v>9683</v>
      </c>
      <c r="C1934" s="9" t="s">
        <v>6885</v>
      </c>
      <c r="D1934" s="9" t="s">
        <v>5539</v>
      </c>
      <c r="E1934" s="9" t="s">
        <v>49</v>
      </c>
      <c r="F1934" s="9" t="s">
        <v>69</v>
      </c>
      <c r="G1934" s="9" t="s">
        <v>70</v>
      </c>
      <c r="H1934" s="9" t="s">
        <v>5598</v>
      </c>
      <c r="I1934" s="9" t="s">
        <v>238</v>
      </c>
      <c r="J1934" s="10"/>
      <c r="K1934" s="10">
        <v>44204</v>
      </c>
      <c r="L1934" s="10"/>
      <c r="M1934" s="10">
        <v>44231</v>
      </c>
      <c r="N1934" s="9">
        <v>2021</v>
      </c>
      <c r="O1934" s="9" t="s">
        <v>9672</v>
      </c>
      <c r="P1934" s="9" t="s">
        <v>53</v>
      </c>
      <c r="Q1934" s="9" t="s">
        <v>53</v>
      </c>
      <c r="S1934" s="9" t="s">
        <v>9684</v>
      </c>
      <c r="T1934" s="9"/>
      <c r="V1934" s="9"/>
      <c r="AC1934" s="9" t="s">
        <v>9685</v>
      </c>
      <c r="AD1934" s="9" t="s">
        <v>9686</v>
      </c>
      <c r="AE1934" s="9" t="s">
        <v>9687</v>
      </c>
      <c r="AF1934" s="9" t="s">
        <v>9688</v>
      </c>
      <c r="AH1934" s="9">
        <v>2200</v>
      </c>
      <c r="AI1934" s="9" t="s">
        <v>77</v>
      </c>
      <c r="AJ1934" s="9" t="s">
        <v>301</v>
      </c>
      <c r="AK1934" s="23" t="str">
        <f t="shared" si="14"/>
        <v>2021GBP</v>
      </c>
      <c r="AL1934" s="23">
        <f>VLOOKUP(AK1934, Exchange_rates!$C:$D, 2, FALSE)</f>
        <v>1</v>
      </c>
      <c r="AM1934" s="26">
        <f t="shared" si="15"/>
        <v>2640</v>
      </c>
      <c r="AN1934" s="9"/>
      <c r="AO1934" s="9"/>
      <c r="AP1934" s="9"/>
      <c r="AQ1934" s="15" t="s">
        <v>49</v>
      </c>
      <c r="AR1934" t="s">
        <v>6891</v>
      </c>
      <c r="AS1934" s="16"/>
    </row>
    <row r="1935" spans="1:60" ht="14.5">
      <c r="A1935" s="9" t="s">
        <v>9689</v>
      </c>
      <c r="B1935" s="9" t="s">
        <v>9690</v>
      </c>
      <c r="C1935" s="9" t="s">
        <v>5801</v>
      </c>
      <c r="D1935" s="9" t="s">
        <v>5539</v>
      </c>
      <c r="E1935" s="9" t="s">
        <v>49</v>
      </c>
      <c r="F1935" s="9" t="s">
        <v>69</v>
      </c>
      <c r="G1935" s="9" t="s">
        <v>70</v>
      </c>
      <c r="H1935" s="9" t="s">
        <v>5598</v>
      </c>
      <c r="I1935" s="9" t="s">
        <v>291</v>
      </c>
      <c r="J1935" s="10"/>
      <c r="K1935" s="10">
        <v>44206</v>
      </c>
      <c r="L1935" s="10"/>
      <c r="M1935" s="10">
        <v>44258</v>
      </c>
      <c r="N1935" s="9">
        <v>2021</v>
      </c>
      <c r="O1935" s="9" t="s">
        <v>9672</v>
      </c>
      <c r="P1935" s="9" t="s">
        <v>53</v>
      </c>
      <c r="Q1935" s="9" t="s">
        <v>53</v>
      </c>
      <c r="S1935" s="9" t="s">
        <v>9684</v>
      </c>
      <c r="T1935" s="9"/>
      <c r="V1935" s="9"/>
      <c r="AC1935" s="9" t="s">
        <v>9691</v>
      </c>
      <c r="AD1935" s="9" t="s">
        <v>9692</v>
      </c>
      <c r="AE1935" s="9" t="s">
        <v>9693</v>
      </c>
      <c r="AF1935" s="9" t="s">
        <v>9694</v>
      </c>
      <c r="AH1935" s="9">
        <v>3050</v>
      </c>
      <c r="AI1935" s="9" t="s">
        <v>77</v>
      </c>
      <c r="AJ1935" s="9" t="s">
        <v>301</v>
      </c>
      <c r="AK1935" s="23" t="str">
        <f t="shared" si="14"/>
        <v>2021GBP</v>
      </c>
      <c r="AL1935" s="23">
        <f>VLOOKUP(AK1935, Exchange_rates!$C:$D, 2, FALSE)</f>
        <v>1</v>
      </c>
      <c r="AM1935" s="26">
        <f t="shared" si="15"/>
        <v>3660</v>
      </c>
      <c r="AN1935" s="9"/>
      <c r="AO1935" s="9"/>
      <c r="AP1935" s="9"/>
      <c r="AQ1935" s="15" t="s">
        <v>49</v>
      </c>
      <c r="AR1935" t="s">
        <v>5806</v>
      </c>
      <c r="AS1935" s="16"/>
    </row>
    <row r="1936" spans="1:60" ht="14.5" hidden="1">
      <c r="A1936" s="9" t="s">
        <v>9695</v>
      </c>
      <c r="B1936" s="9"/>
      <c r="C1936" s="9" t="s">
        <v>9696</v>
      </c>
      <c r="D1936" s="9" t="s">
        <v>5539</v>
      </c>
      <c r="E1936" s="9" t="s">
        <v>125</v>
      </c>
      <c r="F1936" s="9" t="s">
        <v>50</v>
      </c>
      <c r="G1936" s="9" t="s">
        <v>51</v>
      </c>
      <c r="H1936" s="9"/>
      <c r="I1936" s="9"/>
      <c r="J1936" s="10"/>
      <c r="K1936" s="10"/>
      <c r="L1936" s="10"/>
      <c r="M1936" s="10"/>
      <c r="N1936" s="9">
        <v>2021</v>
      </c>
      <c r="O1936" s="9" t="s">
        <v>9672</v>
      </c>
      <c r="P1936" s="9" t="s">
        <v>53</v>
      </c>
      <c r="Q1936" s="9" t="s">
        <v>53</v>
      </c>
      <c r="S1936" s="9" t="s">
        <v>9673</v>
      </c>
      <c r="T1936" s="9" t="s">
        <v>6095</v>
      </c>
      <c r="V1936" s="9"/>
      <c r="AH1936" s="9">
        <v>2500</v>
      </c>
      <c r="AI1936" s="9" t="s">
        <v>77</v>
      </c>
      <c r="AJ1936" s="9" t="s">
        <v>301</v>
      </c>
      <c r="AK1936" s="23" t="str">
        <f t="shared" si="14"/>
        <v>2021GBP</v>
      </c>
      <c r="AL1936" s="23">
        <f>VLOOKUP(AK1936, Exchange_rates!$C:$D, 2, FALSE)</f>
        <v>1</v>
      </c>
      <c r="AM1936" s="26">
        <f t="shared" si="15"/>
        <v>3000</v>
      </c>
      <c r="AN1936" s="9"/>
      <c r="AO1936" s="9"/>
      <c r="AP1936" s="9"/>
      <c r="AQ1936" s="15" t="s">
        <v>125</v>
      </c>
      <c r="AR1936" t="s">
        <v>9697</v>
      </c>
      <c r="AS1936" s="16"/>
    </row>
    <row r="1937" spans="1:60" ht="14.5" hidden="1">
      <c r="A1937" s="9" t="s">
        <v>9698</v>
      </c>
      <c r="B1937" s="9"/>
      <c r="C1937" s="9" t="s">
        <v>9699</v>
      </c>
      <c r="D1937" s="9" t="s">
        <v>5539</v>
      </c>
      <c r="E1937" s="9" t="s">
        <v>125</v>
      </c>
      <c r="F1937" s="9" t="s">
        <v>50</v>
      </c>
      <c r="G1937" s="9" t="s">
        <v>51</v>
      </c>
      <c r="H1937" s="9"/>
      <c r="I1937" s="9"/>
      <c r="J1937" s="10"/>
      <c r="K1937" s="10"/>
      <c r="L1937" s="10"/>
      <c r="M1937" s="10"/>
      <c r="N1937" s="9">
        <v>2021</v>
      </c>
      <c r="O1937" s="9" t="s">
        <v>9672</v>
      </c>
      <c r="P1937" s="9" t="s">
        <v>53</v>
      </c>
      <c r="Q1937" s="9" t="s">
        <v>53</v>
      </c>
      <c r="S1937" s="9" t="s">
        <v>9673</v>
      </c>
      <c r="T1937" s="9" t="s">
        <v>6095</v>
      </c>
      <c r="V1937" s="9"/>
      <c r="AH1937" s="9">
        <v>1379</v>
      </c>
      <c r="AI1937" s="9" t="s">
        <v>77</v>
      </c>
      <c r="AJ1937" s="9" t="s">
        <v>301</v>
      </c>
      <c r="AK1937" s="23" t="str">
        <f t="shared" si="14"/>
        <v>2021GBP</v>
      </c>
      <c r="AL1937" s="23">
        <f>VLOOKUP(AK1937, Exchange_rates!$C:$D, 2, FALSE)</f>
        <v>1</v>
      </c>
      <c r="AM1937" s="26">
        <f t="shared" si="15"/>
        <v>1654.8</v>
      </c>
      <c r="AN1937" s="9"/>
      <c r="AO1937" s="9"/>
      <c r="AP1937" s="9"/>
      <c r="AQ1937" s="15" t="s">
        <v>125</v>
      </c>
      <c r="AR1937" t="s">
        <v>9700</v>
      </c>
      <c r="AS1937" s="16"/>
    </row>
    <row r="1938" spans="1:60" ht="14.5" hidden="1">
      <c r="A1938" s="9" t="s">
        <v>9701</v>
      </c>
      <c r="B1938" s="9"/>
      <c r="C1938" s="9" t="s">
        <v>6018</v>
      </c>
      <c r="D1938" s="9" t="s">
        <v>5539</v>
      </c>
      <c r="E1938" s="9" t="s">
        <v>125</v>
      </c>
      <c r="F1938" s="9" t="s">
        <v>50</v>
      </c>
      <c r="G1938" s="9" t="s">
        <v>51</v>
      </c>
      <c r="H1938" s="9"/>
      <c r="I1938" s="9"/>
      <c r="J1938" s="10"/>
      <c r="K1938" s="10"/>
      <c r="L1938" s="10"/>
      <c r="M1938" s="10"/>
      <c r="N1938" s="9">
        <v>2021</v>
      </c>
      <c r="O1938" s="9" t="s">
        <v>9672</v>
      </c>
      <c r="P1938" s="9" t="s">
        <v>53</v>
      </c>
      <c r="Q1938" s="9" t="s">
        <v>53</v>
      </c>
      <c r="S1938" s="9" t="s">
        <v>9673</v>
      </c>
      <c r="T1938" s="9" t="s">
        <v>6095</v>
      </c>
      <c r="V1938" s="9"/>
      <c r="AH1938" s="9">
        <v>1900</v>
      </c>
      <c r="AI1938" s="9" t="s">
        <v>77</v>
      </c>
      <c r="AJ1938" s="9" t="s">
        <v>301</v>
      </c>
      <c r="AK1938" s="23" t="str">
        <f t="shared" si="14"/>
        <v>2021GBP</v>
      </c>
      <c r="AL1938" s="23">
        <f>VLOOKUP(AK1938, Exchange_rates!$C:$D, 2, FALSE)</f>
        <v>1</v>
      </c>
      <c r="AM1938" s="26">
        <f t="shared" si="15"/>
        <v>2280</v>
      </c>
      <c r="AN1938" s="9"/>
      <c r="AO1938" s="9"/>
      <c r="AP1938" s="9"/>
      <c r="AQ1938" s="15" t="s">
        <v>125</v>
      </c>
      <c r="AR1938" t="s">
        <v>6023</v>
      </c>
      <c r="AS1938" s="16"/>
    </row>
    <row r="1939" spans="1:60" ht="14.5" hidden="1">
      <c r="A1939" s="9" t="s">
        <v>9702</v>
      </c>
      <c r="B1939" s="9"/>
      <c r="C1939" s="9" t="s">
        <v>5834</v>
      </c>
      <c r="D1939" s="9" t="s">
        <v>5539</v>
      </c>
      <c r="E1939" s="9" t="s">
        <v>125</v>
      </c>
      <c r="F1939" s="9" t="s">
        <v>50</v>
      </c>
      <c r="G1939" s="9" t="s">
        <v>51</v>
      </c>
      <c r="H1939" s="9"/>
      <c r="I1939" s="9"/>
      <c r="J1939" s="10"/>
      <c r="K1939" s="10"/>
      <c r="L1939" s="10"/>
      <c r="M1939" s="10"/>
      <c r="N1939" s="9">
        <v>2021</v>
      </c>
      <c r="O1939" s="9" t="s">
        <v>9672</v>
      </c>
      <c r="P1939" s="9" t="s">
        <v>53</v>
      </c>
      <c r="Q1939" s="9" t="s">
        <v>53</v>
      </c>
      <c r="S1939" s="9" t="s">
        <v>9673</v>
      </c>
      <c r="T1939" s="9" t="s">
        <v>6095</v>
      </c>
      <c r="V1939" s="9"/>
      <c r="AH1939" s="9">
        <v>1540</v>
      </c>
      <c r="AI1939" s="9" t="s">
        <v>77</v>
      </c>
      <c r="AJ1939" s="9" t="s">
        <v>301</v>
      </c>
      <c r="AK1939" s="23" t="str">
        <f t="shared" si="14"/>
        <v>2021GBP</v>
      </c>
      <c r="AL1939" s="23">
        <f>VLOOKUP(AK1939, Exchange_rates!$C:$D, 2, FALSE)</f>
        <v>1</v>
      </c>
      <c r="AM1939" s="26">
        <f t="shared" si="15"/>
        <v>1848</v>
      </c>
      <c r="AN1939" s="9"/>
      <c r="AO1939" s="9"/>
      <c r="AP1939" s="9"/>
      <c r="AQ1939" s="15" t="s">
        <v>125</v>
      </c>
      <c r="AR1939" t="s">
        <v>5839</v>
      </c>
      <c r="AS1939" s="16"/>
    </row>
    <row r="1940" spans="1:60" ht="14.5" hidden="1">
      <c r="A1940" s="9" t="s">
        <v>9703</v>
      </c>
      <c r="B1940" s="9"/>
      <c r="C1940" s="9" t="s">
        <v>6094</v>
      </c>
      <c r="D1940" s="9" t="s">
        <v>5539</v>
      </c>
      <c r="E1940" s="9" t="s">
        <v>125</v>
      </c>
      <c r="F1940" s="9" t="s">
        <v>50</v>
      </c>
      <c r="G1940" s="9" t="s">
        <v>51</v>
      </c>
      <c r="H1940" s="9"/>
      <c r="I1940" s="9"/>
      <c r="J1940" s="10"/>
      <c r="K1940" s="10"/>
      <c r="L1940" s="10"/>
      <c r="M1940" s="10"/>
      <c r="N1940" s="9">
        <v>2021</v>
      </c>
      <c r="O1940" s="9" t="s">
        <v>9672</v>
      </c>
      <c r="P1940" s="9" t="s">
        <v>53</v>
      </c>
      <c r="Q1940" s="9" t="s">
        <v>53</v>
      </c>
      <c r="S1940" s="9" t="s">
        <v>9673</v>
      </c>
      <c r="T1940" s="9" t="s">
        <v>6095</v>
      </c>
      <c r="V1940" s="9"/>
      <c r="AH1940" s="9">
        <v>2100</v>
      </c>
      <c r="AI1940" s="9" t="s">
        <v>77</v>
      </c>
      <c r="AJ1940" s="9" t="s">
        <v>301</v>
      </c>
      <c r="AK1940" s="23" t="str">
        <f t="shared" si="14"/>
        <v>2021GBP</v>
      </c>
      <c r="AL1940" s="23">
        <f>VLOOKUP(AK1940, Exchange_rates!$C:$D, 2, FALSE)</f>
        <v>1</v>
      </c>
      <c r="AM1940" s="26">
        <f t="shared" si="15"/>
        <v>2520</v>
      </c>
      <c r="AN1940" s="9"/>
      <c r="AO1940" s="9"/>
      <c r="AP1940" s="9"/>
      <c r="AQ1940" s="15" t="s">
        <v>125</v>
      </c>
      <c r="AR1940" t="s">
        <v>6096</v>
      </c>
      <c r="AS1940" s="16"/>
    </row>
    <row r="1941" spans="1:60" ht="14.5" hidden="1">
      <c r="A1941" s="9" t="s">
        <v>9704</v>
      </c>
      <c r="B1941" s="9"/>
      <c r="C1941" s="9" t="s">
        <v>9705</v>
      </c>
      <c r="D1941" s="9" t="s">
        <v>5539</v>
      </c>
      <c r="E1941" s="9" t="s">
        <v>125</v>
      </c>
      <c r="F1941" s="9" t="s">
        <v>50</v>
      </c>
      <c r="G1941" s="9" t="s">
        <v>51</v>
      </c>
      <c r="H1941" s="9"/>
      <c r="I1941" s="9"/>
      <c r="J1941" s="10"/>
      <c r="K1941" s="10"/>
      <c r="L1941" s="10"/>
      <c r="M1941" s="10"/>
      <c r="N1941" s="9">
        <v>2021</v>
      </c>
      <c r="O1941" s="9" t="s">
        <v>9672</v>
      </c>
      <c r="P1941" s="9" t="s">
        <v>53</v>
      </c>
      <c r="Q1941" s="9" t="s">
        <v>53</v>
      </c>
      <c r="S1941" s="9" t="s">
        <v>9673</v>
      </c>
      <c r="T1941" s="9" t="s">
        <v>6095</v>
      </c>
      <c r="V1941" s="9"/>
      <c r="AH1941" s="9">
        <v>2000</v>
      </c>
      <c r="AI1941" s="9" t="s">
        <v>77</v>
      </c>
      <c r="AJ1941" s="9" t="s">
        <v>301</v>
      </c>
      <c r="AK1941" s="23" t="str">
        <f t="shared" si="14"/>
        <v>2021GBP</v>
      </c>
      <c r="AL1941" s="23">
        <f>VLOOKUP(AK1941, Exchange_rates!$C:$D, 2, FALSE)</f>
        <v>1</v>
      </c>
      <c r="AM1941" s="26">
        <f t="shared" si="15"/>
        <v>2400</v>
      </c>
      <c r="AN1941" s="9"/>
      <c r="AO1941" s="9"/>
      <c r="AP1941" s="9"/>
      <c r="AQ1941" s="15" t="s">
        <v>125</v>
      </c>
      <c r="AR1941" t="s">
        <v>9706</v>
      </c>
      <c r="AS1941" s="16"/>
    </row>
    <row r="1942" spans="1:60" ht="14.5">
      <c r="A1942" s="9" t="s">
        <v>7074</v>
      </c>
      <c r="B1942" s="9" t="s">
        <v>5848</v>
      </c>
      <c r="C1942" s="9" t="s">
        <v>9707</v>
      </c>
      <c r="D1942" s="9" t="s">
        <v>5539</v>
      </c>
      <c r="E1942" s="9" t="s">
        <v>125</v>
      </c>
      <c r="F1942" s="9" t="s">
        <v>50</v>
      </c>
      <c r="G1942" s="9" t="s">
        <v>51</v>
      </c>
      <c r="H1942" s="9"/>
      <c r="I1942" s="9"/>
      <c r="J1942" s="10"/>
      <c r="K1942" s="10"/>
      <c r="L1942" s="10"/>
      <c r="M1942" s="10"/>
      <c r="N1942" s="9">
        <v>2021</v>
      </c>
      <c r="O1942" s="9" t="s">
        <v>9672</v>
      </c>
      <c r="P1942" s="9" t="s">
        <v>53</v>
      </c>
      <c r="Q1942" s="9" t="s">
        <v>53</v>
      </c>
      <c r="S1942" s="9" t="s">
        <v>9673</v>
      </c>
      <c r="T1942" s="9" t="s">
        <v>6095</v>
      </c>
      <c r="V1942" s="9"/>
      <c r="AH1942" s="9">
        <v>2600</v>
      </c>
      <c r="AI1942" s="9" t="s">
        <v>77</v>
      </c>
      <c r="AJ1942" s="9" t="s">
        <v>301</v>
      </c>
      <c r="AK1942" s="23" t="str">
        <f t="shared" si="14"/>
        <v>2021GBP</v>
      </c>
      <c r="AL1942" s="23">
        <f>VLOOKUP(AK1942, Exchange_rates!$C:$D, 2, FALSE)</f>
        <v>1</v>
      </c>
      <c r="AM1942" s="26">
        <f t="shared" si="15"/>
        <v>3120</v>
      </c>
      <c r="AN1942" s="9"/>
      <c r="AO1942" s="9"/>
      <c r="AP1942" s="9"/>
      <c r="AQ1942" s="15" t="s">
        <v>125</v>
      </c>
      <c r="AR1942" t="s">
        <v>9708</v>
      </c>
      <c r="AS1942" s="16"/>
    </row>
    <row r="1943" spans="1:60" ht="14.5">
      <c r="A1943" s="9" t="s">
        <v>9709</v>
      </c>
      <c r="B1943" s="9" t="s">
        <v>9710</v>
      </c>
      <c r="C1943" s="9" t="s">
        <v>6026</v>
      </c>
      <c r="D1943" s="9" t="s">
        <v>5539</v>
      </c>
      <c r="E1943" s="9" t="s">
        <v>125</v>
      </c>
      <c r="F1943" s="9" t="s">
        <v>69</v>
      </c>
      <c r="G1943" s="9" t="s">
        <v>70</v>
      </c>
      <c r="H1943" s="9" t="s">
        <v>6505</v>
      </c>
      <c r="I1943" s="9" t="s">
        <v>72</v>
      </c>
      <c r="J1943" s="10"/>
      <c r="K1943" s="10">
        <v>44836</v>
      </c>
      <c r="L1943" s="10">
        <v>44762</v>
      </c>
      <c r="M1943" s="10">
        <v>44880</v>
      </c>
      <c r="N1943" s="9">
        <v>2022</v>
      </c>
      <c r="O1943" s="9" t="s">
        <v>9672</v>
      </c>
      <c r="P1943" s="9" t="s">
        <v>53</v>
      </c>
      <c r="Q1943" s="9" t="s">
        <v>53</v>
      </c>
      <c r="T1943" s="9"/>
      <c r="V1943" s="9"/>
      <c r="AC1943" s="9" t="s">
        <v>9711</v>
      </c>
      <c r="AD1943" s="9" t="s">
        <v>9712</v>
      </c>
      <c r="AE1943" s="9" t="s">
        <v>9713</v>
      </c>
      <c r="AF1943" s="9" t="s">
        <v>9714</v>
      </c>
      <c r="AH1943" s="9">
        <v>1600</v>
      </c>
      <c r="AI1943" s="9" t="s">
        <v>77</v>
      </c>
      <c r="AJ1943" s="9" t="s">
        <v>301</v>
      </c>
      <c r="AK1943" s="23" t="str">
        <f t="shared" si="14"/>
        <v>2022GBP</v>
      </c>
      <c r="AL1943" s="23">
        <f>VLOOKUP(AK1943, Exchange_rates!$C:$D, 2, FALSE)</f>
        <v>1</v>
      </c>
      <c r="AM1943" s="26">
        <f t="shared" si="15"/>
        <v>1920</v>
      </c>
      <c r="AN1943" s="9"/>
      <c r="AO1943" s="9"/>
      <c r="AP1943" s="9"/>
      <c r="AQ1943" s="15" t="s">
        <v>125</v>
      </c>
      <c r="AR1943" t="s">
        <v>6031</v>
      </c>
      <c r="AS1943" s="16"/>
    </row>
    <row r="1944" spans="1:60" ht="14.5">
      <c r="A1944" s="9" t="s">
        <v>9715</v>
      </c>
      <c r="B1944" s="9" t="s">
        <v>9716</v>
      </c>
      <c r="C1944" s="9" t="s">
        <v>6720</v>
      </c>
      <c r="D1944" s="9" t="s">
        <v>5539</v>
      </c>
      <c r="E1944" s="9" t="s">
        <v>125</v>
      </c>
      <c r="F1944" s="9" t="s">
        <v>69</v>
      </c>
      <c r="G1944" s="9" t="s">
        <v>70</v>
      </c>
      <c r="H1944" s="9" t="s">
        <v>6505</v>
      </c>
      <c r="I1944" s="9" t="s">
        <v>72</v>
      </c>
      <c r="J1944" s="10"/>
      <c r="K1944" s="10"/>
      <c r="L1944" s="10">
        <v>44827</v>
      </c>
      <c r="M1944" s="10"/>
      <c r="N1944" s="9">
        <v>2022</v>
      </c>
      <c r="O1944" s="9" t="s">
        <v>9672</v>
      </c>
      <c r="P1944" s="9" t="s">
        <v>53</v>
      </c>
      <c r="Q1944" s="9" t="s">
        <v>53</v>
      </c>
      <c r="T1944" s="9"/>
      <c r="V1944" s="9"/>
      <c r="AH1944" s="9">
        <v>1825</v>
      </c>
      <c r="AI1944" s="9" t="s">
        <v>77</v>
      </c>
      <c r="AJ1944" s="9" t="s">
        <v>301</v>
      </c>
      <c r="AK1944" s="23" t="str">
        <f t="shared" si="14"/>
        <v>2022GBP</v>
      </c>
      <c r="AL1944" s="23">
        <f>VLOOKUP(AK1944, Exchange_rates!$C:$D, 2, FALSE)</f>
        <v>1</v>
      </c>
      <c r="AM1944" s="26">
        <f t="shared" si="15"/>
        <v>2190</v>
      </c>
      <c r="AN1944" s="9"/>
      <c r="AO1944" s="9"/>
      <c r="AP1944" s="9"/>
      <c r="AQ1944" s="15" t="s">
        <v>125</v>
      </c>
      <c r="AR1944" t="s">
        <v>6724</v>
      </c>
      <c r="AS1944" s="16"/>
    </row>
    <row r="1945" spans="1:60" ht="14.5">
      <c r="A1945" s="20" t="s">
        <v>9717</v>
      </c>
      <c r="B1945" s="20" t="s">
        <v>9718</v>
      </c>
      <c r="C1945" s="20" t="s">
        <v>5834</v>
      </c>
      <c r="D1945" s="9" t="s">
        <v>5539</v>
      </c>
      <c r="E1945" s="9" t="s">
        <v>125</v>
      </c>
      <c r="F1945" s="20" t="s">
        <v>69</v>
      </c>
      <c r="G1945" s="20" t="s">
        <v>70</v>
      </c>
      <c r="H1945" s="20" t="s">
        <v>6505</v>
      </c>
      <c r="I1945" s="20" t="s">
        <v>72</v>
      </c>
      <c r="J1945" s="22"/>
      <c r="K1945" s="22"/>
      <c r="L1945" s="22">
        <v>44859</v>
      </c>
      <c r="M1945" s="22">
        <v>45214</v>
      </c>
      <c r="N1945" s="20">
        <v>2022</v>
      </c>
      <c r="O1945" s="20" t="s">
        <v>9672</v>
      </c>
      <c r="P1945" s="9" t="s">
        <v>53</v>
      </c>
      <c r="Q1945" s="9" t="s">
        <v>53</v>
      </c>
      <c r="R1945" s="20"/>
      <c r="S1945" s="20" t="s">
        <v>9719</v>
      </c>
      <c r="T1945" s="20"/>
      <c r="V1945" s="20"/>
      <c r="W1945" s="20"/>
      <c r="X1945" s="20"/>
      <c r="Y1945" s="20"/>
      <c r="Z1945" s="20"/>
      <c r="AA1945" s="20"/>
      <c r="AB1945" s="20"/>
      <c r="AC1945" s="20"/>
      <c r="AD1945" s="20"/>
      <c r="AE1945" s="20"/>
      <c r="AF1945" s="20"/>
      <c r="AG1945" s="20"/>
      <c r="AH1945" s="20">
        <v>1651</v>
      </c>
      <c r="AI1945" s="9" t="s">
        <v>77</v>
      </c>
      <c r="AJ1945" s="9" t="s">
        <v>301</v>
      </c>
      <c r="AK1945" s="23" t="str">
        <f t="shared" si="14"/>
        <v>2022GBP</v>
      </c>
      <c r="AL1945" s="23">
        <f>VLOOKUP(AK1945, Exchange_rates!$C:$D, 2, FALSE)</f>
        <v>1</v>
      </c>
      <c r="AM1945" s="26">
        <f t="shared" si="15"/>
        <v>1981.1999999999998</v>
      </c>
      <c r="AN1945" s="20"/>
      <c r="AO1945" s="20"/>
      <c r="AP1945" s="9"/>
      <c r="AQ1945" s="15" t="s">
        <v>125</v>
      </c>
      <c r="AR1945" t="s">
        <v>5839</v>
      </c>
      <c r="AS1945" s="16"/>
      <c r="AT1945" s="20"/>
      <c r="AU1945" s="20"/>
      <c r="AV1945" s="20"/>
      <c r="AW1945" s="20"/>
      <c r="AX1945" s="20"/>
      <c r="AY1945" s="20"/>
      <c r="AZ1945" s="20"/>
      <c r="BA1945" s="20"/>
      <c r="BB1945" s="20"/>
      <c r="BC1945" s="20"/>
      <c r="BD1945" s="20"/>
      <c r="BE1945" s="20"/>
      <c r="BF1945" s="20"/>
      <c r="BG1945" s="20"/>
      <c r="BH1945" s="20"/>
    </row>
    <row r="1946" spans="1:60" ht="14.5">
      <c r="A1946" s="20" t="s">
        <v>9720</v>
      </c>
      <c r="B1946" s="20" t="s">
        <v>9721</v>
      </c>
      <c r="C1946" s="20" t="s">
        <v>9722</v>
      </c>
      <c r="D1946" s="9" t="s">
        <v>5539</v>
      </c>
      <c r="E1946" s="9" t="s">
        <v>125</v>
      </c>
      <c r="F1946" s="20" t="s">
        <v>69</v>
      </c>
      <c r="G1946" s="20" t="s">
        <v>70</v>
      </c>
      <c r="H1946" s="20" t="s">
        <v>6505</v>
      </c>
      <c r="I1946" s="20" t="s">
        <v>72</v>
      </c>
      <c r="J1946" s="22"/>
      <c r="K1946" s="22">
        <v>44928</v>
      </c>
      <c r="L1946" s="22">
        <v>44858</v>
      </c>
      <c r="M1946" s="22"/>
      <c r="N1946" s="9">
        <v>2022</v>
      </c>
      <c r="O1946" s="20" t="s">
        <v>9672</v>
      </c>
      <c r="P1946" s="9" t="s">
        <v>53</v>
      </c>
      <c r="Q1946" s="9" t="s">
        <v>53</v>
      </c>
      <c r="R1946" s="20"/>
      <c r="S1946" s="20"/>
      <c r="T1946" s="20"/>
      <c r="U1946" s="20"/>
      <c r="V1946" s="20"/>
      <c r="W1946" s="20"/>
      <c r="X1946" s="20"/>
      <c r="Y1946" s="20"/>
      <c r="Z1946" s="20"/>
      <c r="AA1946" s="20"/>
      <c r="AB1946" s="20"/>
      <c r="AC1946" s="20" t="s">
        <v>9723</v>
      </c>
      <c r="AD1946" s="20" t="s">
        <v>9724</v>
      </c>
      <c r="AE1946" s="20" t="s">
        <v>9725</v>
      </c>
      <c r="AF1946" s="20" t="s">
        <v>9726</v>
      </c>
      <c r="AG1946" s="20"/>
      <c r="AH1946" s="20">
        <v>1051</v>
      </c>
      <c r="AI1946" s="9" t="s">
        <v>77</v>
      </c>
      <c r="AJ1946" s="9" t="s">
        <v>301</v>
      </c>
      <c r="AK1946" s="23" t="str">
        <f t="shared" si="14"/>
        <v>2022GBP</v>
      </c>
      <c r="AL1946" s="23">
        <f>VLOOKUP(AK1946, Exchange_rates!$C:$D, 2, FALSE)</f>
        <v>1</v>
      </c>
      <c r="AM1946" s="26">
        <f t="shared" si="15"/>
        <v>1261.2</v>
      </c>
      <c r="AN1946" s="20"/>
      <c r="AO1946" s="20"/>
      <c r="AP1946" s="9"/>
      <c r="AQ1946" s="15" t="s">
        <v>125</v>
      </c>
      <c r="AR1946" t="s">
        <v>9727</v>
      </c>
      <c r="AS1946" s="16"/>
      <c r="AT1946" s="20"/>
      <c r="AU1946" s="20"/>
      <c r="AV1946" s="20"/>
      <c r="AW1946" s="20"/>
      <c r="AX1946" s="20"/>
      <c r="AY1946" s="20"/>
      <c r="AZ1946" s="20"/>
      <c r="BA1946" s="20"/>
      <c r="BB1946" s="20"/>
      <c r="BC1946" s="20"/>
      <c r="BD1946" s="20"/>
      <c r="BE1946" s="20"/>
      <c r="BF1946" s="20"/>
      <c r="BG1946" s="20"/>
      <c r="BH1946" s="20"/>
    </row>
    <row r="1947" spans="1:60" ht="14.5">
      <c r="A1947" s="9" t="s">
        <v>9728</v>
      </c>
      <c r="B1947" s="9" t="s">
        <v>9729</v>
      </c>
      <c r="C1947" s="9" t="s">
        <v>9730</v>
      </c>
      <c r="D1947" s="9" t="s">
        <v>5539</v>
      </c>
      <c r="E1947" s="9" t="s">
        <v>49</v>
      </c>
      <c r="F1947" s="9" t="s">
        <v>69</v>
      </c>
      <c r="G1947" s="9" t="s">
        <v>70</v>
      </c>
      <c r="H1947" s="20" t="s">
        <v>6505</v>
      </c>
      <c r="I1947" s="9" t="s">
        <v>72</v>
      </c>
      <c r="J1947" s="10"/>
      <c r="K1947" s="10">
        <v>44845</v>
      </c>
      <c r="L1947" s="10">
        <v>44852</v>
      </c>
      <c r="M1947" s="10">
        <v>44868</v>
      </c>
      <c r="N1947" s="9">
        <v>2022</v>
      </c>
      <c r="O1947" s="9" t="s">
        <v>9672</v>
      </c>
      <c r="P1947" s="9" t="s">
        <v>53</v>
      </c>
      <c r="Q1947" s="9" t="s">
        <v>53</v>
      </c>
      <c r="R1947" s="9" t="s">
        <v>9731</v>
      </c>
      <c r="T1947" s="9"/>
      <c r="V1947" s="9"/>
      <c r="AC1947" s="9" t="s">
        <v>9732</v>
      </c>
      <c r="AD1947" s="9" t="s">
        <v>9733</v>
      </c>
      <c r="AE1947" s="9" t="s">
        <v>9734</v>
      </c>
      <c r="AH1947" s="9">
        <v>2650</v>
      </c>
      <c r="AI1947" s="9" t="s">
        <v>77</v>
      </c>
      <c r="AJ1947" s="9" t="s">
        <v>301</v>
      </c>
      <c r="AK1947" s="23" t="str">
        <f t="shared" si="14"/>
        <v>2022GBP</v>
      </c>
      <c r="AL1947" s="23">
        <f>VLOOKUP(AK1947, Exchange_rates!$C:$D, 2, FALSE)</f>
        <v>1</v>
      </c>
      <c r="AM1947" s="26">
        <f t="shared" si="15"/>
        <v>3180</v>
      </c>
      <c r="AN1947" s="9"/>
      <c r="AO1947" s="9"/>
      <c r="AP1947" s="9"/>
      <c r="AQ1947" s="15" t="s">
        <v>49</v>
      </c>
      <c r="AR1947" t="s">
        <v>9735</v>
      </c>
      <c r="AS1947" s="16"/>
    </row>
    <row r="1948" spans="1:60" ht="14.5">
      <c r="A1948" s="9" t="s">
        <v>9736</v>
      </c>
      <c r="B1948" s="9" t="s">
        <v>9737</v>
      </c>
      <c r="C1948" s="9" t="s">
        <v>5728</v>
      </c>
      <c r="D1948" s="9" t="s">
        <v>5539</v>
      </c>
      <c r="E1948" s="9" t="s">
        <v>49</v>
      </c>
      <c r="F1948" s="9" t="s">
        <v>69</v>
      </c>
      <c r="G1948" s="9" t="s">
        <v>70</v>
      </c>
      <c r="H1948" s="20" t="s">
        <v>6505</v>
      </c>
      <c r="I1948" s="9" t="s">
        <v>72</v>
      </c>
      <c r="J1948" s="10"/>
      <c r="K1948" s="10">
        <v>44816</v>
      </c>
      <c r="L1948" s="10">
        <v>44868</v>
      </c>
      <c r="M1948" s="10">
        <v>44896</v>
      </c>
      <c r="N1948" s="9">
        <v>2022</v>
      </c>
      <c r="O1948" s="9" t="s">
        <v>9672</v>
      </c>
      <c r="P1948" s="9" t="s">
        <v>83</v>
      </c>
      <c r="Q1948" s="9" t="s">
        <v>53</v>
      </c>
      <c r="R1948" s="9" t="s">
        <v>9738</v>
      </c>
      <c r="T1948" s="9"/>
      <c r="V1948" s="9"/>
      <c r="AC1948" s="9" t="s">
        <v>410</v>
      </c>
      <c r="AD1948" s="9" t="s">
        <v>411</v>
      </c>
      <c r="AE1948" s="9" t="s">
        <v>9739</v>
      </c>
      <c r="AF1948" s="9" t="s">
        <v>9740</v>
      </c>
      <c r="AH1948" s="9">
        <v>2250</v>
      </c>
      <c r="AI1948" s="9" t="s">
        <v>77</v>
      </c>
      <c r="AJ1948" s="9" t="s">
        <v>301</v>
      </c>
      <c r="AK1948" s="23" t="str">
        <f t="shared" si="14"/>
        <v>2022GBP</v>
      </c>
      <c r="AL1948" s="23">
        <f>VLOOKUP(AK1948, Exchange_rates!$C:$D, 2, FALSE)</f>
        <v>1</v>
      </c>
      <c r="AM1948" s="26">
        <f t="shared" si="15"/>
        <v>2700</v>
      </c>
      <c r="AN1948" s="9"/>
      <c r="AO1948" s="9"/>
      <c r="AP1948" s="9"/>
      <c r="AQ1948" s="15" t="s">
        <v>49</v>
      </c>
      <c r="AR1948" t="s">
        <v>5732</v>
      </c>
      <c r="AS1948" s="16"/>
    </row>
    <row r="1949" spans="1:60" ht="14.5">
      <c r="A1949" s="20" t="s">
        <v>9741</v>
      </c>
      <c r="B1949" s="20" t="s">
        <v>9742</v>
      </c>
      <c r="C1949" s="20" t="s">
        <v>5817</v>
      </c>
      <c r="D1949" s="9" t="s">
        <v>5539</v>
      </c>
      <c r="E1949" s="9" t="s">
        <v>49</v>
      </c>
      <c r="F1949" s="20" t="s">
        <v>69</v>
      </c>
      <c r="G1949" s="20" t="s">
        <v>70</v>
      </c>
      <c r="H1949" s="20" t="s">
        <v>6505</v>
      </c>
      <c r="I1949" s="20" t="s">
        <v>291</v>
      </c>
      <c r="J1949" s="22"/>
      <c r="K1949" s="22">
        <v>44803</v>
      </c>
      <c r="L1949" s="22">
        <v>44872</v>
      </c>
      <c r="M1949" s="22">
        <v>44892</v>
      </c>
      <c r="N1949" s="20">
        <v>2022</v>
      </c>
      <c r="O1949" s="20" t="s">
        <v>9672</v>
      </c>
      <c r="P1949" s="20" t="s">
        <v>53</v>
      </c>
      <c r="Q1949" s="20" t="s">
        <v>53</v>
      </c>
      <c r="R1949" s="20" t="s">
        <v>9743</v>
      </c>
      <c r="S1949" s="20"/>
      <c r="T1949" s="20"/>
      <c r="U1949" s="20"/>
      <c r="V1949" s="20"/>
      <c r="W1949" s="20"/>
      <c r="X1949" s="20"/>
      <c r="Y1949" s="20"/>
      <c r="Z1949" s="20"/>
      <c r="AA1949" s="20"/>
      <c r="AB1949" s="20"/>
      <c r="AC1949" s="20" t="s">
        <v>9744</v>
      </c>
      <c r="AD1949" s="20" t="s">
        <v>9745</v>
      </c>
      <c r="AE1949" s="20" t="s">
        <v>9746</v>
      </c>
      <c r="AF1949" s="20"/>
      <c r="AG1949" s="20"/>
      <c r="AH1949" s="20">
        <v>1700</v>
      </c>
      <c r="AI1949" s="9" t="s">
        <v>77</v>
      </c>
      <c r="AJ1949" s="9" t="s">
        <v>301</v>
      </c>
      <c r="AK1949" s="23" t="str">
        <f t="shared" si="14"/>
        <v>2022GBP</v>
      </c>
      <c r="AL1949" s="23">
        <f>VLOOKUP(AK1949, Exchange_rates!$C:$D, 2, FALSE)</f>
        <v>1</v>
      </c>
      <c r="AM1949" s="26">
        <f t="shared" si="15"/>
        <v>2040</v>
      </c>
      <c r="AN1949" s="20"/>
      <c r="AO1949" s="20"/>
      <c r="AP1949" s="9"/>
      <c r="AQ1949" s="15" t="s">
        <v>49</v>
      </c>
      <c r="AR1949" t="s">
        <v>5820</v>
      </c>
      <c r="AS1949" s="16"/>
      <c r="AT1949" s="20"/>
      <c r="AU1949" s="20"/>
      <c r="AV1949" s="20"/>
      <c r="AW1949" s="20"/>
      <c r="AX1949" s="20"/>
      <c r="AY1949" s="20"/>
      <c r="AZ1949" s="20"/>
      <c r="BA1949" s="20"/>
      <c r="BB1949" s="20"/>
      <c r="BC1949" s="20"/>
      <c r="BD1949" s="20"/>
      <c r="BE1949" s="20"/>
      <c r="BF1949" s="20"/>
      <c r="BG1949" s="20"/>
      <c r="BH1949" s="20"/>
    </row>
    <row r="1950" spans="1:60" ht="14.5">
      <c r="A1950" s="9" t="s">
        <v>9747</v>
      </c>
      <c r="B1950" s="9" t="s">
        <v>9748</v>
      </c>
      <c r="C1950" s="9" t="s">
        <v>7042</v>
      </c>
      <c r="D1950" s="9" t="s">
        <v>5539</v>
      </c>
      <c r="E1950" s="9" t="s">
        <v>49</v>
      </c>
      <c r="F1950" s="20" t="s">
        <v>69</v>
      </c>
      <c r="G1950" s="20" t="s">
        <v>70</v>
      </c>
      <c r="H1950" s="20" t="s">
        <v>6505</v>
      </c>
      <c r="I1950" s="9" t="s">
        <v>72</v>
      </c>
      <c r="J1950" s="10"/>
      <c r="K1950" s="10">
        <v>44866</v>
      </c>
      <c r="L1950" s="10">
        <v>44875</v>
      </c>
      <c r="M1950" s="10">
        <v>44887</v>
      </c>
      <c r="N1950" s="9">
        <v>2022</v>
      </c>
      <c r="O1950" s="9" t="s">
        <v>9672</v>
      </c>
      <c r="P1950" s="9" t="s">
        <v>53</v>
      </c>
      <c r="Q1950" s="9" t="s">
        <v>53</v>
      </c>
      <c r="R1950" s="9" t="s">
        <v>9749</v>
      </c>
      <c r="T1950" s="9"/>
      <c r="V1950" s="9"/>
      <c r="AC1950" s="9" t="s">
        <v>7043</v>
      </c>
      <c r="AD1950" s="9" t="s">
        <v>7044</v>
      </c>
      <c r="AE1950" s="9" t="s">
        <v>7045</v>
      </c>
      <c r="AF1950" s="9" t="s">
        <v>9750</v>
      </c>
      <c r="AH1950" s="9">
        <v>1900</v>
      </c>
      <c r="AI1950" s="9" t="s">
        <v>77</v>
      </c>
      <c r="AJ1950" s="9" t="s">
        <v>301</v>
      </c>
      <c r="AK1950" s="23" t="str">
        <f t="shared" si="14"/>
        <v>2022GBP</v>
      </c>
      <c r="AL1950" s="23">
        <f>VLOOKUP(AK1950, Exchange_rates!$C:$D, 2, FALSE)</f>
        <v>1</v>
      </c>
      <c r="AM1950" s="26">
        <f t="shared" si="15"/>
        <v>2280</v>
      </c>
      <c r="AN1950" s="9"/>
      <c r="AO1950" s="9"/>
      <c r="AP1950" s="9"/>
      <c r="AQ1950" s="15" t="s">
        <v>49</v>
      </c>
      <c r="AR1950" t="s">
        <v>7047</v>
      </c>
      <c r="AS1950" s="16"/>
    </row>
    <row r="1951" spans="1:60" ht="21.75" customHeight="1">
      <c r="A1951" s="9" t="s">
        <v>9751</v>
      </c>
      <c r="B1951" s="9" t="s">
        <v>9752</v>
      </c>
      <c r="C1951" s="9" t="s">
        <v>5634</v>
      </c>
      <c r="D1951" s="9" t="s">
        <v>5539</v>
      </c>
      <c r="E1951" s="9" t="s">
        <v>49</v>
      </c>
      <c r="F1951" s="20" t="s">
        <v>69</v>
      </c>
      <c r="G1951" s="20" t="s">
        <v>70</v>
      </c>
      <c r="H1951" s="20" t="s">
        <v>6505</v>
      </c>
      <c r="I1951" s="9" t="s">
        <v>72</v>
      </c>
      <c r="J1951" s="10"/>
      <c r="K1951" s="10">
        <v>44874</v>
      </c>
      <c r="L1951" s="10">
        <v>44875</v>
      </c>
      <c r="M1951" s="10">
        <v>44916</v>
      </c>
      <c r="N1951" s="9">
        <v>2022</v>
      </c>
      <c r="O1951" s="9" t="s">
        <v>9672</v>
      </c>
      <c r="P1951" s="9" t="s">
        <v>83</v>
      </c>
      <c r="Q1951" s="9" t="s">
        <v>53</v>
      </c>
      <c r="R1951" s="9" t="s">
        <v>9753</v>
      </c>
      <c r="S1951" s="9"/>
      <c r="T1951" s="9"/>
      <c r="U1951" s="9"/>
      <c r="V1951" s="9"/>
      <c r="W1951" s="9"/>
      <c r="X1951" s="9"/>
      <c r="Y1951" s="9"/>
      <c r="Z1951" s="9"/>
      <c r="AA1951" s="9"/>
      <c r="AB1951" s="9"/>
      <c r="AC1951" s="9" t="s">
        <v>163</v>
      </c>
      <c r="AD1951" s="9" t="s">
        <v>164</v>
      </c>
      <c r="AE1951" s="9" t="s">
        <v>9754</v>
      </c>
      <c r="AF1951" s="9" t="s">
        <v>9755</v>
      </c>
      <c r="AG1951" s="9"/>
      <c r="AH1951" s="9">
        <v>2950</v>
      </c>
      <c r="AI1951" s="9" t="s">
        <v>77</v>
      </c>
      <c r="AJ1951" s="9" t="s">
        <v>301</v>
      </c>
      <c r="AK1951" s="23" t="str">
        <f t="shared" si="14"/>
        <v>2022GBP</v>
      </c>
      <c r="AL1951" s="23">
        <f>VLOOKUP(AK1951, Exchange_rates!$C:$D, 2, FALSE)</f>
        <v>1</v>
      </c>
      <c r="AM1951" s="26">
        <f t="shared" si="15"/>
        <v>3540</v>
      </c>
      <c r="AN1951" s="9"/>
      <c r="AO1951" s="9"/>
      <c r="AP1951" s="9"/>
      <c r="AQ1951" s="15" t="s">
        <v>49</v>
      </c>
      <c r="AR1951" t="s">
        <v>5551</v>
      </c>
      <c r="AS1951" s="16"/>
      <c r="AT1951" s="9"/>
      <c r="AU1951" s="9"/>
      <c r="AV1951" s="9"/>
      <c r="AW1951" s="9"/>
      <c r="AX1951" s="9"/>
      <c r="AY1951" s="9"/>
      <c r="AZ1951" s="9"/>
      <c r="BA1951" s="9"/>
      <c r="BB1951" s="9"/>
      <c r="BC1951" s="9"/>
      <c r="BD1951" s="9"/>
      <c r="BE1951" s="9"/>
      <c r="BF1951" s="9"/>
      <c r="BG1951" s="9"/>
      <c r="BH1951" s="9"/>
    </row>
    <row r="1952" spans="1:60" ht="14.5">
      <c r="A1952" s="20" t="s">
        <v>9756</v>
      </c>
      <c r="B1952" s="20" t="s">
        <v>9757</v>
      </c>
      <c r="C1952" s="20" t="s">
        <v>5741</v>
      </c>
      <c r="D1952" s="9" t="s">
        <v>5539</v>
      </c>
      <c r="E1952" s="9" t="s">
        <v>49</v>
      </c>
      <c r="F1952" s="20" t="s">
        <v>69</v>
      </c>
      <c r="G1952" s="20" t="s">
        <v>70</v>
      </c>
      <c r="H1952" s="20" t="s">
        <v>6505</v>
      </c>
      <c r="I1952" s="20" t="s">
        <v>72</v>
      </c>
      <c r="J1952" s="22"/>
      <c r="K1952" s="22">
        <v>44873</v>
      </c>
      <c r="L1952" s="22">
        <v>44876</v>
      </c>
      <c r="M1952" s="22">
        <v>44903</v>
      </c>
      <c r="N1952" s="9">
        <v>2022</v>
      </c>
      <c r="O1952" s="20" t="s">
        <v>9672</v>
      </c>
      <c r="P1952" s="20" t="s">
        <v>53</v>
      </c>
      <c r="Q1952" s="20" t="s">
        <v>53</v>
      </c>
      <c r="R1952" s="20" t="s">
        <v>178</v>
      </c>
      <c r="S1952" s="20"/>
      <c r="T1952" s="20"/>
      <c r="U1952" s="20"/>
      <c r="V1952" s="20"/>
      <c r="W1952" s="20"/>
      <c r="X1952" s="20"/>
      <c r="Y1952" s="20"/>
      <c r="Z1952" s="20"/>
      <c r="AA1952" s="20"/>
      <c r="AB1952" s="20"/>
      <c r="AC1952" s="20" t="s">
        <v>9758</v>
      </c>
      <c r="AD1952" s="20" t="s">
        <v>9759</v>
      </c>
      <c r="AE1952" s="20" t="s">
        <v>9760</v>
      </c>
      <c r="AF1952" s="20" t="s">
        <v>9761</v>
      </c>
      <c r="AG1952" s="20"/>
      <c r="AH1952" s="20">
        <v>3150</v>
      </c>
      <c r="AI1952" s="9" t="s">
        <v>77</v>
      </c>
      <c r="AJ1952" s="9" t="s">
        <v>301</v>
      </c>
      <c r="AK1952" s="23" t="str">
        <f t="shared" si="14"/>
        <v>2022GBP</v>
      </c>
      <c r="AL1952" s="23">
        <f>VLOOKUP(AK1952, Exchange_rates!$C:$D, 2, FALSE)</f>
        <v>1</v>
      </c>
      <c r="AM1952" s="26">
        <f t="shared" si="15"/>
        <v>3780</v>
      </c>
      <c r="AN1952" s="20"/>
      <c r="AO1952" s="20"/>
      <c r="AP1952" s="9"/>
      <c r="AQ1952" s="15" t="s">
        <v>49</v>
      </c>
      <c r="AR1952" t="s">
        <v>5566</v>
      </c>
      <c r="AS1952" s="16"/>
      <c r="AT1952" s="20"/>
      <c r="AU1952" s="20"/>
      <c r="AV1952" s="20"/>
      <c r="AW1952" s="20"/>
      <c r="AX1952" s="20"/>
      <c r="AY1952" s="20"/>
      <c r="AZ1952" s="20"/>
      <c r="BA1952" s="20"/>
      <c r="BB1952" s="20"/>
      <c r="BC1952" s="20"/>
      <c r="BD1952" s="20"/>
      <c r="BE1952" s="20"/>
      <c r="BF1952" s="20"/>
      <c r="BG1952" s="20"/>
      <c r="BH1952" s="20"/>
    </row>
    <row r="1953" spans="1:45" ht="14.5">
      <c r="A1953" s="9" t="s">
        <v>9762</v>
      </c>
      <c r="B1953" s="9" t="s">
        <v>9763</v>
      </c>
      <c r="C1953" s="9" t="s">
        <v>9764</v>
      </c>
      <c r="D1953" s="9" t="s">
        <v>5539</v>
      </c>
      <c r="E1953" s="9" t="s">
        <v>49</v>
      </c>
      <c r="F1953" s="20" t="s">
        <v>69</v>
      </c>
      <c r="G1953" s="20" t="s">
        <v>70</v>
      </c>
      <c r="H1953" s="20" t="s">
        <v>6505</v>
      </c>
      <c r="I1953" s="9" t="s">
        <v>291</v>
      </c>
      <c r="J1953" s="10"/>
      <c r="K1953" s="10">
        <v>44871</v>
      </c>
      <c r="L1953" s="10">
        <v>44879</v>
      </c>
      <c r="M1953" s="10">
        <v>44893</v>
      </c>
      <c r="N1953" s="9">
        <v>2022</v>
      </c>
      <c r="O1953" s="9" t="s">
        <v>9672</v>
      </c>
      <c r="P1953" s="9" t="s">
        <v>53</v>
      </c>
      <c r="Q1953" s="9" t="s">
        <v>53</v>
      </c>
      <c r="T1953" s="9"/>
      <c r="V1953" s="9"/>
      <c r="AC1953" s="9" t="s">
        <v>9765</v>
      </c>
      <c r="AD1953" s="9" t="s">
        <v>9766</v>
      </c>
      <c r="AF1953" s="9" t="s">
        <v>9767</v>
      </c>
      <c r="AH1953" s="9">
        <v>2000</v>
      </c>
      <c r="AI1953" s="9" t="s">
        <v>77</v>
      </c>
      <c r="AJ1953" s="9" t="s">
        <v>301</v>
      </c>
      <c r="AK1953" s="23" t="str">
        <f t="shared" si="14"/>
        <v>2022GBP</v>
      </c>
      <c r="AL1953" s="23">
        <f>VLOOKUP(AK1953, Exchange_rates!$C:$D, 2, FALSE)</f>
        <v>1</v>
      </c>
      <c r="AM1953" s="26">
        <f t="shared" si="15"/>
        <v>2400</v>
      </c>
      <c r="AN1953" s="9"/>
      <c r="AO1953" s="9"/>
      <c r="AP1953" s="9"/>
      <c r="AQ1953" s="15" t="s">
        <v>49</v>
      </c>
      <c r="AR1953" t="s">
        <v>9768</v>
      </c>
      <c r="AS1953" s="16"/>
    </row>
    <row r="1954" spans="1:45" ht="14.5">
      <c r="A1954" s="9" t="s">
        <v>9769</v>
      </c>
      <c r="B1954" s="9" t="s">
        <v>9770</v>
      </c>
      <c r="C1954" s="9" t="s">
        <v>6085</v>
      </c>
      <c r="D1954" s="9" t="s">
        <v>5539</v>
      </c>
      <c r="E1954" s="9" t="s">
        <v>49</v>
      </c>
      <c r="F1954" s="20" t="s">
        <v>69</v>
      </c>
      <c r="G1954" s="20" t="s">
        <v>70</v>
      </c>
      <c r="H1954" s="20" t="s">
        <v>6505</v>
      </c>
      <c r="I1954" s="9" t="s">
        <v>72</v>
      </c>
      <c r="J1954" s="10"/>
      <c r="K1954" s="10">
        <v>44878</v>
      </c>
      <c r="L1954" s="10">
        <v>44879</v>
      </c>
      <c r="M1954" s="10">
        <v>44895</v>
      </c>
      <c r="N1954" s="9">
        <v>2022</v>
      </c>
      <c r="O1954" s="9" t="s">
        <v>9672</v>
      </c>
      <c r="P1954" s="9" t="s">
        <v>83</v>
      </c>
      <c r="Q1954" s="9" t="s">
        <v>53</v>
      </c>
      <c r="R1954" s="9" t="s">
        <v>9771</v>
      </c>
      <c r="T1954" s="9"/>
      <c r="V1954" s="9"/>
      <c r="AC1954" s="9" t="s">
        <v>6731</v>
      </c>
      <c r="AD1954" s="9" t="s">
        <v>6732</v>
      </c>
      <c r="AE1954" s="9" t="s">
        <v>6733</v>
      </c>
      <c r="AF1954" s="9" t="s">
        <v>9772</v>
      </c>
      <c r="AH1954" s="9">
        <v>2650</v>
      </c>
      <c r="AI1954" s="9" t="s">
        <v>77</v>
      </c>
      <c r="AJ1954" s="9" t="s">
        <v>301</v>
      </c>
      <c r="AK1954" s="23" t="str">
        <f t="shared" si="14"/>
        <v>2022GBP</v>
      </c>
      <c r="AL1954" s="23">
        <f>VLOOKUP(AK1954, Exchange_rates!$C:$D, 2, FALSE)</f>
        <v>1</v>
      </c>
      <c r="AM1954" s="26">
        <f t="shared" si="15"/>
        <v>3180</v>
      </c>
      <c r="AN1954" s="9"/>
      <c r="AO1954" s="9"/>
      <c r="AP1954" s="9"/>
      <c r="AQ1954" s="15" t="s">
        <v>49</v>
      </c>
      <c r="AR1954" t="s">
        <v>6090</v>
      </c>
      <c r="AS1954" s="16"/>
    </row>
    <row r="1955" spans="1:45" ht="14.5">
      <c r="A1955" s="9" t="s">
        <v>9773</v>
      </c>
      <c r="B1955" s="9" t="s">
        <v>9774</v>
      </c>
      <c r="C1955" s="9" t="s">
        <v>9775</v>
      </c>
      <c r="D1955" s="9" t="s">
        <v>5539</v>
      </c>
      <c r="E1955" s="9" t="s">
        <v>49</v>
      </c>
      <c r="F1955" s="20" t="s">
        <v>69</v>
      </c>
      <c r="G1955" s="20" t="s">
        <v>70</v>
      </c>
      <c r="H1955" s="20" t="s">
        <v>6505</v>
      </c>
      <c r="I1955" s="9" t="s">
        <v>291</v>
      </c>
      <c r="J1955" s="10"/>
      <c r="K1955" s="10">
        <v>44856</v>
      </c>
      <c r="L1955" s="10">
        <v>44881</v>
      </c>
      <c r="M1955" s="10">
        <v>44895</v>
      </c>
      <c r="N1955" s="9">
        <v>2022</v>
      </c>
      <c r="O1955" s="9" t="s">
        <v>9672</v>
      </c>
      <c r="P1955" s="9" t="s">
        <v>53</v>
      </c>
      <c r="Q1955" s="9" t="s">
        <v>53</v>
      </c>
      <c r="R1955" s="9" t="s">
        <v>9776</v>
      </c>
      <c r="T1955" s="9"/>
      <c r="V1955" s="9"/>
      <c r="AC1955" s="9" t="s">
        <v>493</v>
      </c>
      <c r="AD1955" s="9" t="s">
        <v>9777</v>
      </c>
      <c r="AF1955" s="9" t="s">
        <v>9778</v>
      </c>
      <c r="AH1955" s="9">
        <v>2420</v>
      </c>
      <c r="AI1955" s="9" t="s">
        <v>77</v>
      </c>
      <c r="AJ1955" s="9" t="s">
        <v>301</v>
      </c>
      <c r="AK1955" s="23" t="str">
        <f t="shared" si="14"/>
        <v>2022GBP</v>
      </c>
      <c r="AL1955" s="23">
        <f>VLOOKUP(AK1955, Exchange_rates!$C:$D, 2, FALSE)</f>
        <v>1</v>
      </c>
      <c r="AM1955" s="26">
        <f t="shared" si="15"/>
        <v>2904</v>
      </c>
      <c r="AN1955" s="9"/>
      <c r="AO1955" s="9"/>
      <c r="AP1955" s="9"/>
      <c r="AQ1955" s="15" t="s">
        <v>49</v>
      </c>
      <c r="AR1955" t="s">
        <v>9779</v>
      </c>
      <c r="AS1955" s="16"/>
    </row>
    <row r="1956" spans="1:45" ht="14.5">
      <c r="A1956" s="9" t="s">
        <v>9780</v>
      </c>
      <c r="B1956" s="9" t="s">
        <v>9781</v>
      </c>
      <c r="C1956" s="9" t="s">
        <v>5618</v>
      </c>
      <c r="D1956" s="9" t="s">
        <v>5539</v>
      </c>
      <c r="E1956" s="9" t="s">
        <v>49</v>
      </c>
      <c r="F1956" s="20" t="s">
        <v>69</v>
      </c>
      <c r="G1956" s="20" t="s">
        <v>70</v>
      </c>
      <c r="H1956" s="20" t="s">
        <v>6505</v>
      </c>
      <c r="I1956" s="9" t="s">
        <v>72</v>
      </c>
      <c r="J1956" s="10"/>
      <c r="K1956" s="10">
        <v>44881</v>
      </c>
      <c r="L1956" s="10">
        <v>44883</v>
      </c>
      <c r="M1956" s="10">
        <v>44903</v>
      </c>
      <c r="N1956" s="9">
        <v>2022</v>
      </c>
      <c r="O1956" s="9" t="s">
        <v>9672</v>
      </c>
      <c r="P1956" s="9" t="s">
        <v>83</v>
      </c>
      <c r="Q1956" s="9" t="s">
        <v>53</v>
      </c>
      <c r="R1956" s="9" t="s">
        <v>9782</v>
      </c>
      <c r="T1956" s="9"/>
      <c r="V1956" s="9"/>
      <c r="AC1956" s="9" t="s">
        <v>5548</v>
      </c>
      <c r="AD1956" s="9" t="s">
        <v>174</v>
      </c>
      <c r="AE1956" s="9" t="s">
        <v>5549</v>
      </c>
      <c r="AF1956" s="9" t="s">
        <v>9783</v>
      </c>
      <c r="AH1956" s="9">
        <v>3400</v>
      </c>
      <c r="AI1956" s="9" t="s">
        <v>77</v>
      </c>
      <c r="AJ1956" s="9" t="s">
        <v>301</v>
      </c>
      <c r="AK1956" s="23" t="str">
        <f t="shared" si="14"/>
        <v>2022GBP</v>
      </c>
      <c r="AL1956" s="23">
        <f>VLOOKUP(AK1956, Exchange_rates!$C:$D, 2, FALSE)</f>
        <v>1</v>
      </c>
      <c r="AM1956" s="26">
        <f t="shared" si="15"/>
        <v>4080</v>
      </c>
      <c r="AN1956" s="9"/>
      <c r="AO1956" s="9"/>
      <c r="AP1956" s="9"/>
      <c r="AQ1956" s="15" t="s">
        <v>49</v>
      </c>
      <c r="AR1956" t="s">
        <v>5624</v>
      </c>
      <c r="AS1956" s="16"/>
    </row>
    <row r="1957" spans="1:45" ht="14.5">
      <c r="A1957" s="9" t="s">
        <v>9784</v>
      </c>
      <c r="B1957" s="9" t="s">
        <v>9785</v>
      </c>
      <c r="C1957" s="9" t="s">
        <v>5949</v>
      </c>
      <c r="D1957" s="9" t="s">
        <v>5539</v>
      </c>
      <c r="E1957" s="9" t="s">
        <v>49</v>
      </c>
      <c r="F1957" s="20" t="s">
        <v>69</v>
      </c>
      <c r="G1957" s="20" t="s">
        <v>70</v>
      </c>
      <c r="H1957" s="20" t="s">
        <v>6505</v>
      </c>
      <c r="I1957" s="9" t="s">
        <v>291</v>
      </c>
      <c r="J1957" s="10"/>
      <c r="K1957" s="10">
        <v>44880</v>
      </c>
      <c r="L1957" s="10">
        <v>44888</v>
      </c>
      <c r="M1957" s="10">
        <v>44893</v>
      </c>
      <c r="N1957" s="9">
        <v>2022</v>
      </c>
      <c r="O1957" s="9" t="s">
        <v>9672</v>
      </c>
      <c r="P1957" s="9" t="s">
        <v>53</v>
      </c>
      <c r="Q1957" s="9" t="s">
        <v>53</v>
      </c>
      <c r="R1957" s="9" t="s">
        <v>9786</v>
      </c>
      <c r="T1957" s="9"/>
      <c r="V1957" s="9"/>
      <c r="AC1957" s="9" t="s">
        <v>9787</v>
      </c>
      <c r="AD1957" s="9" t="s">
        <v>9788</v>
      </c>
      <c r="AE1957" s="9" t="s">
        <v>9789</v>
      </c>
      <c r="AF1957" s="9" t="s">
        <v>9790</v>
      </c>
      <c r="AH1957" s="9">
        <v>2940</v>
      </c>
      <c r="AI1957" s="9" t="s">
        <v>77</v>
      </c>
      <c r="AJ1957" s="9" t="s">
        <v>301</v>
      </c>
      <c r="AK1957" s="23" t="str">
        <f t="shared" si="14"/>
        <v>2022GBP</v>
      </c>
      <c r="AL1957" s="23">
        <f>VLOOKUP(AK1957, Exchange_rates!$C:$D, 2, FALSE)</f>
        <v>1</v>
      </c>
      <c r="AM1957" s="26">
        <f t="shared" si="15"/>
        <v>3528</v>
      </c>
      <c r="AN1957" s="9"/>
      <c r="AO1957" s="9"/>
      <c r="AP1957" s="9"/>
      <c r="AQ1957" s="15" t="s">
        <v>49</v>
      </c>
      <c r="AR1957" t="s">
        <v>5953</v>
      </c>
      <c r="AS1957" s="16"/>
    </row>
    <row r="1958" spans="1:45" ht="14.5">
      <c r="A1958" s="9" t="s">
        <v>9791</v>
      </c>
      <c r="B1958" s="9" t="s">
        <v>9792</v>
      </c>
      <c r="C1958" s="9" t="s">
        <v>9793</v>
      </c>
      <c r="D1958" s="9" t="s">
        <v>5539</v>
      </c>
      <c r="E1958" s="9" t="s">
        <v>49</v>
      </c>
      <c r="F1958" s="20" t="s">
        <v>69</v>
      </c>
      <c r="G1958" s="20" t="s">
        <v>70</v>
      </c>
      <c r="H1958" s="20" t="s">
        <v>6505</v>
      </c>
      <c r="I1958" s="9" t="s">
        <v>72</v>
      </c>
      <c r="J1958" s="10"/>
      <c r="K1958" s="10">
        <v>44865</v>
      </c>
      <c r="L1958" s="10">
        <v>44889</v>
      </c>
      <c r="M1958" s="10">
        <v>44894</v>
      </c>
      <c r="N1958" s="9">
        <v>2022</v>
      </c>
      <c r="O1958" s="9" t="s">
        <v>9672</v>
      </c>
      <c r="P1958" s="9" t="s">
        <v>53</v>
      </c>
      <c r="Q1958" s="9" t="s">
        <v>53</v>
      </c>
      <c r="T1958" s="9"/>
      <c r="V1958" s="9"/>
      <c r="AC1958" s="9" t="s">
        <v>9794</v>
      </c>
      <c r="AD1958" s="9" t="s">
        <v>9795</v>
      </c>
      <c r="AE1958" s="9" t="s">
        <v>9796</v>
      </c>
      <c r="AF1958" s="9" t="s">
        <v>9797</v>
      </c>
      <c r="AH1958" s="9">
        <v>2950</v>
      </c>
      <c r="AI1958" s="9" t="s">
        <v>77</v>
      </c>
      <c r="AJ1958" s="9" t="s">
        <v>301</v>
      </c>
      <c r="AK1958" s="23" t="str">
        <f t="shared" si="14"/>
        <v>2022GBP</v>
      </c>
      <c r="AL1958" s="23">
        <f>VLOOKUP(AK1958, Exchange_rates!$C:$D, 2, FALSE)</f>
        <v>1</v>
      </c>
      <c r="AM1958" s="26">
        <f t="shared" si="15"/>
        <v>3540</v>
      </c>
      <c r="AN1958" s="9"/>
      <c r="AO1958" s="9"/>
      <c r="AP1958" s="9"/>
      <c r="AQ1958" s="15" t="s">
        <v>49</v>
      </c>
      <c r="AR1958" t="s">
        <v>9798</v>
      </c>
      <c r="AS1958" s="16"/>
    </row>
    <row r="1959" spans="1:45" ht="14.5">
      <c r="A1959" s="9" t="s">
        <v>9799</v>
      </c>
      <c r="B1959" s="9" t="s">
        <v>9800</v>
      </c>
      <c r="C1959" s="9" t="s">
        <v>5634</v>
      </c>
      <c r="D1959" s="9" t="s">
        <v>5539</v>
      </c>
      <c r="E1959" s="9" t="s">
        <v>49</v>
      </c>
      <c r="F1959" s="20" t="s">
        <v>69</v>
      </c>
      <c r="G1959" s="20" t="s">
        <v>70</v>
      </c>
      <c r="H1959" s="20" t="s">
        <v>6505</v>
      </c>
      <c r="I1959" s="9" t="s">
        <v>72</v>
      </c>
      <c r="J1959" s="10"/>
      <c r="K1959" s="10">
        <v>44886</v>
      </c>
      <c r="L1959" s="10">
        <v>44888</v>
      </c>
      <c r="M1959" s="10"/>
      <c r="N1959" s="9">
        <v>2022</v>
      </c>
      <c r="O1959" s="9" t="s">
        <v>9672</v>
      </c>
      <c r="P1959" s="9" t="s">
        <v>53</v>
      </c>
      <c r="Q1959" s="9" t="s">
        <v>53</v>
      </c>
      <c r="T1959" s="9"/>
      <c r="V1959" s="9"/>
      <c r="AC1959" s="9" t="s">
        <v>9801</v>
      </c>
      <c r="AD1959" s="9" t="s">
        <v>9802</v>
      </c>
      <c r="AE1959" s="9" t="s">
        <v>8998</v>
      </c>
      <c r="AF1959" s="9" t="s">
        <v>9803</v>
      </c>
      <c r="AH1959" s="9">
        <v>2950</v>
      </c>
      <c r="AI1959" s="9" t="s">
        <v>77</v>
      </c>
      <c r="AJ1959" s="9" t="s">
        <v>301</v>
      </c>
      <c r="AK1959" s="23" t="str">
        <f t="shared" si="14"/>
        <v>2022GBP</v>
      </c>
      <c r="AL1959" s="23">
        <f>VLOOKUP(AK1959, Exchange_rates!$C:$D, 2, FALSE)</f>
        <v>1</v>
      </c>
      <c r="AM1959" s="26">
        <f t="shared" si="15"/>
        <v>3540</v>
      </c>
      <c r="AN1959" s="9"/>
      <c r="AO1959" s="9"/>
      <c r="AP1959" s="9"/>
      <c r="AQ1959" s="15" t="s">
        <v>49</v>
      </c>
      <c r="AR1959" t="s">
        <v>5551</v>
      </c>
      <c r="AS1959" s="16"/>
    </row>
    <row r="1960" spans="1:45" ht="14.5">
      <c r="A1960" s="9" t="s">
        <v>9804</v>
      </c>
      <c r="B1960" s="9" t="s">
        <v>9805</v>
      </c>
      <c r="C1960" s="9" t="s">
        <v>9806</v>
      </c>
      <c r="D1960" s="9" t="s">
        <v>5539</v>
      </c>
      <c r="E1960" s="9" t="s">
        <v>49</v>
      </c>
      <c r="F1960" s="20" t="s">
        <v>69</v>
      </c>
      <c r="G1960" s="20" t="s">
        <v>70</v>
      </c>
      <c r="H1960" s="20" t="s">
        <v>6505</v>
      </c>
      <c r="I1960" s="9" t="s">
        <v>72</v>
      </c>
      <c r="J1960" s="10"/>
      <c r="K1960" s="10">
        <v>44868</v>
      </c>
      <c r="L1960" s="10">
        <v>44895</v>
      </c>
      <c r="M1960" s="10"/>
      <c r="N1960" s="9">
        <v>2022</v>
      </c>
      <c r="O1960" s="9" t="s">
        <v>9672</v>
      </c>
      <c r="P1960" s="9" t="s">
        <v>53</v>
      </c>
      <c r="Q1960" s="9" t="s">
        <v>53</v>
      </c>
      <c r="R1960" s="9" t="s">
        <v>9807</v>
      </c>
      <c r="T1960" s="9"/>
      <c r="V1960" s="9"/>
      <c r="AC1960" s="9" t="s">
        <v>9808</v>
      </c>
      <c r="AD1960" s="9" t="s">
        <v>9809</v>
      </c>
      <c r="AF1960" s="9" t="s">
        <v>9810</v>
      </c>
      <c r="AH1960" s="9">
        <v>1700</v>
      </c>
      <c r="AI1960" s="9" t="s">
        <v>77</v>
      </c>
      <c r="AJ1960" s="9" t="s">
        <v>301</v>
      </c>
      <c r="AK1960" s="23" t="str">
        <f t="shared" si="14"/>
        <v>2022GBP</v>
      </c>
      <c r="AL1960" s="23">
        <f>VLOOKUP(AK1960, Exchange_rates!$C:$D, 2, FALSE)</f>
        <v>1</v>
      </c>
      <c r="AM1960" s="26">
        <f t="shared" si="15"/>
        <v>2040</v>
      </c>
      <c r="AN1960" s="9"/>
      <c r="AO1960" s="9"/>
      <c r="AP1960" s="9"/>
      <c r="AQ1960" s="15" t="s">
        <v>49</v>
      </c>
      <c r="AR1960" t="s">
        <v>9811</v>
      </c>
      <c r="AS1960" s="16"/>
    </row>
    <row r="1961" spans="1:45" ht="14.5">
      <c r="A1961" s="9" t="s">
        <v>9812</v>
      </c>
      <c r="B1961" s="9" t="s">
        <v>9805</v>
      </c>
      <c r="C1961" s="9" t="s">
        <v>9813</v>
      </c>
      <c r="D1961" s="9" t="s">
        <v>5539</v>
      </c>
      <c r="E1961" s="9" t="s">
        <v>49</v>
      </c>
      <c r="F1961" s="20" t="s">
        <v>69</v>
      </c>
      <c r="G1961" s="20" t="s">
        <v>70</v>
      </c>
      <c r="H1961" s="20" t="s">
        <v>6505</v>
      </c>
      <c r="I1961" s="9" t="s">
        <v>9814</v>
      </c>
      <c r="J1961" s="10"/>
      <c r="K1961" s="10">
        <v>44833</v>
      </c>
      <c r="L1961" s="10">
        <v>44893</v>
      </c>
      <c r="M1961" s="10">
        <v>44897</v>
      </c>
      <c r="N1961" s="9">
        <v>2022</v>
      </c>
      <c r="O1961" s="9" t="s">
        <v>9672</v>
      </c>
      <c r="P1961" s="9" t="s">
        <v>53</v>
      </c>
      <c r="Q1961" s="9" t="s">
        <v>53</v>
      </c>
      <c r="T1961" s="9"/>
      <c r="V1961" s="9"/>
      <c r="AC1961" s="9" t="s">
        <v>9815</v>
      </c>
      <c r="AD1961" s="9" t="s">
        <v>9816</v>
      </c>
      <c r="AE1961" s="9" t="s">
        <v>9817</v>
      </c>
      <c r="AF1961" s="9" t="s">
        <v>9818</v>
      </c>
      <c r="AH1961" s="9">
        <v>2100</v>
      </c>
      <c r="AI1961" s="9" t="s">
        <v>77</v>
      </c>
      <c r="AJ1961" s="9" t="s">
        <v>301</v>
      </c>
      <c r="AK1961" s="23" t="str">
        <f t="shared" si="14"/>
        <v>2022GBP</v>
      </c>
      <c r="AL1961" s="23">
        <f>VLOOKUP(AK1961, Exchange_rates!$C:$D, 2, FALSE)</f>
        <v>1</v>
      </c>
      <c r="AM1961" s="26">
        <f t="shared" si="15"/>
        <v>2520</v>
      </c>
      <c r="AN1961" s="9"/>
      <c r="AO1961" s="9"/>
      <c r="AP1961" s="9"/>
      <c r="AQ1961" s="15" t="s">
        <v>49</v>
      </c>
      <c r="AR1961" t="s">
        <v>9819</v>
      </c>
      <c r="AS1961" s="16"/>
    </row>
    <row r="1962" spans="1:45" ht="14.5">
      <c r="A1962" s="9" t="s">
        <v>9820</v>
      </c>
      <c r="B1962" s="9" t="s">
        <v>9821</v>
      </c>
      <c r="C1962" s="9" t="s">
        <v>9822</v>
      </c>
      <c r="D1962" s="9" t="s">
        <v>5539</v>
      </c>
      <c r="E1962" s="9" t="s">
        <v>49</v>
      </c>
      <c r="F1962" s="9" t="s">
        <v>50</v>
      </c>
      <c r="G1962" s="9" t="s">
        <v>51</v>
      </c>
      <c r="H1962" s="9"/>
      <c r="J1962" s="10"/>
      <c r="K1962" s="10">
        <v>44889</v>
      </c>
      <c r="L1962" s="10"/>
      <c r="M1962" s="10">
        <v>44916</v>
      </c>
      <c r="N1962" s="9">
        <v>2022</v>
      </c>
      <c r="O1962" s="9" t="s">
        <v>9672</v>
      </c>
      <c r="P1962" s="9" t="s">
        <v>53</v>
      </c>
      <c r="Q1962" s="9" t="s">
        <v>53</v>
      </c>
      <c r="T1962" s="9" t="s">
        <v>723</v>
      </c>
      <c r="V1962" s="9"/>
      <c r="AC1962" s="9" t="s">
        <v>4832</v>
      </c>
      <c r="AD1962" s="9" t="s">
        <v>4833</v>
      </c>
      <c r="AE1962" s="9" t="s">
        <v>4834</v>
      </c>
      <c r="AF1962" s="9" t="s">
        <v>9823</v>
      </c>
      <c r="AH1962" s="9">
        <v>2400</v>
      </c>
      <c r="AI1962" s="9" t="s">
        <v>77</v>
      </c>
      <c r="AJ1962" s="9" t="s">
        <v>301</v>
      </c>
      <c r="AK1962" s="23" t="str">
        <f t="shared" si="14"/>
        <v>2022GBP</v>
      </c>
      <c r="AL1962" s="23">
        <f>VLOOKUP(AK1962, Exchange_rates!$C:$D, 2, FALSE)</f>
        <v>1</v>
      </c>
      <c r="AM1962" s="26">
        <f t="shared" si="15"/>
        <v>2880</v>
      </c>
      <c r="AN1962" s="9"/>
      <c r="AO1962" s="9"/>
      <c r="AP1962" s="9"/>
      <c r="AQ1962" s="15" t="s">
        <v>49</v>
      </c>
      <c r="AR1962" t="s">
        <v>9824</v>
      </c>
      <c r="AS1962" s="16"/>
    </row>
    <row r="1963" spans="1:45" ht="14.5">
      <c r="A1963" s="9" t="s">
        <v>9825</v>
      </c>
      <c r="B1963" s="9" t="s">
        <v>9826</v>
      </c>
      <c r="C1963" s="9" t="s">
        <v>9827</v>
      </c>
      <c r="D1963" s="9" t="s">
        <v>5539</v>
      </c>
      <c r="E1963" s="9" t="s">
        <v>49</v>
      </c>
      <c r="F1963" s="9" t="s">
        <v>69</v>
      </c>
      <c r="G1963" s="9" t="s">
        <v>70</v>
      </c>
      <c r="H1963" s="20" t="s">
        <v>6505</v>
      </c>
      <c r="I1963" s="9" t="s">
        <v>72</v>
      </c>
      <c r="J1963" s="10"/>
      <c r="K1963" s="10">
        <v>44886</v>
      </c>
      <c r="L1963" s="10">
        <v>44894</v>
      </c>
      <c r="M1963" s="10">
        <v>44908</v>
      </c>
      <c r="N1963" s="9">
        <v>2022</v>
      </c>
      <c r="O1963" s="9" t="s">
        <v>9672</v>
      </c>
      <c r="P1963" s="9" t="s">
        <v>53</v>
      </c>
      <c r="Q1963" s="9" t="s">
        <v>53</v>
      </c>
      <c r="T1963" s="9"/>
      <c r="V1963" s="9"/>
      <c r="AC1963" s="9" t="s">
        <v>9828</v>
      </c>
      <c r="AD1963" s="9" t="s">
        <v>9829</v>
      </c>
      <c r="AE1963" s="9" t="s">
        <v>9830</v>
      </c>
      <c r="AF1963" s="9" t="s">
        <v>9831</v>
      </c>
      <c r="AH1963" s="9">
        <v>1700</v>
      </c>
      <c r="AI1963" s="9" t="s">
        <v>77</v>
      </c>
      <c r="AJ1963" s="9" t="s">
        <v>301</v>
      </c>
      <c r="AK1963" s="23" t="str">
        <f t="shared" si="14"/>
        <v>2022GBP</v>
      </c>
      <c r="AL1963" s="23">
        <f>VLOOKUP(AK1963, Exchange_rates!$C:$D, 2, FALSE)</f>
        <v>1</v>
      </c>
      <c r="AM1963" s="26">
        <f t="shared" si="15"/>
        <v>2040</v>
      </c>
      <c r="AN1963" s="9"/>
      <c r="AO1963" s="9"/>
      <c r="AP1963" s="9"/>
      <c r="AQ1963" s="15" t="s">
        <v>49</v>
      </c>
      <c r="AR1963" t="s">
        <v>9832</v>
      </c>
      <c r="AS1963" s="16"/>
    </row>
    <row r="1964" spans="1:45" ht="14.5">
      <c r="A1964" s="9" t="s">
        <v>9833</v>
      </c>
      <c r="B1964" s="9" t="s">
        <v>9834</v>
      </c>
      <c r="C1964" s="9" t="s">
        <v>5618</v>
      </c>
      <c r="D1964" s="9" t="s">
        <v>5539</v>
      </c>
      <c r="E1964" s="9" t="s">
        <v>49</v>
      </c>
      <c r="F1964" s="9" t="s">
        <v>69</v>
      </c>
      <c r="G1964" s="9" t="s">
        <v>70</v>
      </c>
      <c r="H1964" s="20" t="s">
        <v>6505</v>
      </c>
      <c r="I1964" s="9" t="s">
        <v>72</v>
      </c>
      <c r="J1964" s="10"/>
      <c r="K1964" s="10">
        <v>44894</v>
      </c>
      <c r="L1964" s="10">
        <v>44896</v>
      </c>
      <c r="M1964" s="10">
        <v>44917</v>
      </c>
      <c r="N1964" s="9">
        <v>2022</v>
      </c>
      <c r="O1964" s="9" t="s">
        <v>9672</v>
      </c>
      <c r="P1964" s="9" t="s">
        <v>53</v>
      </c>
      <c r="Q1964" s="9" t="s">
        <v>53</v>
      </c>
      <c r="T1964" s="9"/>
      <c r="V1964" s="9"/>
      <c r="AC1964" s="9" t="s">
        <v>6731</v>
      </c>
      <c r="AD1964" s="9" t="s">
        <v>6732</v>
      </c>
      <c r="AE1964" s="9" t="s">
        <v>6733</v>
      </c>
      <c r="AF1964" s="9" t="s">
        <v>9835</v>
      </c>
      <c r="AH1964" s="9">
        <v>3400</v>
      </c>
      <c r="AI1964" s="9" t="s">
        <v>77</v>
      </c>
      <c r="AJ1964" s="9" t="s">
        <v>301</v>
      </c>
      <c r="AK1964" s="23" t="str">
        <f t="shared" si="14"/>
        <v>2022GBP</v>
      </c>
      <c r="AL1964" s="23">
        <f>VLOOKUP(AK1964, Exchange_rates!$C:$D, 2, FALSE)</f>
        <v>1</v>
      </c>
      <c r="AM1964" s="26">
        <f t="shared" si="15"/>
        <v>4080</v>
      </c>
      <c r="AN1964" s="9"/>
      <c r="AO1964" s="9"/>
      <c r="AP1964" s="9"/>
      <c r="AQ1964" s="15" t="s">
        <v>49</v>
      </c>
      <c r="AR1964" t="s">
        <v>5624</v>
      </c>
      <c r="AS1964" s="16"/>
    </row>
    <row r="1965" spans="1:45" ht="14.5">
      <c r="A1965" s="9" t="s">
        <v>9836</v>
      </c>
      <c r="B1965" s="9" t="s">
        <v>9837</v>
      </c>
      <c r="C1965" s="9" t="s">
        <v>6174</v>
      </c>
      <c r="D1965" s="9" t="s">
        <v>5539</v>
      </c>
      <c r="E1965" s="9" t="s">
        <v>49</v>
      </c>
      <c r="F1965" s="9" t="s">
        <v>69</v>
      </c>
      <c r="G1965" s="9" t="s">
        <v>70</v>
      </c>
      <c r="H1965" s="20" t="s">
        <v>6505</v>
      </c>
      <c r="I1965" s="9" t="s">
        <v>72</v>
      </c>
      <c r="J1965" s="10"/>
      <c r="K1965" s="10">
        <v>44894</v>
      </c>
      <c r="L1965" s="10">
        <v>44900</v>
      </c>
      <c r="M1965" s="10">
        <v>44907</v>
      </c>
      <c r="N1965" s="9">
        <v>2022</v>
      </c>
      <c r="O1965" s="9" t="s">
        <v>9672</v>
      </c>
      <c r="P1965" s="9" t="s">
        <v>53</v>
      </c>
      <c r="Q1965" s="9" t="s">
        <v>53</v>
      </c>
      <c r="T1965" s="9"/>
      <c r="V1965" s="9"/>
      <c r="AC1965" s="9" t="s">
        <v>1997</v>
      </c>
      <c r="AD1965" s="9" t="s">
        <v>1998</v>
      </c>
      <c r="AE1965" s="9" t="s">
        <v>9838</v>
      </c>
      <c r="AF1965" s="9" t="s">
        <v>9839</v>
      </c>
      <c r="AH1965" s="9">
        <v>2160</v>
      </c>
      <c r="AI1965" s="9" t="s">
        <v>77</v>
      </c>
      <c r="AJ1965" s="9" t="s">
        <v>301</v>
      </c>
      <c r="AK1965" s="23" t="str">
        <f t="shared" si="14"/>
        <v>2022GBP</v>
      </c>
      <c r="AL1965" s="23">
        <f>VLOOKUP(AK1965, Exchange_rates!$C:$D, 2, FALSE)</f>
        <v>1</v>
      </c>
      <c r="AM1965" s="26">
        <f t="shared" si="15"/>
        <v>2592</v>
      </c>
      <c r="AN1965" s="9"/>
      <c r="AO1965" s="9"/>
      <c r="AP1965" s="9"/>
      <c r="AQ1965" s="15" t="s">
        <v>49</v>
      </c>
      <c r="AR1965" t="s">
        <v>6179</v>
      </c>
      <c r="AS1965" s="16"/>
    </row>
    <row r="1966" spans="1:45" ht="14.5">
      <c r="A1966" s="9" t="s">
        <v>9840</v>
      </c>
      <c r="B1966" s="9" t="s">
        <v>5848</v>
      </c>
      <c r="C1966" s="9" t="s">
        <v>9841</v>
      </c>
      <c r="D1966" s="9" t="s">
        <v>5539</v>
      </c>
      <c r="E1966" s="9" t="s">
        <v>125</v>
      </c>
      <c r="F1966" s="9" t="s">
        <v>50</v>
      </c>
      <c r="G1966" s="9" t="s">
        <v>51</v>
      </c>
      <c r="H1966" s="9"/>
      <c r="I1966" s="9"/>
      <c r="J1966" s="10"/>
      <c r="K1966" s="10"/>
      <c r="L1966" s="10">
        <v>44908</v>
      </c>
      <c r="M1966" s="10"/>
      <c r="N1966" s="9">
        <v>2022</v>
      </c>
      <c r="O1966" s="9" t="s">
        <v>9672</v>
      </c>
      <c r="P1966" s="9" t="s">
        <v>53</v>
      </c>
      <c r="Q1966" s="9" t="s">
        <v>53</v>
      </c>
      <c r="T1966" s="9" t="s">
        <v>723</v>
      </c>
      <c r="U1966" s="9" t="s">
        <v>9842</v>
      </c>
      <c r="V1966" s="9"/>
      <c r="AH1966" s="9">
        <v>3140</v>
      </c>
      <c r="AI1966" s="9" t="s">
        <v>77</v>
      </c>
      <c r="AJ1966" s="9" t="s">
        <v>301</v>
      </c>
      <c r="AK1966" s="23" t="str">
        <f t="shared" si="14"/>
        <v>2022GBP</v>
      </c>
      <c r="AL1966" s="23">
        <f>VLOOKUP(AK1966, Exchange_rates!$C:$D, 2, FALSE)</f>
        <v>1</v>
      </c>
      <c r="AM1966" s="26">
        <f t="shared" si="15"/>
        <v>3768</v>
      </c>
      <c r="AN1966" s="9"/>
      <c r="AO1966" s="9"/>
      <c r="AP1966" s="9"/>
      <c r="AQ1966" s="15" t="s">
        <v>125</v>
      </c>
      <c r="AR1966" t="s">
        <v>9843</v>
      </c>
      <c r="AS1966" s="16"/>
    </row>
    <row r="1967" spans="1:45" ht="14.5">
      <c r="A1967" s="9" t="s">
        <v>9844</v>
      </c>
      <c r="B1967" s="9" t="s">
        <v>9845</v>
      </c>
      <c r="C1967" s="9" t="s">
        <v>9846</v>
      </c>
      <c r="D1967" s="9" t="s">
        <v>5539</v>
      </c>
      <c r="E1967" s="9" t="s">
        <v>49</v>
      </c>
      <c r="F1967" s="9" t="s">
        <v>69</v>
      </c>
      <c r="G1967" s="9" t="s">
        <v>70</v>
      </c>
      <c r="H1967" s="20" t="s">
        <v>6505</v>
      </c>
      <c r="I1967" s="9" t="s">
        <v>72</v>
      </c>
      <c r="J1967" s="10"/>
      <c r="K1967" s="10">
        <v>44846</v>
      </c>
      <c r="L1967" s="10">
        <v>44909</v>
      </c>
      <c r="M1967" s="10"/>
      <c r="N1967" s="9">
        <v>2022</v>
      </c>
      <c r="O1967" s="9" t="s">
        <v>9672</v>
      </c>
      <c r="P1967" s="9" t="s">
        <v>53</v>
      </c>
      <c r="Q1967" s="9" t="s">
        <v>53</v>
      </c>
      <c r="T1967" s="9"/>
      <c r="V1967" s="9"/>
      <c r="AC1967" s="9" t="s">
        <v>9847</v>
      </c>
      <c r="AD1967" s="9" t="s">
        <v>9848</v>
      </c>
      <c r="AE1967" s="9" t="s">
        <v>9849</v>
      </c>
      <c r="AF1967" s="9" t="s">
        <v>9850</v>
      </c>
      <c r="AH1967" s="9">
        <v>1750</v>
      </c>
      <c r="AI1967" s="9" t="s">
        <v>77</v>
      </c>
      <c r="AJ1967" s="9" t="s">
        <v>301</v>
      </c>
      <c r="AK1967" s="23" t="str">
        <f t="shared" si="14"/>
        <v>2022GBP</v>
      </c>
      <c r="AL1967" s="23">
        <f>VLOOKUP(AK1967, Exchange_rates!$C:$D, 2, FALSE)</f>
        <v>1</v>
      </c>
      <c r="AM1967" s="26">
        <f t="shared" si="15"/>
        <v>2100</v>
      </c>
      <c r="AN1967" s="9"/>
      <c r="AO1967" s="9"/>
      <c r="AP1967" s="9"/>
      <c r="AQ1967" s="15" t="s">
        <v>49</v>
      </c>
      <c r="AR1967" t="s">
        <v>9851</v>
      </c>
      <c r="AS1967" s="16"/>
    </row>
    <row r="1968" spans="1:45" ht="14.5">
      <c r="A1968" s="9" t="s">
        <v>9852</v>
      </c>
      <c r="B1968" s="9" t="s">
        <v>9853</v>
      </c>
      <c r="C1968" s="9" t="s">
        <v>9854</v>
      </c>
      <c r="D1968" s="9" t="s">
        <v>5539</v>
      </c>
      <c r="E1968" s="9" t="s">
        <v>49</v>
      </c>
      <c r="F1968" s="9" t="s">
        <v>69</v>
      </c>
      <c r="G1968" s="9" t="s">
        <v>70</v>
      </c>
      <c r="H1968" s="20" t="s">
        <v>6505</v>
      </c>
      <c r="I1968" s="9" t="s">
        <v>72</v>
      </c>
      <c r="J1968" s="10"/>
      <c r="K1968" s="10">
        <v>44899</v>
      </c>
      <c r="L1968" s="10">
        <v>44909</v>
      </c>
      <c r="M1968" s="10">
        <v>44925</v>
      </c>
      <c r="N1968" s="9">
        <v>2022</v>
      </c>
      <c r="O1968" s="9" t="s">
        <v>9672</v>
      </c>
      <c r="P1968" s="9" t="s">
        <v>53</v>
      </c>
      <c r="Q1968" s="9" t="s">
        <v>53</v>
      </c>
      <c r="R1968" s="9" t="s">
        <v>9855</v>
      </c>
      <c r="T1968" s="9"/>
      <c r="V1968" s="9"/>
      <c r="AC1968" s="9" t="s">
        <v>9856</v>
      </c>
      <c r="AD1968" s="9" t="s">
        <v>9857</v>
      </c>
      <c r="AE1968" s="9" t="s">
        <v>9858</v>
      </c>
      <c r="AH1968" s="9">
        <v>2050</v>
      </c>
      <c r="AI1968" s="9" t="s">
        <v>77</v>
      </c>
      <c r="AJ1968" s="9" t="s">
        <v>301</v>
      </c>
      <c r="AK1968" s="23" t="str">
        <f t="shared" si="14"/>
        <v>2022GBP</v>
      </c>
      <c r="AL1968" s="23">
        <f>VLOOKUP(AK1968, Exchange_rates!$C:$D, 2, FALSE)</f>
        <v>1</v>
      </c>
      <c r="AM1968" s="26">
        <f t="shared" si="15"/>
        <v>2460</v>
      </c>
      <c r="AN1968" s="9"/>
      <c r="AO1968" s="9"/>
      <c r="AP1968" s="9"/>
      <c r="AQ1968" s="15" t="s">
        <v>49</v>
      </c>
      <c r="AR1968" t="s">
        <v>9859</v>
      </c>
      <c r="AS1968" s="16"/>
    </row>
    <row r="1969" spans="1:60" ht="14.5">
      <c r="A1969" s="9" t="s">
        <v>9860</v>
      </c>
      <c r="B1969" s="9" t="s">
        <v>9861</v>
      </c>
      <c r="C1969" s="9" t="s">
        <v>9862</v>
      </c>
      <c r="D1969" s="9" t="s">
        <v>5539</v>
      </c>
      <c r="E1969" s="9" t="s">
        <v>49</v>
      </c>
      <c r="F1969" s="9" t="s">
        <v>69</v>
      </c>
      <c r="G1969" s="9" t="s">
        <v>70</v>
      </c>
      <c r="H1969" s="20" t="s">
        <v>6505</v>
      </c>
      <c r="I1969" s="9" t="s">
        <v>72</v>
      </c>
      <c r="J1969" s="10"/>
      <c r="K1969" s="10">
        <v>44878</v>
      </c>
      <c r="L1969" s="10">
        <v>44910</v>
      </c>
      <c r="M1969" s="10"/>
      <c r="N1969" s="9">
        <v>2022</v>
      </c>
      <c r="O1969" s="9" t="s">
        <v>9672</v>
      </c>
      <c r="P1969" s="9" t="s">
        <v>53</v>
      </c>
      <c r="Q1969" s="9" t="s">
        <v>53</v>
      </c>
      <c r="T1969" s="9"/>
      <c r="V1969" s="9"/>
      <c r="AC1969" s="9" t="s">
        <v>9863</v>
      </c>
      <c r="AD1969" s="9" t="s">
        <v>9864</v>
      </c>
      <c r="AH1969" s="9">
        <v>2570</v>
      </c>
      <c r="AI1969" s="9" t="s">
        <v>77</v>
      </c>
      <c r="AJ1969" s="9" t="s">
        <v>301</v>
      </c>
      <c r="AK1969" s="23" t="str">
        <f t="shared" si="14"/>
        <v>2022GBP</v>
      </c>
      <c r="AL1969" s="23">
        <f>VLOOKUP(AK1969, Exchange_rates!$C:$D, 2, FALSE)</f>
        <v>1</v>
      </c>
      <c r="AM1969" s="26">
        <f t="shared" si="15"/>
        <v>3084</v>
      </c>
      <c r="AN1969" s="9"/>
      <c r="AO1969" s="9"/>
      <c r="AP1969" s="9"/>
      <c r="AQ1969" s="15" t="s">
        <v>49</v>
      </c>
      <c r="AR1969" t="s">
        <v>9865</v>
      </c>
      <c r="AS1969" s="16"/>
    </row>
    <row r="1970" spans="1:60" ht="14.5">
      <c r="A1970" s="9" t="s">
        <v>9866</v>
      </c>
      <c r="B1970" s="9" t="s">
        <v>9867</v>
      </c>
      <c r="C1970" s="9" t="s">
        <v>6866</v>
      </c>
      <c r="D1970" s="9" t="s">
        <v>5539</v>
      </c>
      <c r="E1970" s="9" t="s">
        <v>49</v>
      </c>
      <c r="F1970" s="9" t="s">
        <v>69</v>
      </c>
      <c r="G1970" s="9" t="s">
        <v>70</v>
      </c>
      <c r="H1970" s="20" t="s">
        <v>6505</v>
      </c>
      <c r="I1970" s="9" t="s">
        <v>291</v>
      </c>
      <c r="J1970" s="10"/>
      <c r="K1970" s="10">
        <v>44906</v>
      </c>
      <c r="L1970" s="10">
        <v>44915</v>
      </c>
      <c r="M1970" s="10"/>
      <c r="N1970" s="9">
        <v>2022</v>
      </c>
      <c r="O1970" s="9" t="s">
        <v>9672</v>
      </c>
      <c r="P1970" s="9" t="s">
        <v>53</v>
      </c>
      <c r="Q1970" s="9" t="s">
        <v>53</v>
      </c>
      <c r="R1970" s="9" t="s">
        <v>9868</v>
      </c>
      <c r="T1970" s="9"/>
      <c r="V1970" s="9"/>
      <c r="AC1970" s="9" t="s">
        <v>5317</v>
      </c>
      <c r="AD1970" s="9" t="s">
        <v>5318</v>
      </c>
      <c r="AE1970" s="9" t="s">
        <v>9869</v>
      </c>
      <c r="AH1970" s="9">
        <v>2010</v>
      </c>
      <c r="AI1970" s="9" t="s">
        <v>77</v>
      </c>
      <c r="AJ1970" s="9" t="s">
        <v>301</v>
      </c>
      <c r="AK1970" s="23" t="str">
        <f t="shared" si="14"/>
        <v>2022GBP</v>
      </c>
      <c r="AL1970" s="23">
        <f>VLOOKUP(AK1970, Exchange_rates!$C:$D, 2, FALSE)</f>
        <v>1</v>
      </c>
      <c r="AM1970" s="26">
        <f t="shared" si="15"/>
        <v>2412</v>
      </c>
      <c r="AN1970" s="9"/>
      <c r="AO1970" s="9"/>
      <c r="AP1970" s="9"/>
      <c r="AQ1970" s="15" t="s">
        <v>49</v>
      </c>
      <c r="AR1970" t="s">
        <v>6869</v>
      </c>
      <c r="AS1970" s="16"/>
    </row>
    <row r="1971" spans="1:60" ht="14.5">
      <c r="A1971" s="20" t="s">
        <v>9870</v>
      </c>
      <c r="B1971" s="20" t="s">
        <v>9871</v>
      </c>
      <c r="C1971" s="20" t="s">
        <v>9872</v>
      </c>
      <c r="D1971" s="20" t="s">
        <v>5539</v>
      </c>
      <c r="E1971" s="20" t="s">
        <v>49</v>
      </c>
      <c r="F1971" s="20" t="s">
        <v>69</v>
      </c>
      <c r="G1971" s="20" t="s">
        <v>70</v>
      </c>
      <c r="H1971" s="20" t="s">
        <v>9873</v>
      </c>
      <c r="I1971" s="20" t="s">
        <v>238</v>
      </c>
      <c r="J1971" s="22"/>
      <c r="K1971" s="22">
        <v>44909</v>
      </c>
      <c r="L1971" s="22">
        <v>44929</v>
      </c>
      <c r="M1971" s="22"/>
      <c r="N1971" s="20">
        <v>2023</v>
      </c>
      <c r="O1971" s="20" t="s">
        <v>9672</v>
      </c>
      <c r="P1971" s="20" t="s">
        <v>53</v>
      </c>
      <c r="Q1971" s="20" t="s">
        <v>53</v>
      </c>
      <c r="R1971" s="20" t="s">
        <v>9874</v>
      </c>
      <c r="S1971" s="20"/>
      <c r="T1971" s="20"/>
      <c r="U1971" s="20"/>
      <c r="V1971" s="20"/>
      <c r="W1971" s="20"/>
      <c r="X1971" s="20"/>
      <c r="Y1971" s="20"/>
      <c r="Z1971" s="20"/>
      <c r="AA1971" s="20"/>
      <c r="AB1971" s="20"/>
      <c r="AC1971" s="20" t="s">
        <v>5292</v>
      </c>
      <c r="AD1971" s="20" t="s">
        <v>5293</v>
      </c>
      <c r="AE1971" s="20" t="s">
        <v>5294</v>
      </c>
      <c r="AF1971" s="20" t="s">
        <v>9875</v>
      </c>
      <c r="AG1971" s="20"/>
      <c r="AH1971" s="20">
        <v>3290</v>
      </c>
      <c r="AI1971" s="20" t="s">
        <v>77</v>
      </c>
      <c r="AJ1971" s="20" t="s">
        <v>301</v>
      </c>
      <c r="AK1971" s="23" t="str">
        <f t="shared" si="14"/>
        <v>2023GBP</v>
      </c>
      <c r="AL1971" s="23">
        <f>VLOOKUP(AK1971, Exchange_rates!$C:$D, 2, FALSE)</f>
        <v>1</v>
      </c>
      <c r="AM1971" s="26">
        <f t="shared" si="15"/>
        <v>3948</v>
      </c>
      <c r="AN1971" s="20"/>
      <c r="AO1971" s="20"/>
      <c r="AP1971" s="20"/>
      <c r="AQ1971" s="27" t="s">
        <v>49</v>
      </c>
      <c r="AR1971" t="s">
        <v>9876</v>
      </c>
      <c r="AS1971" s="16"/>
      <c r="AT1971" s="20"/>
      <c r="AU1971" s="20"/>
      <c r="AV1971" s="20"/>
      <c r="AW1971" s="20"/>
      <c r="AX1971" s="20"/>
      <c r="AY1971" s="20"/>
      <c r="AZ1971" s="20"/>
      <c r="BA1971" s="20"/>
      <c r="BB1971" s="20"/>
      <c r="BC1971" s="20"/>
      <c r="BD1971" s="20"/>
      <c r="BE1971" s="20"/>
      <c r="BF1971" s="20"/>
      <c r="BG1971" s="20"/>
      <c r="BH1971" s="20"/>
    </row>
    <row r="1972" spans="1:60" ht="14.5">
      <c r="A1972" s="20" t="s">
        <v>9877</v>
      </c>
      <c r="B1972" s="20" t="s">
        <v>9878</v>
      </c>
      <c r="C1972" s="20" t="s">
        <v>2065</v>
      </c>
      <c r="D1972" s="20" t="s">
        <v>1994</v>
      </c>
      <c r="E1972" s="20" t="s">
        <v>125</v>
      </c>
      <c r="F1972" s="20" t="s">
        <v>69</v>
      </c>
      <c r="G1972" s="20" t="s">
        <v>70</v>
      </c>
      <c r="H1972" s="20" t="s">
        <v>1995</v>
      </c>
      <c r="I1972" s="20" t="s">
        <v>72</v>
      </c>
      <c r="J1972" s="22"/>
      <c r="K1972" s="42">
        <v>44286</v>
      </c>
      <c r="L1972" s="22">
        <v>44417</v>
      </c>
      <c r="M1972" s="22">
        <v>44432</v>
      </c>
      <c r="N1972" s="20">
        <v>2021</v>
      </c>
      <c r="O1972" s="20" t="s">
        <v>9879</v>
      </c>
      <c r="P1972" s="20" t="s">
        <v>83</v>
      </c>
      <c r="Q1972" s="20" t="s">
        <v>53</v>
      </c>
      <c r="R1972" s="20" t="s">
        <v>9880</v>
      </c>
      <c r="S1972" s="20"/>
      <c r="T1972" s="20"/>
      <c r="U1972" s="20"/>
      <c r="V1972" s="20"/>
      <c r="W1972" s="20"/>
      <c r="X1972" s="20"/>
      <c r="Y1972" s="20"/>
      <c r="Z1972" s="20"/>
      <c r="AA1972" s="20"/>
      <c r="AB1972" s="20"/>
      <c r="AC1972" s="20" t="s">
        <v>8946</v>
      </c>
      <c r="AD1972" s="20" t="s">
        <v>8947</v>
      </c>
      <c r="AE1972" s="20"/>
      <c r="AF1972" s="20"/>
      <c r="AG1972" s="20"/>
      <c r="AH1972" s="20">
        <v>1817</v>
      </c>
      <c r="AI1972" s="20" t="s">
        <v>9881</v>
      </c>
      <c r="AJ1972" s="20" t="s">
        <v>301</v>
      </c>
      <c r="AK1972" s="23" t="str">
        <f t="shared" si="14"/>
        <v>2021GBP</v>
      </c>
      <c r="AL1972" s="23">
        <f>VLOOKUP(AK1972, Exchange_rates!$C:$D, 2, FALSE)</f>
        <v>1</v>
      </c>
      <c r="AM1972" s="26">
        <f t="shared" si="15"/>
        <v>2180.4</v>
      </c>
      <c r="AN1972" s="20"/>
      <c r="AO1972" s="20"/>
      <c r="AP1972" s="20"/>
      <c r="AQ1972" s="27" t="s">
        <v>125</v>
      </c>
      <c r="AR1972" t="s">
        <v>2070</v>
      </c>
      <c r="AS1972" s="16"/>
      <c r="AT1972" s="20"/>
      <c r="AU1972" s="20"/>
      <c r="AV1972" s="20"/>
      <c r="AW1972" s="20"/>
      <c r="AX1972" s="20"/>
      <c r="AY1972" s="20"/>
      <c r="AZ1972" s="20"/>
      <c r="BA1972" s="20"/>
      <c r="BB1972" s="20"/>
      <c r="BC1972" s="20"/>
      <c r="BD1972" s="20"/>
      <c r="BE1972" s="20"/>
      <c r="BF1972" s="20"/>
      <c r="BG1972" s="20"/>
      <c r="BH1972" s="20"/>
    </row>
    <row r="1973" spans="1:60" ht="14.5">
      <c r="A1973" s="9" t="s">
        <v>9882</v>
      </c>
      <c r="B1973" s="9" t="s">
        <v>9883</v>
      </c>
      <c r="C1973" s="9" t="s">
        <v>508</v>
      </c>
      <c r="D1973" s="9" t="s">
        <v>361</v>
      </c>
      <c r="E1973" s="9" t="s">
        <v>49</v>
      </c>
      <c r="F1973" s="9" t="s">
        <v>69</v>
      </c>
      <c r="G1973" s="9" t="s">
        <v>70</v>
      </c>
      <c r="H1973" s="9" t="s">
        <v>7424</v>
      </c>
      <c r="I1973" s="9" t="s">
        <v>72</v>
      </c>
      <c r="J1973" s="10"/>
      <c r="K1973" s="10"/>
      <c r="L1973" s="10"/>
      <c r="M1973" s="10">
        <v>45092</v>
      </c>
      <c r="N1973" s="9">
        <v>2023</v>
      </c>
      <c r="O1973" s="9" t="s">
        <v>9884</v>
      </c>
      <c r="P1973" s="9" t="s">
        <v>83</v>
      </c>
      <c r="Q1973" s="9" t="s">
        <v>53</v>
      </c>
      <c r="R1973" s="9" t="s">
        <v>240</v>
      </c>
      <c r="S1973" s="9"/>
      <c r="T1973" s="9"/>
      <c r="V1973" s="9"/>
      <c r="AC1973" s="9" t="s">
        <v>9885</v>
      </c>
      <c r="AH1973" s="9">
        <v>2110</v>
      </c>
      <c r="AI1973" s="9" t="s">
        <v>77</v>
      </c>
      <c r="AJ1973" s="9" t="s">
        <v>301</v>
      </c>
      <c r="AK1973" s="23" t="str">
        <f t="shared" si="14"/>
        <v>2023GBP</v>
      </c>
      <c r="AL1973" s="23">
        <f>VLOOKUP(AK1973, Exchange_rates!$C:$D, 2, FALSE)</f>
        <v>1</v>
      </c>
      <c r="AM1973" s="26">
        <f t="shared" si="15"/>
        <v>2532</v>
      </c>
      <c r="AN1973" s="9"/>
      <c r="AO1973" s="9"/>
      <c r="AP1973" s="9"/>
      <c r="AQ1973" s="15" t="s">
        <v>49</v>
      </c>
      <c r="AR1973" t="s">
        <v>512</v>
      </c>
      <c r="AS1973" s="16" t="s">
        <v>513</v>
      </c>
    </row>
    <row r="1974" spans="1:60" ht="14.5">
      <c r="A1974" s="9" t="s">
        <v>9886</v>
      </c>
      <c r="B1974" s="9" t="s">
        <v>9887</v>
      </c>
      <c r="C1974" s="9" t="s">
        <v>853</v>
      </c>
      <c r="D1974" s="9" t="s">
        <v>361</v>
      </c>
      <c r="E1974" s="9" t="s">
        <v>49</v>
      </c>
      <c r="F1974" s="9" t="s">
        <v>69</v>
      </c>
      <c r="G1974" s="9" t="s">
        <v>70</v>
      </c>
      <c r="H1974" s="9" t="s">
        <v>7424</v>
      </c>
      <c r="I1974" s="9" t="s">
        <v>72</v>
      </c>
      <c r="J1974" s="10"/>
      <c r="K1974" s="10"/>
      <c r="L1974" s="10"/>
      <c r="M1974" s="10">
        <v>45097</v>
      </c>
      <c r="N1974" s="9">
        <v>2023</v>
      </c>
      <c r="O1974" s="9" t="s">
        <v>9884</v>
      </c>
      <c r="P1974" s="9" t="s">
        <v>53</v>
      </c>
      <c r="Q1974" s="9" t="s">
        <v>53</v>
      </c>
      <c r="S1974" s="9"/>
      <c r="T1974" s="9"/>
      <c r="V1974" s="9"/>
      <c r="AC1974" s="9" t="s">
        <v>9888</v>
      </c>
      <c r="AH1974" s="9">
        <v>2110</v>
      </c>
      <c r="AI1974" s="9" t="s">
        <v>77</v>
      </c>
      <c r="AJ1974" s="9" t="s">
        <v>301</v>
      </c>
      <c r="AK1974" s="23" t="str">
        <f t="shared" si="14"/>
        <v>2023GBP</v>
      </c>
      <c r="AL1974" s="23">
        <f>VLOOKUP(AK1974, Exchange_rates!$C:$D, 2, FALSE)</f>
        <v>1</v>
      </c>
      <c r="AM1974" s="26">
        <f t="shared" si="15"/>
        <v>2532</v>
      </c>
      <c r="AN1974" s="9"/>
      <c r="AO1974" s="9"/>
      <c r="AP1974" s="9"/>
      <c r="AQ1974" s="15" t="s">
        <v>49</v>
      </c>
      <c r="AR1974" t="s">
        <v>857</v>
      </c>
      <c r="AS1974" s="16" t="s">
        <v>858</v>
      </c>
    </row>
    <row r="1975" spans="1:60" ht="14.5">
      <c r="A1975" s="9" t="s">
        <v>9889</v>
      </c>
      <c r="B1975" s="9" t="s">
        <v>9890</v>
      </c>
      <c r="C1975" s="9" t="s">
        <v>9891</v>
      </c>
      <c r="D1975" s="9" t="s">
        <v>361</v>
      </c>
      <c r="E1975" s="9" t="s">
        <v>49</v>
      </c>
      <c r="F1975" s="9" t="s">
        <v>50</v>
      </c>
      <c r="G1975" s="9" t="s">
        <v>51</v>
      </c>
      <c r="H1975" s="9"/>
      <c r="I1975" s="9"/>
      <c r="J1975" s="10"/>
      <c r="K1975" s="10"/>
      <c r="L1975" s="10"/>
      <c r="M1975" s="10">
        <v>45083</v>
      </c>
      <c r="N1975" s="9">
        <v>2023</v>
      </c>
      <c r="O1975" s="9" t="s">
        <v>9884</v>
      </c>
      <c r="P1975" s="9" t="s">
        <v>53</v>
      </c>
      <c r="Q1975" s="9" t="s">
        <v>53</v>
      </c>
      <c r="S1975" s="9"/>
      <c r="T1975" s="9" t="s">
        <v>723</v>
      </c>
      <c r="V1975" s="9"/>
      <c r="AC1975" s="9" t="s">
        <v>9892</v>
      </c>
      <c r="AH1975" s="9">
        <v>2110</v>
      </c>
      <c r="AI1975" s="9" t="s">
        <v>875</v>
      </c>
      <c r="AJ1975" s="9" t="s">
        <v>301</v>
      </c>
      <c r="AK1975" s="23" t="str">
        <f t="shared" si="14"/>
        <v>2023GBP</v>
      </c>
      <c r="AL1975" s="23">
        <f>VLOOKUP(AK1975, Exchange_rates!$C:$D, 2, FALSE)</f>
        <v>1</v>
      </c>
      <c r="AM1975" s="26">
        <f t="shared" si="15"/>
        <v>2532</v>
      </c>
      <c r="AN1975" s="9"/>
      <c r="AO1975" s="9"/>
      <c r="AP1975" s="9"/>
      <c r="AQ1975" s="15" t="s">
        <v>49</v>
      </c>
      <c r="AR1975" t="s">
        <v>9893</v>
      </c>
      <c r="AS1975" s="16" t="s">
        <v>9894</v>
      </c>
    </row>
    <row r="1976" spans="1:60" ht="14.5">
      <c r="A1976" s="20" t="s">
        <v>9895</v>
      </c>
      <c r="B1976" s="20" t="s">
        <v>9896</v>
      </c>
      <c r="C1976" s="20" t="s">
        <v>9897</v>
      </c>
      <c r="D1976" s="20" t="s">
        <v>361</v>
      </c>
      <c r="E1976" s="20" t="s">
        <v>49</v>
      </c>
      <c r="F1976" s="20" t="s">
        <v>69</v>
      </c>
      <c r="G1976" s="20" t="s">
        <v>70</v>
      </c>
      <c r="H1976" s="20" t="s">
        <v>7424</v>
      </c>
      <c r="I1976" s="20" t="s">
        <v>72</v>
      </c>
      <c r="J1976" s="22"/>
      <c r="K1976" s="22"/>
      <c r="L1976" s="22"/>
      <c r="M1976" s="22">
        <v>45098</v>
      </c>
      <c r="N1976" s="20">
        <v>2023</v>
      </c>
      <c r="O1976" s="20" t="s">
        <v>9884</v>
      </c>
      <c r="P1976" s="20" t="s">
        <v>53</v>
      </c>
      <c r="Q1976" s="20" t="s">
        <v>53</v>
      </c>
      <c r="R1976" s="20"/>
      <c r="S1976" s="20"/>
      <c r="T1976" s="20"/>
      <c r="U1976" s="20"/>
      <c r="V1976" s="20"/>
      <c r="W1976" s="20"/>
      <c r="X1976" s="20"/>
      <c r="Y1976" s="20"/>
      <c r="Z1976" s="20"/>
      <c r="AA1976" s="20"/>
      <c r="AB1976" s="20"/>
      <c r="AC1976" s="20" t="s">
        <v>9898</v>
      </c>
      <c r="AD1976" s="20"/>
      <c r="AE1976" s="20"/>
      <c r="AF1976" s="20"/>
      <c r="AG1976" s="20"/>
      <c r="AH1976" s="20">
        <v>2110</v>
      </c>
      <c r="AI1976" s="20" t="s">
        <v>875</v>
      </c>
      <c r="AJ1976" s="20" t="s">
        <v>301</v>
      </c>
      <c r="AK1976" s="23" t="str">
        <f t="shared" si="14"/>
        <v>2023GBP</v>
      </c>
      <c r="AL1976" s="23">
        <f>VLOOKUP(AK1976, Exchange_rates!$C:$D, 2, FALSE)</f>
        <v>1</v>
      </c>
      <c r="AM1976" s="26">
        <f t="shared" si="15"/>
        <v>2532</v>
      </c>
      <c r="AN1976" s="20"/>
      <c r="AO1976" s="20"/>
      <c r="AP1976" s="20"/>
      <c r="AQ1976" s="27" t="s">
        <v>49</v>
      </c>
      <c r="AR1976" t="s">
        <v>9899</v>
      </c>
      <c r="AS1976" s="16" t="s">
        <v>9900</v>
      </c>
      <c r="AT1976" s="20"/>
      <c r="AU1976" s="20"/>
      <c r="AV1976" s="20"/>
      <c r="AW1976" s="20"/>
      <c r="AX1976" s="20"/>
      <c r="AY1976" s="20"/>
      <c r="AZ1976" s="20"/>
      <c r="BA1976" s="20"/>
      <c r="BB1976" s="20"/>
      <c r="BC1976" s="20"/>
      <c r="BD1976" s="20"/>
      <c r="BE1976" s="20"/>
      <c r="BF1976" s="20"/>
      <c r="BG1976" s="20"/>
      <c r="BH1976" s="20"/>
    </row>
    <row r="1977" spans="1:60" ht="14.5">
      <c r="A1977" s="9" t="s">
        <v>9901</v>
      </c>
      <c r="B1977" s="9" t="s">
        <v>9902</v>
      </c>
      <c r="C1977" s="9" t="s">
        <v>8681</v>
      </c>
      <c r="D1977" s="9" t="s">
        <v>2479</v>
      </c>
      <c r="E1977" s="9" t="s">
        <v>49</v>
      </c>
      <c r="F1977" s="9" t="s">
        <v>69</v>
      </c>
      <c r="G1977" s="9" t="s">
        <v>70</v>
      </c>
      <c r="H1977" s="9" t="s">
        <v>8594</v>
      </c>
      <c r="I1977" s="9" t="s">
        <v>72</v>
      </c>
      <c r="J1977" s="10">
        <v>44939</v>
      </c>
      <c r="K1977" s="10">
        <v>45114</v>
      </c>
      <c r="L1977" s="10"/>
      <c r="M1977" s="10">
        <v>45133</v>
      </c>
      <c r="N1977" s="9">
        <v>2023</v>
      </c>
      <c r="O1977" s="9" t="s">
        <v>9903</v>
      </c>
      <c r="P1977" s="9" t="s">
        <v>83</v>
      </c>
      <c r="Q1977" s="9" t="s">
        <v>53</v>
      </c>
      <c r="R1977" s="9" t="s">
        <v>9904</v>
      </c>
      <c r="S1977" s="9"/>
      <c r="T1977" s="9"/>
      <c r="V1977" s="9"/>
      <c r="AC1977" s="9" t="s">
        <v>5802</v>
      </c>
      <c r="AD1977" s="9" t="s">
        <v>5803</v>
      </c>
      <c r="AF1977" s="9" t="s">
        <v>9905</v>
      </c>
      <c r="AH1977" s="9">
        <v>2383.23</v>
      </c>
      <c r="AI1977" s="9" t="s">
        <v>77</v>
      </c>
      <c r="AJ1977" s="9" t="s">
        <v>301</v>
      </c>
      <c r="AK1977" s="23" t="str">
        <f t="shared" si="14"/>
        <v>2023GBP</v>
      </c>
      <c r="AL1977" s="23">
        <f>VLOOKUP(AK1977, Exchange_rates!$C:$D, 2, FALSE)</f>
        <v>1</v>
      </c>
      <c r="AM1977" s="26">
        <f t="shared" si="15"/>
        <v>2859.8759999999997</v>
      </c>
      <c r="AN1977" s="9"/>
      <c r="AO1977" s="9"/>
      <c r="AP1977" s="9"/>
      <c r="AQ1977" s="15" t="s">
        <v>49</v>
      </c>
      <c r="AR1977" t="s">
        <v>8683</v>
      </c>
      <c r="AS1977" s="16" t="s">
        <v>8684</v>
      </c>
    </row>
    <row r="1978" spans="1:60" ht="14.5">
      <c r="A1978" s="43" t="s">
        <v>9906</v>
      </c>
      <c r="B1978" s="9" t="s">
        <v>9907</v>
      </c>
      <c r="C1978" s="9" t="s">
        <v>2683</v>
      </c>
      <c r="D1978" s="9" t="s">
        <v>2479</v>
      </c>
      <c r="E1978" s="9" t="s">
        <v>49</v>
      </c>
      <c r="F1978" s="9" t="s">
        <v>69</v>
      </c>
      <c r="G1978" s="9" t="s">
        <v>70</v>
      </c>
      <c r="H1978" s="9" t="s">
        <v>8594</v>
      </c>
      <c r="I1978" s="9" t="s">
        <v>72</v>
      </c>
      <c r="J1978" s="10">
        <v>45033</v>
      </c>
      <c r="K1978" s="10">
        <v>45120</v>
      </c>
      <c r="L1978" s="10"/>
      <c r="M1978" s="10"/>
      <c r="N1978" s="9">
        <v>2023</v>
      </c>
      <c r="O1978" s="9" t="s">
        <v>9903</v>
      </c>
      <c r="P1978" s="9" t="s">
        <v>53</v>
      </c>
      <c r="Q1978" s="9" t="s">
        <v>53</v>
      </c>
      <c r="R1978" s="9" t="s">
        <v>9908</v>
      </c>
      <c r="S1978" s="9"/>
      <c r="T1978" s="9"/>
      <c r="V1978" s="9"/>
      <c r="AC1978" s="9" t="s">
        <v>7923</v>
      </c>
      <c r="AD1978" s="9" t="s">
        <v>7924</v>
      </c>
      <c r="AH1978" s="9">
        <v>2383.23</v>
      </c>
      <c r="AI1978" s="9" t="s">
        <v>77</v>
      </c>
      <c r="AJ1978" s="9" t="s">
        <v>301</v>
      </c>
      <c r="AK1978" s="23" t="str">
        <f t="shared" si="14"/>
        <v>2023GBP</v>
      </c>
      <c r="AL1978" s="23">
        <f>VLOOKUP(AK1978, Exchange_rates!$C:$D, 2, FALSE)</f>
        <v>1</v>
      </c>
      <c r="AM1978" s="26">
        <f t="shared" si="15"/>
        <v>2859.8759999999997</v>
      </c>
      <c r="AN1978" s="9"/>
      <c r="AO1978" s="9"/>
      <c r="AP1978" s="9"/>
      <c r="AQ1978" s="15" t="s">
        <v>49</v>
      </c>
      <c r="AR1978" t="s">
        <v>2685</v>
      </c>
      <c r="AS1978" s="16" t="s">
        <v>2685</v>
      </c>
    </row>
    <row r="1979" spans="1:60" ht="14.5">
      <c r="A1979" s="20" t="s">
        <v>9909</v>
      </c>
      <c r="B1979" s="20" t="s">
        <v>9910</v>
      </c>
      <c r="C1979" s="20" t="s">
        <v>8242</v>
      </c>
      <c r="D1979" s="20" t="s">
        <v>2479</v>
      </c>
      <c r="E1979" s="20" t="s">
        <v>49</v>
      </c>
      <c r="F1979" s="20" t="s">
        <v>69</v>
      </c>
      <c r="G1979" s="20" t="s">
        <v>70</v>
      </c>
      <c r="H1979" s="20" t="s">
        <v>8594</v>
      </c>
      <c r="I1979" s="20" t="s">
        <v>72</v>
      </c>
      <c r="J1979" s="22">
        <v>44753</v>
      </c>
      <c r="K1979" s="22">
        <v>45132</v>
      </c>
      <c r="L1979" s="22"/>
      <c r="M1979" s="22"/>
      <c r="N1979" s="20">
        <v>2023</v>
      </c>
      <c r="O1979" s="20" t="s">
        <v>9903</v>
      </c>
      <c r="P1979" s="20" t="s">
        <v>83</v>
      </c>
      <c r="Q1979" s="20" t="s">
        <v>53</v>
      </c>
      <c r="R1979" s="20" t="s">
        <v>9911</v>
      </c>
      <c r="S1979" s="20"/>
      <c r="T1979" s="20"/>
      <c r="U1979" s="20"/>
      <c r="V1979" s="20"/>
      <c r="W1979" s="20"/>
      <c r="X1979" s="20"/>
      <c r="Y1979" s="20"/>
      <c r="Z1979" s="20"/>
      <c r="AA1979" s="20"/>
      <c r="AB1979" s="20"/>
      <c r="AC1979" s="20" t="s">
        <v>9912</v>
      </c>
      <c r="AD1979" s="20" t="s">
        <v>9913</v>
      </c>
      <c r="AE1979" s="20"/>
      <c r="AF1979" s="20"/>
      <c r="AG1979" s="20"/>
      <c r="AH1979" s="20">
        <v>2566.5500000000002</v>
      </c>
      <c r="AI1979" s="20" t="s">
        <v>77</v>
      </c>
      <c r="AJ1979" s="20" t="s">
        <v>301</v>
      </c>
      <c r="AK1979" s="23" t="str">
        <f t="shared" si="14"/>
        <v>2023GBP</v>
      </c>
      <c r="AL1979" s="23">
        <f>VLOOKUP(AK1979, Exchange_rates!$C:$D, 2, FALSE)</f>
        <v>1</v>
      </c>
      <c r="AM1979" s="26">
        <f t="shared" si="15"/>
        <v>3079.86</v>
      </c>
      <c r="AN1979" s="20"/>
      <c r="AO1979" s="20"/>
      <c r="AP1979" s="20"/>
      <c r="AQ1979" s="27" t="s">
        <v>49</v>
      </c>
      <c r="AR1979" t="s">
        <v>8246</v>
      </c>
      <c r="AS1979" s="16" t="s">
        <v>8247</v>
      </c>
      <c r="AT1979" s="20"/>
      <c r="AU1979" s="20"/>
      <c r="AV1979" s="20"/>
      <c r="AW1979" s="20"/>
      <c r="AX1979" s="20"/>
      <c r="AY1979" s="20"/>
      <c r="AZ1979" s="20"/>
      <c r="BA1979" s="20"/>
      <c r="BB1979" s="20"/>
      <c r="BC1979" s="20"/>
      <c r="BD1979" s="20"/>
      <c r="BE1979" s="20"/>
      <c r="BF1979" s="20"/>
      <c r="BG1979" s="20"/>
      <c r="BH1979" s="20"/>
    </row>
    <row r="1980" spans="1:60" ht="14.5">
      <c r="A1980" s="9" t="s">
        <v>9914</v>
      </c>
      <c r="B1980" s="9" t="s">
        <v>9915</v>
      </c>
      <c r="C1980" s="9" t="s">
        <v>785</v>
      </c>
      <c r="D1980" s="9" t="s">
        <v>361</v>
      </c>
      <c r="E1980" s="9" t="s">
        <v>49</v>
      </c>
      <c r="F1980" s="9" t="s">
        <v>69</v>
      </c>
      <c r="G1980" s="9" t="s">
        <v>70</v>
      </c>
      <c r="H1980" s="9" t="s">
        <v>7424</v>
      </c>
      <c r="I1980" s="9" t="s">
        <v>72</v>
      </c>
      <c r="J1980" s="10">
        <v>45086</v>
      </c>
      <c r="K1980" s="10"/>
      <c r="L1980" s="10"/>
      <c r="M1980" s="10">
        <v>45112</v>
      </c>
      <c r="N1980" s="9">
        <v>2023</v>
      </c>
      <c r="O1980" s="9" t="s">
        <v>9916</v>
      </c>
      <c r="P1980" s="9" t="s">
        <v>83</v>
      </c>
      <c r="Q1980" s="9" t="s">
        <v>53</v>
      </c>
      <c r="R1980" s="9" t="s">
        <v>9917</v>
      </c>
      <c r="S1980" s="9"/>
      <c r="T1980" s="9"/>
      <c r="V1980" s="9"/>
      <c r="AC1980" s="9" t="s">
        <v>9918</v>
      </c>
      <c r="AH1980" s="9">
        <v>2110</v>
      </c>
      <c r="AI1980" s="9" t="s">
        <v>77</v>
      </c>
      <c r="AJ1980" s="9" t="s">
        <v>301</v>
      </c>
      <c r="AK1980" s="23" t="str">
        <f t="shared" si="14"/>
        <v>2023GBP</v>
      </c>
      <c r="AL1980" s="23">
        <f>VLOOKUP(AK1980, Exchange_rates!$C:$D, 2, FALSE)</f>
        <v>1</v>
      </c>
      <c r="AM1980" s="26">
        <f t="shared" si="15"/>
        <v>2532</v>
      </c>
      <c r="AN1980" s="9"/>
      <c r="AO1980" s="9"/>
      <c r="AP1980" s="9"/>
      <c r="AQ1980" s="15" t="s">
        <v>49</v>
      </c>
      <c r="AR1980" t="s">
        <v>789</v>
      </c>
      <c r="AS1980" s="16" t="s">
        <v>790</v>
      </c>
    </row>
    <row r="1981" spans="1:60" ht="14.5">
      <c r="A1981" s="9" t="s">
        <v>9919</v>
      </c>
      <c r="B1981" s="9" t="s">
        <v>9920</v>
      </c>
      <c r="C1981" s="9" t="s">
        <v>9921</v>
      </c>
      <c r="D1981" s="9" t="s">
        <v>9922</v>
      </c>
      <c r="E1981" s="9" t="s">
        <v>49</v>
      </c>
      <c r="F1981" s="9" t="s">
        <v>69</v>
      </c>
      <c r="G1981" s="9" t="s">
        <v>70</v>
      </c>
      <c r="H1981" s="9" t="s">
        <v>9923</v>
      </c>
      <c r="I1981" s="9" t="s">
        <v>72</v>
      </c>
      <c r="J1981" s="10"/>
      <c r="K1981" s="10"/>
      <c r="L1981" s="10">
        <v>45043</v>
      </c>
      <c r="M1981" s="10">
        <v>45103</v>
      </c>
      <c r="N1981" s="9">
        <v>2023</v>
      </c>
      <c r="O1981" s="9" t="s">
        <v>9924</v>
      </c>
      <c r="P1981" s="9" t="s">
        <v>83</v>
      </c>
      <c r="Q1981" s="9" t="s">
        <v>53</v>
      </c>
      <c r="R1981" s="9" t="s">
        <v>9925</v>
      </c>
      <c r="S1981" s="9"/>
      <c r="T1981" s="9"/>
      <c r="V1981" s="9"/>
      <c r="AC1981" s="9" t="s">
        <v>9926</v>
      </c>
      <c r="AD1981" s="9" t="s">
        <v>9927</v>
      </c>
      <c r="AE1981" s="9" t="s">
        <v>9928</v>
      </c>
      <c r="AF1981" s="9" t="s">
        <v>9929</v>
      </c>
      <c r="AH1981" s="9">
        <v>3000</v>
      </c>
      <c r="AI1981" s="9" t="s">
        <v>77</v>
      </c>
      <c r="AJ1981" s="9" t="s">
        <v>57</v>
      </c>
      <c r="AK1981" s="23" t="str">
        <f t="shared" si="14"/>
        <v>2023USD</v>
      </c>
      <c r="AL1981" s="23">
        <f>VLOOKUP(AK1981, Exchange_rates!$C:$D, 2, FALSE)</f>
        <v>0.80430000000000001</v>
      </c>
      <c r="AM1981" s="26">
        <f t="shared" si="15"/>
        <v>2895.48</v>
      </c>
      <c r="AN1981" s="9"/>
      <c r="AO1981" s="9"/>
      <c r="AP1981" s="9"/>
      <c r="AQ1981" s="15" t="s">
        <v>49</v>
      </c>
      <c r="AR1981" t="s">
        <v>9930</v>
      </c>
      <c r="AS1981" s="16" t="s">
        <v>9931</v>
      </c>
    </row>
    <row r="1982" spans="1:60" ht="14.5">
      <c r="A1982" s="9" t="s">
        <v>9932</v>
      </c>
      <c r="B1982" s="9" t="s">
        <v>9933</v>
      </c>
      <c r="C1982" s="9" t="s">
        <v>9934</v>
      </c>
      <c r="D1982" s="9" t="s">
        <v>207</v>
      </c>
      <c r="E1982" s="9" t="s">
        <v>49</v>
      </c>
      <c r="F1982" s="9" t="s">
        <v>69</v>
      </c>
      <c r="G1982" s="9" t="s">
        <v>70</v>
      </c>
      <c r="H1982" s="9" t="s">
        <v>9935</v>
      </c>
      <c r="I1982" s="9" t="s">
        <v>72</v>
      </c>
      <c r="J1982" s="10"/>
      <c r="K1982" s="10"/>
      <c r="L1982" s="10"/>
      <c r="M1982" s="10">
        <v>44998</v>
      </c>
      <c r="N1982" s="9">
        <v>2023</v>
      </c>
      <c r="O1982" s="9" t="s">
        <v>9936</v>
      </c>
      <c r="P1982" s="9" t="s">
        <v>53</v>
      </c>
      <c r="Q1982" s="9" t="s">
        <v>53</v>
      </c>
      <c r="R1982" s="9" t="s">
        <v>210</v>
      </c>
      <c r="S1982" s="9"/>
      <c r="T1982" s="9"/>
      <c r="V1982" s="9"/>
      <c r="AC1982" s="9" t="s">
        <v>9937</v>
      </c>
      <c r="AH1982" s="9">
        <v>2295</v>
      </c>
      <c r="AI1982" s="9" t="s">
        <v>875</v>
      </c>
      <c r="AJ1982" s="9" t="s">
        <v>1823</v>
      </c>
      <c r="AK1982" s="23" t="str">
        <f t="shared" si="14"/>
        <v>2023EUR</v>
      </c>
      <c r="AL1982" s="23">
        <f>VLOOKUP(AK1982, Exchange_rates!$C:$D, 2, FALSE)</f>
        <v>0.87029999999999996</v>
      </c>
      <c r="AM1982" s="26">
        <f t="shared" si="15"/>
        <v>2396.8061999999995</v>
      </c>
      <c r="AN1982" s="9"/>
      <c r="AO1982" s="9"/>
      <c r="AP1982" s="9"/>
      <c r="AQ1982" s="15" t="s">
        <v>49</v>
      </c>
      <c r="AR1982" t="s">
        <v>228</v>
      </c>
      <c r="AS1982" s="16" t="s">
        <v>229</v>
      </c>
    </row>
    <row r="1983" spans="1:60" ht="14.5">
      <c r="A1983" s="9" t="s">
        <v>9938</v>
      </c>
      <c r="B1983" s="9" t="s">
        <v>9939</v>
      </c>
      <c r="C1983" s="9" t="s">
        <v>9940</v>
      </c>
      <c r="D1983" s="9" t="s">
        <v>207</v>
      </c>
      <c r="E1983" s="9" t="s">
        <v>49</v>
      </c>
      <c r="F1983" s="9" t="s">
        <v>69</v>
      </c>
      <c r="G1983" s="9" t="s">
        <v>70</v>
      </c>
      <c r="H1983" s="9" t="s">
        <v>9935</v>
      </c>
      <c r="I1983" s="9" t="s">
        <v>72</v>
      </c>
      <c r="J1983" s="10"/>
      <c r="K1983" s="10"/>
      <c r="L1983" s="10"/>
      <c r="M1983" s="10">
        <v>45090</v>
      </c>
      <c r="N1983" s="9">
        <v>2023</v>
      </c>
      <c r="O1983" s="9" t="s">
        <v>9936</v>
      </c>
      <c r="P1983" s="9" t="s">
        <v>53</v>
      </c>
      <c r="Q1983" s="9" t="s">
        <v>53</v>
      </c>
      <c r="R1983" s="9" t="s">
        <v>210</v>
      </c>
      <c r="S1983" s="9"/>
      <c r="T1983" s="9"/>
      <c r="V1983" s="9"/>
      <c r="AC1983" s="9" t="s">
        <v>9941</v>
      </c>
      <c r="AH1983" s="9">
        <v>2295</v>
      </c>
      <c r="AI1983" s="9" t="s">
        <v>875</v>
      </c>
      <c r="AJ1983" s="9" t="s">
        <v>1823</v>
      </c>
      <c r="AK1983" s="23" t="str">
        <f t="shared" si="14"/>
        <v>2023EUR</v>
      </c>
      <c r="AL1983" s="23">
        <f>VLOOKUP(AK1983, Exchange_rates!$C:$D, 2, FALSE)</f>
        <v>0.87029999999999996</v>
      </c>
      <c r="AM1983" s="26">
        <f t="shared" si="15"/>
        <v>2396.8061999999995</v>
      </c>
      <c r="AN1983" s="9"/>
      <c r="AO1983" s="9"/>
      <c r="AP1983" s="9"/>
      <c r="AQ1983" s="15" t="s">
        <v>49</v>
      </c>
      <c r="AR1983" t="s">
        <v>9942</v>
      </c>
      <c r="AS1983" s="16" t="s">
        <v>9943</v>
      </c>
    </row>
    <row r="1984" spans="1:60" ht="14.5">
      <c r="A1984" s="9" t="s">
        <v>9944</v>
      </c>
      <c r="B1984" s="9" t="s">
        <v>9945</v>
      </c>
      <c r="C1984" s="9" t="s">
        <v>1536</v>
      </c>
      <c r="D1984" s="9" t="s">
        <v>1527</v>
      </c>
      <c r="E1984" s="17" t="s">
        <v>49</v>
      </c>
      <c r="F1984" s="9" t="s">
        <v>69</v>
      </c>
      <c r="G1984" s="9" t="s">
        <v>70</v>
      </c>
      <c r="H1984" s="9" t="s">
        <v>9946</v>
      </c>
      <c r="I1984" s="9" t="s">
        <v>72</v>
      </c>
      <c r="J1984" s="10">
        <v>44783</v>
      </c>
      <c r="K1984" s="10">
        <v>45100</v>
      </c>
      <c r="L1984" s="10">
        <v>45103</v>
      </c>
      <c r="M1984" s="10">
        <v>45131</v>
      </c>
      <c r="N1984" s="9">
        <v>2023</v>
      </c>
      <c r="O1984" s="9" t="s">
        <v>9947</v>
      </c>
      <c r="P1984" s="9" t="s">
        <v>53</v>
      </c>
      <c r="Q1984" s="9" t="s">
        <v>83</v>
      </c>
      <c r="R1984" s="9" t="s">
        <v>9948</v>
      </c>
      <c r="S1984" s="9"/>
      <c r="T1984" s="9"/>
      <c r="V1984" s="9"/>
      <c r="AC1984" s="9" t="s">
        <v>9949</v>
      </c>
      <c r="AD1984" s="9" t="s">
        <v>5643</v>
      </c>
      <c r="AE1984" s="9" t="s">
        <v>5644</v>
      </c>
      <c r="AH1984" s="9">
        <v>4800</v>
      </c>
      <c r="AI1984" s="9" t="s">
        <v>77</v>
      </c>
      <c r="AJ1984" s="9" t="s">
        <v>57</v>
      </c>
      <c r="AK1984" s="23" t="str">
        <f t="shared" si="14"/>
        <v>2023USD</v>
      </c>
      <c r="AL1984" s="23">
        <f>VLOOKUP(AK1984, Exchange_rates!$C:$D, 2, FALSE)</f>
        <v>0.80430000000000001</v>
      </c>
      <c r="AM1984" s="26">
        <f t="shared" si="15"/>
        <v>4632.768</v>
      </c>
      <c r="AN1984" s="9"/>
      <c r="AO1984" s="9"/>
      <c r="AP1984" s="17"/>
      <c r="AQ1984" s="15" t="s">
        <v>49</v>
      </c>
      <c r="AR1984" t="s">
        <v>1540</v>
      </c>
      <c r="AS1984" s="16" t="s">
        <v>1541</v>
      </c>
    </row>
    <row r="1985" spans="1:45" ht="14.5">
      <c r="A1985" s="9" t="s">
        <v>9950</v>
      </c>
      <c r="B1985" s="9" t="s">
        <v>9951</v>
      </c>
      <c r="C1985" s="9" t="s">
        <v>1911</v>
      </c>
      <c r="D1985" s="9" t="s">
        <v>1895</v>
      </c>
      <c r="E1985" s="17" t="s">
        <v>125</v>
      </c>
      <c r="F1985" s="9" t="s">
        <v>69</v>
      </c>
      <c r="G1985" s="9" t="s">
        <v>70</v>
      </c>
      <c r="H1985" s="9" t="s">
        <v>7713</v>
      </c>
      <c r="I1985" s="9" t="s">
        <v>72</v>
      </c>
      <c r="J1985" s="10">
        <v>45106</v>
      </c>
      <c r="K1985" s="10">
        <v>45119</v>
      </c>
      <c r="L1985" s="10">
        <v>45119</v>
      </c>
      <c r="M1985" s="10">
        <v>45124</v>
      </c>
      <c r="N1985" s="9">
        <v>2023</v>
      </c>
      <c r="O1985" s="9" t="s">
        <v>9952</v>
      </c>
      <c r="P1985" s="9" t="s">
        <v>83</v>
      </c>
      <c r="Q1985" s="9" t="s">
        <v>53</v>
      </c>
      <c r="R1985" s="9" t="s">
        <v>9953</v>
      </c>
      <c r="S1985" s="9"/>
      <c r="T1985" s="9"/>
      <c r="V1985" s="9"/>
      <c r="AC1985" s="9" t="s">
        <v>9954</v>
      </c>
      <c r="AD1985" s="9" t="s">
        <v>9955</v>
      </c>
      <c r="AE1985" s="9" t="s">
        <v>9956</v>
      </c>
      <c r="AH1985" s="9">
        <v>2100</v>
      </c>
      <c r="AI1985" s="9" t="s">
        <v>77</v>
      </c>
      <c r="AJ1985" s="9" t="s">
        <v>301</v>
      </c>
      <c r="AK1985" s="23" t="str">
        <f t="shared" si="14"/>
        <v>2023GBP</v>
      </c>
      <c r="AL1985" s="23">
        <f>VLOOKUP(AK1985, Exchange_rates!$C:$D, 2, FALSE)</f>
        <v>1</v>
      </c>
      <c r="AM1985" s="26">
        <f t="shared" si="15"/>
        <v>2520</v>
      </c>
      <c r="AN1985" s="9"/>
      <c r="AO1985" s="9"/>
      <c r="AP1985" s="17"/>
      <c r="AQ1985" s="15" t="s">
        <v>125</v>
      </c>
      <c r="AR1985" t="s">
        <v>1914</v>
      </c>
      <c r="AS1985" s="16"/>
    </row>
    <row r="1986" spans="1:45" ht="14.5">
      <c r="A1986" s="9" t="s">
        <v>9957</v>
      </c>
      <c r="B1986" s="9" t="s">
        <v>9958</v>
      </c>
      <c r="C1986" s="9" t="s">
        <v>1894</v>
      </c>
      <c r="D1986" s="9" t="s">
        <v>1895</v>
      </c>
      <c r="E1986" s="9" t="s">
        <v>49</v>
      </c>
      <c r="F1986" s="9" t="s">
        <v>69</v>
      </c>
      <c r="G1986" s="9" t="s">
        <v>70</v>
      </c>
      <c r="H1986" s="9" t="s">
        <v>7713</v>
      </c>
      <c r="I1986" s="9" t="s">
        <v>72</v>
      </c>
      <c r="J1986" s="10">
        <v>44936</v>
      </c>
      <c r="K1986" s="10">
        <v>45092</v>
      </c>
      <c r="L1986" s="10">
        <v>45092</v>
      </c>
      <c r="M1986" s="10">
        <v>45131</v>
      </c>
      <c r="N1986" s="9">
        <v>2023</v>
      </c>
      <c r="O1986" s="9" t="s">
        <v>9952</v>
      </c>
      <c r="P1986" s="9" t="s">
        <v>53</v>
      </c>
      <c r="Q1986" s="9" t="s">
        <v>53</v>
      </c>
      <c r="R1986" s="9" t="s">
        <v>9959</v>
      </c>
      <c r="S1986" s="9"/>
      <c r="T1986" s="9"/>
      <c r="V1986" s="9"/>
      <c r="AC1986" s="9" t="s">
        <v>9960</v>
      </c>
      <c r="AD1986" s="9" t="s">
        <v>9961</v>
      </c>
      <c r="AE1986" s="9" t="s">
        <v>9962</v>
      </c>
      <c r="AH1986" s="9">
        <v>2100</v>
      </c>
      <c r="AI1986" s="9" t="s">
        <v>77</v>
      </c>
      <c r="AJ1986" s="9" t="s">
        <v>301</v>
      </c>
      <c r="AK1986" s="23" t="str">
        <f t="shared" si="14"/>
        <v>2023GBP</v>
      </c>
      <c r="AL1986" s="23">
        <f>VLOOKUP(AK1986, Exchange_rates!$C:$D, 2, FALSE)</f>
        <v>1</v>
      </c>
      <c r="AM1986" s="26">
        <f t="shared" si="15"/>
        <v>2520</v>
      </c>
      <c r="AN1986" s="9"/>
      <c r="AO1986" s="9"/>
      <c r="AP1986" s="9"/>
      <c r="AQ1986" s="15" t="s">
        <v>49</v>
      </c>
      <c r="AR1986" t="s">
        <v>1899</v>
      </c>
      <c r="AS1986" s="16"/>
    </row>
    <row r="1987" spans="1:45" ht="14.5">
      <c r="A1987" s="9" t="s">
        <v>9963</v>
      </c>
      <c r="B1987" s="9" t="s">
        <v>9964</v>
      </c>
      <c r="C1987" s="9" t="s">
        <v>1894</v>
      </c>
      <c r="D1987" s="9" t="s">
        <v>1895</v>
      </c>
      <c r="E1987" s="9" t="s">
        <v>49</v>
      </c>
      <c r="F1987" s="9" t="s">
        <v>50</v>
      </c>
      <c r="G1987" s="9" t="s">
        <v>51</v>
      </c>
      <c r="H1987" s="9"/>
      <c r="I1987" s="9"/>
      <c r="J1987" s="10">
        <v>44942</v>
      </c>
      <c r="K1987" s="10">
        <v>44981</v>
      </c>
      <c r="L1987" s="10">
        <v>44981</v>
      </c>
      <c r="M1987" s="10">
        <v>45044</v>
      </c>
      <c r="N1987" s="9">
        <v>2023</v>
      </c>
      <c r="O1987" s="9" t="s">
        <v>9952</v>
      </c>
      <c r="P1987" s="9" t="s">
        <v>53</v>
      </c>
      <c r="Q1987" s="9" t="s">
        <v>53</v>
      </c>
      <c r="R1987" s="9" t="s">
        <v>9965</v>
      </c>
      <c r="S1987" s="9"/>
      <c r="T1987" s="9" t="s">
        <v>1912</v>
      </c>
      <c r="U1987" s="9" t="s">
        <v>9966</v>
      </c>
      <c r="V1987" s="9"/>
      <c r="AC1987" s="9" t="s">
        <v>9960</v>
      </c>
      <c r="AD1987" s="9" t="s">
        <v>9961</v>
      </c>
      <c r="AE1987" s="9" t="s">
        <v>9962</v>
      </c>
      <c r="AH1987" s="9">
        <v>2100</v>
      </c>
      <c r="AI1987" s="9" t="s">
        <v>77</v>
      </c>
      <c r="AJ1987" s="9" t="s">
        <v>301</v>
      </c>
      <c r="AK1987" s="23" t="str">
        <f t="shared" si="14"/>
        <v>2023GBP</v>
      </c>
      <c r="AL1987" s="23">
        <f>VLOOKUP(AK1987, Exchange_rates!$C:$D, 2, FALSE)</f>
        <v>1</v>
      </c>
      <c r="AM1987" s="26">
        <f t="shared" si="15"/>
        <v>2520</v>
      </c>
      <c r="AN1987" s="9"/>
      <c r="AO1987" s="9"/>
      <c r="AP1987" s="9"/>
      <c r="AQ1987" s="15" t="s">
        <v>49</v>
      </c>
      <c r="AR1987" t="s">
        <v>1899</v>
      </c>
      <c r="AS1987" s="16"/>
    </row>
    <row r="1988" spans="1:45" ht="14.5">
      <c r="A1988" s="9" t="s">
        <v>9967</v>
      </c>
      <c r="B1988" s="9" t="s">
        <v>9968</v>
      </c>
      <c r="C1988" s="9" t="s">
        <v>8917</v>
      </c>
      <c r="D1988" s="9" t="s">
        <v>1560</v>
      </c>
      <c r="E1988" s="9" t="s">
        <v>49</v>
      </c>
      <c r="F1988" s="9" t="s">
        <v>69</v>
      </c>
      <c r="G1988" s="9" t="s">
        <v>70</v>
      </c>
      <c r="H1988" s="9" t="s">
        <v>8860</v>
      </c>
      <c r="I1988" s="9" t="s">
        <v>72</v>
      </c>
      <c r="J1988" s="10"/>
      <c r="K1988" s="10">
        <v>45044</v>
      </c>
      <c r="M1988" s="10">
        <v>45077</v>
      </c>
      <c r="N1988" s="9">
        <v>2023</v>
      </c>
      <c r="O1988" s="9" t="s">
        <v>9969</v>
      </c>
      <c r="P1988" s="9" t="s">
        <v>53</v>
      </c>
      <c r="Q1988" s="9" t="s">
        <v>53</v>
      </c>
      <c r="R1988" s="9" t="s">
        <v>4823</v>
      </c>
      <c r="S1988" s="9"/>
      <c r="T1988" s="9"/>
      <c r="V1988" s="9"/>
      <c r="AC1988" s="9" t="s">
        <v>7723</v>
      </c>
      <c r="AD1988" s="9" t="s">
        <v>7724</v>
      </c>
      <c r="AH1988" s="9">
        <v>2808</v>
      </c>
      <c r="AI1988" s="9" t="s">
        <v>77</v>
      </c>
      <c r="AJ1988" s="9" t="s">
        <v>301</v>
      </c>
      <c r="AK1988" s="23" t="str">
        <f t="shared" si="14"/>
        <v>2023GBP</v>
      </c>
      <c r="AL1988" s="23">
        <f>VLOOKUP(AK1988, Exchange_rates!$C:$D, 2, FALSE)</f>
        <v>1</v>
      </c>
      <c r="AM1988" s="26">
        <f t="shared" si="15"/>
        <v>3369.6</v>
      </c>
      <c r="AN1988" s="9"/>
      <c r="AO1988" s="9"/>
      <c r="AP1988" s="9"/>
      <c r="AQ1988" s="15" t="s">
        <v>49</v>
      </c>
      <c r="AS1988" s="16" t="s">
        <v>8920</v>
      </c>
    </row>
    <row r="1989" spans="1:45" ht="14.5">
      <c r="A1989" s="9" t="s">
        <v>9970</v>
      </c>
      <c r="B1989" s="9" t="s">
        <v>9971</v>
      </c>
      <c r="C1989" s="9" t="s">
        <v>9972</v>
      </c>
      <c r="D1989" s="9" t="s">
        <v>1560</v>
      </c>
      <c r="E1989" s="9" t="s">
        <v>49</v>
      </c>
      <c r="F1989" s="9" t="s">
        <v>69</v>
      </c>
      <c r="G1989" s="9" t="s">
        <v>70</v>
      </c>
      <c r="H1989" s="9" t="s">
        <v>8860</v>
      </c>
      <c r="I1989" s="9" t="s">
        <v>238</v>
      </c>
      <c r="J1989" s="10"/>
      <c r="K1989" s="10">
        <v>45050</v>
      </c>
      <c r="L1989" s="44"/>
      <c r="M1989" s="10">
        <v>45086</v>
      </c>
      <c r="N1989" s="9">
        <v>2023</v>
      </c>
      <c r="O1989" s="9" t="s">
        <v>9969</v>
      </c>
      <c r="P1989" s="9" t="s">
        <v>53</v>
      </c>
      <c r="Q1989" s="9" t="s">
        <v>53</v>
      </c>
      <c r="R1989" s="9" t="s">
        <v>4823</v>
      </c>
      <c r="S1989" s="9"/>
      <c r="T1989" s="9"/>
      <c r="V1989" s="9"/>
      <c r="AC1989" s="9" t="s">
        <v>9973</v>
      </c>
      <c r="AD1989" s="9" t="s">
        <v>9974</v>
      </c>
      <c r="AH1989" s="9">
        <v>4151</v>
      </c>
      <c r="AI1989" s="9" t="s">
        <v>77</v>
      </c>
      <c r="AJ1989" s="9" t="s">
        <v>57</v>
      </c>
      <c r="AK1989" s="23" t="str">
        <f t="shared" si="14"/>
        <v>2023USD</v>
      </c>
      <c r="AL1989" s="23">
        <f>VLOOKUP(AK1989, Exchange_rates!$C:$D, 2, FALSE)</f>
        <v>0.80430000000000001</v>
      </c>
      <c r="AM1989" s="26">
        <f t="shared" si="15"/>
        <v>4006.37916</v>
      </c>
      <c r="AN1989" s="9"/>
      <c r="AO1989" s="9"/>
      <c r="AP1989" s="9"/>
      <c r="AQ1989" s="15" t="s">
        <v>49</v>
      </c>
      <c r="AS1989" s="16" t="s">
        <v>9975</v>
      </c>
    </row>
    <row r="1990" spans="1:45" ht="14.5">
      <c r="A1990" s="9" t="s">
        <v>9976</v>
      </c>
      <c r="B1990" s="9" t="s">
        <v>9977</v>
      </c>
      <c r="C1990" s="9" t="s">
        <v>9978</v>
      </c>
      <c r="D1990" s="9" t="s">
        <v>1560</v>
      </c>
      <c r="E1990" s="9" t="s">
        <v>49</v>
      </c>
      <c r="F1990" s="9" t="s">
        <v>69</v>
      </c>
      <c r="G1990" s="9" t="s">
        <v>70</v>
      </c>
      <c r="H1990" s="9" t="s">
        <v>8860</v>
      </c>
      <c r="I1990" s="9" t="s">
        <v>72</v>
      </c>
      <c r="J1990" s="10"/>
      <c r="K1990" s="10">
        <v>45052</v>
      </c>
      <c r="M1990" s="10">
        <v>45092</v>
      </c>
      <c r="N1990" s="9">
        <v>2023</v>
      </c>
      <c r="O1990" s="9" t="s">
        <v>9969</v>
      </c>
      <c r="P1990" s="9" t="s">
        <v>53</v>
      </c>
      <c r="Q1990" s="9" t="s">
        <v>53</v>
      </c>
      <c r="R1990" s="9" t="s">
        <v>4823</v>
      </c>
      <c r="S1990" s="9"/>
      <c r="T1990" s="9"/>
      <c r="V1990" s="9"/>
      <c r="AC1990" s="9" t="s">
        <v>9979</v>
      </c>
      <c r="AD1990" s="9" t="s">
        <v>9980</v>
      </c>
      <c r="AH1990" s="9">
        <v>3730</v>
      </c>
      <c r="AI1990" s="9" t="s">
        <v>77</v>
      </c>
      <c r="AJ1990" s="9" t="s">
        <v>57</v>
      </c>
      <c r="AK1990" s="23" t="str">
        <f t="shared" si="14"/>
        <v>2023USD</v>
      </c>
      <c r="AL1990" s="23">
        <f>VLOOKUP(AK1990, Exchange_rates!$C:$D, 2, FALSE)</f>
        <v>0.80430000000000001</v>
      </c>
      <c r="AM1990" s="26">
        <f t="shared" si="15"/>
        <v>3600.0468000000001</v>
      </c>
      <c r="AN1990" s="9"/>
      <c r="AO1990" s="9"/>
      <c r="AP1990" s="9"/>
      <c r="AQ1990" s="15" t="s">
        <v>49</v>
      </c>
      <c r="AR1990" t="s">
        <v>9981</v>
      </c>
      <c r="AS1990" s="16" t="s">
        <v>9982</v>
      </c>
    </row>
    <row r="1991" spans="1:45" ht="16.5" customHeight="1">
      <c r="A1991" s="9" t="s">
        <v>9983</v>
      </c>
      <c r="B1991" s="9" t="s">
        <v>9984</v>
      </c>
      <c r="C1991" s="9" t="s">
        <v>7721</v>
      </c>
      <c r="D1991" s="9" t="s">
        <v>1560</v>
      </c>
      <c r="E1991" s="9" t="s">
        <v>49</v>
      </c>
      <c r="F1991" s="9" t="s">
        <v>50</v>
      </c>
      <c r="G1991" s="9" t="s">
        <v>51</v>
      </c>
      <c r="H1991" s="9"/>
      <c r="I1991" s="9" t="s">
        <v>1647</v>
      </c>
      <c r="J1991" s="10"/>
      <c r="K1991" s="10">
        <v>45055</v>
      </c>
      <c r="M1991" s="10">
        <v>45065</v>
      </c>
      <c r="N1991" s="9">
        <v>2023</v>
      </c>
      <c r="O1991" s="9" t="s">
        <v>9969</v>
      </c>
      <c r="P1991" s="9" t="s">
        <v>53</v>
      </c>
      <c r="Q1991" s="9" t="s">
        <v>53</v>
      </c>
      <c r="R1991" s="9" t="s">
        <v>4823</v>
      </c>
      <c r="S1991" s="9"/>
      <c r="T1991" s="9" t="s">
        <v>1912</v>
      </c>
      <c r="U1991" s="9" t="s">
        <v>474</v>
      </c>
      <c r="V1991" s="9"/>
      <c r="AC1991" s="9" t="s">
        <v>9985</v>
      </c>
      <c r="AD1991" s="9" t="s">
        <v>6106</v>
      </c>
      <c r="AH1991" s="9">
        <v>2808</v>
      </c>
      <c r="AI1991" s="9" t="s">
        <v>77</v>
      </c>
      <c r="AJ1991" s="9" t="s">
        <v>301</v>
      </c>
      <c r="AK1991" s="23" t="str">
        <f t="shared" si="14"/>
        <v>2023GBP</v>
      </c>
      <c r="AL1991" s="23">
        <f>VLOOKUP(AK1991, Exchange_rates!$C:$D, 2, FALSE)</f>
        <v>1</v>
      </c>
      <c r="AM1991" s="26">
        <f t="shared" si="15"/>
        <v>3369.6</v>
      </c>
      <c r="AN1991" s="9"/>
      <c r="AO1991" s="9"/>
      <c r="AP1991" s="9"/>
      <c r="AQ1991" s="15" t="s">
        <v>49</v>
      </c>
      <c r="AR1991" t="s">
        <v>7725</v>
      </c>
      <c r="AS1991" s="16" t="s">
        <v>7726</v>
      </c>
    </row>
    <row r="1992" spans="1:45" ht="14.5">
      <c r="A1992" s="9" t="s">
        <v>9986</v>
      </c>
      <c r="B1992" s="9" t="s">
        <v>9987</v>
      </c>
      <c r="C1992" s="9" t="s">
        <v>9988</v>
      </c>
      <c r="D1992" s="9" t="s">
        <v>1560</v>
      </c>
      <c r="E1992" s="9" t="s">
        <v>49</v>
      </c>
      <c r="F1992" s="9" t="s">
        <v>69</v>
      </c>
      <c r="G1992" s="9" t="s">
        <v>70</v>
      </c>
      <c r="H1992" s="9" t="s">
        <v>8860</v>
      </c>
      <c r="I1992" s="9" t="s">
        <v>72</v>
      </c>
      <c r="J1992" s="10"/>
      <c r="K1992" s="10">
        <v>45056</v>
      </c>
      <c r="M1992" s="10">
        <v>45071</v>
      </c>
      <c r="N1992" s="9">
        <v>2023</v>
      </c>
      <c r="O1992" s="9" t="s">
        <v>9969</v>
      </c>
      <c r="P1992" s="9" t="s">
        <v>83</v>
      </c>
      <c r="Q1992" s="9" t="s">
        <v>53</v>
      </c>
      <c r="R1992" s="9" t="s">
        <v>9989</v>
      </c>
      <c r="S1992" s="9"/>
      <c r="T1992" s="9"/>
      <c r="V1992" s="9"/>
      <c r="AC1992" s="9" t="s">
        <v>9990</v>
      </c>
      <c r="AD1992" s="9" t="s">
        <v>9991</v>
      </c>
      <c r="AH1992" s="9">
        <v>2627</v>
      </c>
      <c r="AI1992" s="9" t="s">
        <v>77</v>
      </c>
      <c r="AJ1992" s="9" t="s">
        <v>301</v>
      </c>
      <c r="AK1992" s="23" t="str">
        <f t="shared" si="14"/>
        <v>2023GBP</v>
      </c>
      <c r="AL1992" s="23">
        <f>VLOOKUP(AK1992, Exchange_rates!$C:$D, 2, FALSE)</f>
        <v>1</v>
      </c>
      <c r="AM1992" s="26">
        <f t="shared" si="15"/>
        <v>3152.4</v>
      </c>
      <c r="AN1992" s="9"/>
      <c r="AO1992" s="9"/>
      <c r="AP1992" s="9"/>
      <c r="AQ1992" s="15" t="s">
        <v>49</v>
      </c>
      <c r="AS1992" s="16" t="s">
        <v>9992</v>
      </c>
    </row>
    <row r="1993" spans="1:45" ht="14.5">
      <c r="A1993" s="9" t="s">
        <v>9993</v>
      </c>
      <c r="B1993" s="9" t="s">
        <v>9994</v>
      </c>
      <c r="C1993" s="9" t="s">
        <v>1663</v>
      </c>
      <c r="D1993" s="9" t="s">
        <v>1560</v>
      </c>
      <c r="E1993" s="9" t="s">
        <v>49</v>
      </c>
      <c r="F1993" s="9" t="s">
        <v>69</v>
      </c>
      <c r="G1993" s="9" t="s">
        <v>70</v>
      </c>
      <c r="H1993" s="9" t="s">
        <v>8860</v>
      </c>
      <c r="I1993" s="9" t="s">
        <v>72</v>
      </c>
      <c r="J1993" s="10"/>
      <c r="K1993" s="10">
        <v>45057</v>
      </c>
      <c r="M1993" s="10">
        <v>45061</v>
      </c>
      <c r="N1993" s="9">
        <v>2023</v>
      </c>
      <c r="O1993" s="9" t="s">
        <v>9969</v>
      </c>
      <c r="P1993" s="9" t="s">
        <v>53</v>
      </c>
      <c r="Q1993" s="9" t="s">
        <v>53</v>
      </c>
      <c r="R1993" s="9" t="s">
        <v>4823</v>
      </c>
      <c r="S1993" s="9"/>
      <c r="T1993" s="9"/>
      <c r="V1993" s="9"/>
      <c r="AC1993" s="9" t="s">
        <v>9995</v>
      </c>
      <c r="AD1993" s="9" t="s">
        <v>1666</v>
      </c>
      <c r="AH1993" s="9">
        <v>4371</v>
      </c>
      <c r="AI1993" s="9" t="s">
        <v>77</v>
      </c>
      <c r="AJ1993" s="9" t="s">
        <v>57</v>
      </c>
      <c r="AK1993" s="23" t="str">
        <f t="shared" si="14"/>
        <v>2023USD</v>
      </c>
      <c r="AL1993" s="23">
        <f>VLOOKUP(AK1993, Exchange_rates!$C:$D, 2, FALSE)</f>
        <v>0.80430000000000001</v>
      </c>
      <c r="AM1993" s="26">
        <f t="shared" si="15"/>
        <v>4218.7143599999999</v>
      </c>
      <c r="AN1993" s="9"/>
      <c r="AO1993" s="9"/>
      <c r="AP1993" s="9"/>
      <c r="AQ1993" s="15" t="s">
        <v>49</v>
      </c>
      <c r="AR1993" t="s">
        <v>1667</v>
      </c>
      <c r="AS1993" s="16" t="s">
        <v>1668</v>
      </c>
    </row>
    <row r="1994" spans="1:45" ht="14.5">
      <c r="A1994" s="9" t="s">
        <v>9996</v>
      </c>
      <c r="B1994" s="9" t="s">
        <v>9997</v>
      </c>
      <c r="C1994" s="9" t="s">
        <v>1569</v>
      </c>
      <c r="D1994" s="9" t="s">
        <v>1560</v>
      </c>
      <c r="E1994" s="9" t="s">
        <v>125</v>
      </c>
      <c r="F1994" s="9" t="s">
        <v>69</v>
      </c>
      <c r="G1994" s="9" t="s">
        <v>51</v>
      </c>
      <c r="H1994" s="9"/>
      <c r="I1994" s="9" t="s">
        <v>72</v>
      </c>
      <c r="J1994" s="10"/>
      <c r="K1994" s="45">
        <v>45063</v>
      </c>
      <c r="L1994" s="44"/>
      <c r="M1994" s="10">
        <v>45086</v>
      </c>
      <c r="N1994" s="9">
        <v>2023</v>
      </c>
      <c r="O1994" s="9" t="s">
        <v>9969</v>
      </c>
      <c r="P1994" s="9" t="s">
        <v>83</v>
      </c>
      <c r="Q1994" s="9" t="s">
        <v>83</v>
      </c>
      <c r="R1994" s="9" t="s">
        <v>9998</v>
      </c>
      <c r="S1994" s="9"/>
      <c r="T1994" s="9"/>
      <c r="V1994" s="9"/>
      <c r="AC1994" s="9" t="s">
        <v>1867</v>
      </c>
      <c r="AD1994" s="9" t="s">
        <v>1868</v>
      </c>
      <c r="AH1994" s="9">
        <v>3630</v>
      </c>
      <c r="AI1994" s="9" t="s">
        <v>77</v>
      </c>
      <c r="AJ1994" s="9" t="s">
        <v>57</v>
      </c>
      <c r="AK1994" s="23" t="str">
        <f t="shared" si="14"/>
        <v>2023USD</v>
      </c>
      <c r="AL1994" s="23">
        <f>VLOOKUP(AK1994, Exchange_rates!$C:$D, 2, FALSE)</f>
        <v>0.80430000000000001</v>
      </c>
      <c r="AM1994" s="26">
        <f t="shared" si="15"/>
        <v>3503.5308</v>
      </c>
      <c r="AN1994" s="9"/>
      <c r="AO1994" s="9"/>
      <c r="AP1994" s="9"/>
      <c r="AQ1994" s="15" t="s">
        <v>125</v>
      </c>
      <c r="AR1994" t="s">
        <v>1573</v>
      </c>
      <c r="AS1994" s="16" t="s">
        <v>1574</v>
      </c>
    </row>
    <row r="1995" spans="1:45" ht="14.5">
      <c r="A1995" s="9" t="s">
        <v>9999</v>
      </c>
      <c r="B1995" s="9" t="s">
        <v>10000</v>
      </c>
      <c r="C1995" s="9" t="s">
        <v>1779</v>
      </c>
      <c r="D1995" s="9" t="s">
        <v>1560</v>
      </c>
      <c r="E1995" s="9" t="s">
        <v>125</v>
      </c>
      <c r="F1995" s="9" t="s">
        <v>69</v>
      </c>
      <c r="G1995" s="9" t="s">
        <v>70</v>
      </c>
      <c r="H1995" s="9" t="s">
        <v>8860</v>
      </c>
      <c r="I1995" s="9" t="s">
        <v>72</v>
      </c>
      <c r="J1995" s="10"/>
      <c r="K1995" s="45">
        <v>45065</v>
      </c>
      <c r="M1995" s="10">
        <v>45093</v>
      </c>
      <c r="N1995" s="9">
        <v>2023</v>
      </c>
      <c r="O1995" s="9" t="s">
        <v>9969</v>
      </c>
      <c r="P1995" s="9" t="s">
        <v>53</v>
      </c>
      <c r="Q1995" s="9" t="s">
        <v>53</v>
      </c>
      <c r="R1995" s="9" t="s">
        <v>4823</v>
      </c>
      <c r="S1995" s="9"/>
      <c r="T1995" s="9"/>
      <c r="V1995" s="9"/>
      <c r="AC1995" s="9" t="s">
        <v>10001</v>
      </c>
      <c r="AD1995" s="9" t="s">
        <v>5318</v>
      </c>
      <c r="AH1995" s="9">
        <v>1496</v>
      </c>
      <c r="AI1995" s="9" t="s">
        <v>77</v>
      </c>
      <c r="AJ1995" s="9" t="s">
        <v>57</v>
      </c>
      <c r="AK1995" s="23" t="str">
        <f t="shared" si="14"/>
        <v>2023USD</v>
      </c>
      <c r="AL1995" s="23">
        <f>VLOOKUP(AK1995, Exchange_rates!$C:$D, 2, FALSE)</f>
        <v>0.80430000000000001</v>
      </c>
      <c r="AM1995" s="26">
        <f t="shared" si="15"/>
        <v>1443.8793599999999</v>
      </c>
      <c r="AN1995" s="9"/>
      <c r="AO1995" s="9"/>
      <c r="AP1995" s="9"/>
      <c r="AQ1995" s="15" t="s">
        <v>125</v>
      </c>
      <c r="AS1995" s="16" t="s">
        <v>1782</v>
      </c>
    </row>
    <row r="1996" spans="1:45" ht="14.5">
      <c r="A1996" s="9" t="s">
        <v>10002</v>
      </c>
      <c r="B1996" s="9" t="s">
        <v>10003</v>
      </c>
      <c r="C1996" s="9" t="s">
        <v>1696</v>
      </c>
      <c r="D1996" s="9" t="s">
        <v>1560</v>
      </c>
      <c r="E1996" s="9" t="s">
        <v>49</v>
      </c>
      <c r="F1996" s="9" t="s">
        <v>69</v>
      </c>
      <c r="G1996" s="9" t="s">
        <v>70</v>
      </c>
      <c r="H1996" s="9" t="s">
        <v>8860</v>
      </c>
      <c r="I1996" s="9" t="s">
        <v>72</v>
      </c>
      <c r="J1996" s="10"/>
      <c r="K1996" s="45">
        <v>45083</v>
      </c>
      <c r="L1996" s="44"/>
      <c r="M1996" s="10">
        <v>45087</v>
      </c>
      <c r="N1996" s="9">
        <v>2023</v>
      </c>
      <c r="O1996" s="9" t="s">
        <v>9969</v>
      </c>
      <c r="P1996" s="9" t="s">
        <v>83</v>
      </c>
      <c r="Q1996" s="9" t="s">
        <v>53</v>
      </c>
      <c r="R1996" s="9" t="s">
        <v>10004</v>
      </c>
      <c r="S1996" s="9"/>
      <c r="T1996" s="9"/>
      <c r="V1996" s="9"/>
      <c r="AC1996" s="9" t="s">
        <v>10005</v>
      </c>
      <c r="AD1996" s="9" t="s">
        <v>10006</v>
      </c>
      <c r="AH1996" s="9">
        <v>2198</v>
      </c>
      <c r="AI1996" s="9" t="s">
        <v>77</v>
      </c>
      <c r="AJ1996" s="9" t="s">
        <v>301</v>
      </c>
      <c r="AK1996" s="23" t="str">
        <f t="shared" si="14"/>
        <v>2023GBP</v>
      </c>
      <c r="AL1996" s="23">
        <f>VLOOKUP(AK1996, Exchange_rates!$C:$D, 2, FALSE)</f>
        <v>1</v>
      </c>
      <c r="AM1996" s="26">
        <f t="shared" si="15"/>
        <v>2637.6</v>
      </c>
      <c r="AN1996" s="9"/>
      <c r="AO1996" s="9"/>
      <c r="AP1996" s="9"/>
      <c r="AQ1996" s="15" t="s">
        <v>49</v>
      </c>
      <c r="AS1996" s="16" t="s">
        <v>1700</v>
      </c>
    </row>
    <row r="1997" spans="1:45" ht="14.5">
      <c r="A1997" s="9" t="s">
        <v>10007</v>
      </c>
      <c r="B1997" s="9" t="s">
        <v>10008</v>
      </c>
      <c r="C1997" s="9" t="s">
        <v>1623</v>
      </c>
      <c r="D1997" s="9" t="s">
        <v>1560</v>
      </c>
      <c r="E1997" s="9" t="s">
        <v>49</v>
      </c>
      <c r="F1997" s="9" t="s">
        <v>50</v>
      </c>
      <c r="G1997" s="9" t="s">
        <v>51</v>
      </c>
      <c r="H1997" s="9"/>
      <c r="I1997" s="9" t="s">
        <v>1647</v>
      </c>
      <c r="J1997" s="10"/>
      <c r="K1997" s="45">
        <v>45085</v>
      </c>
      <c r="M1997" s="10">
        <v>45098</v>
      </c>
      <c r="N1997" s="9">
        <v>2023</v>
      </c>
      <c r="O1997" s="9" t="s">
        <v>9969</v>
      </c>
      <c r="P1997" s="9" t="s">
        <v>53</v>
      </c>
      <c r="Q1997" s="9" t="s">
        <v>53</v>
      </c>
      <c r="R1997" s="9" t="s">
        <v>4823</v>
      </c>
      <c r="S1997" s="9"/>
      <c r="T1997" s="9" t="s">
        <v>1912</v>
      </c>
      <c r="U1997" s="9" t="s">
        <v>10009</v>
      </c>
      <c r="V1997" s="9"/>
      <c r="AC1997" s="9" t="s">
        <v>10010</v>
      </c>
      <c r="AD1997" s="9" t="s">
        <v>10011</v>
      </c>
      <c r="AH1997" s="9">
        <v>3039</v>
      </c>
      <c r="AI1997" s="9" t="s">
        <v>77</v>
      </c>
      <c r="AJ1997" s="9" t="s">
        <v>301</v>
      </c>
      <c r="AK1997" s="23" t="str">
        <f t="shared" si="14"/>
        <v>2023GBP</v>
      </c>
      <c r="AL1997" s="23">
        <f>VLOOKUP(AK1997, Exchange_rates!$C:$D, 2, FALSE)</f>
        <v>1</v>
      </c>
      <c r="AM1997" s="26">
        <f t="shared" si="15"/>
        <v>3646.7999999999997</v>
      </c>
      <c r="AN1997" s="9"/>
      <c r="AO1997" s="9"/>
      <c r="AP1997" s="9"/>
      <c r="AQ1997" s="15" t="s">
        <v>49</v>
      </c>
      <c r="AR1997" t="s">
        <v>1625</v>
      </c>
      <c r="AS1997" s="16" t="s">
        <v>1626</v>
      </c>
    </row>
    <row r="1998" spans="1:45" ht="14.5">
      <c r="A1998" s="9" t="s">
        <v>10012</v>
      </c>
      <c r="B1998" s="9" t="s">
        <v>10013</v>
      </c>
      <c r="C1998" s="9" t="s">
        <v>1640</v>
      </c>
      <c r="D1998" s="9" t="s">
        <v>1560</v>
      </c>
      <c r="E1998" s="9" t="s">
        <v>49</v>
      </c>
      <c r="F1998" s="9" t="s">
        <v>50</v>
      </c>
      <c r="G1998" s="9" t="s">
        <v>51</v>
      </c>
      <c r="H1998" s="9"/>
      <c r="I1998" s="9" t="s">
        <v>1647</v>
      </c>
      <c r="J1998" s="10"/>
      <c r="K1998" s="45">
        <v>45090</v>
      </c>
      <c r="L1998" s="44"/>
      <c r="M1998" s="10">
        <v>45112</v>
      </c>
      <c r="N1998" s="9">
        <v>2023</v>
      </c>
      <c r="O1998" s="9" t="s">
        <v>9969</v>
      </c>
      <c r="P1998" s="9" t="s">
        <v>53</v>
      </c>
      <c r="Q1998" s="9" t="s">
        <v>53</v>
      </c>
      <c r="R1998" s="9" t="s">
        <v>4823</v>
      </c>
      <c r="S1998" s="9"/>
      <c r="T1998" s="9" t="s">
        <v>1912</v>
      </c>
      <c r="U1998" s="9" t="s">
        <v>474</v>
      </c>
      <c r="V1998" s="9"/>
      <c r="AC1998" s="9" t="s">
        <v>1641</v>
      </c>
      <c r="AD1998" s="9" t="s">
        <v>703</v>
      </c>
      <c r="AH1998" s="9">
        <v>3422</v>
      </c>
      <c r="AI1998" s="9" t="s">
        <v>77</v>
      </c>
      <c r="AJ1998" s="9" t="s">
        <v>57</v>
      </c>
      <c r="AK1998" s="23" t="str">
        <f t="shared" si="14"/>
        <v>2023USD</v>
      </c>
      <c r="AL1998" s="23">
        <f>VLOOKUP(AK1998, Exchange_rates!$C:$D, 2, FALSE)</f>
        <v>0.80430000000000001</v>
      </c>
      <c r="AM1998" s="26">
        <f t="shared" si="15"/>
        <v>3302.7775200000001</v>
      </c>
      <c r="AN1998" s="9"/>
      <c r="AO1998" s="9"/>
      <c r="AP1998" s="9"/>
      <c r="AQ1998" s="15" t="s">
        <v>49</v>
      </c>
      <c r="AR1998" t="s">
        <v>1642</v>
      </c>
      <c r="AS1998" s="16" t="s">
        <v>1643</v>
      </c>
    </row>
    <row r="1999" spans="1:45" ht="14.5">
      <c r="A1999" s="9" t="s">
        <v>10014</v>
      </c>
      <c r="B1999" s="9" t="s">
        <v>10015</v>
      </c>
      <c r="C1999" s="9" t="s">
        <v>10016</v>
      </c>
      <c r="D1999" s="9" t="s">
        <v>1560</v>
      </c>
      <c r="E1999" s="9" t="s">
        <v>49</v>
      </c>
      <c r="F1999" s="9" t="s">
        <v>69</v>
      </c>
      <c r="G1999" s="9" t="s">
        <v>70</v>
      </c>
      <c r="H1999" s="9" t="s">
        <v>8860</v>
      </c>
      <c r="I1999" s="9" t="s">
        <v>72</v>
      </c>
      <c r="J1999" s="10"/>
      <c r="K1999" s="45">
        <v>45093</v>
      </c>
      <c r="M1999" s="10">
        <v>45097</v>
      </c>
      <c r="N1999" s="9">
        <v>2023</v>
      </c>
      <c r="O1999" s="9" t="s">
        <v>9969</v>
      </c>
      <c r="P1999" s="9" t="s">
        <v>53</v>
      </c>
      <c r="Q1999" s="9" t="s">
        <v>53</v>
      </c>
      <c r="R1999" s="9" t="s">
        <v>4823</v>
      </c>
      <c r="S1999" s="9"/>
      <c r="T1999" s="9"/>
      <c r="V1999" s="9"/>
      <c r="AC1999" s="9" t="s">
        <v>10017</v>
      </c>
      <c r="AD1999" s="9" t="s">
        <v>10018</v>
      </c>
      <c r="AH1999" s="9">
        <v>3724</v>
      </c>
      <c r="AI1999" s="9" t="s">
        <v>77</v>
      </c>
      <c r="AJ1999" s="9" t="s">
        <v>57</v>
      </c>
      <c r="AK1999" s="23" t="str">
        <f t="shared" si="14"/>
        <v>2023USD</v>
      </c>
      <c r="AL1999" s="23">
        <f>VLOOKUP(AK1999, Exchange_rates!$C:$D, 2, FALSE)</f>
        <v>0.80430000000000001</v>
      </c>
      <c r="AM1999" s="26">
        <f t="shared" si="15"/>
        <v>3594.2558400000003</v>
      </c>
      <c r="AN1999" s="9"/>
      <c r="AO1999" s="9"/>
      <c r="AP1999" s="9"/>
      <c r="AQ1999" s="15" t="s">
        <v>49</v>
      </c>
      <c r="AR1999" t="s">
        <v>10019</v>
      </c>
      <c r="AS1999" s="16" t="s">
        <v>10020</v>
      </c>
    </row>
    <row r="2000" spans="1:45" ht="14.5">
      <c r="A2000" s="9" t="s">
        <v>10021</v>
      </c>
      <c r="B2000" s="9" t="s">
        <v>10022</v>
      </c>
      <c r="C2000" s="9" t="s">
        <v>10023</v>
      </c>
      <c r="D2000" s="9" t="s">
        <v>1560</v>
      </c>
      <c r="E2000" s="9" t="s">
        <v>49</v>
      </c>
      <c r="F2000" s="9" t="s">
        <v>50</v>
      </c>
      <c r="G2000" s="9" t="s">
        <v>51</v>
      </c>
      <c r="H2000" s="9"/>
      <c r="I2000" s="9" t="s">
        <v>1647</v>
      </c>
      <c r="J2000" s="10"/>
      <c r="K2000" s="45">
        <v>45099</v>
      </c>
      <c r="L2000" s="10"/>
      <c r="M2000" s="10"/>
      <c r="N2000" s="9">
        <v>2023</v>
      </c>
      <c r="O2000" s="9" t="s">
        <v>9969</v>
      </c>
      <c r="P2000" s="9" t="s">
        <v>53</v>
      </c>
      <c r="Q2000" s="9" t="s">
        <v>53</v>
      </c>
      <c r="R2000" s="9" t="s">
        <v>4823</v>
      </c>
      <c r="S2000" s="9"/>
      <c r="T2000" s="9" t="s">
        <v>1912</v>
      </c>
      <c r="U2000" s="9" t="s">
        <v>474</v>
      </c>
      <c r="V2000" s="9"/>
      <c r="AC2000" s="9" t="s">
        <v>10024</v>
      </c>
      <c r="AD2000" s="9" t="s">
        <v>10025</v>
      </c>
      <c r="AH2000" s="9">
        <v>2701</v>
      </c>
      <c r="AI2000" s="9" t="s">
        <v>77</v>
      </c>
      <c r="AJ2000" s="9" t="s">
        <v>301</v>
      </c>
      <c r="AK2000" s="23" t="str">
        <f t="shared" si="14"/>
        <v>2023GBP</v>
      </c>
      <c r="AL2000" s="23">
        <f>VLOOKUP(AK2000, Exchange_rates!$C:$D, 2, FALSE)</f>
        <v>1</v>
      </c>
      <c r="AM2000" s="26">
        <f t="shared" si="15"/>
        <v>3241.2</v>
      </c>
      <c r="AN2000" s="9"/>
      <c r="AO2000" s="9"/>
      <c r="AP2000" s="9"/>
      <c r="AQ2000" s="15" t="s">
        <v>49</v>
      </c>
      <c r="AS2000" s="16" t="s">
        <v>10026</v>
      </c>
    </row>
    <row r="2001" spans="1:45" ht="14.5">
      <c r="A2001" s="9" t="s">
        <v>10027</v>
      </c>
      <c r="B2001" s="9" t="s">
        <v>10028</v>
      </c>
      <c r="C2001" s="9" t="s">
        <v>1840</v>
      </c>
      <c r="D2001" s="9" t="s">
        <v>1560</v>
      </c>
      <c r="E2001" s="9" t="s">
        <v>49</v>
      </c>
      <c r="F2001" s="9" t="s">
        <v>50</v>
      </c>
      <c r="G2001" s="9" t="s">
        <v>51</v>
      </c>
      <c r="H2001" s="9"/>
      <c r="I2001" s="9" t="s">
        <v>1841</v>
      </c>
      <c r="J2001" s="10"/>
      <c r="K2001" s="45">
        <v>45099</v>
      </c>
      <c r="L2001" s="44"/>
      <c r="M2001" s="10">
        <v>45140</v>
      </c>
      <c r="N2001" s="9">
        <v>2023</v>
      </c>
      <c r="O2001" s="9" t="s">
        <v>9969</v>
      </c>
      <c r="P2001" s="9" t="s">
        <v>53</v>
      </c>
      <c r="Q2001" s="9" t="s">
        <v>53</v>
      </c>
      <c r="R2001" s="9" t="s">
        <v>4823</v>
      </c>
      <c r="S2001" s="9"/>
      <c r="T2001" s="9" t="s">
        <v>1912</v>
      </c>
      <c r="U2001" s="9" t="s">
        <v>474</v>
      </c>
      <c r="V2001" s="9"/>
      <c r="AC2001" s="9" t="s">
        <v>10029</v>
      </c>
      <c r="AD2001" s="9" t="s">
        <v>10030</v>
      </c>
      <c r="AH2001" s="9">
        <v>2551</v>
      </c>
      <c r="AI2001" s="9" t="s">
        <v>77</v>
      </c>
      <c r="AJ2001" s="9" t="s">
        <v>301</v>
      </c>
      <c r="AK2001" s="23" t="str">
        <f t="shared" si="14"/>
        <v>2023GBP</v>
      </c>
      <c r="AL2001" s="23">
        <f>VLOOKUP(AK2001, Exchange_rates!$C:$D, 2, FALSE)</f>
        <v>1</v>
      </c>
      <c r="AM2001" s="26">
        <f t="shared" si="15"/>
        <v>3061.2</v>
      </c>
      <c r="AN2001" s="9"/>
      <c r="AO2001" s="9"/>
      <c r="AP2001" s="9"/>
      <c r="AQ2001" s="15" t="s">
        <v>49</v>
      </c>
      <c r="AS2001" s="16" t="s">
        <v>1844</v>
      </c>
    </row>
    <row r="2002" spans="1:45" ht="14.5">
      <c r="A2002" s="9" t="s">
        <v>10031</v>
      </c>
      <c r="B2002" s="9" t="s">
        <v>10032</v>
      </c>
      <c r="C2002" s="9" t="s">
        <v>1840</v>
      </c>
      <c r="D2002" s="9" t="s">
        <v>1560</v>
      </c>
      <c r="E2002" s="9" t="s">
        <v>49</v>
      </c>
      <c r="F2002" s="9" t="s">
        <v>50</v>
      </c>
      <c r="G2002" s="9" t="s">
        <v>51</v>
      </c>
      <c r="H2002" s="9"/>
      <c r="I2002" s="9" t="s">
        <v>1841</v>
      </c>
      <c r="J2002" s="10"/>
      <c r="K2002" s="45">
        <v>45099</v>
      </c>
      <c r="L2002" s="44"/>
      <c r="M2002" s="10">
        <v>45115</v>
      </c>
      <c r="N2002" s="9">
        <v>2023</v>
      </c>
      <c r="O2002" s="9" t="s">
        <v>9969</v>
      </c>
      <c r="P2002" s="9" t="s">
        <v>53</v>
      </c>
      <c r="Q2002" s="9" t="s">
        <v>53</v>
      </c>
      <c r="R2002" s="9" t="s">
        <v>4823</v>
      </c>
      <c r="S2002" s="9"/>
      <c r="T2002" s="9" t="s">
        <v>1912</v>
      </c>
      <c r="U2002" s="9" t="s">
        <v>474</v>
      </c>
      <c r="V2002" s="9"/>
      <c r="AC2002" s="9" t="s">
        <v>10029</v>
      </c>
      <c r="AD2002" s="9" t="s">
        <v>10030</v>
      </c>
      <c r="AH2002" s="9">
        <v>2551</v>
      </c>
      <c r="AI2002" s="9" t="s">
        <v>77</v>
      </c>
      <c r="AJ2002" s="9" t="s">
        <v>301</v>
      </c>
      <c r="AK2002" s="23" t="str">
        <f t="shared" si="14"/>
        <v>2023GBP</v>
      </c>
      <c r="AL2002" s="23">
        <f>VLOOKUP(AK2002, Exchange_rates!$C:$D, 2, FALSE)</f>
        <v>1</v>
      </c>
      <c r="AM2002" s="26">
        <f t="shared" si="15"/>
        <v>3061.2</v>
      </c>
      <c r="AN2002" s="9"/>
      <c r="AO2002" s="9"/>
      <c r="AP2002" s="9"/>
      <c r="AQ2002" s="15" t="s">
        <v>49</v>
      </c>
      <c r="AS2002" s="16" t="s">
        <v>1844</v>
      </c>
    </row>
    <row r="2003" spans="1:45" ht="14.5">
      <c r="A2003" s="9" t="s">
        <v>10033</v>
      </c>
      <c r="B2003" s="9" t="s">
        <v>10034</v>
      </c>
      <c r="C2003" s="9" t="s">
        <v>10035</v>
      </c>
      <c r="D2003" s="9" t="s">
        <v>1560</v>
      </c>
      <c r="E2003" s="9" t="s">
        <v>49</v>
      </c>
      <c r="F2003" s="9" t="s">
        <v>50</v>
      </c>
      <c r="G2003" s="9" t="s">
        <v>51</v>
      </c>
      <c r="H2003" s="9"/>
      <c r="I2003" s="9" t="s">
        <v>1647</v>
      </c>
      <c r="J2003" s="10"/>
      <c r="K2003" s="45">
        <v>45113</v>
      </c>
      <c r="L2003" s="44"/>
      <c r="M2003" s="10">
        <v>45117</v>
      </c>
      <c r="N2003" s="9">
        <v>2023</v>
      </c>
      <c r="O2003" s="9" t="s">
        <v>9969</v>
      </c>
      <c r="P2003" s="9" t="s">
        <v>53</v>
      </c>
      <c r="Q2003" s="9" t="s">
        <v>53</v>
      </c>
      <c r="R2003" s="9" t="s">
        <v>4823</v>
      </c>
      <c r="S2003" s="9"/>
      <c r="T2003" s="9" t="s">
        <v>723</v>
      </c>
      <c r="U2003" s="9" t="s">
        <v>10036</v>
      </c>
      <c r="V2003" s="9"/>
      <c r="AC2003" s="9" t="s">
        <v>10037</v>
      </c>
      <c r="AD2003" s="9" t="s">
        <v>10038</v>
      </c>
      <c r="AH2003" s="9">
        <v>4181</v>
      </c>
      <c r="AI2003" s="9" t="s">
        <v>77</v>
      </c>
      <c r="AJ2003" s="9" t="s">
        <v>57</v>
      </c>
      <c r="AK2003" s="23" t="str">
        <f t="shared" si="14"/>
        <v>2023USD</v>
      </c>
      <c r="AL2003" s="23">
        <f>VLOOKUP(AK2003, Exchange_rates!$C:$D, 2, FALSE)</f>
        <v>0.80430000000000001</v>
      </c>
      <c r="AM2003" s="26">
        <f t="shared" si="15"/>
        <v>4035.3339599999999</v>
      </c>
      <c r="AN2003" s="9"/>
      <c r="AO2003" s="9"/>
      <c r="AP2003" s="9"/>
      <c r="AQ2003" s="15" t="s">
        <v>49</v>
      </c>
      <c r="AS2003" s="16" t="s">
        <v>10039</v>
      </c>
    </row>
    <row r="2004" spans="1:45" ht="14.5">
      <c r="A2004" s="9" t="s">
        <v>10040</v>
      </c>
      <c r="B2004" s="9" t="s">
        <v>10041</v>
      </c>
      <c r="C2004" s="9" t="s">
        <v>10042</v>
      </c>
      <c r="D2004" s="9" t="s">
        <v>1560</v>
      </c>
      <c r="E2004" s="9" t="s">
        <v>49</v>
      </c>
      <c r="F2004" s="9" t="s">
        <v>69</v>
      </c>
      <c r="G2004" s="9" t="s">
        <v>70</v>
      </c>
      <c r="H2004" s="9" t="s">
        <v>8860</v>
      </c>
      <c r="I2004" s="9" t="s">
        <v>72</v>
      </c>
      <c r="J2004" s="10"/>
      <c r="K2004" s="45">
        <v>45125</v>
      </c>
      <c r="L2004" s="10"/>
      <c r="M2004" s="10"/>
      <c r="N2004" s="9">
        <v>2023</v>
      </c>
      <c r="O2004" s="9" t="s">
        <v>9969</v>
      </c>
      <c r="P2004" s="9" t="s">
        <v>53</v>
      </c>
      <c r="Q2004" s="9" t="s">
        <v>53</v>
      </c>
      <c r="R2004" s="9" t="s">
        <v>4823</v>
      </c>
      <c r="S2004" s="9"/>
      <c r="T2004" s="9"/>
      <c r="V2004" s="9"/>
      <c r="AC2004" s="9" t="s">
        <v>10043</v>
      </c>
      <c r="AD2004" s="9" t="s">
        <v>10044</v>
      </c>
      <c r="AH2004" s="9">
        <v>4313</v>
      </c>
      <c r="AI2004" s="9" t="s">
        <v>77</v>
      </c>
      <c r="AJ2004" s="9" t="s">
        <v>1823</v>
      </c>
      <c r="AK2004" s="23" t="str">
        <f t="shared" si="14"/>
        <v>2023EUR</v>
      </c>
      <c r="AL2004" s="23">
        <f>VLOOKUP(AK2004, Exchange_rates!$C:$D, 2, FALSE)</f>
        <v>0.87029999999999996</v>
      </c>
      <c r="AM2004" s="26">
        <f t="shared" si="15"/>
        <v>4504.3246799999997</v>
      </c>
      <c r="AN2004" s="9"/>
      <c r="AO2004" s="9"/>
      <c r="AP2004" s="9"/>
      <c r="AQ2004" s="15" t="s">
        <v>49</v>
      </c>
      <c r="AS2004" s="16" t="s">
        <v>10045</v>
      </c>
    </row>
    <row r="2005" spans="1:45" ht="14.5">
      <c r="A2005" s="9" t="s">
        <v>10046</v>
      </c>
      <c r="B2005" s="9" t="s">
        <v>10047</v>
      </c>
      <c r="C2005" s="9" t="s">
        <v>1696</v>
      </c>
      <c r="D2005" s="9" t="s">
        <v>1560</v>
      </c>
      <c r="E2005" s="9" t="s">
        <v>49</v>
      </c>
      <c r="F2005" s="9" t="s">
        <v>69</v>
      </c>
      <c r="G2005" s="9" t="s">
        <v>70</v>
      </c>
      <c r="H2005" s="9" t="s">
        <v>8860</v>
      </c>
      <c r="I2005" s="9" t="s">
        <v>72</v>
      </c>
      <c r="J2005" s="10"/>
      <c r="K2005" s="45">
        <v>45128</v>
      </c>
      <c r="M2005" s="10">
        <v>45134</v>
      </c>
      <c r="N2005" s="9">
        <v>2023</v>
      </c>
      <c r="O2005" s="9" t="s">
        <v>9969</v>
      </c>
      <c r="P2005" s="9" t="s">
        <v>53</v>
      </c>
      <c r="Q2005" s="9" t="s">
        <v>53</v>
      </c>
      <c r="R2005" s="9" t="s">
        <v>10048</v>
      </c>
      <c r="S2005" s="9"/>
      <c r="T2005" s="9"/>
      <c r="V2005" s="9"/>
      <c r="AC2005" s="9" t="s">
        <v>10049</v>
      </c>
      <c r="AD2005" s="9" t="s">
        <v>10050</v>
      </c>
      <c r="AH2005" s="9">
        <v>2198</v>
      </c>
      <c r="AI2005" s="9" t="s">
        <v>77</v>
      </c>
      <c r="AJ2005" s="9" t="s">
        <v>301</v>
      </c>
      <c r="AK2005" s="23" t="str">
        <f t="shared" si="14"/>
        <v>2023GBP</v>
      </c>
      <c r="AL2005" s="23">
        <f>VLOOKUP(AK2005, Exchange_rates!$C:$D, 2, FALSE)</f>
        <v>1</v>
      </c>
      <c r="AM2005" s="26">
        <f t="shared" si="15"/>
        <v>2637.6</v>
      </c>
      <c r="AN2005" s="9"/>
      <c r="AO2005" s="9"/>
      <c r="AP2005" s="9"/>
      <c r="AQ2005" s="15" t="s">
        <v>49</v>
      </c>
      <c r="AS2005" s="16" t="s">
        <v>1700</v>
      </c>
    </row>
    <row r="2006" spans="1:45" ht="14.5">
      <c r="A2006" s="9" t="s">
        <v>10051</v>
      </c>
      <c r="B2006" s="9" t="s">
        <v>10052</v>
      </c>
      <c r="C2006" s="9" t="s">
        <v>7395</v>
      </c>
      <c r="D2006" s="9" t="s">
        <v>1560</v>
      </c>
      <c r="E2006" s="9" t="s">
        <v>49</v>
      </c>
      <c r="F2006" s="9" t="s">
        <v>50</v>
      </c>
      <c r="G2006" s="9" t="s">
        <v>51</v>
      </c>
      <c r="H2006" s="9"/>
      <c r="I2006" s="9" t="s">
        <v>1647</v>
      </c>
      <c r="J2006" s="10"/>
      <c r="K2006" s="45">
        <v>45135</v>
      </c>
      <c r="L2006" s="10"/>
      <c r="M2006" s="10"/>
      <c r="N2006" s="9">
        <v>2023</v>
      </c>
      <c r="O2006" s="9" t="s">
        <v>9969</v>
      </c>
      <c r="P2006" s="9" t="s">
        <v>53</v>
      </c>
      <c r="Q2006" s="9" t="s">
        <v>53</v>
      </c>
      <c r="R2006" s="9" t="s">
        <v>4823</v>
      </c>
      <c r="S2006" s="9"/>
      <c r="T2006" s="9" t="s">
        <v>723</v>
      </c>
      <c r="U2006" s="9" t="s">
        <v>10036</v>
      </c>
      <c r="V2006" s="9"/>
      <c r="AC2006" s="9" t="s">
        <v>8879</v>
      </c>
      <c r="AD2006" s="9" t="s">
        <v>8880</v>
      </c>
      <c r="AH2006" s="9">
        <v>3000</v>
      </c>
      <c r="AI2006" s="9" t="s">
        <v>77</v>
      </c>
      <c r="AJ2006" s="9" t="s">
        <v>301</v>
      </c>
      <c r="AK2006" s="23" t="str">
        <f t="shared" si="14"/>
        <v>2023GBP</v>
      </c>
      <c r="AL2006" s="23">
        <f>VLOOKUP(AK2006, Exchange_rates!$C:$D, 2, FALSE)</f>
        <v>1</v>
      </c>
      <c r="AM2006" s="26">
        <f t="shared" si="15"/>
        <v>3600</v>
      </c>
      <c r="AN2006" s="9"/>
      <c r="AO2006" s="9"/>
      <c r="AP2006" s="9"/>
      <c r="AQ2006" s="15" t="s">
        <v>49</v>
      </c>
      <c r="AS2006" s="16" t="s">
        <v>7396</v>
      </c>
    </row>
    <row r="2007" spans="1:45" ht="14.5">
      <c r="A2007" s="9" t="s">
        <v>10053</v>
      </c>
      <c r="B2007" s="9" t="s">
        <v>10054</v>
      </c>
      <c r="C2007" s="9" t="s">
        <v>1597</v>
      </c>
      <c r="D2007" s="9" t="s">
        <v>1560</v>
      </c>
      <c r="E2007" s="9" t="s">
        <v>49</v>
      </c>
      <c r="F2007" s="9" t="s">
        <v>69</v>
      </c>
      <c r="G2007" s="9" t="s">
        <v>70</v>
      </c>
      <c r="H2007" s="9" t="s">
        <v>8860</v>
      </c>
      <c r="I2007" s="9" t="s">
        <v>72</v>
      </c>
      <c r="J2007" s="10"/>
      <c r="K2007" s="45">
        <v>45138</v>
      </c>
      <c r="L2007" s="10"/>
      <c r="M2007" s="10"/>
      <c r="N2007" s="9">
        <v>2023</v>
      </c>
      <c r="O2007" s="9" t="s">
        <v>9969</v>
      </c>
      <c r="P2007" s="9" t="s">
        <v>53</v>
      </c>
      <c r="Q2007" s="9" t="s">
        <v>53</v>
      </c>
      <c r="R2007" s="9" t="s">
        <v>4823</v>
      </c>
      <c r="S2007" s="9"/>
      <c r="T2007" s="9"/>
      <c r="V2007" s="9"/>
      <c r="AC2007" s="9" t="s">
        <v>10055</v>
      </c>
      <c r="AD2007" s="9" t="s">
        <v>5199</v>
      </c>
      <c r="AH2007" s="9">
        <v>3119</v>
      </c>
      <c r="AI2007" s="9" t="s">
        <v>77</v>
      </c>
      <c r="AJ2007" s="9" t="s">
        <v>301</v>
      </c>
      <c r="AK2007" s="23" t="str">
        <f t="shared" si="14"/>
        <v>2023GBP</v>
      </c>
      <c r="AL2007" s="23">
        <f>VLOOKUP(AK2007, Exchange_rates!$C:$D, 2, FALSE)</f>
        <v>1</v>
      </c>
      <c r="AM2007" s="26">
        <f t="shared" si="15"/>
        <v>3742.7999999999997</v>
      </c>
      <c r="AN2007" s="9"/>
      <c r="AO2007" s="9"/>
      <c r="AP2007" s="9"/>
      <c r="AQ2007" s="15" t="s">
        <v>49</v>
      </c>
      <c r="AR2007" t="s">
        <v>1601</v>
      </c>
      <c r="AS2007" s="16" t="s">
        <v>1602</v>
      </c>
    </row>
    <row r="2008" spans="1:45" ht="14.5">
      <c r="A2008" s="9" t="s">
        <v>10056</v>
      </c>
      <c r="B2008" s="9" t="s">
        <v>10057</v>
      </c>
      <c r="C2008" s="9" t="s">
        <v>1993</v>
      </c>
      <c r="D2008" s="9" t="s">
        <v>1994</v>
      </c>
      <c r="E2008" s="9" t="s">
        <v>125</v>
      </c>
      <c r="F2008" s="9" t="s">
        <v>69</v>
      </c>
      <c r="G2008" s="9" t="s">
        <v>70</v>
      </c>
      <c r="H2008" s="9" t="s">
        <v>8943</v>
      </c>
      <c r="I2008" s="9" t="s">
        <v>72</v>
      </c>
      <c r="J2008" s="28">
        <v>44852</v>
      </c>
      <c r="K2008" s="10">
        <v>44993</v>
      </c>
      <c r="L2008" s="10"/>
      <c r="M2008" s="10">
        <v>45021</v>
      </c>
      <c r="N2008" s="9">
        <v>2023</v>
      </c>
      <c r="O2008" s="9" t="s">
        <v>10058</v>
      </c>
      <c r="P2008" s="9" t="s">
        <v>83</v>
      </c>
      <c r="Q2008" s="9" t="s">
        <v>53</v>
      </c>
      <c r="R2008" s="9" t="s">
        <v>10059</v>
      </c>
      <c r="S2008" s="9"/>
      <c r="T2008" s="9"/>
      <c r="V2008" s="9"/>
      <c r="AC2008" s="9" t="s">
        <v>10060</v>
      </c>
      <c r="AD2008" s="9" t="s">
        <v>10061</v>
      </c>
      <c r="AH2008" s="9">
        <v>1805</v>
      </c>
      <c r="AI2008" s="9" t="s">
        <v>77</v>
      </c>
      <c r="AJ2008" s="9" t="s">
        <v>57</v>
      </c>
      <c r="AK2008" s="23" t="str">
        <f t="shared" si="14"/>
        <v>2023USD</v>
      </c>
      <c r="AL2008" s="23">
        <f>VLOOKUP(AK2008, Exchange_rates!$C:$D, 2, FALSE)</f>
        <v>0.80430000000000001</v>
      </c>
      <c r="AM2008" s="26">
        <f t="shared" si="15"/>
        <v>1742.1138000000001</v>
      </c>
      <c r="AN2008" s="9"/>
      <c r="AO2008" s="9"/>
      <c r="AP2008" s="9"/>
      <c r="AQ2008" s="15" t="s">
        <v>125</v>
      </c>
      <c r="AR2008" t="s">
        <v>2000</v>
      </c>
      <c r="AS2008" s="16"/>
    </row>
    <row r="2009" spans="1:45" ht="14.5">
      <c r="A2009" s="9" t="s">
        <v>10062</v>
      </c>
      <c r="B2009" s="9" t="s">
        <v>10063</v>
      </c>
      <c r="C2009" s="9" t="s">
        <v>10064</v>
      </c>
      <c r="D2009" s="9" t="s">
        <v>1994</v>
      </c>
      <c r="E2009" s="9" t="s">
        <v>125</v>
      </c>
      <c r="F2009" s="9" t="s">
        <v>69</v>
      </c>
      <c r="G2009" s="9" t="s">
        <v>70</v>
      </c>
      <c r="H2009" s="9" t="s">
        <v>8943</v>
      </c>
      <c r="I2009" s="9" t="s">
        <v>72</v>
      </c>
      <c r="J2009" s="10">
        <v>44613</v>
      </c>
      <c r="K2009" s="10">
        <v>45020</v>
      </c>
      <c r="L2009" s="10"/>
      <c r="M2009" s="10">
        <v>45048</v>
      </c>
      <c r="N2009" s="9">
        <v>2023</v>
      </c>
      <c r="O2009" s="9" t="s">
        <v>10065</v>
      </c>
      <c r="P2009" s="9" t="s">
        <v>53</v>
      </c>
      <c r="Q2009" s="9" t="s">
        <v>53</v>
      </c>
      <c r="R2009" s="9" t="s">
        <v>92</v>
      </c>
      <c r="S2009" s="9"/>
      <c r="T2009" s="9"/>
      <c r="V2009" s="9"/>
      <c r="AC2009" s="9" t="s">
        <v>10066</v>
      </c>
      <c r="AD2009" s="9" t="s">
        <v>10067</v>
      </c>
      <c r="AH2009" s="9">
        <v>3000</v>
      </c>
      <c r="AI2009" s="9" t="s">
        <v>77</v>
      </c>
      <c r="AJ2009" s="9" t="s">
        <v>57</v>
      </c>
      <c r="AK2009" s="23" t="str">
        <f t="shared" si="14"/>
        <v>2023USD</v>
      </c>
      <c r="AL2009" s="23">
        <f>VLOOKUP(AK2009, Exchange_rates!$C:$D, 2, FALSE)</f>
        <v>0.80430000000000001</v>
      </c>
      <c r="AM2009" s="26">
        <f t="shared" si="15"/>
        <v>2895.48</v>
      </c>
      <c r="AN2009" s="9"/>
      <c r="AO2009" s="9"/>
      <c r="AP2009" s="9"/>
      <c r="AQ2009" s="15" t="s">
        <v>125</v>
      </c>
      <c r="AR2009" t="s">
        <v>10068</v>
      </c>
      <c r="AS2009" s="16"/>
    </row>
    <row r="2010" spans="1:45" ht="14.5">
      <c r="A2010" s="9" t="s">
        <v>10069</v>
      </c>
      <c r="B2010" s="9" t="s">
        <v>10070</v>
      </c>
      <c r="C2010" s="9" t="s">
        <v>1993</v>
      </c>
      <c r="D2010" s="9" t="s">
        <v>1994</v>
      </c>
      <c r="E2010" s="9" t="s">
        <v>125</v>
      </c>
      <c r="F2010" s="9" t="s">
        <v>69</v>
      </c>
      <c r="G2010" s="9" t="s">
        <v>70</v>
      </c>
      <c r="H2010" s="9" t="s">
        <v>8943</v>
      </c>
      <c r="I2010" s="9" t="s">
        <v>72</v>
      </c>
      <c r="J2010" s="28">
        <v>44879</v>
      </c>
      <c r="K2010" s="10">
        <v>45042</v>
      </c>
      <c r="L2010" s="10"/>
      <c r="M2010" s="10">
        <v>45054</v>
      </c>
      <c r="N2010" s="9">
        <v>2023</v>
      </c>
      <c r="O2010" s="9" t="s">
        <v>10065</v>
      </c>
      <c r="P2010" s="9" t="s">
        <v>83</v>
      </c>
      <c r="Q2010" s="9" t="s">
        <v>53</v>
      </c>
      <c r="R2010" s="9" t="s">
        <v>10071</v>
      </c>
      <c r="S2010" s="9"/>
      <c r="T2010" s="9"/>
      <c r="V2010" s="9"/>
      <c r="AC2010" s="9" t="s">
        <v>2068</v>
      </c>
      <c r="AD2010" s="9" t="s">
        <v>2069</v>
      </c>
      <c r="AH2010" s="9">
        <v>1805</v>
      </c>
      <c r="AI2010" s="9" t="s">
        <v>77</v>
      </c>
      <c r="AJ2010" s="9" t="s">
        <v>57</v>
      </c>
      <c r="AK2010" s="23" t="str">
        <f t="shared" si="14"/>
        <v>2023USD</v>
      </c>
      <c r="AL2010" s="23">
        <f>VLOOKUP(AK2010, Exchange_rates!$C:$D, 2, FALSE)</f>
        <v>0.80430000000000001</v>
      </c>
      <c r="AM2010" s="26">
        <f t="shared" si="15"/>
        <v>1742.1138000000001</v>
      </c>
      <c r="AN2010" s="9"/>
      <c r="AO2010" s="9"/>
      <c r="AP2010" s="9"/>
      <c r="AQ2010" s="15" t="s">
        <v>125</v>
      </c>
      <c r="AR2010" t="s">
        <v>2000</v>
      </c>
      <c r="AS2010" s="16"/>
    </row>
    <row r="2011" spans="1:45" ht="14.5">
      <c r="A2011" s="9" t="s">
        <v>10072</v>
      </c>
      <c r="B2011" s="9" t="s">
        <v>10073</v>
      </c>
      <c r="C2011" s="9" t="s">
        <v>1993</v>
      </c>
      <c r="D2011" s="9" t="s">
        <v>1994</v>
      </c>
      <c r="E2011" s="9" t="s">
        <v>125</v>
      </c>
      <c r="F2011" s="9" t="s">
        <v>69</v>
      </c>
      <c r="G2011" s="9" t="s">
        <v>70</v>
      </c>
      <c r="H2011" s="9" t="s">
        <v>8943</v>
      </c>
      <c r="I2011" s="9" t="s">
        <v>72</v>
      </c>
      <c r="J2011" s="28">
        <v>44881</v>
      </c>
      <c r="K2011" s="10">
        <v>45064</v>
      </c>
      <c r="L2011" s="10"/>
      <c r="M2011" s="10"/>
      <c r="N2011" s="9">
        <v>2023</v>
      </c>
      <c r="O2011" s="9" t="s">
        <v>10074</v>
      </c>
      <c r="P2011" s="9" t="s">
        <v>83</v>
      </c>
      <c r="Q2011" s="9" t="s">
        <v>53</v>
      </c>
      <c r="R2011" s="9" t="s">
        <v>10075</v>
      </c>
      <c r="S2011" s="9"/>
      <c r="T2011" s="9"/>
      <c r="V2011" s="9"/>
      <c r="AC2011" s="9" t="s">
        <v>10076</v>
      </c>
      <c r="AD2011" s="9" t="s">
        <v>10077</v>
      </c>
      <c r="AH2011" s="9">
        <v>1805</v>
      </c>
      <c r="AI2011" s="9" t="s">
        <v>77</v>
      </c>
      <c r="AJ2011" s="9" t="s">
        <v>57</v>
      </c>
      <c r="AK2011" s="23" t="str">
        <f t="shared" si="14"/>
        <v>2023USD</v>
      </c>
      <c r="AL2011" s="23">
        <f>VLOOKUP(AK2011, Exchange_rates!$C:$D, 2, FALSE)</f>
        <v>0.80430000000000001</v>
      </c>
      <c r="AM2011" s="26">
        <f t="shared" si="15"/>
        <v>1742.1138000000001</v>
      </c>
      <c r="AN2011" s="9"/>
      <c r="AO2011" s="9"/>
      <c r="AP2011" s="9"/>
      <c r="AQ2011" s="15" t="s">
        <v>125</v>
      </c>
      <c r="AR2011" t="s">
        <v>2000</v>
      </c>
      <c r="AS2011" s="16"/>
    </row>
    <row r="2012" spans="1:45" ht="14.5">
      <c r="A2012" s="9" t="s">
        <v>10078</v>
      </c>
      <c r="B2012" s="9" t="s">
        <v>10079</v>
      </c>
      <c r="C2012" s="9" t="s">
        <v>1993</v>
      </c>
      <c r="D2012" s="9" t="s">
        <v>1994</v>
      </c>
      <c r="E2012" s="9" t="s">
        <v>125</v>
      </c>
      <c r="F2012" s="9" t="s">
        <v>69</v>
      </c>
      <c r="G2012" s="9" t="s">
        <v>70</v>
      </c>
      <c r="H2012" s="9" t="s">
        <v>8943</v>
      </c>
      <c r="I2012" s="9" t="s">
        <v>72</v>
      </c>
      <c r="J2012" s="10">
        <v>44955</v>
      </c>
      <c r="K2012" s="10">
        <v>45069</v>
      </c>
      <c r="L2012" s="10"/>
      <c r="M2012" s="10"/>
      <c r="N2012" s="9">
        <v>2023</v>
      </c>
      <c r="O2012" s="9" t="s">
        <v>10074</v>
      </c>
      <c r="P2012" s="9" t="s">
        <v>53</v>
      </c>
      <c r="Q2012" s="9" t="s">
        <v>53</v>
      </c>
      <c r="R2012" s="9" t="s">
        <v>2090</v>
      </c>
      <c r="S2012" s="9"/>
      <c r="T2012" s="9"/>
      <c r="V2012" s="9"/>
      <c r="AC2012" s="9" t="s">
        <v>10080</v>
      </c>
      <c r="AD2012" s="9" t="s">
        <v>10081</v>
      </c>
      <c r="AH2012" s="9">
        <v>1805</v>
      </c>
      <c r="AI2012" s="9" t="s">
        <v>77</v>
      </c>
      <c r="AJ2012" s="9" t="s">
        <v>57</v>
      </c>
      <c r="AK2012" s="23" t="str">
        <f t="shared" si="14"/>
        <v>2023USD</v>
      </c>
      <c r="AL2012" s="23">
        <f>VLOOKUP(AK2012, Exchange_rates!$C:$D, 2, FALSE)</f>
        <v>0.80430000000000001</v>
      </c>
      <c r="AM2012" s="26">
        <f t="shared" si="15"/>
        <v>1742.1138000000001</v>
      </c>
      <c r="AN2012" s="9"/>
      <c r="AO2012" s="9"/>
      <c r="AP2012" s="9"/>
      <c r="AQ2012" s="15" t="s">
        <v>125</v>
      </c>
      <c r="AR2012" t="s">
        <v>2000</v>
      </c>
      <c r="AS2012" s="16"/>
    </row>
    <row r="2013" spans="1:45" ht="14.5">
      <c r="A2013" s="9" t="s">
        <v>10082</v>
      </c>
      <c r="B2013" s="9" t="s">
        <v>10083</v>
      </c>
      <c r="C2013" s="9" t="s">
        <v>1993</v>
      </c>
      <c r="D2013" s="9" t="s">
        <v>1994</v>
      </c>
      <c r="E2013" s="9" t="s">
        <v>125</v>
      </c>
      <c r="F2013" s="9" t="s">
        <v>69</v>
      </c>
      <c r="G2013" s="9" t="s">
        <v>70</v>
      </c>
      <c r="H2013" s="9" t="s">
        <v>8943</v>
      </c>
      <c r="I2013" s="9" t="s">
        <v>72</v>
      </c>
      <c r="J2013" s="10">
        <v>44435</v>
      </c>
      <c r="K2013" s="10">
        <v>45083</v>
      </c>
      <c r="L2013" s="10"/>
      <c r="M2013" s="10">
        <v>45091</v>
      </c>
      <c r="N2013" s="9">
        <v>2023</v>
      </c>
      <c r="O2013" s="9" t="s">
        <v>10084</v>
      </c>
      <c r="P2013" s="9" t="s">
        <v>53</v>
      </c>
      <c r="Q2013" s="9" t="s">
        <v>53</v>
      </c>
      <c r="R2013" s="9" t="s">
        <v>10085</v>
      </c>
      <c r="S2013" s="9"/>
      <c r="T2013" s="9"/>
      <c r="V2013" s="9"/>
      <c r="AC2013" s="9" t="s">
        <v>10086</v>
      </c>
      <c r="AD2013" s="9" t="s">
        <v>10087</v>
      </c>
      <c r="AH2013" s="9">
        <v>1100</v>
      </c>
      <c r="AI2013" s="9" t="s">
        <v>77</v>
      </c>
      <c r="AJ2013" s="9" t="s">
        <v>57</v>
      </c>
      <c r="AK2013" s="23" t="str">
        <f t="shared" si="14"/>
        <v>2023USD</v>
      </c>
      <c r="AL2013" s="23">
        <f>VLOOKUP(AK2013, Exchange_rates!$C:$D, 2, FALSE)</f>
        <v>0.80430000000000001</v>
      </c>
      <c r="AM2013" s="26">
        <f t="shared" si="15"/>
        <v>1061.6759999999999</v>
      </c>
      <c r="AN2013" s="9"/>
      <c r="AO2013" s="9"/>
      <c r="AP2013" s="9"/>
      <c r="AQ2013" s="15" t="s">
        <v>125</v>
      </c>
      <c r="AR2013" t="s">
        <v>2000</v>
      </c>
      <c r="AS2013" s="16"/>
    </row>
    <row r="2014" spans="1:45" ht="14.5">
      <c r="A2014" s="9" t="s">
        <v>10088</v>
      </c>
      <c r="B2014" s="9" t="s">
        <v>10089</v>
      </c>
      <c r="C2014" s="9" t="s">
        <v>1993</v>
      </c>
      <c r="D2014" s="9" t="s">
        <v>1994</v>
      </c>
      <c r="E2014" s="9" t="s">
        <v>125</v>
      </c>
      <c r="F2014" s="9" t="s">
        <v>69</v>
      </c>
      <c r="G2014" s="9" t="s">
        <v>70</v>
      </c>
      <c r="H2014" s="9" t="s">
        <v>8943</v>
      </c>
      <c r="I2014" s="9" t="s">
        <v>72</v>
      </c>
      <c r="J2014" s="10">
        <v>44938</v>
      </c>
      <c r="K2014" s="10">
        <v>45083</v>
      </c>
      <c r="L2014" s="10"/>
      <c r="M2014" s="10">
        <v>45092</v>
      </c>
      <c r="N2014" s="9">
        <v>2023</v>
      </c>
      <c r="O2014" s="9" t="s">
        <v>10084</v>
      </c>
      <c r="P2014" s="9" t="s">
        <v>53</v>
      </c>
      <c r="Q2014" s="9" t="s">
        <v>83</v>
      </c>
      <c r="R2014" s="9" t="s">
        <v>10090</v>
      </c>
      <c r="S2014" s="9"/>
      <c r="T2014" s="9"/>
      <c r="V2014" s="9"/>
      <c r="AC2014" s="9" t="s">
        <v>10091</v>
      </c>
      <c r="AD2014" s="9" t="s">
        <v>10092</v>
      </c>
      <c r="AH2014" s="9">
        <v>1805</v>
      </c>
      <c r="AI2014" s="9" t="s">
        <v>77</v>
      </c>
      <c r="AJ2014" s="9" t="s">
        <v>57</v>
      </c>
      <c r="AK2014" s="23" t="str">
        <f t="shared" si="14"/>
        <v>2023USD</v>
      </c>
      <c r="AL2014" s="23">
        <f>VLOOKUP(AK2014, Exchange_rates!$C:$D, 2, FALSE)</f>
        <v>0.80430000000000001</v>
      </c>
      <c r="AM2014" s="26">
        <f t="shared" si="15"/>
        <v>1742.1138000000001</v>
      </c>
      <c r="AN2014" s="9"/>
      <c r="AO2014" s="9"/>
      <c r="AP2014" s="9"/>
      <c r="AQ2014" s="15" t="s">
        <v>125</v>
      </c>
      <c r="AR2014" t="s">
        <v>2000</v>
      </c>
      <c r="AS2014" s="16"/>
    </row>
    <row r="2015" spans="1:45" ht="14.5">
      <c r="A2015" s="9" t="s">
        <v>10093</v>
      </c>
      <c r="B2015" s="9" t="s">
        <v>10094</v>
      </c>
      <c r="C2015" s="9" t="s">
        <v>2056</v>
      </c>
      <c r="D2015" s="9" t="s">
        <v>1994</v>
      </c>
      <c r="E2015" s="9" t="s">
        <v>125</v>
      </c>
      <c r="F2015" s="9" t="s">
        <v>69</v>
      </c>
      <c r="G2015" s="9" t="s">
        <v>70</v>
      </c>
      <c r="H2015" s="9" t="s">
        <v>10095</v>
      </c>
      <c r="I2015" s="9" t="s">
        <v>72</v>
      </c>
      <c r="J2015" s="10">
        <v>44952</v>
      </c>
      <c r="K2015" s="10">
        <v>45083</v>
      </c>
      <c r="L2015" s="10"/>
      <c r="M2015" s="10">
        <v>45092</v>
      </c>
      <c r="N2015" s="9">
        <v>2023</v>
      </c>
      <c r="O2015" s="9" t="s">
        <v>10084</v>
      </c>
      <c r="P2015" s="9" t="s">
        <v>53</v>
      </c>
      <c r="Q2015" s="9" t="s">
        <v>53</v>
      </c>
      <c r="R2015" s="9" t="s">
        <v>10096</v>
      </c>
      <c r="S2015" s="9"/>
      <c r="T2015" s="9"/>
      <c r="V2015" s="9"/>
      <c r="AC2015" s="9" t="s">
        <v>10097</v>
      </c>
      <c r="AD2015" s="9" t="s">
        <v>10098</v>
      </c>
      <c r="AH2015" s="9">
        <v>1805</v>
      </c>
      <c r="AI2015" s="9" t="s">
        <v>77</v>
      </c>
      <c r="AJ2015" s="9" t="s">
        <v>57</v>
      </c>
      <c r="AK2015" s="23" t="str">
        <f t="shared" si="14"/>
        <v>2023USD</v>
      </c>
      <c r="AL2015" s="23">
        <f>VLOOKUP(AK2015, Exchange_rates!$C:$D, 2, FALSE)</f>
        <v>0.80430000000000001</v>
      </c>
      <c r="AM2015" s="26">
        <f t="shared" si="15"/>
        <v>1742.1138000000001</v>
      </c>
      <c r="AN2015" s="9"/>
      <c r="AO2015" s="9"/>
      <c r="AP2015" s="9"/>
      <c r="AQ2015" s="15" t="s">
        <v>125</v>
      </c>
      <c r="AR2015" t="s">
        <v>2062</v>
      </c>
      <c r="AS2015" s="16"/>
    </row>
    <row r="2016" spans="1:45" ht="14.5">
      <c r="A2016" s="9" t="s">
        <v>10099</v>
      </c>
      <c r="B2016" s="9" t="s">
        <v>10100</v>
      </c>
      <c r="C2016" s="9" t="s">
        <v>1993</v>
      </c>
      <c r="D2016" s="9" t="s">
        <v>1994</v>
      </c>
      <c r="E2016" s="9" t="s">
        <v>125</v>
      </c>
      <c r="F2016" s="9" t="s">
        <v>69</v>
      </c>
      <c r="G2016" s="9" t="s">
        <v>70</v>
      </c>
      <c r="H2016" s="9" t="s">
        <v>8943</v>
      </c>
      <c r="I2016" s="9" t="s">
        <v>72</v>
      </c>
      <c r="J2016" s="10">
        <v>44873</v>
      </c>
      <c r="K2016" s="10">
        <v>45112</v>
      </c>
      <c r="L2016" s="10"/>
      <c r="M2016" s="10">
        <v>45120</v>
      </c>
      <c r="N2016" s="9">
        <v>2023</v>
      </c>
      <c r="O2016" s="9" t="s">
        <v>10101</v>
      </c>
      <c r="P2016" s="9" t="s">
        <v>53</v>
      </c>
      <c r="Q2016" s="9" t="s">
        <v>53</v>
      </c>
      <c r="R2016" s="9" t="s">
        <v>2090</v>
      </c>
      <c r="S2016" s="9"/>
      <c r="T2016" s="9"/>
      <c r="V2016" s="9"/>
      <c r="AC2016" s="9" t="s">
        <v>10102</v>
      </c>
      <c r="AD2016" s="9" t="s">
        <v>10103</v>
      </c>
      <c r="AH2016" s="9">
        <v>1805</v>
      </c>
      <c r="AI2016" s="9" t="s">
        <v>77</v>
      </c>
      <c r="AJ2016" s="9" t="s">
        <v>57</v>
      </c>
      <c r="AK2016" s="23" t="str">
        <f t="shared" si="14"/>
        <v>2023USD</v>
      </c>
      <c r="AL2016" s="23">
        <f>VLOOKUP(AK2016, Exchange_rates!$C:$D, 2, FALSE)</f>
        <v>0.80430000000000001</v>
      </c>
      <c r="AM2016" s="26">
        <f t="shared" si="15"/>
        <v>1742.1138000000001</v>
      </c>
      <c r="AN2016" s="9"/>
      <c r="AO2016" s="9"/>
      <c r="AP2016" s="9"/>
      <c r="AQ2016" s="15" t="s">
        <v>125</v>
      </c>
      <c r="AR2016" t="s">
        <v>2000</v>
      </c>
      <c r="AS2016" s="16"/>
    </row>
    <row r="2017" spans="1:60" ht="14.5">
      <c r="A2017" s="9" t="s">
        <v>10104</v>
      </c>
      <c r="B2017" s="9" t="s">
        <v>10105</v>
      </c>
      <c r="C2017" s="9" t="s">
        <v>1993</v>
      </c>
      <c r="D2017" s="9" t="s">
        <v>1994</v>
      </c>
      <c r="E2017" s="9" t="s">
        <v>125</v>
      </c>
      <c r="F2017" s="9" t="s">
        <v>69</v>
      </c>
      <c r="G2017" s="9" t="s">
        <v>70</v>
      </c>
      <c r="H2017" s="9" t="s">
        <v>8943</v>
      </c>
      <c r="I2017" s="9" t="s">
        <v>72</v>
      </c>
      <c r="J2017" s="28">
        <v>44890</v>
      </c>
      <c r="K2017" s="10">
        <v>45119</v>
      </c>
      <c r="L2017" s="10"/>
      <c r="M2017" s="10">
        <v>45127</v>
      </c>
      <c r="N2017" s="9">
        <v>2023</v>
      </c>
      <c r="O2017" s="9" t="s">
        <v>10101</v>
      </c>
      <c r="P2017" s="9" t="s">
        <v>53</v>
      </c>
      <c r="Q2017" s="9" t="s">
        <v>53</v>
      </c>
      <c r="R2017" s="9" t="s">
        <v>2101</v>
      </c>
      <c r="S2017" s="9"/>
      <c r="T2017" s="9"/>
      <c r="V2017" s="9"/>
      <c r="AC2017" s="9" t="s">
        <v>8487</v>
      </c>
      <c r="AD2017" s="9" t="s">
        <v>8488</v>
      </c>
      <c r="AH2017" s="9">
        <v>1805</v>
      </c>
      <c r="AI2017" s="9" t="s">
        <v>77</v>
      </c>
      <c r="AJ2017" s="9" t="s">
        <v>57</v>
      </c>
      <c r="AK2017" s="23" t="str">
        <f t="shared" si="14"/>
        <v>2023USD</v>
      </c>
      <c r="AL2017" s="23">
        <f>VLOOKUP(AK2017, Exchange_rates!$C:$D, 2, FALSE)</f>
        <v>0.80430000000000001</v>
      </c>
      <c r="AM2017" s="26">
        <f t="shared" si="15"/>
        <v>1742.1138000000001</v>
      </c>
      <c r="AN2017" s="9"/>
      <c r="AO2017" s="9"/>
      <c r="AP2017" s="9"/>
      <c r="AQ2017" s="15" t="s">
        <v>125</v>
      </c>
      <c r="AR2017" t="s">
        <v>2000</v>
      </c>
      <c r="AS2017" s="16"/>
    </row>
    <row r="2018" spans="1:60" ht="14.5">
      <c r="A2018" s="9" t="s">
        <v>10106</v>
      </c>
      <c r="B2018" s="9" t="s">
        <v>10107</v>
      </c>
      <c r="C2018" s="9" t="s">
        <v>10108</v>
      </c>
      <c r="D2018" s="9" t="s">
        <v>185</v>
      </c>
      <c r="E2018" s="9" t="s">
        <v>49</v>
      </c>
      <c r="F2018" s="9" t="s">
        <v>69</v>
      </c>
      <c r="G2018" s="9" t="s">
        <v>70</v>
      </c>
      <c r="H2018" s="9" t="s">
        <v>9008</v>
      </c>
      <c r="I2018" s="9" t="s">
        <v>72</v>
      </c>
      <c r="J2018" s="10">
        <v>44979</v>
      </c>
      <c r="K2018" s="10">
        <v>45058</v>
      </c>
      <c r="L2018" s="10">
        <v>45058</v>
      </c>
      <c r="M2018" s="10">
        <v>45084</v>
      </c>
      <c r="N2018" s="9">
        <v>2023</v>
      </c>
      <c r="O2018" s="9" t="s">
        <v>10109</v>
      </c>
      <c r="P2018" s="9" t="s">
        <v>53</v>
      </c>
      <c r="Q2018" s="9" t="s">
        <v>83</v>
      </c>
      <c r="R2018" s="9" t="s">
        <v>10110</v>
      </c>
      <c r="S2018" s="9"/>
      <c r="T2018" s="9"/>
      <c r="V2018" s="9"/>
      <c r="AC2018" s="9" t="s">
        <v>10111</v>
      </c>
      <c r="AD2018" s="9" t="s">
        <v>10112</v>
      </c>
      <c r="AH2018" s="9">
        <v>1700</v>
      </c>
      <c r="AI2018" s="9" t="s">
        <v>77</v>
      </c>
      <c r="AJ2018" s="9" t="s">
        <v>301</v>
      </c>
      <c r="AK2018" s="23" t="s">
        <v>10113</v>
      </c>
      <c r="AL2018" s="23">
        <v>1</v>
      </c>
      <c r="AM2018" s="26">
        <v>2040</v>
      </c>
      <c r="AN2018" s="9"/>
      <c r="AO2018" s="9"/>
      <c r="AP2018" s="9"/>
      <c r="AQ2018" s="15" t="s">
        <v>49</v>
      </c>
      <c r="AR2018" t="s">
        <v>10114</v>
      </c>
      <c r="AS2018" s="16" t="s">
        <v>10115</v>
      </c>
    </row>
    <row r="2019" spans="1:60" ht="14.5">
      <c r="A2019" s="9" t="s">
        <v>10116</v>
      </c>
      <c r="B2019" s="9" t="s">
        <v>10117</v>
      </c>
      <c r="C2019" s="9" t="s">
        <v>10118</v>
      </c>
      <c r="D2019" s="9" t="s">
        <v>48</v>
      </c>
      <c r="E2019" s="9" t="s">
        <v>49</v>
      </c>
      <c r="F2019" s="9" t="s">
        <v>69</v>
      </c>
      <c r="G2019" s="9" t="s">
        <v>70</v>
      </c>
      <c r="H2019" s="9" t="s">
        <v>7292</v>
      </c>
      <c r="I2019" s="9" t="s">
        <v>72</v>
      </c>
      <c r="J2019" s="10">
        <v>45021</v>
      </c>
      <c r="K2019" s="10">
        <v>45153</v>
      </c>
      <c r="L2019" s="10">
        <v>45153</v>
      </c>
      <c r="M2019" s="10"/>
      <c r="N2019" s="9">
        <v>2023</v>
      </c>
      <c r="O2019" s="9" t="s">
        <v>10119</v>
      </c>
      <c r="P2019" s="9" t="s">
        <v>83</v>
      </c>
      <c r="Q2019" s="9" t="s">
        <v>83</v>
      </c>
      <c r="R2019" s="9" t="s">
        <v>10120</v>
      </c>
      <c r="S2019" s="9"/>
      <c r="T2019" s="9"/>
      <c r="V2019" s="9"/>
      <c r="AC2019" s="9" t="s">
        <v>106</v>
      </c>
      <c r="AD2019" s="9" t="s">
        <v>107</v>
      </c>
      <c r="AE2019" s="9" t="s">
        <v>10121</v>
      </c>
      <c r="AH2019" s="9">
        <v>4000</v>
      </c>
      <c r="AI2019" s="9" t="s">
        <v>77</v>
      </c>
      <c r="AJ2019" s="9" t="s">
        <v>57</v>
      </c>
      <c r="AK2019" s="23" t="s">
        <v>10122</v>
      </c>
      <c r="AL2019" s="23">
        <v>0.80689999999999995</v>
      </c>
      <c r="AM2019" s="26">
        <v>3873.12</v>
      </c>
      <c r="AN2019" s="9"/>
      <c r="AO2019" s="9"/>
      <c r="AP2019" s="9"/>
      <c r="AQ2019" s="15" t="s">
        <v>49</v>
      </c>
      <c r="AR2019" t="s">
        <v>10123</v>
      </c>
      <c r="AS2019" s="16" t="s">
        <v>10124</v>
      </c>
    </row>
    <row r="2020" spans="1:60" ht="14.5">
      <c r="A2020" s="9" t="s">
        <v>10125</v>
      </c>
      <c r="B2020" s="9" t="s">
        <v>10126</v>
      </c>
      <c r="C2020" s="9" t="s">
        <v>91</v>
      </c>
      <c r="D2020" s="9" t="s">
        <v>48</v>
      </c>
      <c r="E2020" s="9" t="s">
        <v>49</v>
      </c>
      <c r="F2020" s="9" t="s">
        <v>69</v>
      </c>
      <c r="G2020" s="9" t="s">
        <v>70</v>
      </c>
      <c r="H2020" s="9" t="s">
        <v>7292</v>
      </c>
      <c r="I2020" s="9" t="s">
        <v>72</v>
      </c>
      <c r="J2020" s="10">
        <v>45119</v>
      </c>
      <c r="K2020" s="10">
        <v>45141</v>
      </c>
      <c r="L2020" s="10">
        <v>45141</v>
      </c>
      <c r="M2020" s="10"/>
      <c r="N2020" s="9">
        <v>2023</v>
      </c>
      <c r="O2020" s="9" t="s">
        <v>10119</v>
      </c>
      <c r="P2020" s="9" t="s">
        <v>83</v>
      </c>
      <c r="Q2020" s="9" t="s">
        <v>53</v>
      </c>
      <c r="R2020" s="9" t="s">
        <v>10127</v>
      </c>
      <c r="T2020" s="9"/>
      <c r="V2020" s="9"/>
      <c r="AC2020" s="9" t="s">
        <v>93</v>
      </c>
      <c r="AD2020" s="9" t="s">
        <v>94</v>
      </c>
      <c r="AE2020" s="9" t="s">
        <v>5622</v>
      </c>
      <c r="AH2020" s="9">
        <v>4000</v>
      </c>
      <c r="AI2020" s="9" t="s">
        <v>77</v>
      </c>
      <c r="AJ2020" s="9" t="s">
        <v>57</v>
      </c>
      <c r="AK2020" s="23" t="s">
        <v>10122</v>
      </c>
      <c r="AL2020" s="23">
        <v>0.80689999999999995</v>
      </c>
      <c r="AM2020" s="26">
        <v>3873.12</v>
      </c>
      <c r="AN2020" s="9"/>
      <c r="AO2020" s="9"/>
      <c r="AP2020" s="9"/>
      <c r="AQ2020" s="15" t="s">
        <v>49</v>
      </c>
      <c r="AR2020" t="s">
        <v>95</v>
      </c>
      <c r="AS2020" s="16" t="s">
        <v>96</v>
      </c>
    </row>
    <row r="2021" spans="1:60" ht="14.5">
      <c r="A2021" s="9" t="s">
        <v>10128</v>
      </c>
      <c r="B2021" s="9" t="s">
        <v>10129</v>
      </c>
      <c r="C2021" s="9" t="s">
        <v>9001</v>
      </c>
      <c r="D2021" s="9" t="s">
        <v>48</v>
      </c>
      <c r="E2021" s="9" t="s">
        <v>49</v>
      </c>
      <c r="F2021" s="9" t="s">
        <v>69</v>
      </c>
      <c r="G2021" s="9" t="s">
        <v>70</v>
      </c>
      <c r="H2021" s="9" t="s">
        <v>7292</v>
      </c>
      <c r="I2021" s="9" t="s">
        <v>72</v>
      </c>
      <c r="J2021" s="10">
        <v>45037</v>
      </c>
      <c r="K2021" s="10">
        <v>45125</v>
      </c>
      <c r="L2021" s="10">
        <v>45125</v>
      </c>
      <c r="M2021" s="10"/>
      <c r="N2021" s="9">
        <v>2023</v>
      </c>
      <c r="O2021" s="9" t="s">
        <v>10119</v>
      </c>
      <c r="P2021" s="9" t="s">
        <v>83</v>
      </c>
      <c r="Q2021" s="9" t="s">
        <v>53</v>
      </c>
      <c r="R2021" s="9" t="s">
        <v>10130</v>
      </c>
      <c r="S2021" s="9"/>
      <c r="T2021" s="9"/>
      <c r="V2021" s="9"/>
      <c r="AC2021" s="9" t="s">
        <v>199</v>
      </c>
      <c r="AD2021" s="9" t="s">
        <v>200</v>
      </c>
      <c r="AE2021" s="9" t="s">
        <v>4418</v>
      </c>
      <c r="AH2021" s="9">
        <v>4000</v>
      </c>
      <c r="AI2021" s="9" t="s">
        <v>77</v>
      </c>
      <c r="AJ2021" s="9" t="s">
        <v>57</v>
      </c>
      <c r="AK2021" s="23" t="s">
        <v>10122</v>
      </c>
      <c r="AL2021" s="23">
        <v>0.80689999999999995</v>
      </c>
      <c r="AM2021" s="26">
        <v>3873.12</v>
      </c>
      <c r="AN2021" s="9"/>
      <c r="AO2021" s="9"/>
      <c r="AP2021" s="9"/>
      <c r="AQ2021" s="15" t="s">
        <v>49</v>
      </c>
      <c r="AR2021" t="s">
        <v>9003</v>
      </c>
      <c r="AS2021" s="16" t="s">
        <v>9004</v>
      </c>
    </row>
    <row r="2022" spans="1:60" ht="14.5">
      <c r="A2022" s="9" t="s">
        <v>10131</v>
      </c>
      <c r="B2022" s="9" t="s">
        <v>10132</v>
      </c>
      <c r="C2022" s="9" t="s">
        <v>47</v>
      </c>
      <c r="D2022" s="9" t="s">
        <v>48</v>
      </c>
      <c r="E2022" s="9" t="s">
        <v>49</v>
      </c>
      <c r="F2022" s="9" t="s">
        <v>69</v>
      </c>
      <c r="G2022" s="9" t="s">
        <v>70</v>
      </c>
      <c r="H2022" s="9" t="s">
        <v>7292</v>
      </c>
      <c r="I2022" s="9" t="s">
        <v>72</v>
      </c>
      <c r="J2022" s="10">
        <v>44843</v>
      </c>
      <c r="K2022" s="10">
        <v>45070</v>
      </c>
      <c r="L2022" s="10">
        <v>45070</v>
      </c>
      <c r="M2022" s="10"/>
      <c r="N2022" s="9">
        <v>2023</v>
      </c>
      <c r="O2022" s="9" t="s">
        <v>10119</v>
      </c>
      <c r="P2022" s="9" t="s">
        <v>53</v>
      </c>
      <c r="Q2022" s="9" t="s">
        <v>53</v>
      </c>
      <c r="R2022" s="9" t="s">
        <v>2268</v>
      </c>
      <c r="T2022" s="9"/>
      <c r="V2022" s="9"/>
      <c r="AC2022" s="9" t="s">
        <v>10133</v>
      </c>
      <c r="AD2022" s="9" t="s">
        <v>6358</v>
      </c>
      <c r="AE2022" s="9" t="s">
        <v>6359</v>
      </c>
      <c r="AH2022" s="9">
        <v>4000</v>
      </c>
      <c r="AI2022" s="9" t="s">
        <v>77</v>
      </c>
      <c r="AJ2022" s="9" t="s">
        <v>57</v>
      </c>
      <c r="AK2022" s="23" t="s">
        <v>10122</v>
      </c>
      <c r="AL2022" s="23">
        <v>0.80689999999999995</v>
      </c>
      <c r="AM2022" s="26">
        <v>3873.12</v>
      </c>
      <c r="AN2022" s="9"/>
      <c r="AO2022" s="9"/>
      <c r="AP2022" s="9"/>
      <c r="AQ2022" s="15" t="s">
        <v>49</v>
      </c>
      <c r="AR2022" t="s">
        <v>58</v>
      </c>
      <c r="AS2022" s="16" t="s">
        <v>59</v>
      </c>
    </row>
    <row r="2023" spans="1:60" ht="14.5">
      <c r="A2023" s="9" t="s">
        <v>10134</v>
      </c>
      <c r="B2023" s="9" t="s">
        <v>10135</v>
      </c>
      <c r="C2023" s="9" t="s">
        <v>91</v>
      </c>
      <c r="D2023" s="9" t="s">
        <v>48</v>
      </c>
      <c r="E2023" s="9" t="s">
        <v>49</v>
      </c>
      <c r="F2023" s="9" t="s">
        <v>69</v>
      </c>
      <c r="G2023" s="9" t="s">
        <v>70</v>
      </c>
      <c r="H2023" s="9" t="s">
        <v>7292</v>
      </c>
      <c r="I2023" s="9" t="s">
        <v>72</v>
      </c>
      <c r="J2023" s="10">
        <v>44775</v>
      </c>
      <c r="K2023" s="10">
        <v>45061</v>
      </c>
      <c r="L2023" s="10">
        <v>45061</v>
      </c>
      <c r="M2023" s="10"/>
      <c r="N2023" s="9">
        <v>2023</v>
      </c>
      <c r="O2023" s="9" t="s">
        <v>10119</v>
      </c>
      <c r="P2023" s="9" t="s">
        <v>83</v>
      </c>
      <c r="Q2023" s="9" t="s">
        <v>53</v>
      </c>
      <c r="R2023" s="9" t="s">
        <v>10136</v>
      </c>
      <c r="S2023" s="9"/>
      <c r="T2023" s="9"/>
      <c r="V2023" s="9"/>
      <c r="AC2023" s="9" t="s">
        <v>118</v>
      </c>
      <c r="AD2023" s="9" t="s">
        <v>119</v>
      </c>
      <c r="AE2023" s="9" t="s">
        <v>9680</v>
      </c>
      <c r="AH2023" s="9">
        <v>4000</v>
      </c>
      <c r="AI2023" s="9" t="s">
        <v>77</v>
      </c>
      <c r="AJ2023" s="9" t="s">
        <v>57</v>
      </c>
      <c r="AK2023" s="23" t="s">
        <v>10122</v>
      </c>
      <c r="AL2023" s="23">
        <v>0.80689999999999995</v>
      </c>
      <c r="AM2023" s="26">
        <v>3873.12</v>
      </c>
      <c r="AN2023" s="9"/>
      <c r="AO2023" s="9"/>
      <c r="AP2023" s="9"/>
      <c r="AQ2023" s="15" t="s">
        <v>49</v>
      </c>
      <c r="AR2023" t="s">
        <v>95</v>
      </c>
      <c r="AS2023" s="16" t="s">
        <v>96</v>
      </c>
    </row>
    <row r="2024" spans="1:60" ht="14.5">
      <c r="A2024" s="20" t="s">
        <v>10137</v>
      </c>
      <c r="B2024" s="20" t="s">
        <v>10138</v>
      </c>
      <c r="C2024" s="20" t="s">
        <v>2292</v>
      </c>
      <c r="D2024" s="20" t="s">
        <v>2268</v>
      </c>
      <c r="E2024" s="20" t="s">
        <v>49</v>
      </c>
      <c r="F2024" s="20" t="s">
        <v>69</v>
      </c>
      <c r="G2024" s="20" t="s">
        <v>70</v>
      </c>
      <c r="H2024" s="20" t="s">
        <v>10139</v>
      </c>
      <c r="I2024" s="20" t="s">
        <v>72</v>
      </c>
      <c r="J2024" s="22"/>
      <c r="K2024" s="22"/>
      <c r="L2024" s="22"/>
      <c r="M2024" s="22">
        <v>45019</v>
      </c>
      <c r="N2024" s="20">
        <v>2023</v>
      </c>
      <c r="O2024" s="20" t="s">
        <v>10140</v>
      </c>
      <c r="P2024" s="20" t="s">
        <v>83</v>
      </c>
      <c r="Q2024" s="20" t="s">
        <v>53</v>
      </c>
      <c r="R2024" s="20" t="s">
        <v>117</v>
      </c>
      <c r="S2024" s="20"/>
      <c r="T2024" s="20"/>
      <c r="U2024" s="20"/>
      <c r="V2024" s="20"/>
      <c r="W2024" s="20"/>
      <c r="X2024" s="20"/>
      <c r="Y2024" s="20"/>
      <c r="Z2024" s="20"/>
      <c r="AA2024" s="20"/>
      <c r="AB2024" s="20"/>
      <c r="AC2024" s="20" t="s">
        <v>10141</v>
      </c>
      <c r="AD2024" s="20"/>
      <c r="AE2024" s="20" t="s">
        <v>10142</v>
      </c>
      <c r="AF2024" s="20"/>
      <c r="AG2024" s="20"/>
      <c r="AH2024" s="20">
        <v>2500</v>
      </c>
      <c r="AI2024" s="20" t="s">
        <v>875</v>
      </c>
      <c r="AJ2024" s="20" t="s">
        <v>301</v>
      </c>
      <c r="AK2024" s="23" t="str">
        <f t="shared" ref="AK2024:AK2278" si="16">CONCATENATE(N2024,AJ2024)</f>
        <v>2023GBP</v>
      </c>
      <c r="AL2024" s="23">
        <f>VLOOKUP(AK2024, Exchange_rates!$C:$D, 2, FALSE)</f>
        <v>1</v>
      </c>
      <c r="AM2024" s="26">
        <f t="shared" ref="AM2024:AM2278" si="17">IFERROR(((AH2024*AL2024)*1.2), "")</f>
        <v>3000</v>
      </c>
      <c r="AN2024" s="20"/>
      <c r="AO2024" s="20"/>
      <c r="AP2024" s="20"/>
      <c r="AQ2024" s="27" t="s">
        <v>49</v>
      </c>
      <c r="AR2024" t="s">
        <v>2294</v>
      </c>
      <c r="AS2024" s="16"/>
      <c r="AT2024" s="20"/>
      <c r="AU2024" s="20"/>
      <c r="AV2024" s="20"/>
      <c r="AW2024" s="20"/>
      <c r="AX2024" s="20"/>
      <c r="AY2024" s="20"/>
      <c r="AZ2024" s="20"/>
      <c r="BA2024" s="20"/>
      <c r="BB2024" s="20"/>
      <c r="BC2024" s="20"/>
      <c r="BD2024" s="20"/>
      <c r="BE2024" s="20"/>
      <c r="BF2024" s="20"/>
      <c r="BG2024" s="20"/>
      <c r="BH2024" s="20"/>
    </row>
    <row r="2025" spans="1:60" ht="14.5">
      <c r="A2025" s="20" t="s">
        <v>10143</v>
      </c>
      <c r="B2025" s="20" t="s">
        <v>10144</v>
      </c>
      <c r="C2025" s="20" t="s">
        <v>7876</v>
      </c>
      <c r="D2025" s="20" t="s">
        <v>2268</v>
      </c>
      <c r="E2025" s="20" t="s">
        <v>49</v>
      </c>
      <c r="F2025" s="20" t="s">
        <v>69</v>
      </c>
      <c r="G2025" s="20" t="s">
        <v>70</v>
      </c>
      <c r="H2025" s="20" t="s">
        <v>10139</v>
      </c>
      <c r="I2025" s="20" t="s">
        <v>72</v>
      </c>
      <c r="J2025" s="22"/>
      <c r="K2025" s="22"/>
      <c r="L2025" s="22"/>
      <c r="M2025" s="22">
        <v>45036</v>
      </c>
      <c r="N2025" s="20">
        <v>2023</v>
      </c>
      <c r="O2025" s="20" t="s">
        <v>10140</v>
      </c>
      <c r="P2025" s="20" t="s">
        <v>83</v>
      </c>
      <c r="Q2025" s="20" t="s">
        <v>53</v>
      </c>
      <c r="R2025" s="20" t="s">
        <v>117</v>
      </c>
      <c r="S2025" s="20"/>
      <c r="T2025" s="20"/>
      <c r="U2025" s="20"/>
      <c r="V2025" s="20"/>
      <c r="W2025" s="20"/>
      <c r="X2025" s="20"/>
      <c r="Y2025" s="20"/>
      <c r="Z2025" s="20"/>
      <c r="AA2025" s="20"/>
      <c r="AB2025" s="20"/>
      <c r="AC2025" s="20" t="s">
        <v>10145</v>
      </c>
      <c r="AD2025" s="20"/>
      <c r="AE2025" s="20" t="s">
        <v>4418</v>
      </c>
      <c r="AF2025" s="20"/>
      <c r="AG2025" s="20"/>
      <c r="AH2025" s="20">
        <v>2500</v>
      </c>
      <c r="AI2025" s="20" t="s">
        <v>875</v>
      </c>
      <c r="AJ2025" s="20" t="s">
        <v>301</v>
      </c>
      <c r="AK2025" s="23" t="str">
        <f t="shared" si="16"/>
        <v>2023GBP</v>
      </c>
      <c r="AL2025" s="23">
        <f>VLOOKUP(AK2025, Exchange_rates!$C:$D, 2, FALSE)</f>
        <v>1</v>
      </c>
      <c r="AM2025" s="26">
        <f t="shared" si="17"/>
        <v>3000</v>
      </c>
      <c r="AN2025" s="20"/>
      <c r="AO2025" s="20"/>
      <c r="AP2025" s="20"/>
      <c r="AQ2025" s="27" t="s">
        <v>49</v>
      </c>
      <c r="AR2025" t="s">
        <v>7878</v>
      </c>
      <c r="AS2025" s="16"/>
      <c r="AT2025" s="20"/>
      <c r="AU2025" s="20"/>
      <c r="AV2025" s="20"/>
      <c r="AW2025" s="20"/>
      <c r="AX2025" s="20"/>
      <c r="AY2025" s="20"/>
      <c r="AZ2025" s="20"/>
      <c r="BA2025" s="20"/>
      <c r="BB2025" s="20"/>
      <c r="BC2025" s="20"/>
      <c r="BD2025" s="20"/>
      <c r="BE2025" s="20"/>
      <c r="BF2025" s="20"/>
      <c r="BG2025" s="20"/>
      <c r="BH2025" s="20"/>
    </row>
    <row r="2026" spans="1:60" ht="14.5">
      <c r="A2026" s="20" t="s">
        <v>10146</v>
      </c>
      <c r="B2026" s="20" t="s">
        <v>10147</v>
      </c>
      <c r="C2026" s="20" t="s">
        <v>2388</v>
      </c>
      <c r="D2026" s="20" t="s">
        <v>2268</v>
      </c>
      <c r="E2026" s="20" t="s">
        <v>49</v>
      </c>
      <c r="F2026" s="20" t="s">
        <v>69</v>
      </c>
      <c r="G2026" s="20" t="s">
        <v>70</v>
      </c>
      <c r="H2026" s="20" t="s">
        <v>10139</v>
      </c>
      <c r="I2026" s="20" t="s">
        <v>238</v>
      </c>
      <c r="J2026" s="22"/>
      <c r="K2026" s="22"/>
      <c r="L2026" s="22"/>
      <c r="M2026" s="22">
        <v>45083</v>
      </c>
      <c r="N2026" s="20">
        <v>2023</v>
      </c>
      <c r="O2026" s="20" t="s">
        <v>10140</v>
      </c>
      <c r="P2026" s="20" t="s">
        <v>53</v>
      </c>
      <c r="Q2026" s="20" t="s">
        <v>53</v>
      </c>
      <c r="R2026" s="20" t="s">
        <v>10148</v>
      </c>
      <c r="S2026" s="20"/>
      <c r="T2026" s="20"/>
      <c r="U2026" s="20"/>
      <c r="V2026" s="20"/>
      <c r="W2026" s="20"/>
      <c r="X2026" s="20"/>
      <c r="Y2026" s="20"/>
      <c r="Z2026" s="20"/>
      <c r="AA2026" s="20"/>
      <c r="AB2026" s="20"/>
      <c r="AC2026" s="20" t="s">
        <v>10149</v>
      </c>
      <c r="AD2026" s="20"/>
      <c r="AE2026" s="20" t="s">
        <v>6302</v>
      </c>
      <c r="AF2026" s="20"/>
      <c r="AG2026" s="20"/>
      <c r="AH2026" s="20">
        <v>2500</v>
      </c>
      <c r="AI2026" s="20" t="s">
        <v>875</v>
      </c>
      <c r="AJ2026" s="20" t="s">
        <v>301</v>
      </c>
      <c r="AK2026" s="23" t="str">
        <f t="shared" si="16"/>
        <v>2023GBP</v>
      </c>
      <c r="AL2026" s="23">
        <f>VLOOKUP(AK2026, Exchange_rates!$C:$D, 2, FALSE)</f>
        <v>1</v>
      </c>
      <c r="AM2026" s="26">
        <f t="shared" si="17"/>
        <v>3000</v>
      </c>
      <c r="AN2026" s="20"/>
      <c r="AO2026" s="20"/>
      <c r="AP2026" s="20"/>
      <c r="AQ2026" s="27" t="s">
        <v>49</v>
      </c>
      <c r="AR2026" t="s">
        <v>2277</v>
      </c>
      <c r="AS2026" s="16" t="s">
        <v>2390</v>
      </c>
      <c r="AT2026" s="20"/>
      <c r="AU2026" s="20"/>
      <c r="AV2026" s="20"/>
      <c r="AW2026" s="20"/>
      <c r="AX2026" s="20"/>
      <c r="AY2026" s="20"/>
      <c r="AZ2026" s="20"/>
      <c r="BA2026" s="20"/>
      <c r="BB2026" s="20"/>
      <c r="BC2026" s="20"/>
      <c r="BD2026" s="20"/>
      <c r="BE2026" s="20"/>
      <c r="BF2026" s="20"/>
      <c r="BG2026" s="20"/>
      <c r="BH2026" s="20"/>
    </row>
    <row r="2027" spans="1:60" ht="14.5">
      <c r="A2027" s="9" t="s">
        <v>10150</v>
      </c>
      <c r="B2027" s="9" t="s">
        <v>10151</v>
      </c>
      <c r="C2027" s="9" t="s">
        <v>3499</v>
      </c>
      <c r="D2027" s="9" t="s">
        <v>2830</v>
      </c>
      <c r="E2027" s="9" t="s">
        <v>49</v>
      </c>
      <c r="F2027" s="9" t="s">
        <v>69</v>
      </c>
      <c r="G2027" s="9" t="s">
        <v>70</v>
      </c>
      <c r="H2027" s="9" t="s">
        <v>7116</v>
      </c>
      <c r="I2027" s="9" t="s">
        <v>72</v>
      </c>
      <c r="J2027" s="10">
        <v>44991</v>
      </c>
      <c r="K2027" s="10">
        <v>45041</v>
      </c>
      <c r="L2027" s="10">
        <v>45061</v>
      </c>
      <c r="M2027" s="10">
        <v>45069</v>
      </c>
      <c r="N2027" s="20">
        <v>2023</v>
      </c>
      <c r="O2027" s="9" t="s">
        <v>10152</v>
      </c>
      <c r="P2027" s="9" t="s">
        <v>53</v>
      </c>
      <c r="Q2027" s="9"/>
      <c r="R2027" s="9" t="s">
        <v>10153</v>
      </c>
      <c r="S2027" s="9"/>
      <c r="T2027" s="9"/>
      <c r="V2027" s="9"/>
      <c r="AC2027" s="9" t="s">
        <v>10154</v>
      </c>
      <c r="AF2027" s="9" t="s">
        <v>10155</v>
      </c>
      <c r="AH2027" s="9">
        <v>2428</v>
      </c>
      <c r="AI2027" s="9" t="s">
        <v>77</v>
      </c>
      <c r="AJ2027" s="9" t="s">
        <v>1823</v>
      </c>
      <c r="AK2027" s="23" t="str">
        <f t="shared" si="16"/>
        <v>2023EUR</v>
      </c>
      <c r="AL2027" s="23">
        <f>VLOOKUP(AK2027, Exchange_rates!$C:$D, 2, FALSE)</f>
        <v>0.87029999999999996</v>
      </c>
      <c r="AM2027" s="26">
        <f t="shared" si="17"/>
        <v>2535.7060799999999</v>
      </c>
      <c r="AN2027" s="9"/>
      <c r="AO2027" s="9"/>
      <c r="AP2027" s="9"/>
      <c r="AQ2027" s="15" t="s">
        <v>49</v>
      </c>
      <c r="AR2027" t="s">
        <v>3500</v>
      </c>
      <c r="AS2027" s="16"/>
    </row>
    <row r="2028" spans="1:60" ht="14.5">
      <c r="A2028" s="9" t="s">
        <v>10156</v>
      </c>
      <c r="B2028" s="9" t="s">
        <v>10157</v>
      </c>
      <c r="C2028" s="9" t="s">
        <v>3019</v>
      </c>
      <c r="D2028" s="9" t="s">
        <v>2830</v>
      </c>
      <c r="E2028" s="9" t="s">
        <v>49</v>
      </c>
      <c r="F2028" s="9" t="s">
        <v>69</v>
      </c>
      <c r="G2028" s="9" t="s">
        <v>70</v>
      </c>
      <c r="H2028" s="9" t="s">
        <v>7116</v>
      </c>
      <c r="I2028" s="9" t="s">
        <v>72</v>
      </c>
      <c r="J2028" s="10"/>
      <c r="K2028" s="10">
        <v>45053</v>
      </c>
      <c r="L2028" s="10">
        <v>45061</v>
      </c>
      <c r="M2028" s="10">
        <v>45076</v>
      </c>
      <c r="N2028" s="20">
        <v>2023</v>
      </c>
      <c r="O2028" s="9" t="s">
        <v>10158</v>
      </c>
      <c r="P2028" s="9" t="s">
        <v>83</v>
      </c>
      <c r="Q2028" s="9" t="s">
        <v>53</v>
      </c>
      <c r="R2028" s="9" t="s">
        <v>1847</v>
      </c>
      <c r="S2028" s="9"/>
      <c r="T2028" s="9"/>
      <c r="V2028" s="9"/>
      <c r="AC2028" s="9" t="s">
        <v>590</v>
      </c>
      <c r="AE2028" s="46" t="s">
        <v>10159</v>
      </c>
      <c r="AF2028" s="9" t="s">
        <v>590</v>
      </c>
      <c r="AH2028" s="9">
        <v>2428</v>
      </c>
      <c r="AI2028" s="9" t="s">
        <v>77</v>
      </c>
      <c r="AJ2028" s="9" t="s">
        <v>1823</v>
      </c>
      <c r="AK2028" s="23" t="str">
        <f t="shared" si="16"/>
        <v>2023EUR</v>
      </c>
      <c r="AL2028" s="23">
        <f>VLOOKUP(AK2028, Exchange_rates!$C:$D, 2, FALSE)</f>
        <v>0.87029999999999996</v>
      </c>
      <c r="AM2028" s="26">
        <f t="shared" si="17"/>
        <v>2535.7060799999999</v>
      </c>
      <c r="AN2028" s="9"/>
      <c r="AO2028" s="9"/>
      <c r="AP2028" s="9"/>
      <c r="AQ2028" s="15" t="s">
        <v>49</v>
      </c>
      <c r="AR2028" t="s">
        <v>3020</v>
      </c>
      <c r="AS2028" s="16"/>
    </row>
    <row r="2029" spans="1:60" ht="14.5">
      <c r="A2029" s="9" t="s">
        <v>10160</v>
      </c>
      <c r="B2029" s="9" t="s">
        <v>10161</v>
      </c>
      <c r="C2029" s="9" t="s">
        <v>3073</v>
      </c>
      <c r="D2029" s="9" t="s">
        <v>2830</v>
      </c>
      <c r="E2029" s="9" t="s">
        <v>49</v>
      </c>
      <c r="F2029" s="9" t="s">
        <v>69</v>
      </c>
      <c r="G2029" s="9" t="s">
        <v>70</v>
      </c>
      <c r="H2029" s="9" t="s">
        <v>7116</v>
      </c>
      <c r="I2029" s="9" t="s">
        <v>72</v>
      </c>
      <c r="J2029" s="10">
        <v>44979</v>
      </c>
      <c r="K2029" s="10">
        <v>45094</v>
      </c>
      <c r="L2029" s="10">
        <v>45097</v>
      </c>
      <c r="M2029" s="10">
        <v>45104</v>
      </c>
      <c r="N2029" s="20">
        <v>2023</v>
      </c>
      <c r="O2029" s="9" t="s">
        <v>10158</v>
      </c>
      <c r="P2029" s="9" t="s">
        <v>53</v>
      </c>
      <c r="Q2029" s="9" t="s">
        <v>53</v>
      </c>
      <c r="R2029" s="9" t="s">
        <v>10162</v>
      </c>
      <c r="S2029" s="9"/>
      <c r="T2029" s="9"/>
      <c r="V2029" s="9"/>
      <c r="AC2029" s="9" t="s">
        <v>10163</v>
      </c>
      <c r="AF2029" s="9" t="s">
        <v>10163</v>
      </c>
      <c r="AH2029" s="9">
        <v>2190</v>
      </c>
      <c r="AI2029" s="9" t="s">
        <v>875</v>
      </c>
      <c r="AJ2029" s="9" t="s">
        <v>301</v>
      </c>
      <c r="AK2029" s="23" t="str">
        <f t="shared" si="16"/>
        <v>2023GBP</v>
      </c>
      <c r="AL2029" s="23">
        <f>VLOOKUP(AK2029, Exchange_rates!$C:$D, 2, FALSE)</f>
        <v>1</v>
      </c>
      <c r="AM2029" s="26">
        <f t="shared" si="17"/>
        <v>2628</v>
      </c>
      <c r="AN2029" s="9"/>
      <c r="AO2029" s="9"/>
      <c r="AP2029" s="9"/>
      <c r="AQ2029" s="15" t="s">
        <v>49</v>
      </c>
      <c r="AR2029" t="s">
        <v>3074</v>
      </c>
      <c r="AS2029" s="16"/>
    </row>
    <row r="2030" spans="1:60" ht="14.5">
      <c r="A2030" s="9" t="s">
        <v>10164</v>
      </c>
      <c r="B2030" s="9" t="s">
        <v>10165</v>
      </c>
      <c r="C2030" s="9" t="s">
        <v>10166</v>
      </c>
      <c r="D2030" s="9" t="s">
        <v>2830</v>
      </c>
      <c r="E2030" s="9" t="s">
        <v>49</v>
      </c>
      <c r="F2030" s="9" t="s">
        <v>69</v>
      </c>
      <c r="G2030" s="9" t="s">
        <v>70</v>
      </c>
      <c r="H2030" s="9" t="s">
        <v>7116</v>
      </c>
      <c r="I2030" s="9" t="s">
        <v>72</v>
      </c>
      <c r="J2030" s="10">
        <v>44915</v>
      </c>
      <c r="K2030" s="10">
        <v>45059</v>
      </c>
      <c r="L2030" s="10">
        <v>45071</v>
      </c>
      <c r="M2030" s="10">
        <v>45083</v>
      </c>
      <c r="N2030" s="20">
        <v>2023</v>
      </c>
      <c r="O2030" s="9" t="s">
        <v>10158</v>
      </c>
      <c r="P2030" s="9" t="s">
        <v>83</v>
      </c>
      <c r="Q2030" s="9" t="s">
        <v>53</v>
      </c>
      <c r="R2030" s="9" t="s">
        <v>10167</v>
      </c>
      <c r="S2030" s="9"/>
      <c r="T2030" s="9"/>
      <c r="V2030" s="9"/>
      <c r="AC2030" s="9" t="s">
        <v>10168</v>
      </c>
      <c r="AE2030" s="46" t="s">
        <v>10169</v>
      </c>
      <c r="AF2030" s="9" t="s">
        <v>10170</v>
      </c>
      <c r="AH2030" s="9">
        <v>2428</v>
      </c>
      <c r="AI2030" s="9" t="s">
        <v>77</v>
      </c>
      <c r="AJ2030" s="9" t="s">
        <v>1823</v>
      </c>
      <c r="AK2030" s="23" t="str">
        <f t="shared" si="16"/>
        <v>2023EUR</v>
      </c>
      <c r="AL2030" s="23">
        <f>VLOOKUP(AK2030, Exchange_rates!$C:$D, 2, FALSE)</f>
        <v>0.87029999999999996</v>
      </c>
      <c r="AM2030" s="26">
        <f t="shared" si="17"/>
        <v>2535.7060799999999</v>
      </c>
      <c r="AN2030" s="9"/>
      <c r="AO2030" s="9"/>
      <c r="AP2030" s="9"/>
      <c r="AQ2030" s="15" t="s">
        <v>49</v>
      </c>
      <c r="AR2030" t="s">
        <v>10171</v>
      </c>
      <c r="AS2030" s="16"/>
    </row>
    <row r="2031" spans="1:60" ht="14.5">
      <c r="A2031" s="9" t="s">
        <v>10172</v>
      </c>
      <c r="B2031" s="9" t="s">
        <v>10173</v>
      </c>
      <c r="C2031" s="9" t="s">
        <v>2973</v>
      </c>
      <c r="D2031" s="9" t="s">
        <v>2830</v>
      </c>
      <c r="E2031" s="9" t="s">
        <v>49</v>
      </c>
      <c r="F2031" s="9" t="s">
        <v>69</v>
      </c>
      <c r="G2031" s="9" t="s">
        <v>70</v>
      </c>
      <c r="H2031" s="9" t="s">
        <v>7116</v>
      </c>
      <c r="I2031" s="9" t="s">
        <v>72</v>
      </c>
      <c r="J2031" s="10">
        <v>45070</v>
      </c>
      <c r="K2031" s="10">
        <v>45083</v>
      </c>
      <c r="L2031" s="10">
        <v>45089</v>
      </c>
      <c r="M2031" s="10">
        <v>45091</v>
      </c>
      <c r="N2031" s="20">
        <v>2023</v>
      </c>
      <c r="O2031" s="9" t="s">
        <v>10158</v>
      </c>
      <c r="P2031" s="9" t="s">
        <v>83</v>
      </c>
      <c r="Q2031" s="9" t="s">
        <v>83</v>
      </c>
      <c r="R2031" s="9" t="s">
        <v>10174</v>
      </c>
      <c r="S2031" s="9"/>
      <c r="T2031" s="9"/>
      <c r="V2031" s="9"/>
      <c r="AC2031" s="9" t="s">
        <v>10175</v>
      </c>
      <c r="AF2031" s="9" t="s">
        <v>10176</v>
      </c>
      <c r="AH2031" s="9">
        <v>2590</v>
      </c>
      <c r="AI2031" s="9" t="s">
        <v>875</v>
      </c>
      <c r="AJ2031" s="9" t="s">
        <v>301</v>
      </c>
      <c r="AK2031" s="23" t="str">
        <f t="shared" si="16"/>
        <v>2023GBP</v>
      </c>
      <c r="AL2031" s="23">
        <f>VLOOKUP(AK2031, Exchange_rates!$C:$D, 2, FALSE)</f>
        <v>1</v>
      </c>
      <c r="AM2031" s="26">
        <f t="shared" si="17"/>
        <v>3108</v>
      </c>
      <c r="AN2031" s="9"/>
      <c r="AO2031" s="9"/>
      <c r="AP2031" s="9"/>
      <c r="AQ2031" s="15" t="s">
        <v>49</v>
      </c>
      <c r="AR2031" t="s">
        <v>2974</v>
      </c>
      <c r="AS2031" s="16"/>
    </row>
    <row r="2032" spans="1:60" ht="14.5">
      <c r="A2032" s="9" t="s">
        <v>10177</v>
      </c>
      <c r="B2032" s="9" t="s">
        <v>10178</v>
      </c>
      <c r="C2032" s="9" t="s">
        <v>4315</v>
      </c>
      <c r="D2032" s="9" t="s">
        <v>2830</v>
      </c>
      <c r="E2032" s="9" t="s">
        <v>49</v>
      </c>
      <c r="F2032" s="9" t="s">
        <v>69</v>
      </c>
      <c r="G2032" s="9" t="s">
        <v>70</v>
      </c>
      <c r="H2032" s="9" t="s">
        <v>7116</v>
      </c>
      <c r="I2032" s="9" t="s">
        <v>72</v>
      </c>
      <c r="J2032" s="10"/>
      <c r="K2032" s="10">
        <v>45104</v>
      </c>
      <c r="L2032" s="10">
        <v>45111</v>
      </c>
      <c r="M2032" s="10">
        <v>45127</v>
      </c>
      <c r="N2032" s="20">
        <v>2023</v>
      </c>
      <c r="O2032" s="9" t="s">
        <v>10158</v>
      </c>
      <c r="P2032" s="9" t="s">
        <v>83</v>
      </c>
      <c r="Q2032" s="9" t="s">
        <v>53</v>
      </c>
      <c r="R2032" s="9" t="s">
        <v>10179</v>
      </c>
      <c r="S2032" s="9"/>
      <c r="T2032" s="9"/>
      <c r="V2032" s="9"/>
      <c r="AC2032" s="9" t="s">
        <v>10180</v>
      </c>
      <c r="AF2032" s="9" t="s">
        <v>10181</v>
      </c>
      <c r="AH2032" s="9">
        <v>1990</v>
      </c>
      <c r="AI2032" s="9" t="s">
        <v>875</v>
      </c>
      <c r="AJ2032" s="9" t="s">
        <v>301</v>
      </c>
      <c r="AK2032" s="23" t="str">
        <f t="shared" si="16"/>
        <v>2023GBP</v>
      </c>
      <c r="AL2032" s="23">
        <f>VLOOKUP(AK2032, Exchange_rates!$C:$D, 2, FALSE)</f>
        <v>1</v>
      </c>
      <c r="AM2032" s="26">
        <f t="shared" si="17"/>
        <v>2388</v>
      </c>
      <c r="AN2032" s="9"/>
      <c r="AO2032" s="9"/>
      <c r="AP2032" s="9"/>
      <c r="AQ2032" s="15" t="s">
        <v>49</v>
      </c>
      <c r="AR2032" t="s">
        <v>4316</v>
      </c>
      <c r="AS2032" s="16"/>
    </row>
    <row r="2033" spans="1:45" ht="14.5">
      <c r="A2033" s="9" t="s">
        <v>10182</v>
      </c>
      <c r="B2033" s="9" t="s">
        <v>10183</v>
      </c>
      <c r="C2033" s="9" t="s">
        <v>3292</v>
      </c>
      <c r="D2033" s="9" t="s">
        <v>2830</v>
      </c>
      <c r="E2033" s="9" t="s">
        <v>49</v>
      </c>
      <c r="F2033" s="9" t="s">
        <v>69</v>
      </c>
      <c r="G2033" s="9" t="s">
        <v>70</v>
      </c>
      <c r="H2033" s="9" t="s">
        <v>7116</v>
      </c>
      <c r="I2033" s="9" t="s">
        <v>72</v>
      </c>
      <c r="J2033" s="10">
        <v>44959</v>
      </c>
      <c r="K2033" s="10">
        <v>45087</v>
      </c>
      <c r="L2033" s="10">
        <v>45097</v>
      </c>
      <c r="M2033" s="10">
        <v>45110</v>
      </c>
      <c r="N2033" s="20">
        <v>2023</v>
      </c>
      <c r="O2033" s="9" t="s">
        <v>10158</v>
      </c>
      <c r="P2033" s="9" t="s">
        <v>53</v>
      </c>
      <c r="Q2033" s="9" t="s">
        <v>53</v>
      </c>
      <c r="R2033" s="9" t="s">
        <v>10184</v>
      </c>
      <c r="S2033" s="9"/>
      <c r="T2033" s="9"/>
      <c r="V2033" s="9"/>
      <c r="AC2033" s="9" t="s">
        <v>8100</v>
      </c>
      <c r="AE2033" s="46" t="s">
        <v>10185</v>
      </c>
      <c r="AF2033" s="9" t="s">
        <v>8100</v>
      </c>
      <c r="AH2033" s="9">
        <v>1760</v>
      </c>
      <c r="AI2033" s="9" t="s">
        <v>875</v>
      </c>
      <c r="AJ2033" s="9" t="s">
        <v>301</v>
      </c>
      <c r="AK2033" s="23" t="str">
        <f t="shared" si="16"/>
        <v>2023GBP</v>
      </c>
      <c r="AL2033" s="23">
        <f>VLOOKUP(AK2033, Exchange_rates!$C:$D, 2, FALSE)</f>
        <v>1</v>
      </c>
      <c r="AM2033" s="26">
        <f t="shared" si="17"/>
        <v>2112</v>
      </c>
      <c r="AN2033" s="9"/>
      <c r="AO2033" s="9"/>
      <c r="AP2033" s="9"/>
      <c r="AQ2033" s="15" t="s">
        <v>49</v>
      </c>
      <c r="AR2033" t="s">
        <v>3293</v>
      </c>
      <c r="AS2033" s="16"/>
    </row>
    <row r="2034" spans="1:45" ht="14.5">
      <c r="A2034" s="9" t="s">
        <v>10186</v>
      </c>
      <c r="B2034" s="9" t="s">
        <v>10187</v>
      </c>
      <c r="C2034" s="9" t="s">
        <v>3378</v>
      </c>
      <c r="D2034" s="9" t="s">
        <v>2830</v>
      </c>
      <c r="E2034" s="9" t="s">
        <v>49</v>
      </c>
      <c r="F2034" s="9" t="s">
        <v>69</v>
      </c>
      <c r="G2034" s="9" t="s">
        <v>70</v>
      </c>
      <c r="H2034" s="9" t="s">
        <v>7116</v>
      </c>
      <c r="I2034" s="9" t="s">
        <v>72</v>
      </c>
      <c r="J2034" s="10">
        <v>44991</v>
      </c>
      <c r="K2034" s="10">
        <v>45105</v>
      </c>
      <c r="L2034" s="10">
        <v>45127</v>
      </c>
      <c r="M2034" s="10">
        <v>45134</v>
      </c>
      <c r="N2034" s="20">
        <v>2023</v>
      </c>
      <c r="O2034" s="9" t="s">
        <v>10158</v>
      </c>
      <c r="P2034" s="9" t="s">
        <v>83</v>
      </c>
      <c r="Q2034" s="9" t="s">
        <v>53</v>
      </c>
      <c r="R2034" s="9" t="s">
        <v>10188</v>
      </c>
      <c r="S2034" s="9"/>
      <c r="T2034" s="9"/>
      <c r="V2034" s="9"/>
      <c r="AC2034" s="9" t="s">
        <v>8801</v>
      </c>
      <c r="AE2034" s="46" t="s">
        <v>10189</v>
      </c>
      <c r="AF2034" s="9" t="s">
        <v>10190</v>
      </c>
      <c r="AH2034" s="9">
        <v>2390</v>
      </c>
      <c r="AI2034" s="9" t="s">
        <v>875</v>
      </c>
      <c r="AJ2034" s="9" t="s">
        <v>301</v>
      </c>
      <c r="AK2034" s="23" t="str">
        <f t="shared" si="16"/>
        <v>2023GBP</v>
      </c>
      <c r="AL2034" s="23">
        <f>VLOOKUP(AK2034, Exchange_rates!$C:$D, 2, FALSE)</f>
        <v>1</v>
      </c>
      <c r="AM2034" s="26">
        <f t="shared" si="17"/>
        <v>2868</v>
      </c>
      <c r="AN2034" s="9"/>
      <c r="AO2034" s="9"/>
      <c r="AP2034" s="9"/>
      <c r="AQ2034" s="15" t="s">
        <v>49</v>
      </c>
      <c r="AR2034" t="s">
        <v>3380</v>
      </c>
      <c r="AS2034" s="16"/>
    </row>
    <row r="2035" spans="1:45" ht="14.5">
      <c r="A2035" s="9" t="s">
        <v>10191</v>
      </c>
      <c r="B2035" s="9" t="s">
        <v>10192</v>
      </c>
      <c r="C2035" s="9" t="s">
        <v>10193</v>
      </c>
      <c r="D2035" s="9" t="s">
        <v>2830</v>
      </c>
      <c r="E2035" s="9" t="s">
        <v>49</v>
      </c>
      <c r="F2035" s="9" t="s">
        <v>69</v>
      </c>
      <c r="G2035" s="9" t="s">
        <v>70</v>
      </c>
      <c r="H2035" s="9" t="s">
        <v>7116</v>
      </c>
      <c r="I2035" s="9" t="s">
        <v>72</v>
      </c>
      <c r="J2035" s="10">
        <v>44890</v>
      </c>
      <c r="K2035" s="10">
        <v>45104</v>
      </c>
      <c r="L2035" s="10">
        <v>45124</v>
      </c>
      <c r="M2035" s="10">
        <v>45148</v>
      </c>
      <c r="N2035" s="20">
        <v>2023</v>
      </c>
      <c r="O2035" s="9" t="s">
        <v>10158</v>
      </c>
      <c r="P2035" s="9" t="s">
        <v>83</v>
      </c>
      <c r="Q2035" s="9" t="s">
        <v>53</v>
      </c>
      <c r="R2035" s="9" t="s">
        <v>10194</v>
      </c>
      <c r="S2035" s="9"/>
      <c r="T2035" s="9"/>
      <c r="V2035" s="9"/>
      <c r="AC2035" s="9" t="s">
        <v>1997</v>
      </c>
      <c r="AE2035" s="46" t="s">
        <v>10195</v>
      </c>
      <c r="AF2035" s="9" t="s">
        <v>10196</v>
      </c>
      <c r="AH2035" s="18">
        <v>8490</v>
      </c>
      <c r="AI2035" s="9" t="s">
        <v>875</v>
      </c>
      <c r="AJ2035" s="9" t="s">
        <v>301</v>
      </c>
      <c r="AK2035" s="23" t="str">
        <f t="shared" si="16"/>
        <v>2023GBP</v>
      </c>
      <c r="AL2035" s="23">
        <f>VLOOKUP(AK2035, Exchange_rates!$C:$D, 2, FALSE)</f>
        <v>1</v>
      </c>
      <c r="AM2035" s="26">
        <f t="shared" si="17"/>
        <v>10188</v>
      </c>
      <c r="AN2035" s="9"/>
      <c r="AO2035" s="9"/>
      <c r="AP2035" s="9"/>
      <c r="AQ2035" s="15" t="s">
        <v>49</v>
      </c>
      <c r="AR2035" t="s">
        <v>10197</v>
      </c>
      <c r="AS2035" s="16"/>
    </row>
    <row r="2036" spans="1:45" ht="14.5">
      <c r="A2036" s="9" t="s">
        <v>10198</v>
      </c>
      <c r="B2036" s="9" t="s">
        <v>10199</v>
      </c>
      <c r="C2036" s="9" t="s">
        <v>3137</v>
      </c>
      <c r="D2036" s="9" t="s">
        <v>2830</v>
      </c>
      <c r="E2036" s="9" t="s">
        <v>49</v>
      </c>
      <c r="F2036" s="9" t="s">
        <v>69</v>
      </c>
      <c r="G2036" s="9" t="s">
        <v>70</v>
      </c>
      <c r="H2036" s="9" t="s">
        <v>7116</v>
      </c>
      <c r="I2036" s="9" t="s">
        <v>72</v>
      </c>
      <c r="J2036" s="10"/>
      <c r="K2036" s="10">
        <v>45015</v>
      </c>
      <c r="L2036" s="10">
        <v>45044</v>
      </c>
      <c r="M2036" s="10">
        <v>45061</v>
      </c>
      <c r="N2036" s="20">
        <v>2023</v>
      </c>
      <c r="O2036" s="9" t="s">
        <v>10158</v>
      </c>
      <c r="P2036" s="9" t="s">
        <v>53</v>
      </c>
      <c r="Q2036" s="9" t="s">
        <v>53</v>
      </c>
      <c r="R2036" s="9" t="s">
        <v>3745</v>
      </c>
      <c r="S2036" s="9"/>
      <c r="T2036" s="9"/>
      <c r="V2036" s="9"/>
      <c r="AC2036" s="9" t="s">
        <v>10200</v>
      </c>
      <c r="AE2036" s="46" t="s">
        <v>10201</v>
      </c>
      <c r="AF2036" s="9" t="s">
        <v>10202</v>
      </c>
      <c r="AH2036" s="9">
        <v>2428</v>
      </c>
      <c r="AI2036" s="9" t="s">
        <v>77</v>
      </c>
      <c r="AJ2036" s="9" t="s">
        <v>1823</v>
      </c>
      <c r="AK2036" s="23" t="str">
        <f t="shared" si="16"/>
        <v>2023EUR</v>
      </c>
      <c r="AL2036" s="23">
        <f>VLOOKUP(AK2036, Exchange_rates!$C:$D, 2, FALSE)</f>
        <v>0.87029999999999996</v>
      </c>
      <c r="AM2036" s="26">
        <f t="shared" si="17"/>
        <v>2535.7060799999999</v>
      </c>
      <c r="AN2036" s="9"/>
      <c r="AO2036" s="9"/>
      <c r="AP2036" s="9"/>
      <c r="AQ2036" s="15" t="s">
        <v>49</v>
      </c>
      <c r="AR2036" t="s">
        <v>3139</v>
      </c>
      <c r="AS2036" s="16"/>
    </row>
    <row r="2037" spans="1:45" ht="14.5">
      <c r="A2037" s="9" t="s">
        <v>10203</v>
      </c>
      <c r="B2037" s="9" t="s">
        <v>10204</v>
      </c>
      <c r="C2037" s="9" t="s">
        <v>2969</v>
      </c>
      <c r="D2037" s="9" t="s">
        <v>2830</v>
      </c>
      <c r="E2037" s="9" t="s">
        <v>49</v>
      </c>
      <c r="F2037" s="9" t="s">
        <v>69</v>
      </c>
      <c r="G2037" s="9" t="s">
        <v>70</v>
      </c>
      <c r="H2037" s="9" t="s">
        <v>7116</v>
      </c>
      <c r="I2037" s="9" t="s">
        <v>72</v>
      </c>
      <c r="J2037" s="10">
        <v>44958</v>
      </c>
      <c r="K2037" s="10">
        <v>45029</v>
      </c>
      <c r="L2037" s="10">
        <v>45044</v>
      </c>
      <c r="M2037" s="10">
        <v>45046</v>
      </c>
      <c r="N2037" s="20">
        <v>2023</v>
      </c>
      <c r="O2037" s="9" t="s">
        <v>10158</v>
      </c>
      <c r="P2037" s="9" t="s">
        <v>53</v>
      </c>
      <c r="Q2037" s="9" t="s">
        <v>53</v>
      </c>
      <c r="R2037" s="9" t="s">
        <v>10205</v>
      </c>
      <c r="S2037" s="9"/>
      <c r="T2037" s="9"/>
      <c r="V2037" s="9"/>
      <c r="AC2037" s="9" t="s">
        <v>10206</v>
      </c>
      <c r="AF2037" s="9" t="s">
        <v>10207</v>
      </c>
      <c r="AH2037" s="9">
        <v>2428</v>
      </c>
      <c r="AI2037" s="9" t="s">
        <v>77</v>
      </c>
      <c r="AJ2037" s="9" t="s">
        <v>1823</v>
      </c>
      <c r="AK2037" s="23" t="str">
        <f t="shared" si="16"/>
        <v>2023EUR</v>
      </c>
      <c r="AL2037" s="23">
        <f>VLOOKUP(AK2037, Exchange_rates!$C:$D, 2, FALSE)</f>
        <v>0.87029999999999996</v>
      </c>
      <c r="AM2037" s="26">
        <f t="shared" si="17"/>
        <v>2535.7060799999999</v>
      </c>
      <c r="AN2037" s="9"/>
      <c r="AO2037" s="9"/>
      <c r="AP2037" s="9"/>
      <c r="AQ2037" s="15" t="s">
        <v>49</v>
      </c>
      <c r="AR2037" t="s">
        <v>2970</v>
      </c>
      <c r="AS2037" s="16"/>
    </row>
    <row r="2038" spans="1:45" ht="14.5">
      <c r="A2038" s="9" t="s">
        <v>10208</v>
      </c>
      <c r="B2038" s="9" t="s">
        <v>10209</v>
      </c>
      <c r="C2038" s="9" t="s">
        <v>10210</v>
      </c>
      <c r="D2038" s="9" t="s">
        <v>2830</v>
      </c>
      <c r="E2038" s="9" t="s">
        <v>49</v>
      </c>
      <c r="F2038" s="9" t="s">
        <v>69</v>
      </c>
      <c r="G2038" s="9" t="s">
        <v>70</v>
      </c>
      <c r="H2038" s="9" t="s">
        <v>7116</v>
      </c>
      <c r="I2038" s="9" t="s">
        <v>72</v>
      </c>
      <c r="J2038" s="10">
        <v>44823</v>
      </c>
      <c r="K2038" s="10">
        <v>45077</v>
      </c>
      <c r="L2038" s="10">
        <v>45107</v>
      </c>
      <c r="M2038" s="10">
        <v>45114</v>
      </c>
      <c r="N2038" s="20">
        <v>2023</v>
      </c>
      <c r="O2038" s="9" t="s">
        <v>10158</v>
      </c>
      <c r="P2038" s="9" t="s">
        <v>53</v>
      </c>
      <c r="Q2038" s="9" t="s">
        <v>53</v>
      </c>
      <c r="R2038" s="9" t="s">
        <v>10211</v>
      </c>
      <c r="S2038" s="9"/>
      <c r="T2038" s="9"/>
      <c r="V2038" s="9"/>
      <c r="AC2038" s="9" t="s">
        <v>10212</v>
      </c>
      <c r="AE2038" s="46" t="s">
        <v>10213</v>
      </c>
      <c r="AF2038" s="9" t="s">
        <v>10214</v>
      </c>
      <c r="AH2038" s="9">
        <v>2090</v>
      </c>
      <c r="AI2038" s="9" t="s">
        <v>875</v>
      </c>
      <c r="AJ2038" s="9" t="s">
        <v>301</v>
      </c>
      <c r="AK2038" s="23" t="str">
        <f t="shared" si="16"/>
        <v>2023GBP</v>
      </c>
      <c r="AL2038" s="23">
        <f>VLOOKUP(AK2038, Exchange_rates!$C:$D, 2, FALSE)</f>
        <v>1</v>
      </c>
      <c r="AM2038" s="26">
        <f t="shared" si="17"/>
        <v>2508</v>
      </c>
      <c r="AN2038" s="9"/>
      <c r="AO2038" s="9"/>
      <c r="AP2038" s="9"/>
      <c r="AQ2038" s="15" t="s">
        <v>49</v>
      </c>
      <c r="AR2038" t="s">
        <v>10215</v>
      </c>
      <c r="AS2038" s="16"/>
    </row>
    <row r="2039" spans="1:45" ht="14.5">
      <c r="A2039" s="9" t="s">
        <v>10216</v>
      </c>
      <c r="B2039" s="9" t="s">
        <v>10217</v>
      </c>
      <c r="C2039" s="9" t="s">
        <v>3121</v>
      </c>
      <c r="D2039" s="9" t="s">
        <v>2830</v>
      </c>
      <c r="E2039" s="9" t="s">
        <v>49</v>
      </c>
      <c r="F2039" s="9" t="s">
        <v>69</v>
      </c>
      <c r="G2039" s="9" t="s">
        <v>70</v>
      </c>
      <c r="H2039" s="9" t="s">
        <v>7116</v>
      </c>
      <c r="I2039" s="9" t="s">
        <v>72</v>
      </c>
      <c r="J2039" s="10">
        <v>44568</v>
      </c>
      <c r="K2039" s="10">
        <v>45120</v>
      </c>
      <c r="L2039" s="10">
        <v>45134</v>
      </c>
      <c r="M2039" s="10">
        <v>45147</v>
      </c>
      <c r="N2039" s="20">
        <v>2023</v>
      </c>
      <c r="O2039" s="9" t="s">
        <v>10158</v>
      </c>
      <c r="P2039" s="9" t="s">
        <v>53</v>
      </c>
      <c r="Q2039" s="9" t="s">
        <v>53</v>
      </c>
      <c r="R2039" s="9" t="s">
        <v>10218</v>
      </c>
      <c r="S2039" s="9"/>
      <c r="T2039" s="9"/>
      <c r="V2039" s="9"/>
      <c r="AC2039" s="9" t="s">
        <v>10219</v>
      </c>
      <c r="AE2039" s="46" t="s">
        <v>10220</v>
      </c>
      <c r="AF2039" s="9" t="s">
        <v>10221</v>
      </c>
      <c r="AH2039" s="9">
        <v>2090</v>
      </c>
      <c r="AI2039" s="9" t="s">
        <v>875</v>
      </c>
      <c r="AJ2039" s="9" t="s">
        <v>301</v>
      </c>
      <c r="AK2039" s="23" t="str">
        <f t="shared" si="16"/>
        <v>2023GBP</v>
      </c>
      <c r="AL2039" s="23">
        <f>VLOOKUP(AK2039, Exchange_rates!$C:$D, 2, FALSE)</f>
        <v>1</v>
      </c>
      <c r="AM2039" s="26">
        <f t="shared" si="17"/>
        <v>2508</v>
      </c>
      <c r="AN2039" s="9"/>
      <c r="AO2039" s="9"/>
      <c r="AP2039" s="9"/>
      <c r="AQ2039" s="15" t="s">
        <v>49</v>
      </c>
      <c r="AR2039" t="s">
        <v>3122</v>
      </c>
      <c r="AS2039" s="16"/>
    </row>
    <row r="2040" spans="1:45" ht="14.5">
      <c r="A2040" s="9" t="s">
        <v>10222</v>
      </c>
      <c r="B2040" s="9" t="s">
        <v>10223</v>
      </c>
      <c r="C2040" s="9" t="s">
        <v>10224</v>
      </c>
      <c r="D2040" s="9" t="s">
        <v>2830</v>
      </c>
      <c r="E2040" s="9" t="s">
        <v>49</v>
      </c>
      <c r="F2040" s="9" t="s">
        <v>69</v>
      </c>
      <c r="G2040" s="9" t="s">
        <v>70</v>
      </c>
      <c r="H2040" s="9" t="s">
        <v>7116</v>
      </c>
      <c r="I2040" s="9" t="s">
        <v>72</v>
      </c>
      <c r="J2040" s="10">
        <v>44202</v>
      </c>
      <c r="K2040" s="10">
        <v>45037</v>
      </c>
      <c r="L2040" s="10">
        <v>45096</v>
      </c>
      <c r="M2040" s="10">
        <v>45134</v>
      </c>
      <c r="N2040" s="20">
        <v>2023</v>
      </c>
      <c r="O2040" s="9" t="s">
        <v>10158</v>
      </c>
      <c r="P2040" s="9" t="s">
        <v>53</v>
      </c>
      <c r="Q2040" s="9" t="s">
        <v>53</v>
      </c>
      <c r="R2040" s="9" t="s">
        <v>10225</v>
      </c>
      <c r="S2040" s="9"/>
      <c r="T2040" s="9"/>
      <c r="V2040" s="9"/>
      <c r="AC2040" s="9" t="s">
        <v>10226</v>
      </c>
      <c r="AE2040" s="46" t="s">
        <v>10227</v>
      </c>
      <c r="AF2040" s="9" t="s">
        <v>10228</v>
      </c>
      <c r="AH2040" s="9">
        <v>2090</v>
      </c>
      <c r="AI2040" s="9" t="s">
        <v>875</v>
      </c>
      <c r="AJ2040" s="9" t="s">
        <v>301</v>
      </c>
      <c r="AK2040" s="23" t="str">
        <f t="shared" si="16"/>
        <v>2023GBP</v>
      </c>
      <c r="AL2040" s="23">
        <f>VLOOKUP(AK2040, Exchange_rates!$C:$D, 2, FALSE)</f>
        <v>1</v>
      </c>
      <c r="AM2040" s="26">
        <f t="shared" si="17"/>
        <v>2508</v>
      </c>
      <c r="AN2040" s="9"/>
      <c r="AO2040" s="9"/>
      <c r="AP2040" s="9"/>
      <c r="AQ2040" s="15" t="s">
        <v>49</v>
      </c>
      <c r="AR2040" t="s">
        <v>10229</v>
      </c>
      <c r="AS2040" s="16"/>
    </row>
    <row r="2041" spans="1:45" ht="14.5">
      <c r="A2041" s="9" t="s">
        <v>10230</v>
      </c>
      <c r="B2041" s="9" t="s">
        <v>10231</v>
      </c>
      <c r="C2041" s="9" t="s">
        <v>3137</v>
      </c>
      <c r="D2041" s="9" t="s">
        <v>2830</v>
      </c>
      <c r="E2041" s="9" t="s">
        <v>49</v>
      </c>
      <c r="F2041" s="9" t="s">
        <v>69</v>
      </c>
      <c r="G2041" s="9" t="s">
        <v>70</v>
      </c>
      <c r="H2041" s="9" t="s">
        <v>7116</v>
      </c>
      <c r="I2041" s="9" t="s">
        <v>72</v>
      </c>
      <c r="J2041" s="10"/>
      <c r="K2041" s="10"/>
      <c r="L2041" s="10">
        <v>45141</v>
      </c>
      <c r="M2041" s="10"/>
      <c r="N2041" s="20">
        <v>2023</v>
      </c>
      <c r="O2041" s="9" t="s">
        <v>10158</v>
      </c>
      <c r="P2041" s="9" t="s">
        <v>53</v>
      </c>
      <c r="Q2041" s="9" t="s">
        <v>53</v>
      </c>
      <c r="R2041" s="9" t="s">
        <v>10232</v>
      </c>
      <c r="S2041" s="9"/>
      <c r="T2041" s="9"/>
      <c r="V2041" s="9"/>
      <c r="AC2041" s="9" t="s">
        <v>10233</v>
      </c>
      <c r="AE2041" s="46" t="s">
        <v>10234</v>
      </c>
      <c r="AF2041" s="9" t="s">
        <v>10235</v>
      </c>
      <c r="AH2041" s="9">
        <v>2090</v>
      </c>
      <c r="AI2041" s="9" t="s">
        <v>875</v>
      </c>
      <c r="AJ2041" s="9" t="s">
        <v>301</v>
      </c>
      <c r="AK2041" s="23" t="str">
        <f t="shared" si="16"/>
        <v>2023GBP</v>
      </c>
      <c r="AL2041" s="23">
        <f>VLOOKUP(AK2041, Exchange_rates!$C:$D, 2, FALSE)</f>
        <v>1</v>
      </c>
      <c r="AM2041" s="26">
        <f t="shared" si="17"/>
        <v>2508</v>
      </c>
      <c r="AN2041" s="9"/>
      <c r="AO2041" s="9"/>
      <c r="AP2041" s="9"/>
      <c r="AQ2041" s="15" t="s">
        <v>49</v>
      </c>
      <c r="AR2041" t="s">
        <v>3139</v>
      </c>
      <c r="AS2041" s="16"/>
    </row>
    <row r="2042" spans="1:45" ht="14.5">
      <c r="A2042" s="9" t="s">
        <v>10236</v>
      </c>
      <c r="B2042" s="9" t="s">
        <v>10237</v>
      </c>
      <c r="C2042" s="9" t="s">
        <v>3511</v>
      </c>
      <c r="D2042" s="9" t="s">
        <v>2830</v>
      </c>
      <c r="E2042" s="9" t="s">
        <v>49</v>
      </c>
      <c r="F2042" s="9" t="s">
        <v>69</v>
      </c>
      <c r="G2042" s="9" t="s">
        <v>70</v>
      </c>
      <c r="H2042" s="9" t="s">
        <v>7116</v>
      </c>
      <c r="I2042" s="9" t="s">
        <v>72</v>
      </c>
      <c r="J2042" s="10">
        <v>44949</v>
      </c>
      <c r="K2042" s="10">
        <v>45128</v>
      </c>
      <c r="L2042" s="10">
        <v>45148</v>
      </c>
      <c r="M2042" s="10">
        <v>45152</v>
      </c>
      <c r="N2042" s="20">
        <v>2023</v>
      </c>
      <c r="O2042" s="9" t="s">
        <v>10158</v>
      </c>
      <c r="P2042" s="9" t="s">
        <v>53</v>
      </c>
      <c r="Q2042" s="9" t="s">
        <v>53</v>
      </c>
      <c r="R2042" s="9" t="s">
        <v>10238</v>
      </c>
      <c r="S2042" s="9"/>
      <c r="T2042" s="9"/>
      <c r="V2042" s="9"/>
      <c r="AC2042" s="9" t="s">
        <v>10239</v>
      </c>
      <c r="AE2042" s="46" t="s">
        <v>10240</v>
      </c>
      <c r="AF2042" s="9" t="s">
        <v>10241</v>
      </c>
      <c r="AH2042" s="9">
        <v>2090</v>
      </c>
      <c r="AI2042" s="9" t="s">
        <v>875</v>
      </c>
      <c r="AJ2042" s="9" t="s">
        <v>301</v>
      </c>
      <c r="AK2042" s="23" t="str">
        <f t="shared" si="16"/>
        <v>2023GBP</v>
      </c>
      <c r="AL2042" s="23">
        <f>VLOOKUP(AK2042, Exchange_rates!$C:$D, 2, FALSE)</f>
        <v>1</v>
      </c>
      <c r="AM2042" s="26">
        <f t="shared" si="17"/>
        <v>2508</v>
      </c>
      <c r="AN2042" s="9"/>
      <c r="AO2042" s="9"/>
      <c r="AP2042" s="9"/>
      <c r="AQ2042" s="15" t="s">
        <v>49</v>
      </c>
      <c r="AR2042" t="s">
        <v>3512</v>
      </c>
      <c r="AS2042" s="16"/>
    </row>
    <row r="2043" spans="1:45" ht="14.5">
      <c r="A2043" s="9" t="s">
        <v>10242</v>
      </c>
      <c r="B2043" s="9" t="s">
        <v>10243</v>
      </c>
      <c r="C2043" s="9" t="s">
        <v>10244</v>
      </c>
      <c r="D2043" s="9" t="s">
        <v>2830</v>
      </c>
      <c r="E2043" s="9" t="s">
        <v>49</v>
      </c>
      <c r="F2043" s="9" t="s">
        <v>69</v>
      </c>
      <c r="G2043" s="9" t="s">
        <v>70</v>
      </c>
      <c r="H2043" s="9" t="s">
        <v>7116</v>
      </c>
      <c r="I2043" s="9" t="s">
        <v>72</v>
      </c>
      <c r="J2043" s="10">
        <v>43570</v>
      </c>
      <c r="K2043" s="10">
        <v>45028</v>
      </c>
      <c r="L2043" s="10">
        <v>45044</v>
      </c>
      <c r="M2043" s="10">
        <v>45070</v>
      </c>
      <c r="N2043" s="20">
        <v>2023</v>
      </c>
      <c r="O2043" s="9" t="s">
        <v>10158</v>
      </c>
      <c r="P2043" s="9" t="s">
        <v>53</v>
      </c>
      <c r="Q2043" s="9" t="s">
        <v>53</v>
      </c>
      <c r="R2043" s="9" t="s">
        <v>1400</v>
      </c>
      <c r="S2043" s="9"/>
      <c r="T2043" s="9"/>
      <c r="V2043" s="9"/>
      <c r="AC2043" s="9" t="s">
        <v>10245</v>
      </c>
      <c r="AE2043" s="46" t="s">
        <v>10246</v>
      </c>
      <c r="AF2043" s="9" t="s">
        <v>10247</v>
      </c>
      <c r="AH2043" s="9">
        <v>2428</v>
      </c>
      <c r="AI2043" s="9" t="s">
        <v>77</v>
      </c>
      <c r="AJ2043" s="9" t="s">
        <v>1823</v>
      </c>
      <c r="AK2043" s="23" t="str">
        <f t="shared" si="16"/>
        <v>2023EUR</v>
      </c>
      <c r="AL2043" s="23">
        <f>VLOOKUP(AK2043, Exchange_rates!$C:$D, 2, FALSE)</f>
        <v>0.87029999999999996</v>
      </c>
      <c r="AM2043" s="26">
        <f t="shared" si="17"/>
        <v>2535.7060799999999</v>
      </c>
      <c r="AN2043" s="9"/>
      <c r="AO2043" s="9"/>
      <c r="AP2043" s="9"/>
      <c r="AQ2043" s="15" t="s">
        <v>49</v>
      </c>
      <c r="AR2043" t="s">
        <v>10248</v>
      </c>
      <c r="AS2043" s="16"/>
    </row>
    <row r="2044" spans="1:45" ht="14.5">
      <c r="A2044" s="9" t="s">
        <v>10249</v>
      </c>
      <c r="B2044" s="9" t="s">
        <v>10250</v>
      </c>
      <c r="C2044" s="9" t="s">
        <v>10251</v>
      </c>
      <c r="D2044" s="9" t="s">
        <v>2830</v>
      </c>
      <c r="E2044" s="9" t="s">
        <v>49</v>
      </c>
      <c r="F2044" s="9" t="s">
        <v>69</v>
      </c>
      <c r="G2044" s="9" t="s">
        <v>70</v>
      </c>
      <c r="H2044" s="9" t="s">
        <v>7116</v>
      </c>
      <c r="I2044" s="9" t="s">
        <v>72</v>
      </c>
      <c r="J2044" s="10"/>
      <c r="K2044" s="10">
        <v>45013</v>
      </c>
      <c r="L2044" s="10">
        <v>45037</v>
      </c>
      <c r="M2044" s="10">
        <v>45051</v>
      </c>
      <c r="N2044" s="20">
        <v>2023</v>
      </c>
      <c r="O2044" s="9" t="s">
        <v>10158</v>
      </c>
      <c r="P2044" s="9" t="s">
        <v>53</v>
      </c>
      <c r="Q2044" s="9" t="s">
        <v>53</v>
      </c>
      <c r="R2044" s="9" t="s">
        <v>10252</v>
      </c>
      <c r="S2044" s="9"/>
      <c r="T2044" s="9"/>
      <c r="V2044" s="9"/>
      <c r="AC2044" s="9" t="s">
        <v>10253</v>
      </c>
      <c r="AE2044" s="46" t="s">
        <v>10254</v>
      </c>
      <c r="AF2044" s="9" t="s">
        <v>10255</v>
      </c>
      <c r="AH2044" s="9">
        <v>2428</v>
      </c>
      <c r="AI2044" s="9" t="s">
        <v>77</v>
      </c>
      <c r="AJ2044" s="9" t="s">
        <v>1823</v>
      </c>
      <c r="AK2044" s="23" t="str">
        <f t="shared" si="16"/>
        <v>2023EUR</v>
      </c>
      <c r="AL2044" s="23">
        <f>VLOOKUP(AK2044, Exchange_rates!$C:$D, 2, FALSE)</f>
        <v>0.87029999999999996</v>
      </c>
      <c r="AM2044" s="26">
        <f t="shared" si="17"/>
        <v>2535.7060799999999</v>
      </c>
      <c r="AN2044" s="9"/>
      <c r="AO2044" s="9"/>
      <c r="AP2044" s="9"/>
      <c r="AQ2044" s="15" t="s">
        <v>49</v>
      </c>
      <c r="AR2044" t="s">
        <v>10256</v>
      </c>
      <c r="AS2044" s="16"/>
    </row>
    <row r="2045" spans="1:45" ht="14.5">
      <c r="A2045" s="9" t="s">
        <v>10257</v>
      </c>
      <c r="B2045" s="9" t="s">
        <v>10258</v>
      </c>
      <c r="C2045" s="9" t="s">
        <v>10259</v>
      </c>
      <c r="D2045" s="9" t="s">
        <v>2830</v>
      </c>
      <c r="E2045" s="9" t="s">
        <v>49</v>
      </c>
      <c r="F2045" s="9" t="s">
        <v>69</v>
      </c>
      <c r="G2045" s="9" t="s">
        <v>70</v>
      </c>
      <c r="H2045" s="9" t="s">
        <v>7116</v>
      </c>
      <c r="I2045" s="9" t="s">
        <v>72</v>
      </c>
      <c r="J2045" s="10"/>
      <c r="K2045" s="10"/>
      <c r="L2045" s="10">
        <v>45152</v>
      </c>
      <c r="M2045" s="10"/>
      <c r="N2045" s="20">
        <v>2023</v>
      </c>
      <c r="O2045" s="9" t="s">
        <v>10158</v>
      </c>
      <c r="P2045" s="9" t="s">
        <v>53</v>
      </c>
      <c r="Q2045" s="9" t="s">
        <v>53</v>
      </c>
      <c r="R2045" s="9" t="s">
        <v>10260</v>
      </c>
      <c r="S2045" s="9"/>
      <c r="T2045" s="9"/>
      <c r="V2045" s="9"/>
      <c r="AC2045" s="9" t="s">
        <v>10261</v>
      </c>
      <c r="AF2045" s="9" t="s">
        <v>10262</v>
      </c>
      <c r="AH2045" s="9">
        <v>2290</v>
      </c>
      <c r="AI2045" s="9" t="s">
        <v>875</v>
      </c>
      <c r="AJ2045" s="9" t="s">
        <v>301</v>
      </c>
      <c r="AK2045" s="23" t="str">
        <f t="shared" si="16"/>
        <v>2023GBP</v>
      </c>
      <c r="AL2045" s="23">
        <f>VLOOKUP(AK2045, Exchange_rates!$C:$D, 2, FALSE)</f>
        <v>1</v>
      </c>
      <c r="AM2045" s="26">
        <f t="shared" si="17"/>
        <v>2748</v>
      </c>
      <c r="AN2045" s="9"/>
      <c r="AO2045" s="9"/>
      <c r="AP2045" s="9"/>
      <c r="AQ2045" s="15" t="s">
        <v>49</v>
      </c>
      <c r="AR2045" t="s">
        <v>10263</v>
      </c>
      <c r="AS2045" s="16"/>
    </row>
    <row r="2046" spans="1:45" ht="14.5">
      <c r="A2046" s="9" t="s">
        <v>10264</v>
      </c>
      <c r="B2046" s="9" t="s">
        <v>10265</v>
      </c>
      <c r="C2046" s="9" t="s">
        <v>3393</v>
      </c>
      <c r="D2046" s="9" t="s">
        <v>2830</v>
      </c>
      <c r="E2046" s="9" t="s">
        <v>49</v>
      </c>
      <c r="F2046" s="9" t="s">
        <v>69</v>
      </c>
      <c r="G2046" s="9" t="s">
        <v>70</v>
      </c>
      <c r="H2046" s="9" t="s">
        <v>7116</v>
      </c>
      <c r="I2046" s="9" t="s">
        <v>72</v>
      </c>
      <c r="J2046" s="10"/>
      <c r="K2046" s="10"/>
      <c r="L2046" s="10">
        <v>45155</v>
      </c>
      <c r="M2046" s="10"/>
      <c r="N2046" s="20">
        <v>2023</v>
      </c>
      <c r="O2046" s="9" t="s">
        <v>10158</v>
      </c>
      <c r="P2046" s="9" t="s">
        <v>83</v>
      </c>
      <c r="Q2046" s="9" t="s">
        <v>53</v>
      </c>
      <c r="R2046" s="9" t="s">
        <v>1980</v>
      </c>
      <c r="S2046" s="9"/>
      <c r="T2046" s="9"/>
      <c r="V2046" s="9"/>
      <c r="AC2046" s="9" t="s">
        <v>10266</v>
      </c>
      <c r="AE2046" s="46" t="s">
        <v>10267</v>
      </c>
      <c r="AF2046" s="9" t="s">
        <v>10268</v>
      </c>
      <c r="AH2046" s="9">
        <v>2390</v>
      </c>
      <c r="AI2046" s="9" t="s">
        <v>875</v>
      </c>
      <c r="AJ2046" s="9" t="s">
        <v>301</v>
      </c>
      <c r="AK2046" s="23" t="str">
        <f t="shared" si="16"/>
        <v>2023GBP</v>
      </c>
      <c r="AL2046" s="23">
        <f>VLOOKUP(AK2046, Exchange_rates!$C:$D, 2, FALSE)</f>
        <v>1</v>
      </c>
      <c r="AM2046" s="26">
        <f t="shared" si="17"/>
        <v>2868</v>
      </c>
      <c r="AN2046" s="9"/>
      <c r="AO2046" s="9"/>
      <c r="AP2046" s="9"/>
      <c r="AQ2046" s="15" t="s">
        <v>49</v>
      </c>
      <c r="AR2046" t="s">
        <v>3395</v>
      </c>
      <c r="AS2046" s="16"/>
    </row>
    <row r="2047" spans="1:45" ht="14.5">
      <c r="A2047" s="9" t="s">
        <v>10269</v>
      </c>
      <c r="B2047" s="9" t="s">
        <v>10270</v>
      </c>
      <c r="C2047" s="9" t="s">
        <v>2864</v>
      </c>
      <c r="D2047" s="9" t="s">
        <v>2830</v>
      </c>
      <c r="E2047" s="9" t="s">
        <v>49</v>
      </c>
      <c r="F2047" s="9" t="s">
        <v>69</v>
      </c>
      <c r="G2047" s="9" t="s">
        <v>70</v>
      </c>
      <c r="H2047" s="9" t="s">
        <v>7116</v>
      </c>
      <c r="I2047" s="9" t="s">
        <v>72</v>
      </c>
      <c r="J2047" s="10"/>
      <c r="K2047" s="10"/>
      <c r="L2047" s="10">
        <v>45159</v>
      </c>
      <c r="M2047" s="10"/>
      <c r="N2047" s="20">
        <v>2023</v>
      </c>
      <c r="O2047" s="9" t="s">
        <v>10158</v>
      </c>
      <c r="P2047" s="9" t="s">
        <v>83</v>
      </c>
      <c r="Q2047" s="9" t="s">
        <v>53</v>
      </c>
      <c r="R2047" s="9" t="s">
        <v>10271</v>
      </c>
      <c r="S2047" s="9"/>
      <c r="T2047" s="9"/>
      <c r="V2047" s="9"/>
      <c r="AC2047" s="9" t="s">
        <v>10272</v>
      </c>
      <c r="AE2047" s="46" t="s">
        <v>10273</v>
      </c>
      <c r="AF2047" s="9" t="s">
        <v>10274</v>
      </c>
      <c r="AH2047" s="9">
        <v>2290</v>
      </c>
      <c r="AI2047" s="9" t="s">
        <v>875</v>
      </c>
      <c r="AJ2047" s="9" t="s">
        <v>301</v>
      </c>
      <c r="AK2047" s="23" t="str">
        <f t="shared" si="16"/>
        <v>2023GBP</v>
      </c>
      <c r="AL2047" s="23">
        <f>VLOOKUP(AK2047, Exchange_rates!$C:$D, 2, FALSE)</f>
        <v>1</v>
      </c>
      <c r="AM2047" s="26">
        <f t="shared" si="17"/>
        <v>2748</v>
      </c>
      <c r="AN2047" s="9"/>
      <c r="AO2047" s="9"/>
      <c r="AP2047" s="9"/>
      <c r="AQ2047" s="15" t="s">
        <v>49</v>
      </c>
      <c r="AR2047" t="s">
        <v>2865</v>
      </c>
      <c r="AS2047" s="16"/>
    </row>
    <row r="2048" spans="1:45" ht="14.5">
      <c r="A2048" s="9" t="s">
        <v>10275</v>
      </c>
      <c r="B2048" s="9" t="s">
        <v>10276</v>
      </c>
      <c r="C2048" s="9" t="s">
        <v>10277</v>
      </c>
      <c r="D2048" s="9" t="s">
        <v>5539</v>
      </c>
      <c r="E2048" s="9" t="s">
        <v>49</v>
      </c>
      <c r="F2048" s="9" t="s">
        <v>69</v>
      </c>
      <c r="G2048" s="9" t="s">
        <v>70</v>
      </c>
      <c r="H2048" s="9" t="s">
        <v>9873</v>
      </c>
      <c r="I2048" s="9" t="s">
        <v>72</v>
      </c>
      <c r="J2048" s="10"/>
      <c r="K2048" s="10">
        <v>45075</v>
      </c>
      <c r="L2048" s="10">
        <v>45155</v>
      </c>
      <c r="M2048" s="10"/>
      <c r="N2048" s="9">
        <v>2023</v>
      </c>
      <c r="O2048" s="9" t="s">
        <v>10278</v>
      </c>
      <c r="P2048" s="9" t="s">
        <v>83</v>
      </c>
      <c r="Q2048" s="9" t="s">
        <v>53</v>
      </c>
      <c r="R2048" s="9" t="s">
        <v>1847</v>
      </c>
      <c r="S2048" s="9"/>
      <c r="T2048" s="9"/>
      <c r="V2048" s="9"/>
      <c r="AC2048" s="9" t="s">
        <v>6676</v>
      </c>
      <c r="AD2048" s="9" t="s">
        <v>1889</v>
      </c>
      <c r="AE2048" s="46" t="s">
        <v>10279</v>
      </c>
      <c r="AH2048" s="9">
        <v>1750</v>
      </c>
      <c r="AI2048" s="9" t="s">
        <v>77</v>
      </c>
      <c r="AJ2048" s="9" t="s">
        <v>301</v>
      </c>
      <c r="AK2048" s="23" t="str">
        <f t="shared" si="16"/>
        <v>2023GBP</v>
      </c>
      <c r="AL2048" s="23">
        <f>VLOOKUP(AK2048, Exchange_rates!$C:$D, 2, FALSE)</f>
        <v>1</v>
      </c>
      <c r="AM2048" s="26">
        <f t="shared" si="17"/>
        <v>2100</v>
      </c>
      <c r="AN2048" s="9"/>
      <c r="AO2048" s="9"/>
      <c r="AP2048" s="9"/>
      <c r="AQ2048" s="15" t="s">
        <v>49</v>
      </c>
      <c r="AR2048" t="s">
        <v>10280</v>
      </c>
      <c r="AS2048" s="16"/>
    </row>
    <row r="2049" spans="1:45" ht="14.5">
      <c r="A2049" s="9" t="s">
        <v>10281</v>
      </c>
      <c r="B2049" s="9" t="s">
        <v>10282</v>
      </c>
      <c r="C2049" s="9" t="s">
        <v>10283</v>
      </c>
      <c r="D2049" s="9" t="s">
        <v>5539</v>
      </c>
      <c r="E2049" s="9" t="s">
        <v>49</v>
      </c>
      <c r="F2049" s="9" t="s">
        <v>69</v>
      </c>
      <c r="G2049" s="9" t="s">
        <v>70</v>
      </c>
      <c r="H2049" s="9" t="s">
        <v>9873</v>
      </c>
      <c r="I2049" s="9" t="s">
        <v>72</v>
      </c>
      <c r="J2049" s="10"/>
      <c r="K2049" s="10">
        <v>45138</v>
      </c>
      <c r="L2049" s="10">
        <v>45152</v>
      </c>
      <c r="M2049" s="10"/>
      <c r="N2049" s="9">
        <v>2023</v>
      </c>
      <c r="O2049" s="9" t="s">
        <v>10278</v>
      </c>
      <c r="P2049" s="9" t="s">
        <v>83</v>
      </c>
      <c r="Q2049" s="9" t="s">
        <v>53</v>
      </c>
      <c r="R2049" s="9" t="s">
        <v>1456</v>
      </c>
      <c r="S2049" s="9"/>
      <c r="T2049" s="9"/>
      <c r="V2049" s="9"/>
      <c r="AC2049" s="9" t="s">
        <v>6731</v>
      </c>
      <c r="AD2049" s="9" t="s">
        <v>6732</v>
      </c>
      <c r="AE2049" s="46" t="s">
        <v>10284</v>
      </c>
      <c r="AH2049" s="9">
        <v>2520</v>
      </c>
      <c r="AI2049" s="9" t="s">
        <v>77</v>
      </c>
      <c r="AJ2049" s="9" t="s">
        <v>301</v>
      </c>
      <c r="AK2049" s="23" t="str">
        <f t="shared" si="16"/>
        <v>2023GBP</v>
      </c>
      <c r="AL2049" s="23">
        <f>VLOOKUP(AK2049, Exchange_rates!$C:$D, 2, FALSE)</f>
        <v>1</v>
      </c>
      <c r="AM2049" s="26">
        <f t="shared" si="17"/>
        <v>3024</v>
      </c>
      <c r="AN2049" s="9"/>
      <c r="AO2049" s="9"/>
      <c r="AP2049" s="9"/>
      <c r="AQ2049" s="15" t="s">
        <v>49</v>
      </c>
      <c r="AR2049" t="s">
        <v>6294</v>
      </c>
      <c r="AS2049" s="16"/>
    </row>
    <row r="2050" spans="1:45" ht="14.5">
      <c r="A2050" s="9" t="s">
        <v>10285</v>
      </c>
      <c r="B2050" s="9" t="s">
        <v>10286</v>
      </c>
      <c r="C2050" s="9" t="s">
        <v>10287</v>
      </c>
      <c r="D2050" s="9" t="s">
        <v>5539</v>
      </c>
      <c r="E2050" s="9" t="s">
        <v>49</v>
      </c>
      <c r="F2050" s="9" t="s">
        <v>69</v>
      </c>
      <c r="G2050" s="9" t="s">
        <v>70</v>
      </c>
      <c r="H2050" s="9" t="s">
        <v>9873</v>
      </c>
      <c r="I2050" s="9" t="s">
        <v>291</v>
      </c>
      <c r="J2050" s="10"/>
      <c r="K2050" s="10">
        <v>45143</v>
      </c>
      <c r="L2050" s="10">
        <v>45146</v>
      </c>
      <c r="M2050" s="10"/>
      <c r="N2050" s="9">
        <v>2023</v>
      </c>
      <c r="O2050" s="9" t="s">
        <v>10278</v>
      </c>
      <c r="P2050" s="9" t="s">
        <v>53</v>
      </c>
      <c r="Q2050" s="9" t="s">
        <v>53</v>
      </c>
      <c r="S2050" s="9"/>
      <c r="T2050" s="9"/>
      <c r="V2050" s="9"/>
      <c r="AC2050" s="9" t="s">
        <v>10288</v>
      </c>
      <c r="AD2050" s="9" t="s">
        <v>10289</v>
      </c>
      <c r="AH2050" s="9">
        <v>2110</v>
      </c>
      <c r="AI2050" s="9" t="s">
        <v>77</v>
      </c>
      <c r="AJ2050" s="9" t="s">
        <v>301</v>
      </c>
      <c r="AK2050" s="23" t="str">
        <f t="shared" si="16"/>
        <v>2023GBP</v>
      </c>
      <c r="AL2050" s="23">
        <f>VLOOKUP(AK2050, Exchange_rates!$C:$D, 2, FALSE)</f>
        <v>1</v>
      </c>
      <c r="AM2050" s="26">
        <f t="shared" si="17"/>
        <v>2532</v>
      </c>
      <c r="AN2050" s="9"/>
      <c r="AO2050" s="9"/>
      <c r="AP2050" s="9"/>
      <c r="AQ2050" s="15" t="s">
        <v>49</v>
      </c>
      <c r="AR2050" t="s">
        <v>10290</v>
      </c>
      <c r="AS2050" s="16"/>
    </row>
    <row r="2051" spans="1:45" ht="14.5">
      <c r="A2051" s="9" t="s">
        <v>10291</v>
      </c>
      <c r="B2051" s="9" t="s">
        <v>10292</v>
      </c>
      <c r="C2051" s="9" t="s">
        <v>5634</v>
      </c>
      <c r="D2051" s="9" t="s">
        <v>5539</v>
      </c>
      <c r="E2051" s="9" t="s">
        <v>49</v>
      </c>
      <c r="F2051" s="9" t="s">
        <v>69</v>
      </c>
      <c r="G2051" s="9" t="s">
        <v>70</v>
      </c>
      <c r="H2051" s="9" t="s">
        <v>9873</v>
      </c>
      <c r="I2051" s="9" t="s">
        <v>72</v>
      </c>
      <c r="J2051" s="10"/>
      <c r="K2051" s="10">
        <v>45140</v>
      </c>
      <c r="L2051" s="10">
        <v>45141</v>
      </c>
      <c r="M2051" s="10"/>
      <c r="N2051" s="9">
        <v>2023</v>
      </c>
      <c r="O2051" s="9" t="s">
        <v>10278</v>
      </c>
      <c r="P2051" s="9" t="s">
        <v>83</v>
      </c>
      <c r="Q2051" s="9" t="s">
        <v>53</v>
      </c>
      <c r="R2051" s="9" t="s">
        <v>10293</v>
      </c>
      <c r="S2051" s="9"/>
      <c r="T2051" s="9"/>
      <c r="V2051" s="9"/>
      <c r="AC2051" s="9" t="s">
        <v>5548</v>
      </c>
      <c r="AD2051" s="9" t="s">
        <v>174</v>
      </c>
      <c r="AE2051" s="46" t="s">
        <v>10294</v>
      </c>
      <c r="AF2051" s="9" t="s">
        <v>10295</v>
      </c>
      <c r="AH2051" s="9">
        <v>3040</v>
      </c>
      <c r="AI2051" s="9" t="s">
        <v>77</v>
      </c>
      <c r="AJ2051" s="9" t="s">
        <v>301</v>
      </c>
      <c r="AK2051" s="23" t="str">
        <f t="shared" si="16"/>
        <v>2023GBP</v>
      </c>
      <c r="AL2051" s="23">
        <f>VLOOKUP(AK2051, Exchange_rates!$C:$D, 2, FALSE)</f>
        <v>1</v>
      </c>
      <c r="AM2051" s="26">
        <f t="shared" si="17"/>
        <v>3648</v>
      </c>
      <c r="AN2051" s="9"/>
      <c r="AO2051" s="9"/>
      <c r="AP2051" s="9"/>
      <c r="AQ2051" s="15" t="s">
        <v>49</v>
      </c>
      <c r="AR2051" t="s">
        <v>5551</v>
      </c>
      <c r="AS2051" s="16"/>
    </row>
    <row r="2052" spans="1:45" ht="14.5">
      <c r="A2052" s="9" t="s">
        <v>10296</v>
      </c>
      <c r="B2052" s="9" t="s">
        <v>10297</v>
      </c>
      <c r="C2052" s="9" t="s">
        <v>10298</v>
      </c>
      <c r="D2052" s="9" t="s">
        <v>5539</v>
      </c>
      <c r="E2052" s="9" t="s">
        <v>49</v>
      </c>
      <c r="F2052" s="9" t="s">
        <v>69</v>
      </c>
      <c r="G2052" s="9" t="s">
        <v>70</v>
      </c>
      <c r="H2052" s="9" t="s">
        <v>9873</v>
      </c>
      <c r="I2052" s="9" t="s">
        <v>291</v>
      </c>
      <c r="J2052" s="10"/>
      <c r="K2052" s="10">
        <v>45048</v>
      </c>
      <c r="L2052" s="10">
        <v>45135</v>
      </c>
      <c r="M2052" s="10"/>
      <c r="N2052" s="9">
        <v>2023</v>
      </c>
      <c r="O2052" s="9" t="s">
        <v>10278</v>
      </c>
      <c r="P2052" s="9" t="s">
        <v>53</v>
      </c>
      <c r="Q2052" s="9" t="s">
        <v>53</v>
      </c>
      <c r="S2052" s="9"/>
      <c r="T2052" s="9"/>
      <c r="V2052" s="9"/>
      <c r="AC2052" s="9" t="s">
        <v>10299</v>
      </c>
      <c r="AD2052" s="9" t="s">
        <v>10300</v>
      </c>
      <c r="AH2052" s="9">
        <v>2420</v>
      </c>
      <c r="AI2052" s="9" t="s">
        <v>77</v>
      </c>
      <c r="AJ2052" s="9" t="s">
        <v>301</v>
      </c>
      <c r="AK2052" s="23" t="str">
        <f t="shared" si="16"/>
        <v>2023GBP</v>
      </c>
      <c r="AL2052" s="23">
        <f>VLOOKUP(AK2052, Exchange_rates!$C:$D, 2, FALSE)</f>
        <v>1</v>
      </c>
      <c r="AM2052" s="26">
        <f t="shared" si="17"/>
        <v>2904</v>
      </c>
      <c r="AN2052" s="9"/>
      <c r="AO2052" s="9"/>
      <c r="AP2052" s="9"/>
      <c r="AQ2052" s="15" t="s">
        <v>49</v>
      </c>
      <c r="AR2052" t="s">
        <v>5573</v>
      </c>
      <c r="AS2052" s="16"/>
    </row>
    <row r="2053" spans="1:45" ht="14.5">
      <c r="A2053" s="9" t="s">
        <v>10301</v>
      </c>
      <c r="B2053" s="9" t="s">
        <v>10302</v>
      </c>
      <c r="C2053" s="9" t="s">
        <v>10303</v>
      </c>
      <c r="D2053" s="9" t="s">
        <v>5539</v>
      </c>
      <c r="E2053" s="9" t="s">
        <v>49</v>
      </c>
      <c r="F2053" s="9" t="s">
        <v>69</v>
      </c>
      <c r="G2053" s="9" t="s">
        <v>70</v>
      </c>
      <c r="H2053" s="9" t="s">
        <v>9873</v>
      </c>
      <c r="I2053" s="9" t="s">
        <v>72</v>
      </c>
      <c r="J2053" s="10"/>
      <c r="K2053" s="10">
        <v>45049</v>
      </c>
      <c r="L2053" s="10">
        <v>45125</v>
      </c>
      <c r="M2053" s="10"/>
      <c r="N2053" s="9">
        <v>2023</v>
      </c>
      <c r="O2053" s="9" t="s">
        <v>10278</v>
      </c>
      <c r="P2053" s="9" t="s">
        <v>83</v>
      </c>
      <c r="Q2053" s="9" t="s">
        <v>53</v>
      </c>
      <c r="R2053" s="9" t="s">
        <v>10304</v>
      </c>
      <c r="S2053" s="9"/>
      <c r="T2053" s="9"/>
      <c r="V2053" s="9"/>
      <c r="AC2053" s="9" t="s">
        <v>10305</v>
      </c>
      <c r="AD2053" s="9" t="s">
        <v>10306</v>
      </c>
      <c r="AE2053" s="46" t="s">
        <v>10307</v>
      </c>
      <c r="AF2053" s="9" t="s">
        <v>10308</v>
      </c>
      <c r="AH2053" s="9">
        <v>2320</v>
      </c>
      <c r="AI2053" s="9" t="s">
        <v>77</v>
      </c>
      <c r="AJ2053" s="9" t="s">
        <v>301</v>
      </c>
      <c r="AK2053" s="23" t="str">
        <f t="shared" si="16"/>
        <v>2023GBP</v>
      </c>
      <c r="AL2053" s="23">
        <f>VLOOKUP(AK2053, Exchange_rates!$C:$D, 2, FALSE)</f>
        <v>1</v>
      </c>
      <c r="AM2053" s="26">
        <f t="shared" si="17"/>
        <v>2784</v>
      </c>
      <c r="AN2053" s="9"/>
      <c r="AO2053" s="9"/>
      <c r="AP2053" s="9"/>
      <c r="AQ2053" s="15" t="s">
        <v>49</v>
      </c>
      <c r="AR2053" t="s">
        <v>10309</v>
      </c>
      <c r="AS2053" s="16"/>
    </row>
    <row r="2054" spans="1:45" ht="14.5">
      <c r="A2054" s="9" t="s">
        <v>10310</v>
      </c>
      <c r="B2054" s="9" t="s">
        <v>10311</v>
      </c>
      <c r="C2054" s="9" t="s">
        <v>10312</v>
      </c>
      <c r="D2054" s="9" t="s">
        <v>5539</v>
      </c>
      <c r="E2054" s="9" t="s">
        <v>49</v>
      </c>
      <c r="F2054" s="9" t="s">
        <v>69</v>
      </c>
      <c r="G2054" s="9" t="s">
        <v>70</v>
      </c>
      <c r="H2054" s="9" t="s">
        <v>9873</v>
      </c>
      <c r="I2054" s="9" t="s">
        <v>72</v>
      </c>
      <c r="J2054" s="10"/>
      <c r="K2054" s="10">
        <v>45117</v>
      </c>
      <c r="L2054" s="10">
        <v>45124</v>
      </c>
      <c r="M2054" s="10"/>
      <c r="N2054" s="9">
        <v>2023</v>
      </c>
      <c r="O2054" s="9" t="s">
        <v>10278</v>
      </c>
      <c r="P2054" s="9" t="s">
        <v>53</v>
      </c>
      <c r="Q2054" s="9" t="s">
        <v>53</v>
      </c>
      <c r="R2054" s="9" t="s">
        <v>10313</v>
      </c>
      <c r="S2054" s="9"/>
      <c r="T2054" s="9"/>
      <c r="V2054" s="9"/>
      <c r="AC2054" s="9" t="s">
        <v>10314</v>
      </c>
      <c r="AD2054" s="9" t="s">
        <v>10315</v>
      </c>
      <c r="AE2054" s="46" t="s">
        <v>10316</v>
      </c>
      <c r="AF2054" s="9" t="s">
        <v>10317</v>
      </c>
      <c r="AH2054" s="9">
        <v>2400</v>
      </c>
      <c r="AI2054" s="9" t="s">
        <v>77</v>
      </c>
      <c r="AJ2054" s="9" t="s">
        <v>301</v>
      </c>
      <c r="AK2054" s="23" t="str">
        <f t="shared" si="16"/>
        <v>2023GBP</v>
      </c>
      <c r="AL2054" s="23">
        <f>VLOOKUP(AK2054, Exchange_rates!$C:$D, 2, FALSE)</f>
        <v>1</v>
      </c>
      <c r="AM2054" s="26">
        <f t="shared" si="17"/>
        <v>2880</v>
      </c>
      <c r="AN2054" s="9"/>
      <c r="AO2054" s="9"/>
      <c r="AP2054" s="9"/>
      <c r="AQ2054" s="15" t="s">
        <v>49</v>
      </c>
      <c r="AR2054" t="s">
        <v>5591</v>
      </c>
      <c r="AS2054" s="16"/>
    </row>
    <row r="2055" spans="1:45" ht="14.5">
      <c r="A2055" s="9" t="s">
        <v>10318</v>
      </c>
      <c r="B2055" s="9" t="s">
        <v>10319</v>
      </c>
      <c r="C2055" s="9" t="s">
        <v>5741</v>
      </c>
      <c r="D2055" s="9" t="s">
        <v>5539</v>
      </c>
      <c r="E2055" s="9" t="s">
        <v>49</v>
      </c>
      <c r="F2055" s="9" t="s">
        <v>69</v>
      </c>
      <c r="G2055" s="9" t="s">
        <v>70</v>
      </c>
      <c r="H2055" s="9" t="s">
        <v>9873</v>
      </c>
      <c r="I2055" s="9" t="s">
        <v>72</v>
      </c>
      <c r="J2055" s="10"/>
      <c r="K2055" s="10">
        <v>45089</v>
      </c>
      <c r="L2055" s="10">
        <v>45121</v>
      </c>
      <c r="M2055" s="10"/>
      <c r="N2055" s="9">
        <v>2023</v>
      </c>
      <c r="O2055" s="9" t="s">
        <v>10278</v>
      </c>
      <c r="P2055" s="9" t="s">
        <v>53</v>
      </c>
      <c r="Q2055" s="9" t="s">
        <v>53</v>
      </c>
      <c r="R2055" s="9" t="s">
        <v>10320</v>
      </c>
      <c r="S2055" s="9"/>
      <c r="T2055" s="9"/>
      <c r="V2055" s="9"/>
      <c r="AC2055" s="9" t="s">
        <v>10321</v>
      </c>
      <c r="AD2055" s="9" t="s">
        <v>10322</v>
      </c>
      <c r="AE2055" s="46" t="s">
        <v>10323</v>
      </c>
      <c r="AF2055" s="9" t="s">
        <v>10324</v>
      </c>
      <c r="AH2055" s="9">
        <v>3150</v>
      </c>
      <c r="AI2055" s="9" t="s">
        <v>77</v>
      </c>
      <c r="AJ2055" s="9" t="s">
        <v>301</v>
      </c>
      <c r="AK2055" s="23" t="str">
        <f t="shared" si="16"/>
        <v>2023GBP</v>
      </c>
      <c r="AL2055" s="23">
        <f>VLOOKUP(AK2055, Exchange_rates!$C:$D, 2, FALSE)</f>
        <v>1</v>
      </c>
      <c r="AM2055" s="26">
        <f t="shared" si="17"/>
        <v>3780</v>
      </c>
      <c r="AN2055" s="9"/>
      <c r="AO2055" s="9"/>
      <c r="AP2055" s="9"/>
      <c r="AQ2055" s="15" t="s">
        <v>49</v>
      </c>
      <c r="AR2055" t="s">
        <v>5566</v>
      </c>
      <c r="AS2055" s="16"/>
    </row>
    <row r="2056" spans="1:45" ht="14.5">
      <c r="A2056" s="9" t="s">
        <v>10325</v>
      </c>
      <c r="B2056" s="9" t="s">
        <v>10326</v>
      </c>
      <c r="C2056" s="9" t="s">
        <v>5854</v>
      </c>
      <c r="D2056" s="9" t="s">
        <v>5539</v>
      </c>
      <c r="E2056" s="9" t="s">
        <v>49</v>
      </c>
      <c r="F2056" s="9" t="s">
        <v>69</v>
      </c>
      <c r="G2056" s="9" t="s">
        <v>70</v>
      </c>
      <c r="H2056" s="9" t="s">
        <v>9873</v>
      </c>
      <c r="I2056" s="9" t="s">
        <v>291</v>
      </c>
      <c r="J2056" s="10"/>
      <c r="K2056" s="10">
        <v>45118</v>
      </c>
      <c r="L2056" s="10">
        <v>45121</v>
      </c>
      <c r="M2056" s="10"/>
      <c r="N2056" s="9">
        <v>2023</v>
      </c>
      <c r="O2056" s="9" t="s">
        <v>10278</v>
      </c>
      <c r="P2056" s="9" t="s">
        <v>53</v>
      </c>
      <c r="Q2056" s="9" t="s">
        <v>53</v>
      </c>
      <c r="S2056" s="9"/>
      <c r="T2056" s="9"/>
      <c r="V2056" s="9"/>
      <c r="AC2056" s="9" t="s">
        <v>10327</v>
      </c>
      <c r="AD2056" s="9" t="s">
        <v>10328</v>
      </c>
      <c r="AH2056" s="9">
        <v>2370</v>
      </c>
      <c r="AI2056" s="9" t="s">
        <v>77</v>
      </c>
      <c r="AJ2056" s="9" t="s">
        <v>301</v>
      </c>
      <c r="AK2056" s="23" t="str">
        <f t="shared" si="16"/>
        <v>2023GBP</v>
      </c>
      <c r="AL2056" s="23">
        <f>VLOOKUP(AK2056, Exchange_rates!$C:$D, 2, FALSE)</f>
        <v>1</v>
      </c>
      <c r="AM2056" s="26">
        <f t="shared" si="17"/>
        <v>2844</v>
      </c>
      <c r="AN2056" s="9"/>
      <c r="AO2056" s="9"/>
      <c r="AP2056" s="9"/>
      <c r="AQ2056" s="15" t="s">
        <v>49</v>
      </c>
      <c r="AS2056" s="16" t="s">
        <v>5858</v>
      </c>
    </row>
    <row r="2057" spans="1:45" ht="14.5">
      <c r="A2057" s="9" t="s">
        <v>10329</v>
      </c>
      <c r="B2057" s="9" t="s">
        <v>10330</v>
      </c>
      <c r="C2057" s="9" t="s">
        <v>10331</v>
      </c>
      <c r="D2057" s="9" t="s">
        <v>5539</v>
      </c>
      <c r="E2057" s="9" t="s">
        <v>49</v>
      </c>
      <c r="F2057" s="9" t="s">
        <v>69</v>
      </c>
      <c r="G2057" s="9" t="s">
        <v>70</v>
      </c>
      <c r="H2057" s="9" t="s">
        <v>9873</v>
      </c>
      <c r="I2057" s="9" t="s">
        <v>291</v>
      </c>
      <c r="J2057" s="10"/>
      <c r="K2057" s="10">
        <v>45104</v>
      </c>
      <c r="L2057" s="10">
        <v>45111</v>
      </c>
      <c r="M2057" s="10"/>
      <c r="N2057" s="9">
        <v>2023</v>
      </c>
      <c r="O2057" s="9" t="s">
        <v>10278</v>
      </c>
      <c r="P2057" s="9" t="s">
        <v>53</v>
      </c>
      <c r="Q2057" s="9" t="s">
        <v>53</v>
      </c>
      <c r="R2057" s="9" t="s">
        <v>10332</v>
      </c>
      <c r="S2057" s="9"/>
      <c r="T2057" s="9"/>
      <c r="V2057" s="9"/>
      <c r="AC2057" s="9" t="s">
        <v>787</v>
      </c>
      <c r="AD2057" s="9" t="s">
        <v>788</v>
      </c>
      <c r="AE2057" s="46" t="s">
        <v>10333</v>
      </c>
      <c r="AF2057" s="9" t="s">
        <v>10334</v>
      </c>
      <c r="AH2057" s="9">
        <v>3140</v>
      </c>
      <c r="AI2057" s="9" t="s">
        <v>77</v>
      </c>
      <c r="AJ2057" s="9" t="s">
        <v>301</v>
      </c>
      <c r="AK2057" s="23" t="str">
        <f t="shared" si="16"/>
        <v>2023GBP</v>
      </c>
      <c r="AL2057" s="23">
        <f>VLOOKUP(AK2057, Exchange_rates!$C:$D, 2, FALSE)</f>
        <v>1</v>
      </c>
      <c r="AM2057" s="26">
        <f t="shared" si="17"/>
        <v>3768</v>
      </c>
      <c r="AN2057" s="9"/>
      <c r="AO2057" s="9"/>
      <c r="AP2057" s="9"/>
      <c r="AQ2057" s="15" t="s">
        <v>49</v>
      </c>
      <c r="AR2057" t="s">
        <v>10335</v>
      </c>
      <c r="AS2057" s="16"/>
    </row>
    <row r="2058" spans="1:45" ht="14.5">
      <c r="A2058" s="9" t="s">
        <v>10336</v>
      </c>
      <c r="B2058" s="9" t="s">
        <v>10337</v>
      </c>
      <c r="C2058" s="9" t="s">
        <v>5786</v>
      </c>
      <c r="D2058" s="9" t="s">
        <v>5539</v>
      </c>
      <c r="E2058" s="9" t="s">
        <v>49</v>
      </c>
      <c r="F2058" s="9" t="s">
        <v>69</v>
      </c>
      <c r="G2058" s="9" t="s">
        <v>70</v>
      </c>
      <c r="H2058" s="9" t="s">
        <v>9873</v>
      </c>
      <c r="I2058" s="9" t="s">
        <v>72</v>
      </c>
      <c r="J2058" s="10"/>
      <c r="K2058" s="10">
        <v>45083</v>
      </c>
      <c r="L2058" s="10">
        <v>45110</v>
      </c>
      <c r="M2058" s="10"/>
      <c r="N2058" s="9">
        <v>2023</v>
      </c>
      <c r="O2058" s="9" t="s">
        <v>10278</v>
      </c>
      <c r="P2058" s="9" t="s">
        <v>53</v>
      </c>
      <c r="Q2058" s="9" t="s">
        <v>53</v>
      </c>
      <c r="S2058" s="9"/>
      <c r="T2058" s="9"/>
      <c r="V2058" s="9"/>
      <c r="AC2058" s="9" t="s">
        <v>10338</v>
      </c>
      <c r="AD2058" s="9" t="s">
        <v>10339</v>
      </c>
      <c r="AH2058" s="9">
        <v>3660</v>
      </c>
      <c r="AI2058" s="9" t="s">
        <v>77</v>
      </c>
      <c r="AJ2058" s="9" t="s">
        <v>301</v>
      </c>
      <c r="AK2058" s="23" t="str">
        <f t="shared" si="16"/>
        <v>2023GBP</v>
      </c>
      <c r="AL2058" s="23">
        <f>VLOOKUP(AK2058, Exchange_rates!$C:$D, 2, FALSE)</f>
        <v>1</v>
      </c>
      <c r="AM2058" s="26">
        <f t="shared" si="17"/>
        <v>4392</v>
      </c>
      <c r="AN2058" s="9"/>
      <c r="AO2058" s="9"/>
      <c r="AP2058" s="9"/>
      <c r="AQ2058" s="15" t="s">
        <v>49</v>
      </c>
      <c r="AR2058" t="s">
        <v>5558</v>
      </c>
      <c r="AS2058" s="16"/>
    </row>
    <row r="2059" spans="1:45" ht="14.5">
      <c r="A2059" s="9" t="s">
        <v>10340</v>
      </c>
      <c r="B2059" s="9" t="s">
        <v>10341</v>
      </c>
      <c r="C2059" s="9" t="s">
        <v>6085</v>
      </c>
      <c r="D2059" s="9" t="s">
        <v>5539</v>
      </c>
      <c r="E2059" s="9" t="s">
        <v>49</v>
      </c>
      <c r="F2059" s="9" t="s">
        <v>69</v>
      </c>
      <c r="G2059" s="9" t="s">
        <v>70</v>
      </c>
      <c r="H2059" s="9" t="s">
        <v>9873</v>
      </c>
      <c r="I2059" s="9" t="s">
        <v>72</v>
      </c>
      <c r="J2059" s="10"/>
      <c r="K2059" s="10">
        <v>45085</v>
      </c>
      <c r="L2059" s="10">
        <v>45093</v>
      </c>
      <c r="M2059" s="10"/>
      <c r="N2059" s="9">
        <v>2023</v>
      </c>
      <c r="O2059" s="9" t="s">
        <v>10278</v>
      </c>
      <c r="P2059" s="9" t="s">
        <v>83</v>
      </c>
      <c r="Q2059" s="9" t="s">
        <v>53</v>
      </c>
      <c r="R2059" s="9" t="s">
        <v>10342</v>
      </c>
      <c r="S2059" s="9"/>
      <c r="T2059" s="9"/>
      <c r="V2059" s="9"/>
      <c r="AC2059" s="9" t="s">
        <v>10343</v>
      </c>
      <c r="AD2059" s="9" t="s">
        <v>10344</v>
      </c>
      <c r="AE2059" s="46" t="s">
        <v>10345</v>
      </c>
      <c r="AF2059" s="9" t="s">
        <v>10346</v>
      </c>
      <c r="AH2059" s="9">
        <v>2730</v>
      </c>
      <c r="AI2059" s="9" t="s">
        <v>77</v>
      </c>
      <c r="AJ2059" s="9" t="s">
        <v>301</v>
      </c>
      <c r="AK2059" s="23" t="str">
        <f t="shared" si="16"/>
        <v>2023GBP</v>
      </c>
      <c r="AL2059" s="23">
        <f>VLOOKUP(AK2059, Exchange_rates!$C:$D, 2, FALSE)</f>
        <v>1</v>
      </c>
      <c r="AM2059" s="26">
        <f t="shared" si="17"/>
        <v>3276</v>
      </c>
      <c r="AN2059" s="9"/>
      <c r="AO2059" s="9"/>
      <c r="AP2059" s="9"/>
      <c r="AQ2059" s="15" t="s">
        <v>49</v>
      </c>
      <c r="AR2059" t="s">
        <v>6090</v>
      </c>
      <c r="AS2059" s="16"/>
    </row>
    <row r="2060" spans="1:45" ht="14.5">
      <c r="A2060" s="9" t="s">
        <v>10347</v>
      </c>
      <c r="B2060" s="9" t="s">
        <v>10348</v>
      </c>
      <c r="C2060" s="9" t="s">
        <v>6139</v>
      </c>
      <c r="D2060" s="9" t="s">
        <v>5539</v>
      </c>
      <c r="E2060" s="9" t="s">
        <v>49</v>
      </c>
      <c r="F2060" s="9" t="s">
        <v>69</v>
      </c>
      <c r="G2060" s="9" t="s">
        <v>70</v>
      </c>
      <c r="H2060" s="9" t="s">
        <v>9873</v>
      </c>
      <c r="I2060" s="9" t="s">
        <v>72</v>
      </c>
      <c r="J2060" s="10"/>
      <c r="K2060" s="10">
        <v>45091</v>
      </c>
      <c r="L2060" s="10">
        <v>45093</v>
      </c>
      <c r="M2060" s="10"/>
      <c r="N2060" s="9">
        <v>2023</v>
      </c>
      <c r="O2060" s="9" t="s">
        <v>10278</v>
      </c>
      <c r="P2060" s="9" t="s">
        <v>83</v>
      </c>
      <c r="Q2060" s="9" t="s">
        <v>53</v>
      </c>
      <c r="R2060" s="9" t="s">
        <v>1980</v>
      </c>
      <c r="S2060" s="9"/>
      <c r="T2060" s="9"/>
      <c r="V2060" s="9"/>
      <c r="AC2060" s="9" t="s">
        <v>10349</v>
      </c>
      <c r="AD2060" s="9" t="s">
        <v>10350</v>
      </c>
      <c r="AE2060" s="46" t="s">
        <v>10351</v>
      </c>
      <c r="AF2060" s="9" t="s">
        <v>10352</v>
      </c>
      <c r="AH2060" s="9">
        <v>2270</v>
      </c>
      <c r="AI2060" s="9" t="s">
        <v>77</v>
      </c>
      <c r="AJ2060" s="9" t="s">
        <v>301</v>
      </c>
      <c r="AK2060" s="23" t="str">
        <f t="shared" si="16"/>
        <v>2023GBP</v>
      </c>
      <c r="AL2060" s="23">
        <f>VLOOKUP(AK2060, Exchange_rates!$C:$D, 2, FALSE)</f>
        <v>1</v>
      </c>
      <c r="AM2060" s="26">
        <f t="shared" si="17"/>
        <v>2724</v>
      </c>
      <c r="AN2060" s="9"/>
      <c r="AO2060" s="9"/>
      <c r="AP2060" s="9"/>
      <c r="AQ2060" s="15" t="s">
        <v>49</v>
      </c>
      <c r="AR2060" t="s">
        <v>6143</v>
      </c>
      <c r="AS2060" s="16"/>
    </row>
    <row r="2061" spans="1:45" ht="14.5">
      <c r="A2061" s="9" t="s">
        <v>10353</v>
      </c>
      <c r="B2061" s="9" t="s">
        <v>10354</v>
      </c>
      <c r="C2061" s="9" t="s">
        <v>10355</v>
      </c>
      <c r="D2061" s="9" t="s">
        <v>5539</v>
      </c>
      <c r="E2061" s="9" t="s">
        <v>49</v>
      </c>
      <c r="F2061" s="9" t="s">
        <v>69</v>
      </c>
      <c r="G2061" s="9" t="s">
        <v>70</v>
      </c>
      <c r="H2061" s="9" t="s">
        <v>9873</v>
      </c>
      <c r="I2061" s="9" t="s">
        <v>72</v>
      </c>
      <c r="J2061" s="10"/>
      <c r="K2061" s="10">
        <v>45079</v>
      </c>
      <c r="L2061" s="10">
        <v>45092</v>
      </c>
      <c r="M2061" s="10"/>
      <c r="N2061" s="9">
        <v>2023</v>
      </c>
      <c r="O2061" s="9" t="s">
        <v>10278</v>
      </c>
      <c r="P2061" s="9" t="s">
        <v>53</v>
      </c>
      <c r="Q2061" s="9" t="s">
        <v>53</v>
      </c>
      <c r="S2061" s="9"/>
      <c r="T2061" s="9"/>
      <c r="V2061" s="9"/>
      <c r="AC2061" s="9" t="s">
        <v>5658</v>
      </c>
      <c r="AD2061" s="9" t="s">
        <v>1637</v>
      </c>
      <c r="AE2061" s="46" t="s">
        <v>10356</v>
      </c>
      <c r="AH2061" s="9">
        <v>1750</v>
      </c>
      <c r="AI2061" s="9" t="s">
        <v>77</v>
      </c>
      <c r="AJ2061" s="9" t="s">
        <v>301</v>
      </c>
      <c r="AK2061" s="23" t="str">
        <f t="shared" si="16"/>
        <v>2023GBP</v>
      </c>
      <c r="AL2061" s="23">
        <f>VLOOKUP(AK2061, Exchange_rates!$C:$D, 2, FALSE)</f>
        <v>1</v>
      </c>
      <c r="AM2061" s="26">
        <f t="shared" si="17"/>
        <v>2100</v>
      </c>
      <c r="AN2061" s="9"/>
      <c r="AO2061" s="9"/>
      <c r="AP2061" s="9"/>
      <c r="AQ2061" s="15" t="s">
        <v>49</v>
      </c>
      <c r="AR2061" t="s">
        <v>10357</v>
      </c>
      <c r="AS2061" s="16"/>
    </row>
    <row r="2062" spans="1:45" ht="14.5">
      <c r="A2062" s="9" t="s">
        <v>10358</v>
      </c>
      <c r="B2062" s="9" t="s">
        <v>10359</v>
      </c>
      <c r="C2062" s="9" t="s">
        <v>10360</v>
      </c>
      <c r="D2062" s="9" t="s">
        <v>5539</v>
      </c>
      <c r="E2062" s="9" t="s">
        <v>49</v>
      </c>
      <c r="F2062" s="9" t="s">
        <v>69</v>
      </c>
      <c r="G2062" s="9" t="s">
        <v>70</v>
      </c>
      <c r="H2062" s="9" t="s">
        <v>9873</v>
      </c>
      <c r="I2062" s="9" t="s">
        <v>72</v>
      </c>
      <c r="J2062" s="10"/>
      <c r="K2062" s="10">
        <v>45089</v>
      </c>
      <c r="L2062" s="10">
        <v>45092</v>
      </c>
      <c r="M2062" s="10"/>
      <c r="N2062" s="9">
        <v>2023</v>
      </c>
      <c r="O2062" s="9" t="s">
        <v>10278</v>
      </c>
      <c r="P2062" s="9" t="s">
        <v>53</v>
      </c>
      <c r="Q2062" s="9" t="s">
        <v>53</v>
      </c>
      <c r="R2062" s="9" t="s">
        <v>10361</v>
      </c>
      <c r="S2062" s="9"/>
      <c r="T2062" s="9"/>
      <c r="V2062" s="9"/>
      <c r="AC2062" s="9" t="s">
        <v>10362</v>
      </c>
      <c r="AD2062" s="9" t="s">
        <v>10363</v>
      </c>
      <c r="AE2062" s="46" t="s">
        <v>10364</v>
      </c>
      <c r="AF2062" s="9" t="s">
        <v>10365</v>
      </c>
      <c r="AH2062" s="9">
        <v>2520</v>
      </c>
      <c r="AI2062" s="9" t="s">
        <v>77</v>
      </c>
      <c r="AJ2062" s="9" t="s">
        <v>301</v>
      </c>
      <c r="AK2062" s="23" t="str">
        <f t="shared" si="16"/>
        <v>2023GBP</v>
      </c>
      <c r="AL2062" s="23">
        <f>VLOOKUP(AK2062, Exchange_rates!$C:$D, 2, FALSE)</f>
        <v>1</v>
      </c>
      <c r="AM2062" s="26">
        <f t="shared" si="17"/>
        <v>3024</v>
      </c>
      <c r="AN2062" s="9"/>
      <c r="AO2062" s="9"/>
      <c r="AP2062" s="9"/>
      <c r="AQ2062" s="15" t="s">
        <v>49</v>
      </c>
      <c r="AR2062" t="s">
        <v>10366</v>
      </c>
      <c r="AS2062" s="16"/>
    </row>
    <row r="2063" spans="1:45" ht="14.5">
      <c r="A2063" s="9" t="s">
        <v>10367</v>
      </c>
      <c r="B2063" s="9" t="s">
        <v>10368</v>
      </c>
      <c r="C2063" s="9" t="s">
        <v>10369</v>
      </c>
      <c r="D2063" s="9" t="s">
        <v>5539</v>
      </c>
      <c r="E2063" s="9" t="s">
        <v>49</v>
      </c>
      <c r="F2063" s="9" t="s">
        <v>69</v>
      </c>
      <c r="G2063" s="9" t="s">
        <v>70</v>
      </c>
      <c r="H2063" s="9" t="s">
        <v>9873</v>
      </c>
      <c r="I2063" s="9" t="s">
        <v>72</v>
      </c>
      <c r="J2063" s="10"/>
      <c r="K2063" s="10">
        <v>45084</v>
      </c>
      <c r="L2063" s="10">
        <v>45092</v>
      </c>
      <c r="M2063" s="10"/>
      <c r="N2063" s="9">
        <v>2023</v>
      </c>
      <c r="O2063" s="9" t="s">
        <v>10278</v>
      </c>
      <c r="P2063" s="9" t="s">
        <v>53</v>
      </c>
      <c r="Q2063" s="9" t="s">
        <v>53</v>
      </c>
      <c r="S2063" s="9"/>
      <c r="T2063" s="9"/>
      <c r="V2063" s="9"/>
      <c r="AC2063" s="9" t="s">
        <v>10370</v>
      </c>
      <c r="AD2063" s="9" t="s">
        <v>10371</v>
      </c>
      <c r="AH2063" s="9">
        <v>2060</v>
      </c>
      <c r="AI2063" s="9" t="s">
        <v>77</v>
      </c>
      <c r="AJ2063" s="9" t="s">
        <v>301</v>
      </c>
      <c r="AK2063" s="23" t="str">
        <f t="shared" si="16"/>
        <v>2023GBP</v>
      </c>
      <c r="AL2063" s="23">
        <f>VLOOKUP(AK2063, Exchange_rates!$C:$D, 2, FALSE)</f>
        <v>1</v>
      </c>
      <c r="AM2063" s="26">
        <f t="shared" si="17"/>
        <v>2472</v>
      </c>
      <c r="AN2063" s="9"/>
      <c r="AO2063" s="9"/>
      <c r="AP2063" s="9"/>
      <c r="AQ2063" s="15" t="s">
        <v>49</v>
      </c>
      <c r="AR2063" t="s">
        <v>10372</v>
      </c>
      <c r="AS2063" s="16"/>
    </row>
    <row r="2064" spans="1:45" ht="14.5">
      <c r="A2064" s="9" t="s">
        <v>10373</v>
      </c>
      <c r="B2064" s="9" t="s">
        <v>10374</v>
      </c>
      <c r="C2064" s="9" t="s">
        <v>10312</v>
      </c>
      <c r="D2064" s="9" t="s">
        <v>5539</v>
      </c>
      <c r="E2064" s="9" t="s">
        <v>49</v>
      </c>
      <c r="F2064" s="9" t="s">
        <v>69</v>
      </c>
      <c r="G2064" s="9" t="s">
        <v>70</v>
      </c>
      <c r="H2064" s="9" t="s">
        <v>9873</v>
      </c>
      <c r="I2064" s="9" t="s">
        <v>72</v>
      </c>
      <c r="J2064" s="10"/>
      <c r="K2064" s="10">
        <v>45089</v>
      </c>
      <c r="L2064" s="10">
        <v>45092</v>
      </c>
      <c r="M2064" s="10"/>
      <c r="N2064" s="9">
        <v>2023</v>
      </c>
      <c r="O2064" s="9" t="s">
        <v>10278</v>
      </c>
      <c r="P2064" s="9" t="s">
        <v>53</v>
      </c>
      <c r="Q2064" s="9" t="s">
        <v>53</v>
      </c>
      <c r="R2064" s="9" t="s">
        <v>10375</v>
      </c>
      <c r="S2064" s="9"/>
      <c r="T2064" s="9"/>
      <c r="V2064" s="9"/>
      <c r="AC2064" s="9" t="s">
        <v>10376</v>
      </c>
      <c r="AD2064" s="9" t="s">
        <v>10377</v>
      </c>
      <c r="AE2064" s="46" t="s">
        <v>10378</v>
      </c>
      <c r="AF2064" s="9" t="s">
        <v>10379</v>
      </c>
      <c r="AH2064" s="9">
        <v>2400</v>
      </c>
      <c r="AI2064" s="9" t="s">
        <v>77</v>
      </c>
      <c r="AJ2064" s="9" t="s">
        <v>301</v>
      </c>
      <c r="AK2064" s="23" t="str">
        <f t="shared" si="16"/>
        <v>2023GBP</v>
      </c>
      <c r="AL2064" s="23">
        <f>VLOOKUP(AK2064, Exchange_rates!$C:$D, 2, FALSE)</f>
        <v>1</v>
      </c>
      <c r="AM2064" s="26">
        <f t="shared" si="17"/>
        <v>2880</v>
      </c>
      <c r="AN2064" s="9"/>
      <c r="AO2064" s="9"/>
      <c r="AP2064" s="9"/>
      <c r="AQ2064" s="15" t="s">
        <v>49</v>
      </c>
      <c r="AR2064" t="s">
        <v>5591</v>
      </c>
      <c r="AS2064" s="16"/>
    </row>
    <row r="2065" spans="1:45" ht="14.5">
      <c r="A2065" s="9" t="s">
        <v>10380</v>
      </c>
      <c r="B2065" s="9" t="s">
        <v>10381</v>
      </c>
      <c r="C2065" s="9" t="s">
        <v>5786</v>
      </c>
      <c r="D2065" s="9" t="s">
        <v>5539</v>
      </c>
      <c r="E2065" s="9" t="s">
        <v>49</v>
      </c>
      <c r="F2065" s="9" t="s">
        <v>69</v>
      </c>
      <c r="G2065" s="9" t="s">
        <v>70</v>
      </c>
      <c r="H2065" s="9" t="s">
        <v>9873</v>
      </c>
      <c r="I2065" s="9" t="s">
        <v>72</v>
      </c>
      <c r="J2065" s="10"/>
      <c r="K2065" s="10">
        <v>45068</v>
      </c>
      <c r="L2065" s="10">
        <v>45090</v>
      </c>
      <c r="M2065" s="10"/>
      <c r="N2065" s="9">
        <v>2023</v>
      </c>
      <c r="O2065" s="9" t="s">
        <v>10278</v>
      </c>
      <c r="P2065" s="9" t="s">
        <v>83</v>
      </c>
      <c r="Q2065" s="9" t="s">
        <v>53</v>
      </c>
      <c r="R2065" s="9" t="s">
        <v>117</v>
      </c>
      <c r="S2065" s="9"/>
      <c r="T2065" s="9"/>
      <c r="V2065" s="9"/>
      <c r="AC2065" s="9" t="s">
        <v>10338</v>
      </c>
      <c r="AD2065" s="9" t="s">
        <v>10339</v>
      </c>
      <c r="AH2065" s="9">
        <v>3660</v>
      </c>
      <c r="AI2065" s="9" t="s">
        <v>77</v>
      </c>
      <c r="AJ2065" s="9" t="s">
        <v>301</v>
      </c>
      <c r="AK2065" s="23" t="str">
        <f t="shared" si="16"/>
        <v>2023GBP</v>
      </c>
      <c r="AL2065" s="23">
        <f>VLOOKUP(AK2065, Exchange_rates!$C:$D, 2, FALSE)</f>
        <v>1</v>
      </c>
      <c r="AM2065" s="26">
        <f t="shared" si="17"/>
        <v>4392</v>
      </c>
      <c r="AN2065" s="9"/>
      <c r="AO2065" s="9"/>
      <c r="AP2065" s="9"/>
      <c r="AQ2065" s="15" t="s">
        <v>49</v>
      </c>
      <c r="AR2065" t="s">
        <v>5558</v>
      </c>
      <c r="AS2065" s="16"/>
    </row>
    <row r="2066" spans="1:45" ht="14.5">
      <c r="A2066" s="9" t="s">
        <v>10382</v>
      </c>
      <c r="B2066" s="9" t="s">
        <v>10383</v>
      </c>
      <c r="C2066" s="9" t="s">
        <v>5682</v>
      </c>
      <c r="D2066" s="9" t="s">
        <v>5539</v>
      </c>
      <c r="E2066" s="9" t="s">
        <v>49</v>
      </c>
      <c r="F2066" s="9" t="s">
        <v>69</v>
      </c>
      <c r="G2066" s="9" t="s">
        <v>70</v>
      </c>
      <c r="H2066" s="9" t="s">
        <v>9873</v>
      </c>
      <c r="I2066" s="9" t="s">
        <v>72</v>
      </c>
      <c r="J2066" s="10"/>
      <c r="K2066" s="10">
        <v>45081</v>
      </c>
      <c r="L2066" s="10">
        <v>45090</v>
      </c>
      <c r="M2066" s="10"/>
      <c r="N2066" s="9">
        <v>2023</v>
      </c>
      <c r="O2066" s="9" t="s">
        <v>10278</v>
      </c>
      <c r="P2066" s="9" t="s">
        <v>83</v>
      </c>
      <c r="Q2066" s="9" t="s">
        <v>53</v>
      </c>
      <c r="R2066" s="9" t="s">
        <v>4005</v>
      </c>
      <c r="S2066" s="9"/>
      <c r="T2066" s="9"/>
      <c r="V2066" s="9"/>
      <c r="AC2066" s="9" t="s">
        <v>5686</v>
      </c>
      <c r="AD2066" s="9" t="s">
        <v>4440</v>
      </c>
      <c r="AE2066" s="46" t="s">
        <v>10384</v>
      </c>
      <c r="AF2066" s="9" t="s">
        <v>10385</v>
      </c>
      <c r="AH2066" s="9">
        <v>2520</v>
      </c>
      <c r="AI2066" s="9" t="s">
        <v>77</v>
      </c>
      <c r="AJ2066" s="9" t="s">
        <v>301</v>
      </c>
      <c r="AK2066" s="23" t="str">
        <f t="shared" si="16"/>
        <v>2023GBP</v>
      </c>
      <c r="AL2066" s="23">
        <f>VLOOKUP(AK2066, Exchange_rates!$C:$D, 2, FALSE)</f>
        <v>1</v>
      </c>
      <c r="AM2066" s="26">
        <f t="shared" si="17"/>
        <v>3024</v>
      </c>
      <c r="AN2066" s="9"/>
      <c r="AO2066" s="9"/>
      <c r="AP2066" s="9"/>
      <c r="AQ2066" s="15" t="s">
        <v>49</v>
      </c>
      <c r="AR2066" t="s">
        <v>5615</v>
      </c>
      <c r="AS2066" s="16"/>
    </row>
    <row r="2067" spans="1:45" ht="14.5">
      <c r="A2067" s="9" t="s">
        <v>10386</v>
      </c>
      <c r="B2067" s="9" t="s">
        <v>10387</v>
      </c>
      <c r="C2067" s="9" t="s">
        <v>10388</v>
      </c>
      <c r="D2067" s="9" t="s">
        <v>5539</v>
      </c>
      <c r="E2067" s="9" t="s">
        <v>49</v>
      </c>
      <c r="F2067" s="9" t="s">
        <v>69</v>
      </c>
      <c r="G2067" s="9" t="s">
        <v>70</v>
      </c>
      <c r="H2067" s="9" t="s">
        <v>9873</v>
      </c>
      <c r="I2067" s="9" t="s">
        <v>72</v>
      </c>
      <c r="J2067" s="10"/>
      <c r="K2067" s="10">
        <v>45089</v>
      </c>
      <c r="L2067" s="10">
        <v>45089</v>
      </c>
      <c r="M2067" s="10"/>
      <c r="N2067" s="9">
        <v>2023</v>
      </c>
      <c r="O2067" s="9" t="s">
        <v>10278</v>
      </c>
      <c r="P2067" s="9" t="s">
        <v>83</v>
      </c>
      <c r="Q2067" s="9" t="s">
        <v>53</v>
      </c>
      <c r="R2067" s="9" t="s">
        <v>10389</v>
      </c>
      <c r="S2067" s="9"/>
      <c r="T2067" s="9"/>
      <c r="V2067" s="9"/>
      <c r="AC2067" s="9" t="s">
        <v>10390</v>
      </c>
      <c r="AD2067" s="9" t="s">
        <v>10391</v>
      </c>
      <c r="AE2067" s="46" t="s">
        <v>10392</v>
      </c>
      <c r="AF2067" s="9" t="s">
        <v>10393</v>
      </c>
      <c r="AH2067" s="9">
        <v>2940</v>
      </c>
      <c r="AI2067" s="9" t="s">
        <v>77</v>
      </c>
      <c r="AJ2067" s="9" t="s">
        <v>301</v>
      </c>
      <c r="AK2067" s="23" t="str">
        <f t="shared" si="16"/>
        <v>2023GBP</v>
      </c>
      <c r="AL2067" s="23">
        <f>VLOOKUP(AK2067, Exchange_rates!$C:$D, 2, FALSE)</f>
        <v>1</v>
      </c>
      <c r="AM2067" s="26">
        <f t="shared" si="17"/>
        <v>3528</v>
      </c>
      <c r="AN2067" s="9"/>
      <c r="AO2067" s="9"/>
      <c r="AP2067" s="9"/>
      <c r="AQ2067" s="15" t="s">
        <v>49</v>
      </c>
      <c r="AR2067" t="s">
        <v>10394</v>
      </c>
      <c r="AS2067" s="16"/>
    </row>
    <row r="2068" spans="1:45" ht="14.5">
      <c r="A2068" s="9" t="s">
        <v>10395</v>
      </c>
      <c r="B2068" s="9" t="s">
        <v>10396</v>
      </c>
      <c r="C2068" s="9" t="s">
        <v>10397</v>
      </c>
      <c r="D2068" s="9" t="s">
        <v>5539</v>
      </c>
      <c r="E2068" s="9" t="s">
        <v>49</v>
      </c>
      <c r="F2068" s="9" t="s">
        <v>69</v>
      </c>
      <c r="G2068" s="9" t="s">
        <v>70</v>
      </c>
      <c r="H2068" s="9" t="s">
        <v>9873</v>
      </c>
      <c r="I2068" s="9" t="s">
        <v>72</v>
      </c>
      <c r="J2068" s="10"/>
      <c r="K2068" s="10">
        <v>45085</v>
      </c>
      <c r="L2068" s="10">
        <v>45090</v>
      </c>
      <c r="M2068" s="10"/>
      <c r="N2068" s="9">
        <v>2023</v>
      </c>
      <c r="O2068" s="9" t="s">
        <v>10278</v>
      </c>
      <c r="P2068" s="9" t="s">
        <v>53</v>
      </c>
      <c r="Q2068" s="9" t="s">
        <v>53</v>
      </c>
      <c r="S2068" s="9"/>
      <c r="T2068" s="9"/>
      <c r="V2068" s="9"/>
      <c r="AC2068" s="9" t="s">
        <v>10398</v>
      </c>
      <c r="AD2068" s="9" t="s">
        <v>10399</v>
      </c>
      <c r="AE2068" s="46" t="s">
        <v>10400</v>
      </c>
      <c r="AH2068" s="9">
        <v>1750</v>
      </c>
      <c r="AI2068" s="9" t="s">
        <v>77</v>
      </c>
      <c r="AJ2068" s="9" t="s">
        <v>301</v>
      </c>
      <c r="AK2068" s="23" t="str">
        <f t="shared" si="16"/>
        <v>2023GBP</v>
      </c>
      <c r="AL2068" s="23">
        <f>VLOOKUP(AK2068, Exchange_rates!$C:$D, 2, FALSE)</f>
        <v>1</v>
      </c>
      <c r="AM2068" s="26">
        <f t="shared" si="17"/>
        <v>2100</v>
      </c>
      <c r="AN2068" s="9"/>
      <c r="AO2068" s="9"/>
      <c r="AP2068" s="9"/>
      <c r="AQ2068" s="15" t="s">
        <v>49</v>
      </c>
      <c r="AR2068" t="s">
        <v>10401</v>
      </c>
      <c r="AS2068" s="16"/>
    </row>
    <row r="2069" spans="1:45" ht="14.5">
      <c r="A2069" s="9" t="s">
        <v>10402</v>
      </c>
      <c r="B2069" s="9" t="s">
        <v>10403</v>
      </c>
      <c r="C2069" s="9" t="s">
        <v>10404</v>
      </c>
      <c r="D2069" s="9" t="s">
        <v>5539</v>
      </c>
      <c r="E2069" s="9" t="s">
        <v>49</v>
      </c>
      <c r="F2069" s="9" t="s">
        <v>69</v>
      </c>
      <c r="G2069" s="9" t="s">
        <v>70</v>
      </c>
      <c r="H2069" s="9" t="s">
        <v>9873</v>
      </c>
      <c r="I2069" s="9" t="s">
        <v>72</v>
      </c>
      <c r="J2069" s="10"/>
      <c r="K2069" s="10">
        <v>45068</v>
      </c>
      <c r="L2069" s="10">
        <v>45077</v>
      </c>
      <c r="M2069" s="10"/>
      <c r="N2069" s="9">
        <v>2023</v>
      </c>
      <c r="O2069" s="9" t="s">
        <v>10278</v>
      </c>
      <c r="P2069" s="9" t="s">
        <v>53</v>
      </c>
      <c r="Q2069" s="9" t="s">
        <v>53</v>
      </c>
      <c r="R2069" s="9" t="s">
        <v>10405</v>
      </c>
      <c r="S2069" s="9"/>
      <c r="T2069" s="9"/>
      <c r="V2069" s="9"/>
      <c r="AC2069" s="9" t="s">
        <v>10406</v>
      </c>
      <c r="AD2069" s="9" t="s">
        <v>10407</v>
      </c>
      <c r="AE2069" s="46" t="s">
        <v>10408</v>
      </c>
      <c r="AF2069" s="9" t="s">
        <v>10409</v>
      </c>
      <c r="AH2069" s="9">
        <v>2420</v>
      </c>
      <c r="AI2069" s="9" t="s">
        <v>77</v>
      </c>
      <c r="AJ2069" s="9" t="s">
        <v>301</v>
      </c>
      <c r="AK2069" s="23" t="str">
        <f t="shared" si="16"/>
        <v>2023GBP</v>
      </c>
      <c r="AL2069" s="23">
        <f>VLOOKUP(AK2069, Exchange_rates!$C:$D, 2, FALSE)</f>
        <v>1</v>
      </c>
      <c r="AM2069" s="26">
        <f t="shared" si="17"/>
        <v>2904</v>
      </c>
      <c r="AN2069" s="9"/>
      <c r="AO2069" s="9"/>
      <c r="AP2069" s="9"/>
      <c r="AQ2069" s="15" t="s">
        <v>49</v>
      </c>
      <c r="AR2069" t="s">
        <v>10410</v>
      </c>
      <c r="AS2069" s="16"/>
    </row>
    <row r="2070" spans="1:45" ht="14.5">
      <c r="A2070" s="9" t="s">
        <v>10411</v>
      </c>
      <c r="B2070" s="9" t="s">
        <v>10412</v>
      </c>
      <c r="C2070" s="9" t="s">
        <v>5665</v>
      </c>
      <c r="D2070" s="9" t="s">
        <v>5539</v>
      </c>
      <c r="E2070" s="9" t="s">
        <v>49</v>
      </c>
      <c r="F2070" s="9" t="s">
        <v>69</v>
      </c>
      <c r="G2070" s="9" t="s">
        <v>70</v>
      </c>
      <c r="H2070" s="9" t="s">
        <v>9873</v>
      </c>
      <c r="I2070" s="9" t="s">
        <v>291</v>
      </c>
      <c r="J2070" s="10"/>
      <c r="K2070" s="10">
        <v>45069</v>
      </c>
      <c r="L2070" s="10">
        <v>45071</v>
      </c>
      <c r="M2070" s="10"/>
      <c r="N2070" s="9">
        <v>2023</v>
      </c>
      <c r="O2070" s="9" t="s">
        <v>10278</v>
      </c>
      <c r="P2070" s="9" t="s">
        <v>53</v>
      </c>
      <c r="Q2070" s="9" t="s">
        <v>53</v>
      </c>
      <c r="R2070" s="9" t="s">
        <v>10413</v>
      </c>
      <c r="S2070" s="9"/>
      <c r="T2070" s="9"/>
      <c r="V2070" s="9"/>
      <c r="AC2070" s="9" t="s">
        <v>10414</v>
      </c>
      <c r="AD2070" s="9" t="s">
        <v>10415</v>
      </c>
      <c r="AE2070" s="46" t="s">
        <v>10416</v>
      </c>
      <c r="AF2070" s="9" t="s">
        <v>10417</v>
      </c>
      <c r="AH2070" s="9">
        <v>3090</v>
      </c>
      <c r="AI2070" s="9" t="s">
        <v>77</v>
      </c>
      <c r="AJ2070" s="9" t="s">
        <v>301</v>
      </c>
      <c r="AK2070" s="23" t="str">
        <f t="shared" si="16"/>
        <v>2023GBP</v>
      </c>
      <c r="AL2070" s="23">
        <f>VLOOKUP(AK2070, Exchange_rates!$C:$D, 2, FALSE)</f>
        <v>1</v>
      </c>
      <c r="AM2070" s="26">
        <f t="shared" si="17"/>
        <v>3708</v>
      </c>
      <c r="AN2070" s="9"/>
      <c r="AO2070" s="9"/>
      <c r="AP2070" s="9"/>
      <c r="AQ2070" s="15" t="s">
        <v>49</v>
      </c>
      <c r="AR2070" t="s">
        <v>5670</v>
      </c>
      <c r="AS2070" s="16"/>
    </row>
    <row r="2071" spans="1:45" ht="14.5">
      <c r="A2071" s="9" t="s">
        <v>10418</v>
      </c>
      <c r="B2071" s="9" t="s">
        <v>10419</v>
      </c>
      <c r="C2071" s="9" t="s">
        <v>6641</v>
      </c>
      <c r="D2071" s="9" t="s">
        <v>5539</v>
      </c>
      <c r="E2071" s="9" t="s">
        <v>49</v>
      </c>
      <c r="F2071" s="9" t="s">
        <v>69</v>
      </c>
      <c r="G2071" s="9" t="s">
        <v>70</v>
      </c>
      <c r="H2071" s="9" t="s">
        <v>9873</v>
      </c>
      <c r="I2071" s="9" t="s">
        <v>72</v>
      </c>
      <c r="J2071" s="10"/>
      <c r="K2071" s="10">
        <v>45061</v>
      </c>
      <c r="L2071" s="10">
        <v>45069</v>
      </c>
      <c r="M2071" s="10"/>
      <c r="N2071" s="9">
        <v>2023</v>
      </c>
      <c r="O2071" s="9" t="s">
        <v>10278</v>
      </c>
      <c r="P2071" s="9" t="s">
        <v>83</v>
      </c>
      <c r="Q2071" s="9" t="s">
        <v>53</v>
      </c>
      <c r="R2071" s="9" t="s">
        <v>10420</v>
      </c>
      <c r="S2071" s="9"/>
      <c r="T2071" s="9"/>
      <c r="V2071" s="9"/>
      <c r="AC2071" s="9" t="s">
        <v>6537</v>
      </c>
      <c r="AD2071" s="9" t="s">
        <v>1659</v>
      </c>
      <c r="AF2071" s="9" t="s">
        <v>10421</v>
      </c>
      <c r="AH2071" s="9">
        <v>3700</v>
      </c>
      <c r="AI2071" s="9" t="s">
        <v>77</v>
      </c>
      <c r="AJ2071" s="9" t="s">
        <v>301</v>
      </c>
      <c r="AK2071" s="23" t="str">
        <f t="shared" si="16"/>
        <v>2023GBP</v>
      </c>
      <c r="AL2071" s="23">
        <f>VLOOKUP(AK2071, Exchange_rates!$C:$D, 2, FALSE)</f>
        <v>1</v>
      </c>
      <c r="AM2071" s="26">
        <f t="shared" si="17"/>
        <v>4440</v>
      </c>
      <c r="AN2071" s="9"/>
      <c r="AO2071" s="9"/>
      <c r="AP2071" s="9"/>
      <c r="AQ2071" s="15" t="s">
        <v>49</v>
      </c>
      <c r="AR2071" t="s">
        <v>6644</v>
      </c>
      <c r="AS2071" s="16"/>
    </row>
    <row r="2072" spans="1:45" ht="14.5">
      <c r="A2072" s="9" t="s">
        <v>10422</v>
      </c>
      <c r="B2072" s="9" t="s">
        <v>10423</v>
      </c>
      <c r="C2072" s="9" t="s">
        <v>5786</v>
      </c>
      <c r="D2072" s="9" t="s">
        <v>5539</v>
      </c>
      <c r="E2072" s="9" t="s">
        <v>49</v>
      </c>
      <c r="F2072" s="9" t="s">
        <v>69</v>
      </c>
      <c r="G2072" s="9" t="s">
        <v>70</v>
      </c>
      <c r="H2072" s="9" t="s">
        <v>9873</v>
      </c>
      <c r="I2072" s="9" t="s">
        <v>72</v>
      </c>
      <c r="J2072" s="10"/>
      <c r="K2072" s="10">
        <v>45035</v>
      </c>
      <c r="L2072" s="10">
        <v>45062</v>
      </c>
      <c r="M2072" s="10"/>
      <c r="N2072" s="9">
        <v>2023</v>
      </c>
      <c r="O2072" s="9" t="s">
        <v>10278</v>
      </c>
      <c r="P2072" s="9" t="s">
        <v>53</v>
      </c>
      <c r="Q2072" s="9" t="s">
        <v>53</v>
      </c>
      <c r="R2072" s="9" t="s">
        <v>185</v>
      </c>
      <c r="S2072" s="9"/>
      <c r="T2072" s="9"/>
      <c r="V2072" s="9"/>
      <c r="AC2072" s="9" t="s">
        <v>6041</v>
      </c>
      <c r="AD2072" s="9" t="s">
        <v>6042</v>
      </c>
      <c r="AE2072" s="46" t="s">
        <v>10424</v>
      </c>
      <c r="AH2072" s="9">
        <v>3660</v>
      </c>
      <c r="AI2072" s="9" t="s">
        <v>77</v>
      </c>
      <c r="AJ2072" s="9" t="s">
        <v>301</v>
      </c>
      <c r="AK2072" s="23" t="str">
        <f t="shared" si="16"/>
        <v>2023GBP</v>
      </c>
      <c r="AL2072" s="23">
        <f>VLOOKUP(AK2072, Exchange_rates!$C:$D, 2, FALSE)</f>
        <v>1</v>
      </c>
      <c r="AM2072" s="26">
        <f t="shared" si="17"/>
        <v>4392</v>
      </c>
      <c r="AN2072" s="9"/>
      <c r="AO2072" s="9"/>
      <c r="AP2072" s="9"/>
      <c r="AQ2072" s="15" t="s">
        <v>49</v>
      </c>
      <c r="AR2072" t="s">
        <v>5558</v>
      </c>
      <c r="AS2072" s="16"/>
    </row>
    <row r="2073" spans="1:45" ht="14.5">
      <c r="A2073" s="9" t="s">
        <v>10425</v>
      </c>
      <c r="B2073" s="9" t="s">
        <v>10426</v>
      </c>
      <c r="C2073" s="9" t="s">
        <v>5786</v>
      </c>
      <c r="D2073" s="9" t="s">
        <v>5539</v>
      </c>
      <c r="E2073" s="9" t="s">
        <v>49</v>
      </c>
      <c r="F2073" s="9" t="s">
        <v>69</v>
      </c>
      <c r="G2073" s="9" t="s">
        <v>70</v>
      </c>
      <c r="H2073" s="9" t="s">
        <v>9873</v>
      </c>
      <c r="I2073" s="9" t="s">
        <v>72</v>
      </c>
      <c r="J2073" s="10"/>
      <c r="K2073" s="10">
        <v>45033</v>
      </c>
      <c r="L2073" s="10">
        <v>45062</v>
      </c>
      <c r="M2073" s="10"/>
      <c r="N2073" s="9">
        <v>2023</v>
      </c>
      <c r="O2073" s="9" t="s">
        <v>10278</v>
      </c>
      <c r="P2073" s="9" t="s">
        <v>53</v>
      </c>
      <c r="Q2073" s="9" t="s">
        <v>53</v>
      </c>
      <c r="R2073" s="9" t="s">
        <v>185</v>
      </c>
      <c r="S2073" s="9"/>
      <c r="T2073" s="9"/>
      <c r="V2073" s="9"/>
      <c r="AC2073" s="9" t="s">
        <v>6041</v>
      </c>
      <c r="AD2073" s="9" t="s">
        <v>6042</v>
      </c>
      <c r="AE2073" s="46" t="s">
        <v>10424</v>
      </c>
      <c r="AH2073" s="9">
        <v>3660</v>
      </c>
      <c r="AI2073" s="9" t="s">
        <v>77</v>
      </c>
      <c r="AJ2073" s="9" t="s">
        <v>301</v>
      </c>
      <c r="AK2073" s="23" t="str">
        <f t="shared" si="16"/>
        <v>2023GBP</v>
      </c>
      <c r="AL2073" s="23">
        <f>VLOOKUP(AK2073, Exchange_rates!$C:$D, 2, FALSE)</f>
        <v>1</v>
      </c>
      <c r="AM2073" s="26">
        <f t="shared" si="17"/>
        <v>4392</v>
      </c>
      <c r="AN2073" s="9"/>
      <c r="AO2073" s="9"/>
      <c r="AP2073" s="9"/>
      <c r="AQ2073" s="15" t="s">
        <v>49</v>
      </c>
      <c r="AR2073" t="s">
        <v>5558</v>
      </c>
      <c r="AS2073" s="16"/>
    </row>
    <row r="2074" spans="1:45" ht="14.5">
      <c r="A2074" s="9" t="s">
        <v>10427</v>
      </c>
      <c r="B2074" s="9" t="s">
        <v>10428</v>
      </c>
      <c r="C2074" s="9" t="s">
        <v>10429</v>
      </c>
      <c r="D2074" s="9" t="s">
        <v>5539</v>
      </c>
      <c r="E2074" s="9" t="s">
        <v>49</v>
      </c>
      <c r="F2074" s="9" t="s">
        <v>69</v>
      </c>
      <c r="G2074" s="9" t="s">
        <v>70</v>
      </c>
      <c r="H2074" s="9" t="s">
        <v>9873</v>
      </c>
      <c r="I2074" s="9" t="s">
        <v>72</v>
      </c>
      <c r="J2074" s="10"/>
      <c r="K2074" s="10">
        <v>45055</v>
      </c>
      <c r="L2074" s="10">
        <v>45062</v>
      </c>
      <c r="M2074" s="10"/>
      <c r="N2074" s="9">
        <v>2023</v>
      </c>
      <c r="O2074" s="9" t="s">
        <v>10278</v>
      </c>
      <c r="P2074" s="9" t="s">
        <v>83</v>
      </c>
      <c r="Q2074" s="9" t="s">
        <v>53</v>
      </c>
      <c r="R2074" s="9" t="s">
        <v>4005</v>
      </c>
      <c r="S2074" s="9"/>
      <c r="T2074" s="9"/>
      <c r="V2074" s="9"/>
      <c r="AC2074" s="9" t="s">
        <v>10430</v>
      </c>
      <c r="AD2074" s="9" t="s">
        <v>10431</v>
      </c>
      <c r="AE2074" s="46" t="s">
        <v>10432</v>
      </c>
      <c r="AF2074" s="9" t="s">
        <v>10433</v>
      </c>
      <c r="AH2074" s="9">
        <v>2730</v>
      </c>
      <c r="AI2074" s="9" t="s">
        <v>77</v>
      </c>
      <c r="AJ2074" s="9" t="s">
        <v>301</v>
      </c>
      <c r="AK2074" s="23" t="str">
        <f t="shared" si="16"/>
        <v>2023GBP</v>
      </c>
      <c r="AL2074" s="23">
        <f>VLOOKUP(AK2074, Exchange_rates!$C:$D, 2, FALSE)</f>
        <v>1</v>
      </c>
      <c r="AM2074" s="26">
        <f t="shared" si="17"/>
        <v>3276</v>
      </c>
      <c r="AN2074" s="9"/>
      <c r="AO2074" s="9"/>
      <c r="AP2074" s="9"/>
      <c r="AQ2074" s="15" t="s">
        <v>49</v>
      </c>
      <c r="AR2074" t="s">
        <v>10434</v>
      </c>
      <c r="AS2074" s="16"/>
    </row>
    <row r="2075" spans="1:45" ht="14.5">
      <c r="A2075" s="9" t="s">
        <v>10435</v>
      </c>
      <c r="B2075" s="9" t="s">
        <v>10436</v>
      </c>
      <c r="C2075" s="9" t="s">
        <v>10437</v>
      </c>
      <c r="D2075" s="9" t="s">
        <v>5539</v>
      </c>
      <c r="E2075" s="9" t="s">
        <v>49</v>
      </c>
      <c r="F2075" s="9" t="s">
        <v>69</v>
      </c>
      <c r="G2075" s="9" t="s">
        <v>70</v>
      </c>
      <c r="H2075" s="9" t="s">
        <v>9873</v>
      </c>
      <c r="I2075" s="9" t="s">
        <v>72</v>
      </c>
      <c r="J2075" s="10"/>
      <c r="K2075" s="10">
        <v>45051</v>
      </c>
      <c r="L2075" s="10">
        <v>45051</v>
      </c>
      <c r="M2075" s="10"/>
      <c r="N2075" s="9">
        <v>2023</v>
      </c>
      <c r="O2075" s="9" t="s">
        <v>10278</v>
      </c>
      <c r="P2075" s="9" t="s">
        <v>53</v>
      </c>
      <c r="Q2075" s="9" t="s">
        <v>53</v>
      </c>
      <c r="S2075" s="9"/>
      <c r="T2075" s="9"/>
      <c r="V2075" s="9"/>
      <c r="AC2075" s="9" t="s">
        <v>10438</v>
      </c>
      <c r="AD2075" s="9" t="s">
        <v>10439</v>
      </c>
      <c r="AE2075" s="46" t="s">
        <v>10440</v>
      </c>
      <c r="AH2075" s="9">
        <v>1750</v>
      </c>
      <c r="AI2075" s="9" t="s">
        <v>77</v>
      </c>
      <c r="AJ2075" s="9" t="s">
        <v>301</v>
      </c>
      <c r="AK2075" s="23" t="str">
        <f t="shared" si="16"/>
        <v>2023GBP</v>
      </c>
      <c r="AL2075" s="23">
        <f>VLOOKUP(AK2075, Exchange_rates!$C:$D, 2, FALSE)</f>
        <v>1</v>
      </c>
      <c r="AM2075" s="26">
        <f t="shared" si="17"/>
        <v>2100</v>
      </c>
      <c r="AN2075" s="9"/>
      <c r="AO2075" s="9"/>
      <c r="AP2075" s="9"/>
      <c r="AQ2075" s="15" t="s">
        <v>49</v>
      </c>
      <c r="AR2075" t="s">
        <v>10441</v>
      </c>
      <c r="AS2075" s="16"/>
    </row>
    <row r="2076" spans="1:45" ht="14.5">
      <c r="A2076" s="9" t="s">
        <v>10442</v>
      </c>
      <c r="B2076" s="9" t="s">
        <v>10443</v>
      </c>
      <c r="C2076" s="9" t="s">
        <v>6657</v>
      </c>
      <c r="D2076" s="9" t="s">
        <v>5539</v>
      </c>
      <c r="E2076" s="9" t="s">
        <v>49</v>
      </c>
      <c r="F2076" s="9" t="s">
        <v>69</v>
      </c>
      <c r="G2076" s="9" t="s">
        <v>51</v>
      </c>
      <c r="H2076" s="9"/>
      <c r="I2076" s="9" t="s">
        <v>72</v>
      </c>
      <c r="J2076" s="10"/>
      <c r="K2076" s="10">
        <v>44997</v>
      </c>
      <c r="L2076" s="10"/>
      <c r="M2076" s="10">
        <v>45114</v>
      </c>
      <c r="N2076" s="9">
        <v>2023</v>
      </c>
      <c r="O2076" s="9" t="s">
        <v>10278</v>
      </c>
      <c r="P2076" s="9" t="s">
        <v>83</v>
      </c>
      <c r="Q2076" s="9" t="s">
        <v>53</v>
      </c>
      <c r="R2076" s="9" t="s">
        <v>1980</v>
      </c>
      <c r="S2076" s="9"/>
      <c r="T2076" s="9" t="s">
        <v>55</v>
      </c>
      <c r="U2076" s="9" t="s">
        <v>10444</v>
      </c>
      <c r="V2076" s="9"/>
      <c r="AC2076" s="9" t="s">
        <v>10445</v>
      </c>
      <c r="AD2076" s="9" t="s">
        <v>10446</v>
      </c>
      <c r="AF2076" s="9" t="s">
        <v>10447</v>
      </c>
      <c r="AH2076" s="9">
        <v>1600</v>
      </c>
      <c r="AI2076" s="9" t="s">
        <v>77</v>
      </c>
      <c r="AJ2076" s="9" t="s">
        <v>301</v>
      </c>
      <c r="AK2076" s="23" t="str">
        <f t="shared" si="16"/>
        <v>2023GBP</v>
      </c>
      <c r="AL2076" s="23">
        <f>VLOOKUP(AK2076, Exchange_rates!$C:$D, 2, FALSE)</f>
        <v>1</v>
      </c>
      <c r="AM2076" s="26">
        <f t="shared" si="17"/>
        <v>1920</v>
      </c>
      <c r="AN2076" s="9"/>
      <c r="AO2076" s="9"/>
      <c r="AP2076" s="9"/>
      <c r="AQ2076" s="15" t="s">
        <v>49</v>
      </c>
      <c r="AR2076" t="s">
        <v>6664</v>
      </c>
      <c r="AS2076" s="16"/>
    </row>
    <row r="2077" spans="1:45" ht="14.5">
      <c r="A2077" s="9" t="s">
        <v>10448</v>
      </c>
      <c r="B2077" s="9" t="s">
        <v>10449</v>
      </c>
      <c r="C2077" s="9" t="s">
        <v>10450</v>
      </c>
      <c r="D2077" s="9" t="s">
        <v>5539</v>
      </c>
      <c r="E2077" s="9" t="s">
        <v>125</v>
      </c>
      <c r="F2077" s="9" t="s">
        <v>69</v>
      </c>
      <c r="G2077" s="9" t="s">
        <v>70</v>
      </c>
      <c r="H2077" s="9" t="s">
        <v>9873</v>
      </c>
      <c r="I2077" s="9" t="s">
        <v>72</v>
      </c>
      <c r="J2077" s="10"/>
      <c r="K2077" s="10">
        <v>45032</v>
      </c>
      <c r="L2077" s="10">
        <v>45055</v>
      </c>
      <c r="M2077" s="10">
        <v>45041</v>
      </c>
      <c r="N2077" s="9">
        <v>2023</v>
      </c>
      <c r="O2077" s="9" t="s">
        <v>10278</v>
      </c>
      <c r="P2077" s="9" t="s">
        <v>83</v>
      </c>
      <c r="Q2077" s="9" t="s">
        <v>53</v>
      </c>
      <c r="R2077" s="9" t="s">
        <v>10451</v>
      </c>
      <c r="S2077" s="9"/>
      <c r="T2077" s="9"/>
      <c r="V2077" s="9"/>
      <c r="AC2077" s="9" t="s">
        <v>10452</v>
      </c>
      <c r="AD2077" s="9" t="s">
        <v>10453</v>
      </c>
      <c r="AE2077" s="46" t="s">
        <v>10454</v>
      </c>
      <c r="AF2077" s="9" t="s">
        <v>10455</v>
      </c>
      <c r="AH2077" s="9">
        <v>2200</v>
      </c>
      <c r="AI2077" s="9" t="s">
        <v>77</v>
      </c>
      <c r="AJ2077" s="9" t="s">
        <v>301</v>
      </c>
      <c r="AK2077" s="23" t="str">
        <f t="shared" si="16"/>
        <v>2023GBP</v>
      </c>
      <c r="AL2077" s="23">
        <f>VLOOKUP(AK2077, Exchange_rates!$C:$D, 2, FALSE)</f>
        <v>1</v>
      </c>
      <c r="AM2077" s="26">
        <f t="shared" si="17"/>
        <v>2640</v>
      </c>
      <c r="AN2077" s="9"/>
      <c r="AO2077" s="9"/>
      <c r="AP2077" s="9"/>
      <c r="AQ2077" s="15" t="s">
        <v>125</v>
      </c>
      <c r="AR2077" t="s">
        <v>10456</v>
      </c>
      <c r="AS2077" s="16"/>
    </row>
    <row r="2078" spans="1:45" ht="14.5">
      <c r="A2078" s="9" t="s">
        <v>10457</v>
      </c>
      <c r="B2078" s="9" t="s">
        <v>10458</v>
      </c>
      <c r="C2078" s="9" t="s">
        <v>5809</v>
      </c>
      <c r="D2078" s="9" t="s">
        <v>5539</v>
      </c>
      <c r="E2078" s="9" t="s">
        <v>49</v>
      </c>
      <c r="F2078" s="9" t="s">
        <v>69</v>
      </c>
      <c r="G2078" s="9" t="s">
        <v>70</v>
      </c>
      <c r="H2078" s="9" t="s">
        <v>9873</v>
      </c>
      <c r="I2078" s="9" t="s">
        <v>72</v>
      </c>
      <c r="J2078" s="10"/>
      <c r="K2078" s="10">
        <v>45028</v>
      </c>
      <c r="L2078" s="10">
        <v>45035</v>
      </c>
      <c r="M2078" s="10"/>
      <c r="N2078" s="9">
        <v>2023</v>
      </c>
      <c r="O2078" s="9" t="s">
        <v>10278</v>
      </c>
      <c r="P2078" s="9" t="s">
        <v>83</v>
      </c>
      <c r="Q2078" s="9" t="s">
        <v>53</v>
      </c>
      <c r="R2078" s="9" t="s">
        <v>1456</v>
      </c>
      <c r="S2078" s="9"/>
      <c r="T2078" s="9"/>
      <c r="V2078" s="9"/>
      <c r="AC2078" s="9" t="s">
        <v>6234</v>
      </c>
      <c r="AD2078" s="9" t="s">
        <v>6235</v>
      </c>
      <c r="AE2078" s="46" t="s">
        <v>10459</v>
      </c>
      <c r="AF2078" s="9" t="s">
        <v>10460</v>
      </c>
      <c r="AH2078" s="9">
        <v>3500</v>
      </c>
      <c r="AI2078" s="9" t="s">
        <v>77</v>
      </c>
      <c r="AJ2078" s="9" t="s">
        <v>301</v>
      </c>
      <c r="AK2078" s="23" t="str">
        <f t="shared" si="16"/>
        <v>2023GBP</v>
      </c>
      <c r="AL2078" s="23">
        <f>VLOOKUP(AK2078, Exchange_rates!$C:$D, 2, FALSE)</f>
        <v>1</v>
      </c>
      <c r="AM2078" s="26">
        <f t="shared" si="17"/>
        <v>4200</v>
      </c>
      <c r="AN2078" s="9"/>
      <c r="AO2078" s="9"/>
      <c r="AP2078" s="9"/>
      <c r="AQ2078" s="15" t="s">
        <v>49</v>
      </c>
      <c r="AR2078" t="s">
        <v>5814</v>
      </c>
      <c r="AS2078" s="16"/>
    </row>
    <row r="2079" spans="1:45" ht="14.5">
      <c r="A2079" s="9" t="s">
        <v>10461</v>
      </c>
      <c r="B2079" s="9" t="s">
        <v>10462</v>
      </c>
      <c r="C2079" s="9" t="s">
        <v>5786</v>
      </c>
      <c r="D2079" s="9" t="s">
        <v>5539</v>
      </c>
      <c r="E2079" s="9" t="s">
        <v>49</v>
      </c>
      <c r="F2079" s="9" t="s">
        <v>69</v>
      </c>
      <c r="G2079" s="9" t="s">
        <v>70</v>
      </c>
      <c r="H2079" s="9" t="s">
        <v>9873</v>
      </c>
      <c r="I2079" s="9" t="s">
        <v>72</v>
      </c>
      <c r="J2079" s="10"/>
      <c r="K2079" s="10">
        <v>44980</v>
      </c>
      <c r="L2079" s="10">
        <v>45034</v>
      </c>
      <c r="M2079" s="10"/>
      <c r="N2079" s="9">
        <v>2023</v>
      </c>
      <c r="O2079" s="9" t="s">
        <v>10278</v>
      </c>
      <c r="P2079" s="9" t="s">
        <v>53</v>
      </c>
      <c r="Q2079" s="9" t="s">
        <v>53</v>
      </c>
      <c r="S2079" s="9"/>
      <c r="T2079" s="9"/>
      <c r="V2079" s="9"/>
      <c r="AC2079" s="9" t="s">
        <v>10338</v>
      </c>
      <c r="AD2079" s="9" t="s">
        <v>10339</v>
      </c>
      <c r="AH2079" s="9">
        <v>3660</v>
      </c>
      <c r="AI2079" s="9" t="s">
        <v>77</v>
      </c>
      <c r="AJ2079" s="9" t="s">
        <v>301</v>
      </c>
      <c r="AK2079" s="23" t="str">
        <f t="shared" si="16"/>
        <v>2023GBP</v>
      </c>
      <c r="AL2079" s="23">
        <f>VLOOKUP(AK2079, Exchange_rates!$C:$D, 2, FALSE)</f>
        <v>1</v>
      </c>
      <c r="AM2079" s="26">
        <f t="shared" si="17"/>
        <v>4392</v>
      </c>
      <c r="AN2079" s="9"/>
      <c r="AO2079" s="9"/>
      <c r="AP2079" s="9"/>
      <c r="AQ2079" s="15" t="s">
        <v>49</v>
      </c>
      <c r="AR2079" t="s">
        <v>5558</v>
      </c>
      <c r="AS2079" s="16"/>
    </row>
    <row r="2080" spans="1:45" ht="14.5">
      <c r="A2080" s="9" t="s">
        <v>10463</v>
      </c>
      <c r="B2080" s="9" t="s">
        <v>10464</v>
      </c>
      <c r="C2080" s="9" t="s">
        <v>6182</v>
      </c>
      <c r="D2080" s="9" t="s">
        <v>5539</v>
      </c>
      <c r="E2080" s="9" t="s">
        <v>49</v>
      </c>
      <c r="F2080" s="9" t="s">
        <v>69</v>
      </c>
      <c r="G2080" s="9" t="s">
        <v>70</v>
      </c>
      <c r="H2080" s="9" t="s">
        <v>9873</v>
      </c>
      <c r="I2080" s="9" t="s">
        <v>72</v>
      </c>
      <c r="J2080" s="10"/>
      <c r="K2080" s="10">
        <v>45020</v>
      </c>
      <c r="L2080" s="10">
        <v>45021</v>
      </c>
      <c r="M2080" s="10"/>
      <c r="N2080" s="9">
        <v>2023</v>
      </c>
      <c r="O2080" s="9" t="s">
        <v>10278</v>
      </c>
      <c r="P2080" s="9" t="s">
        <v>53</v>
      </c>
      <c r="Q2080" s="9" t="s">
        <v>53</v>
      </c>
      <c r="S2080" s="9"/>
      <c r="T2080" s="9"/>
      <c r="V2080" s="9"/>
      <c r="AC2080" s="9" t="s">
        <v>6490</v>
      </c>
      <c r="AD2080" s="9" t="s">
        <v>6491</v>
      </c>
      <c r="AE2080" s="46" t="s">
        <v>10465</v>
      </c>
      <c r="AF2080" s="9" t="s">
        <v>10466</v>
      </c>
      <c r="AH2080" s="9">
        <v>2780</v>
      </c>
      <c r="AI2080" s="9" t="s">
        <v>77</v>
      </c>
      <c r="AJ2080" s="9" t="s">
        <v>301</v>
      </c>
      <c r="AK2080" s="23" t="str">
        <f t="shared" si="16"/>
        <v>2023GBP</v>
      </c>
      <c r="AL2080" s="23">
        <f>VLOOKUP(AK2080, Exchange_rates!$C:$D, 2, FALSE)</f>
        <v>1</v>
      </c>
      <c r="AM2080" s="26">
        <f t="shared" si="17"/>
        <v>3336</v>
      </c>
      <c r="AN2080" s="9"/>
      <c r="AO2080" s="9"/>
      <c r="AP2080" s="9"/>
      <c r="AQ2080" s="15" t="s">
        <v>49</v>
      </c>
      <c r="AR2080" t="s">
        <v>6187</v>
      </c>
      <c r="AS2080" s="16"/>
    </row>
    <row r="2081" spans="1:45" ht="14.5">
      <c r="A2081" s="9" t="s">
        <v>10467</v>
      </c>
      <c r="B2081" s="9" t="s">
        <v>10468</v>
      </c>
      <c r="C2081" s="9" t="s">
        <v>10469</v>
      </c>
      <c r="D2081" s="9" t="s">
        <v>5539</v>
      </c>
      <c r="E2081" s="9" t="s">
        <v>49</v>
      </c>
      <c r="F2081" s="9" t="s">
        <v>69</v>
      </c>
      <c r="G2081" s="9" t="s">
        <v>70</v>
      </c>
      <c r="H2081" s="9" t="s">
        <v>9873</v>
      </c>
      <c r="I2081" s="9" t="s">
        <v>72</v>
      </c>
      <c r="J2081" s="10"/>
      <c r="K2081" s="10">
        <v>45005</v>
      </c>
      <c r="L2081" s="10">
        <v>45020</v>
      </c>
      <c r="M2081" s="10"/>
      <c r="N2081" s="9">
        <v>2023</v>
      </c>
      <c r="O2081" s="9" t="s">
        <v>10278</v>
      </c>
      <c r="P2081" s="9" t="s">
        <v>53</v>
      </c>
      <c r="Q2081" s="9" t="s">
        <v>53</v>
      </c>
      <c r="S2081" s="9"/>
      <c r="T2081" s="9"/>
      <c r="V2081" s="9"/>
      <c r="AC2081" s="9" t="s">
        <v>10470</v>
      </c>
      <c r="AD2081" s="9" t="s">
        <v>10471</v>
      </c>
      <c r="AE2081" s="46" t="s">
        <v>10472</v>
      </c>
      <c r="AF2081" s="9" t="s">
        <v>10473</v>
      </c>
      <c r="AH2081" s="9">
        <v>2520</v>
      </c>
      <c r="AI2081" s="9" t="s">
        <v>77</v>
      </c>
      <c r="AJ2081" s="9" t="s">
        <v>301</v>
      </c>
      <c r="AK2081" s="23" t="str">
        <f t="shared" si="16"/>
        <v>2023GBP</v>
      </c>
      <c r="AL2081" s="23">
        <f>VLOOKUP(AK2081, Exchange_rates!$C:$D, 2, FALSE)</f>
        <v>1</v>
      </c>
      <c r="AM2081" s="26">
        <f t="shared" si="17"/>
        <v>3024</v>
      </c>
      <c r="AN2081" s="9"/>
      <c r="AO2081" s="9"/>
      <c r="AP2081" s="9"/>
      <c r="AQ2081" s="15" t="s">
        <v>49</v>
      </c>
      <c r="AR2081" t="s">
        <v>10474</v>
      </c>
      <c r="AS2081" s="16"/>
    </row>
    <row r="2082" spans="1:45" ht="14.5">
      <c r="A2082" s="9" t="s">
        <v>10475</v>
      </c>
      <c r="B2082" s="9" t="s">
        <v>10476</v>
      </c>
      <c r="C2082" s="9" t="s">
        <v>6094</v>
      </c>
      <c r="D2082" s="9" t="s">
        <v>5539</v>
      </c>
      <c r="E2082" s="9" t="s">
        <v>125</v>
      </c>
      <c r="F2082" s="9" t="s">
        <v>69</v>
      </c>
      <c r="G2082" s="9" t="s">
        <v>70</v>
      </c>
      <c r="H2082" s="9" t="s">
        <v>9873</v>
      </c>
      <c r="I2082" s="9" t="s">
        <v>72</v>
      </c>
      <c r="J2082" s="10"/>
      <c r="K2082" s="10">
        <v>45127</v>
      </c>
      <c r="L2082" s="10">
        <v>45016</v>
      </c>
      <c r="M2082" s="10"/>
      <c r="N2082" s="9">
        <v>2023</v>
      </c>
      <c r="O2082" s="9" t="s">
        <v>10278</v>
      </c>
      <c r="P2082" s="9" t="s">
        <v>53</v>
      </c>
      <c r="Q2082" s="9" t="s">
        <v>53</v>
      </c>
      <c r="R2082" s="9" t="s">
        <v>10477</v>
      </c>
      <c r="S2082" s="9"/>
      <c r="T2082" s="9"/>
      <c r="V2082" s="9"/>
      <c r="AC2082" s="9" t="s">
        <v>10478</v>
      </c>
      <c r="AD2082" s="9" t="s">
        <v>10479</v>
      </c>
      <c r="AF2082" s="9" t="s">
        <v>10480</v>
      </c>
      <c r="AH2082" s="9">
        <v>2310.5</v>
      </c>
      <c r="AI2082" s="9" t="s">
        <v>77</v>
      </c>
      <c r="AJ2082" s="9" t="s">
        <v>301</v>
      </c>
      <c r="AK2082" s="23" t="str">
        <f t="shared" si="16"/>
        <v>2023GBP</v>
      </c>
      <c r="AL2082" s="23">
        <f>VLOOKUP(AK2082, Exchange_rates!$C:$D, 2, FALSE)</f>
        <v>1</v>
      </c>
      <c r="AM2082" s="26">
        <f t="shared" si="17"/>
        <v>2772.6</v>
      </c>
      <c r="AN2082" s="9"/>
      <c r="AO2082" s="9"/>
      <c r="AP2082" s="9"/>
      <c r="AQ2082" s="15" t="s">
        <v>125</v>
      </c>
      <c r="AR2082" t="s">
        <v>6096</v>
      </c>
      <c r="AS2082" s="16"/>
    </row>
    <row r="2083" spans="1:45" ht="14.5">
      <c r="A2083" s="9" t="s">
        <v>10481</v>
      </c>
      <c r="B2083" s="9" t="s">
        <v>10482</v>
      </c>
      <c r="C2083" s="9" t="s">
        <v>10483</v>
      </c>
      <c r="D2083" s="9" t="s">
        <v>5539</v>
      </c>
      <c r="E2083" s="9" t="s">
        <v>49</v>
      </c>
      <c r="F2083" s="9" t="s">
        <v>69</v>
      </c>
      <c r="G2083" s="9" t="s">
        <v>70</v>
      </c>
      <c r="H2083" s="9" t="s">
        <v>9873</v>
      </c>
      <c r="I2083" s="9" t="s">
        <v>238</v>
      </c>
      <c r="J2083" s="10"/>
      <c r="K2083" s="10">
        <v>44949</v>
      </c>
      <c r="L2083" s="10">
        <v>45012</v>
      </c>
      <c r="M2083" s="10"/>
      <c r="N2083" s="9">
        <v>2023</v>
      </c>
      <c r="O2083" s="9" t="s">
        <v>10278</v>
      </c>
      <c r="P2083" s="9" t="s">
        <v>53</v>
      </c>
      <c r="Q2083" s="9" t="s">
        <v>53</v>
      </c>
      <c r="R2083" s="9" t="s">
        <v>10484</v>
      </c>
      <c r="S2083" s="9"/>
      <c r="T2083" s="9"/>
      <c r="V2083" s="9"/>
      <c r="AC2083" s="9" t="s">
        <v>7043</v>
      </c>
      <c r="AD2083" s="9" t="s">
        <v>7044</v>
      </c>
      <c r="AE2083" s="46" t="s">
        <v>10485</v>
      </c>
      <c r="AF2083" s="9" t="s">
        <v>10486</v>
      </c>
      <c r="AH2083" s="9">
        <v>3290</v>
      </c>
      <c r="AI2083" s="9" t="s">
        <v>77</v>
      </c>
      <c r="AJ2083" s="9" t="s">
        <v>301</v>
      </c>
      <c r="AK2083" s="23" t="str">
        <f t="shared" si="16"/>
        <v>2023GBP</v>
      </c>
      <c r="AL2083" s="23">
        <f>VLOOKUP(AK2083, Exchange_rates!$C:$D, 2, FALSE)</f>
        <v>1</v>
      </c>
      <c r="AM2083" s="26">
        <f t="shared" si="17"/>
        <v>3948</v>
      </c>
      <c r="AN2083" s="9"/>
      <c r="AO2083" s="9"/>
      <c r="AP2083" s="9"/>
      <c r="AQ2083" s="15" t="s">
        <v>49</v>
      </c>
      <c r="AR2083" t="s">
        <v>10487</v>
      </c>
      <c r="AS2083" s="16"/>
    </row>
    <row r="2084" spans="1:45" ht="14.5">
      <c r="A2084" s="9" t="s">
        <v>10488</v>
      </c>
      <c r="B2084" s="9" t="s">
        <v>10489</v>
      </c>
      <c r="C2084" s="9" t="s">
        <v>10298</v>
      </c>
      <c r="D2084" s="9" t="s">
        <v>5539</v>
      </c>
      <c r="E2084" s="9" t="s">
        <v>49</v>
      </c>
      <c r="F2084" s="9" t="s">
        <v>69</v>
      </c>
      <c r="G2084" s="9" t="s">
        <v>70</v>
      </c>
      <c r="H2084" s="9" t="s">
        <v>9873</v>
      </c>
      <c r="I2084" s="9" t="s">
        <v>72</v>
      </c>
      <c r="J2084" s="10"/>
      <c r="K2084" s="10">
        <v>44979</v>
      </c>
      <c r="L2084" s="10">
        <v>45012</v>
      </c>
      <c r="M2084" s="10"/>
      <c r="N2084" s="9">
        <v>2023</v>
      </c>
      <c r="O2084" s="9" t="s">
        <v>10278</v>
      </c>
      <c r="P2084" s="9" t="s">
        <v>83</v>
      </c>
      <c r="Q2084" s="9" t="s">
        <v>53</v>
      </c>
      <c r="R2084" s="9" t="s">
        <v>10490</v>
      </c>
      <c r="S2084" s="9"/>
      <c r="T2084" s="9"/>
      <c r="V2084" s="9"/>
      <c r="AC2084" s="9" t="s">
        <v>10491</v>
      </c>
      <c r="AD2084" s="9" t="s">
        <v>10492</v>
      </c>
      <c r="AH2084" s="9">
        <v>2420</v>
      </c>
      <c r="AI2084" s="9" t="s">
        <v>77</v>
      </c>
      <c r="AJ2084" s="9" t="s">
        <v>301</v>
      </c>
      <c r="AK2084" s="23" t="str">
        <f t="shared" si="16"/>
        <v>2023GBP</v>
      </c>
      <c r="AL2084" s="23">
        <f>VLOOKUP(AK2084, Exchange_rates!$C:$D, 2, FALSE)</f>
        <v>1</v>
      </c>
      <c r="AM2084" s="26">
        <f t="shared" si="17"/>
        <v>2904</v>
      </c>
      <c r="AN2084" s="9"/>
      <c r="AO2084" s="9"/>
      <c r="AP2084" s="9"/>
      <c r="AQ2084" s="15" t="s">
        <v>49</v>
      </c>
      <c r="AR2084" t="s">
        <v>5573</v>
      </c>
      <c r="AS2084" s="16"/>
    </row>
    <row r="2085" spans="1:45" ht="14.5">
      <c r="A2085" s="9" t="s">
        <v>10493</v>
      </c>
      <c r="B2085" s="9" t="s">
        <v>10494</v>
      </c>
      <c r="C2085" s="9" t="s">
        <v>5786</v>
      </c>
      <c r="D2085" s="9" t="s">
        <v>5539</v>
      </c>
      <c r="E2085" s="9" t="s">
        <v>49</v>
      </c>
      <c r="F2085" s="9" t="s">
        <v>69</v>
      </c>
      <c r="G2085" s="9" t="s">
        <v>70</v>
      </c>
      <c r="H2085" s="9" t="s">
        <v>9873</v>
      </c>
      <c r="I2085" s="9" t="s">
        <v>72</v>
      </c>
      <c r="J2085" s="10"/>
      <c r="K2085" s="10">
        <v>44984</v>
      </c>
      <c r="L2085" s="10">
        <v>45007</v>
      </c>
      <c r="M2085" s="10"/>
      <c r="N2085" s="9">
        <v>2023</v>
      </c>
      <c r="O2085" s="9" t="s">
        <v>10278</v>
      </c>
      <c r="P2085" s="9" t="s">
        <v>83</v>
      </c>
      <c r="Q2085" s="9" t="s">
        <v>53</v>
      </c>
      <c r="R2085" s="9" t="s">
        <v>10495</v>
      </c>
      <c r="S2085" s="9"/>
      <c r="T2085" s="9"/>
      <c r="V2085" s="9"/>
      <c r="AC2085" s="9" t="s">
        <v>6118</v>
      </c>
      <c r="AD2085" s="9" t="s">
        <v>6119</v>
      </c>
      <c r="AE2085" s="46" t="s">
        <v>10496</v>
      </c>
      <c r="AH2085" s="9">
        <v>3660</v>
      </c>
      <c r="AI2085" s="9" t="s">
        <v>77</v>
      </c>
      <c r="AJ2085" s="9" t="s">
        <v>301</v>
      </c>
      <c r="AK2085" s="23" t="str">
        <f t="shared" si="16"/>
        <v>2023GBP</v>
      </c>
      <c r="AL2085" s="23">
        <f>VLOOKUP(AK2085, Exchange_rates!$C:$D, 2, FALSE)</f>
        <v>1</v>
      </c>
      <c r="AM2085" s="26">
        <f t="shared" si="17"/>
        <v>4392</v>
      </c>
      <c r="AN2085" s="9"/>
      <c r="AO2085" s="9"/>
      <c r="AP2085" s="9"/>
      <c r="AQ2085" s="15" t="s">
        <v>49</v>
      </c>
      <c r="AR2085" t="s">
        <v>5558</v>
      </c>
      <c r="AS2085" s="16"/>
    </row>
    <row r="2086" spans="1:45" ht="14.5">
      <c r="A2086" s="9" t="s">
        <v>10497</v>
      </c>
      <c r="B2086" s="9" t="s">
        <v>10498</v>
      </c>
      <c r="C2086" s="9" t="s">
        <v>6602</v>
      </c>
      <c r="D2086" s="9" t="s">
        <v>5539</v>
      </c>
      <c r="E2086" s="9" t="s">
        <v>49</v>
      </c>
      <c r="F2086" s="9" t="s">
        <v>69</v>
      </c>
      <c r="G2086" s="9" t="s">
        <v>70</v>
      </c>
      <c r="H2086" s="9" t="s">
        <v>9873</v>
      </c>
      <c r="I2086" s="9" t="s">
        <v>72</v>
      </c>
      <c r="J2086" s="10"/>
      <c r="K2086" s="10">
        <v>44998</v>
      </c>
      <c r="L2086" s="10">
        <v>45001</v>
      </c>
      <c r="M2086" s="10"/>
      <c r="N2086" s="9">
        <v>2023</v>
      </c>
      <c r="O2086" s="9" t="s">
        <v>10278</v>
      </c>
      <c r="P2086" s="9" t="s">
        <v>53</v>
      </c>
      <c r="Q2086" s="9" t="s">
        <v>53</v>
      </c>
      <c r="R2086" s="9" t="s">
        <v>1745</v>
      </c>
      <c r="S2086" s="9"/>
      <c r="T2086" s="9"/>
      <c r="V2086" s="9"/>
      <c r="AC2086" s="9" t="s">
        <v>6604</v>
      </c>
      <c r="AD2086" s="9" t="s">
        <v>6605</v>
      </c>
      <c r="AE2086" s="46" t="s">
        <v>10499</v>
      </c>
      <c r="AF2086" s="9" t="s">
        <v>10500</v>
      </c>
      <c r="AH2086" s="9">
        <v>2270</v>
      </c>
      <c r="AI2086" s="9" t="s">
        <v>77</v>
      </c>
      <c r="AJ2086" s="9" t="s">
        <v>301</v>
      </c>
      <c r="AK2086" s="23" t="str">
        <f t="shared" si="16"/>
        <v>2023GBP</v>
      </c>
      <c r="AL2086" s="23">
        <f>VLOOKUP(AK2086, Exchange_rates!$C:$D, 2, FALSE)</f>
        <v>1</v>
      </c>
      <c r="AM2086" s="26">
        <f t="shared" si="17"/>
        <v>2724</v>
      </c>
      <c r="AN2086" s="9"/>
      <c r="AO2086" s="9"/>
      <c r="AP2086" s="9"/>
      <c r="AQ2086" s="15" t="s">
        <v>49</v>
      </c>
      <c r="AR2086" t="s">
        <v>6608</v>
      </c>
      <c r="AS2086" s="16"/>
    </row>
    <row r="2087" spans="1:45" ht="14.5">
      <c r="A2087" s="9" t="s">
        <v>10501</v>
      </c>
      <c r="B2087" s="9" t="s">
        <v>10502</v>
      </c>
      <c r="C2087" s="9" t="s">
        <v>6248</v>
      </c>
      <c r="D2087" s="9" t="s">
        <v>5539</v>
      </c>
      <c r="E2087" s="9" t="s">
        <v>49</v>
      </c>
      <c r="F2087" s="9" t="s">
        <v>69</v>
      </c>
      <c r="G2087" s="9" t="s">
        <v>70</v>
      </c>
      <c r="H2087" s="9" t="s">
        <v>9873</v>
      </c>
      <c r="I2087" s="9" t="s">
        <v>72</v>
      </c>
      <c r="J2087" s="10"/>
      <c r="K2087" s="10">
        <v>44998</v>
      </c>
      <c r="L2087" s="10">
        <v>45001</v>
      </c>
      <c r="M2087" s="10"/>
      <c r="N2087" s="9">
        <v>2023</v>
      </c>
      <c r="O2087" s="9" t="s">
        <v>10278</v>
      </c>
      <c r="P2087" s="9" t="s">
        <v>83</v>
      </c>
      <c r="Q2087" s="9" t="s">
        <v>53</v>
      </c>
      <c r="R2087" s="9" t="s">
        <v>10503</v>
      </c>
      <c r="S2087" s="9"/>
      <c r="T2087" s="9"/>
      <c r="V2087" s="9"/>
      <c r="AC2087" s="9" t="s">
        <v>8388</v>
      </c>
      <c r="AD2087" s="9" t="s">
        <v>8389</v>
      </c>
      <c r="AE2087" s="46" t="s">
        <v>10504</v>
      </c>
      <c r="AF2087" s="9" t="s">
        <v>10505</v>
      </c>
      <c r="AH2087" s="9">
        <v>2470</v>
      </c>
      <c r="AI2087" s="9" t="s">
        <v>77</v>
      </c>
      <c r="AJ2087" s="9" t="s">
        <v>301</v>
      </c>
      <c r="AK2087" s="23" t="str">
        <f t="shared" si="16"/>
        <v>2023GBP</v>
      </c>
      <c r="AL2087" s="23">
        <f>VLOOKUP(AK2087, Exchange_rates!$C:$D, 2, FALSE)</f>
        <v>1</v>
      </c>
      <c r="AM2087" s="26">
        <f t="shared" si="17"/>
        <v>2964</v>
      </c>
      <c r="AN2087" s="9"/>
      <c r="AO2087" s="9"/>
      <c r="AP2087" s="9"/>
      <c r="AQ2087" s="15" t="s">
        <v>49</v>
      </c>
      <c r="AR2087" t="s">
        <v>6252</v>
      </c>
      <c r="AS2087" s="16"/>
    </row>
    <row r="2088" spans="1:45" ht="14.5">
      <c r="A2088" s="9" t="s">
        <v>10506</v>
      </c>
      <c r="B2088" s="9" t="s">
        <v>10507</v>
      </c>
      <c r="C2088" s="9" t="s">
        <v>5728</v>
      </c>
      <c r="D2088" s="9" t="s">
        <v>5539</v>
      </c>
      <c r="E2088" s="9" t="s">
        <v>49</v>
      </c>
      <c r="F2088" s="9" t="s">
        <v>69</v>
      </c>
      <c r="G2088" s="9" t="s">
        <v>70</v>
      </c>
      <c r="H2088" s="9" t="s">
        <v>9873</v>
      </c>
      <c r="I2088" s="9" t="s">
        <v>238</v>
      </c>
      <c r="J2088" s="10"/>
      <c r="K2088" s="10">
        <v>44983</v>
      </c>
      <c r="L2088" s="10">
        <v>45001</v>
      </c>
      <c r="M2088" s="10"/>
      <c r="N2088" s="9">
        <v>2023</v>
      </c>
      <c r="O2088" s="9" t="s">
        <v>10278</v>
      </c>
      <c r="P2088" s="9" t="s">
        <v>53</v>
      </c>
      <c r="Q2088" s="9" t="s">
        <v>53</v>
      </c>
      <c r="S2088" s="9"/>
      <c r="T2088" s="9"/>
      <c r="V2088" s="9"/>
      <c r="AC2088" s="9" t="s">
        <v>10508</v>
      </c>
      <c r="AD2088" s="9" t="s">
        <v>10509</v>
      </c>
      <c r="AE2088" s="46" t="s">
        <v>10510</v>
      </c>
      <c r="AH2088" s="9">
        <v>2320</v>
      </c>
      <c r="AI2088" s="9" t="s">
        <v>77</v>
      </c>
      <c r="AJ2088" s="9" t="s">
        <v>301</v>
      </c>
      <c r="AK2088" s="23" t="str">
        <f t="shared" si="16"/>
        <v>2023GBP</v>
      </c>
      <c r="AL2088" s="23">
        <f>VLOOKUP(AK2088, Exchange_rates!$C:$D, 2, FALSE)</f>
        <v>1</v>
      </c>
      <c r="AM2088" s="26">
        <f t="shared" si="17"/>
        <v>2784</v>
      </c>
      <c r="AN2088" s="9"/>
      <c r="AO2088" s="9"/>
      <c r="AP2088" s="9"/>
      <c r="AQ2088" s="15" t="s">
        <v>49</v>
      </c>
      <c r="AR2088" t="s">
        <v>5732</v>
      </c>
      <c r="AS2088" s="16"/>
    </row>
    <row r="2089" spans="1:45" ht="14.5">
      <c r="A2089" s="9" t="s">
        <v>10511</v>
      </c>
      <c r="B2089" s="9" t="s">
        <v>10512</v>
      </c>
      <c r="C2089" s="9" t="s">
        <v>10513</v>
      </c>
      <c r="D2089" s="9" t="s">
        <v>5539</v>
      </c>
      <c r="E2089" s="9" t="s">
        <v>49</v>
      </c>
      <c r="F2089" s="9" t="s">
        <v>69</v>
      </c>
      <c r="G2089" s="9" t="s">
        <v>70</v>
      </c>
      <c r="H2089" s="9" t="s">
        <v>9873</v>
      </c>
      <c r="I2089" s="9" t="s">
        <v>291</v>
      </c>
      <c r="J2089" s="10"/>
      <c r="K2089" s="10">
        <v>44964</v>
      </c>
      <c r="L2089" s="10">
        <v>45000</v>
      </c>
      <c r="M2089" s="10"/>
      <c r="N2089" s="9">
        <v>2023</v>
      </c>
      <c r="O2089" s="9" t="s">
        <v>10278</v>
      </c>
      <c r="P2089" s="9" t="s">
        <v>53</v>
      </c>
      <c r="Q2089" s="9" t="s">
        <v>53</v>
      </c>
      <c r="S2089" s="9"/>
      <c r="T2089" s="9"/>
      <c r="V2089" s="9"/>
      <c r="AC2089" s="9" t="s">
        <v>10514</v>
      </c>
      <c r="AD2089" s="9" t="s">
        <v>10515</v>
      </c>
      <c r="AE2089" s="46" t="s">
        <v>10516</v>
      </c>
      <c r="AH2089" s="9">
        <v>1750</v>
      </c>
      <c r="AI2089" s="9" t="s">
        <v>77</v>
      </c>
      <c r="AJ2089" s="9" t="s">
        <v>301</v>
      </c>
      <c r="AK2089" s="23" t="str">
        <f t="shared" si="16"/>
        <v>2023GBP</v>
      </c>
      <c r="AL2089" s="23">
        <f>VLOOKUP(AK2089, Exchange_rates!$C:$D, 2, FALSE)</f>
        <v>1</v>
      </c>
      <c r="AM2089" s="26">
        <f t="shared" si="17"/>
        <v>2100</v>
      </c>
      <c r="AN2089" s="9"/>
      <c r="AO2089" s="9"/>
      <c r="AP2089" s="9"/>
      <c r="AQ2089" s="15" t="s">
        <v>49</v>
      </c>
      <c r="AR2089" t="s">
        <v>10517</v>
      </c>
      <c r="AS2089" s="16"/>
    </row>
    <row r="2090" spans="1:45" ht="14.5">
      <c r="A2090" s="9" t="s">
        <v>10518</v>
      </c>
      <c r="B2090" s="9" t="s">
        <v>10519</v>
      </c>
      <c r="C2090" s="9" t="s">
        <v>10520</v>
      </c>
      <c r="D2090" s="9" t="s">
        <v>5539</v>
      </c>
      <c r="E2090" s="9" t="s">
        <v>49</v>
      </c>
      <c r="F2090" s="9" t="s">
        <v>69</v>
      </c>
      <c r="G2090" s="9" t="s">
        <v>70</v>
      </c>
      <c r="H2090" s="9" t="s">
        <v>9873</v>
      </c>
      <c r="I2090" s="9" t="s">
        <v>72</v>
      </c>
      <c r="J2090" s="10"/>
      <c r="K2090" s="10">
        <v>44977</v>
      </c>
      <c r="L2090" s="10">
        <v>44995</v>
      </c>
      <c r="M2090" s="10"/>
      <c r="N2090" s="9">
        <v>2023</v>
      </c>
      <c r="O2090" s="9" t="s">
        <v>10278</v>
      </c>
      <c r="P2090" s="9" t="s">
        <v>53</v>
      </c>
      <c r="Q2090" s="9" t="s">
        <v>53</v>
      </c>
      <c r="R2090" s="9" t="s">
        <v>10521</v>
      </c>
      <c r="S2090" s="9"/>
      <c r="T2090" s="9"/>
      <c r="V2090" s="9"/>
      <c r="AC2090" s="9" t="s">
        <v>10522</v>
      </c>
      <c r="AD2090" s="9" t="s">
        <v>10523</v>
      </c>
      <c r="AH2090" s="9">
        <v>2470</v>
      </c>
      <c r="AI2090" s="9" t="s">
        <v>77</v>
      </c>
      <c r="AJ2090" s="9" t="s">
        <v>301</v>
      </c>
      <c r="AK2090" s="23" t="str">
        <f t="shared" si="16"/>
        <v>2023GBP</v>
      </c>
      <c r="AL2090" s="23">
        <f>VLOOKUP(AK2090, Exchange_rates!$C:$D, 2, FALSE)</f>
        <v>1</v>
      </c>
      <c r="AM2090" s="26">
        <f t="shared" si="17"/>
        <v>2964</v>
      </c>
      <c r="AN2090" s="9"/>
      <c r="AO2090" s="9"/>
      <c r="AP2090" s="9"/>
      <c r="AQ2090" s="15" t="s">
        <v>49</v>
      </c>
      <c r="AR2090" t="s">
        <v>10524</v>
      </c>
      <c r="AS2090" s="16"/>
    </row>
    <row r="2091" spans="1:45" ht="14.5">
      <c r="A2091" s="9" t="s">
        <v>10525</v>
      </c>
      <c r="B2091" s="9" t="s">
        <v>10526</v>
      </c>
      <c r="C2091" s="9" t="s">
        <v>5698</v>
      </c>
      <c r="D2091" s="9" t="s">
        <v>5539</v>
      </c>
      <c r="E2091" s="9" t="s">
        <v>49</v>
      </c>
      <c r="F2091" s="9" t="s">
        <v>69</v>
      </c>
      <c r="G2091" s="9" t="s">
        <v>70</v>
      </c>
      <c r="H2091" s="9" t="s">
        <v>9873</v>
      </c>
      <c r="I2091" s="9" t="s">
        <v>72</v>
      </c>
      <c r="J2091" s="10"/>
      <c r="K2091" s="10">
        <v>44985</v>
      </c>
      <c r="L2091" s="10">
        <v>44994</v>
      </c>
      <c r="M2091" s="10"/>
      <c r="N2091" s="9">
        <v>2023</v>
      </c>
      <c r="O2091" s="9" t="s">
        <v>10278</v>
      </c>
      <c r="P2091" s="9" t="s">
        <v>53</v>
      </c>
      <c r="Q2091" s="9" t="s">
        <v>83</v>
      </c>
      <c r="R2091" s="9" t="s">
        <v>8410</v>
      </c>
      <c r="S2091" s="9"/>
      <c r="T2091" s="9"/>
      <c r="V2091" s="9"/>
      <c r="AC2091" s="9" t="s">
        <v>5699</v>
      </c>
      <c r="AD2091" s="9" t="s">
        <v>5700</v>
      </c>
      <c r="AE2091" s="46" t="s">
        <v>10527</v>
      </c>
      <c r="AF2091" s="9" t="s">
        <v>10528</v>
      </c>
      <c r="AH2091" s="9">
        <v>2830</v>
      </c>
      <c r="AI2091" s="9" t="s">
        <v>77</v>
      </c>
      <c r="AJ2091" s="9" t="s">
        <v>301</v>
      </c>
      <c r="AK2091" s="23" t="str">
        <f t="shared" si="16"/>
        <v>2023GBP</v>
      </c>
      <c r="AL2091" s="23">
        <f>VLOOKUP(AK2091, Exchange_rates!$C:$D, 2, FALSE)</f>
        <v>1</v>
      </c>
      <c r="AM2091" s="26">
        <f t="shared" si="17"/>
        <v>3396</v>
      </c>
      <c r="AN2091" s="9"/>
      <c r="AO2091" s="9"/>
      <c r="AP2091" s="9"/>
      <c r="AQ2091" s="15" t="s">
        <v>49</v>
      </c>
      <c r="AR2091" t="s">
        <v>5703</v>
      </c>
      <c r="AS2091" s="16"/>
    </row>
    <row r="2092" spans="1:45" ht="14.5">
      <c r="A2092" s="9" t="s">
        <v>10529</v>
      </c>
      <c r="B2092" s="9" t="s">
        <v>10530</v>
      </c>
      <c r="C2092" s="9" t="s">
        <v>10531</v>
      </c>
      <c r="D2092" s="9" t="s">
        <v>5539</v>
      </c>
      <c r="E2092" s="9" t="s">
        <v>49</v>
      </c>
      <c r="F2092" s="9" t="s">
        <v>69</v>
      </c>
      <c r="G2092" s="9" t="s">
        <v>70</v>
      </c>
      <c r="H2092" s="9" t="s">
        <v>9873</v>
      </c>
      <c r="I2092" s="9" t="s">
        <v>72</v>
      </c>
      <c r="J2092" s="10"/>
      <c r="K2092" s="10">
        <v>44978</v>
      </c>
      <c r="L2092" s="10">
        <v>44981</v>
      </c>
      <c r="M2092" s="10"/>
      <c r="N2092" s="9">
        <v>2023</v>
      </c>
      <c r="O2092" s="9" t="s">
        <v>10278</v>
      </c>
      <c r="P2092" s="9" t="s">
        <v>83</v>
      </c>
      <c r="Q2092" s="9" t="s">
        <v>53</v>
      </c>
      <c r="R2092" s="9" t="s">
        <v>10532</v>
      </c>
      <c r="S2092" s="9"/>
      <c r="T2092" s="9"/>
      <c r="V2092" s="9"/>
      <c r="AC2092" s="9" t="s">
        <v>10533</v>
      </c>
      <c r="AD2092" s="9" t="s">
        <v>10534</v>
      </c>
      <c r="AE2092" s="46" t="s">
        <v>10535</v>
      </c>
      <c r="AF2092" s="9" t="s">
        <v>10536</v>
      </c>
      <c r="AH2092" s="9">
        <v>2470</v>
      </c>
      <c r="AI2092" s="9" t="s">
        <v>77</v>
      </c>
      <c r="AJ2092" s="9" t="s">
        <v>301</v>
      </c>
      <c r="AK2092" s="23" t="str">
        <f t="shared" si="16"/>
        <v>2023GBP</v>
      </c>
      <c r="AL2092" s="23">
        <f>VLOOKUP(AK2092, Exchange_rates!$C:$D, 2, FALSE)</f>
        <v>1</v>
      </c>
      <c r="AM2092" s="26">
        <f t="shared" si="17"/>
        <v>2964</v>
      </c>
      <c r="AN2092" s="9"/>
      <c r="AO2092" s="9"/>
      <c r="AP2092" s="9"/>
      <c r="AQ2092" s="15" t="s">
        <v>49</v>
      </c>
      <c r="AS2092" s="16" t="s">
        <v>10537</v>
      </c>
    </row>
    <row r="2093" spans="1:45" ht="14.5">
      <c r="A2093" s="9" t="s">
        <v>10538</v>
      </c>
      <c r="B2093" s="9" t="s">
        <v>10539</v>
      </c>
      <c r="C2093" s="9" t="s">
        <v>10540</v>
      </c>
      <c r="D2093" s="9" t="s">
        <v>5539</v>
      </c>
      <c r="E2093" s="9" t="s">
        <v>49</v>
      </c>
      <c r="F2093" s="9" t="s">
        <v>69</v>
      </c>
      <c r="G2093" s="9" t="s">
        <v>70</v>
      </c>
      <c r="H2093" s="9" t="s">
        <v>9873</v>
      </c>
      <c r="I2093" s="9" t="s">
        <v>72</v>
      </c>
      <c r="J2093" s="10"/>
      <c r="K2093" s="10">
        <v>44978</v>
      </c>
      <c r="L2093" s="10">
        <v>44979</v>
      </c>
      <c r="M2093" s="10"/>
      <c r="N2093" s="9">
        <v>2023</v>
      </c>
      <c r="O2093" s="9" t="s">
        <v>10278</v>
      </c>
      <c r="P2093" s="9" t="s">
        <v>53</v>
      </c>
      <c r="Q2093" s="9" t="s">
        <v>53</v>
      </c>
      <c r="S2093" s="9"/>
      <c r="T2093" s="9"/>
      <c r="V2093" s="9"/>
      <c r="AC2093" s="9" t="s">
        <v>9801</v>
      </c>
      <c r="AD2093" s="9" t="s">
        <v>7315</v>
      </c>
      <c r="AE2093" s="46" t="s">
        <v>10541</v>
      </c>
      <c r="AH2093" s="9">
        <v>2700</v>
      </c>
      <c r="AI2093" s="9" t="s">
        <v>77</v>
      </c>
      <c r="AJ2093" s="9" t="s">
        <v>301</v>
      </c>
      <c r="AK2093" s="23" t="str">
        <f t="shared" si="16"/>
        <v>2023GBP</v>
      </c>
      <c r="AL2093" s="23">
        <f>VLOOKUP(AK2093, Exchange_rates!$C:$D, 2, FALSE)</f>
        <v>1</v>
      </c>
      <c r="AM2093" s="26">
        <f t="shared" si="17"/>
        <v>3240</v>
      </c>
      <c r="AN2093" s="9"/>
      <c r="AO2093" s="9"/>
      <c r="AP2093" s="9"/>
      <c r="AQ2093" s="15" t="s">
        <v>49</v>
      </c>
      <c r="AR2093" t="s">
        <v>5609</v>
      </c>
      <c r="AS2093" s="16"/>
    </row>
    <row r="2094" spans="1:45" ht="14.5">
      <c r="A2094" s="9" t="s">
        <v>10542</v>
      </c>
      <c r="B2094" s="9" t="s">
        <v>10543</v>
      </c>
      <c r="C2094" s="9" t="s">
        <v>10544</v>
      </c>
      <c r="D2094" s="9" t="s">
        <v>5539</v>
      </c>
      <c r="E2094" s="9" t="s">
        <v>125</v>
      </c>
      <c r="F2094" s="9" t="s">
        <v>69</v>
      </c>
      <c r="G2094" s="9" t="s">
        <v>70</v>
      </c>
      <c r="H2094" s="9" t="s">
        <v>9873</v>
      </c>
      <c r="I2094" s="9" t="s">
        <v>72</v>
      </c>
      <c r="J2094" s="10"/>
      <c r="K2094" s="10">
        <v>45102</v>
      </c>
      <c r="L2094" s="10">
        <v>44980</v>
      </c>
      <c r="M2094" s="10"/>
      <c r="N2094" s="9">
        <v>2023</v>
      </c>
      <c r="O2094" s="9" t="s">
        <v>10278</v>
      </c>
      <c r="P2094" s="9" t="s">
        <v>53</v>
      </c>
      <c r="Q2094" s="9" t="s">
        <v>53</v>
      </c>
      <c r="S2094" s="9"/>
      <c r="T2094" s="9"/>
      <c r="V2094" s="9"/>
      <c r="AC2094" s="9" t="s">
        <v>10545</v>
      </c>
      <c r="AD2094" s="9" t="s">
        <v>10546</v>
      </c>
      <c r="AE2094" s="46" t="s">
        <v>10547</v>
      </c>
      <c r="AF2094" s="9" t="s">
        <v>10548</v>
      </c>
      <c r="AH2094" s="9">
        <v>2200</v>
      </c>
      <c r="AI2094" s="9" t="s">
        <v>77</v>
      </c>
      <c r="AJ2094" s="9" t="s">
        <v>301</v>
      </c>
      <c r="AK2094" s="23" t="str">
        <f t="shared" si="16"/>
        <v>2023GBP</v>
      </c>
      <c r="AL2094" s="23">
        <f>VLOOKUP(AK2094, Exchange_rates!$C:$D, 2, FALSE)</f>
        <v>1</v>
      </c>
      <c r="AM2094" s="26">
        <f t="shared" si="17"/>
        <v>2640</v>
      </c>
      <c r="AN2094" s="9"/>
      <c r="AO2094" s="9"/>
      <c r="AP2094" s="9"/>
      <c r="AQ2094" s="15" t="s">
        <v>125</v>
      </c>
      <c r="AR2094" t="s">
        <v>10549</v>
      </c>
      <c r="AS2094" s="16"/>
    </row>
    <row r="2095" spans="1:45" ht="14.5">
      <c r="A2095" s="9" t="s">
        <v>10550</v>
      </c>
      <c r="B2095" s="9" t="s">
        <v>10551</v>
      </c>
      <c r="C2095" s="9" t="s">
        <v>5741</v>
      </c>
      <c r="D2095" s="9" t="s">
        <v>5539</v>
      </c>
      <c r="E2095" s="9" t="s">
        <v>49</v>
      </c>
      <c r="F2095" s="9" t="s">
        <v>69</v>
      </c>
      <c r="G2095" s="9" t="s">
        <v>70</v>
      </c>
      <c r="H2095" s="9" t="s">
        <v>9873</v>
      </c>
      <c r="I2095" s="9" t="s">
        <v>72</v>
      </c>
      <c r="J2095" s="10"/>
      <c r="K2095" s="10">
        <v>44960</v>
      </c>
      <c r="L2095" s="10">
        <v>44977</v>
      </c>
      <c r="M2095" s="10"/>
      <c r="N2095" s="9">
        <v>2023</v>
      </c>
      <c r="O2095" s="9" t="s">
        <v>10278</v>
      </c>
      <c r="P2095" s="9" t="s">
        <v>83</v>
      </c>
      <c r="Q2095" s="9" t="s">
        <v>53</v>
      </c>
      <c r="R2095" s="9" t="s">
        <v>292</v>
      </c>
      <c r="S2095" s="9"/>
      <c r="T2095" s="9"/>
      <c r="V2095" s="9"/>
      <c r="AC2095" s="9" t="s">
        <v>2173</v>
      </c>
      <c r="AD2095" s="9" t="s">
        <v>2174</v>
      </c>
      <c r="AE2095" s="46" t="s">
        <v>10552</v>
      </c>
      <c r="AF2095" s="9" t="s">
        <v>10553</v>
      </c>
      <c r="AH2095" s="9">
        <v>3150</v>
      </c>
      <c r="AI2095" s="9" t="s">
        <v>77</v>
      </c>
      <c r="AJ2095" s="9" t="s">
        <v>301</v>
      </c>
      <c r="AK2095" s="23" t="str">
        <f t="shared" si="16"/>
        <v>2023GBP</v>
      </c>
      <c r="AL2095" s="23">
        <f>VLOOKUP(AK2095, Exchange_rates!$C:$D, 2, FALSE)</f>
        <v>1</v>
      </c>
      <c r="AM2095" s="26">
        <f t="shared" si="17"/>
        <v>3780</v>
      </c>
      <c r="AN2095" s="9"/>
      <c r="AO2095" s="9"/>
      <c r="AP2095" s="9"/>
      <c r="AQ2095" s="15" t="s">
        <v>49</v>
      </c>
      <c r="AR2095" t="s">
        <v>5566</v>
      </c>
      <c r="AS2095" s="16"/>
    </row>
    <row r="2096" spans="1:45" ht="14.5">
      <c r="A2096" s="9" t="s">
        <v>10554</v>
      </c>
      <c r="B2096" s="9" t="s">
        <v>10555</v>
      </c>
      <c r="C2096" s="9" t="s">
        <v>10556</v>
      </c>
      <c r="D2096" s="9" t="s">
        <v>5539</v>
      </c>
      <c r="E2096" s="9" t="s">
        <v>49</v>
      </c>
      <c r="F2096" s="9" t="s">
        <v>69</v>
      </c>
      <c r="G2096" s="9" t="s">
        <v>70</v>
      </c>
      <c r="H2096" s="9" t="s">
        <v>9873</v>
      </c>
      <c r="I2096" s="9" t="s">
        <v>72</v>
      </c>
      <c r="J2096" s="10"/>
      <c r="K2096" s="10">
        <v>44976</v>
      </c>
      <c r="L2096" s="10">
        <v>44977</v>
      </c>
      <c r="M2096" s="10"/>
      <c r="N2096" s="9">
        <v>2023</v>
      </c>
      <c r="O2096" s="9" t="s">
        <v>10278</v>
      </c>
      <c r="P2096" s="9" t="s">
        <v>53</v>
      </c>
      <c r="Q2096" s="9" t="s">
        <v>53</v>
      </c>
      <c r="S2096" s="9"/>
      <c r="T2096" s="9"/>
      <c r="V2096" s="9"/>
      <c r="AC2096" s="9" t="s">
        <v>10557</v>
      </c>
      <c r="AD2096" s="9" t="s">
        <v>10558</v>
      </c>
      <c r="AH2096" s="9">
        <v>2420</v>
      </c>
      <c r="AI2096" s="9" t="s">
        <v>77</v>
      </c>
      <c r="AJ2096" s="9" t="s">
        <v>301</v>
      </c>
      <c r="AK2096" s="23" t="str">
        <f t="shared" si="16"/>
        <v>2023GBP</v>
      </c>
      <c r="AL2096" s="23">
        <f>VLOOKUP(AK2096, Exchange_rates!$C:$D, 2, FALSE)</f>
        <v>1</v>
      </c>
      <c r="AM2096" s="26">
        <f t="shared" si="17"/>
        <v>2904</v>
      </c>
      <c r="AN2096" s="9"/>
      <c r="AO2096" s="9"/>
      <c r="AP2096" s="9"/>
      <c r="AQ2096" s="15" t="s">
        <v>49</v>
      </c>
      <c r="AR2096" t="s">
        <v>10559</v>
      </c>
      <c r="AS2096" s="16"/>
    </row>
    <row r="2097" spans="1:60" ht="14.5">
      <c r="A2097" s="9" t="s">
        <v>10560</v>
      </c>
      <c r="B2097" s="9" t="s">
        <v>10561</v>
      </c>
      <c r="C2097" s="9" t="s">
        <v>10404</v>
      </c>
      <c r="D2097" s="9" t="s">
        <v>5539</v>
      </c>
      <c r="E2097" s="9" t="s">
        <v>49</v>
      </c>
      <c r="F2097" s="9" t="s">
        <v>69</v>
      </c>
      <c r="G2097" s="9" t="s">
        <v>70</v>
      </c>
      <c r="H2097" s="9" t="s">
        <v>9873</v>
      </c>
      <c r="I2097" s="9" t="s">
        <v>72</v>
      </c>
      <c r="J2097" s="10"/>
      <c r="K2097" s="10">
        <v>44964</v>
      </c>
      <c r="L2097" s="10">
        <v>44964</v>
      </c>
      <c r="M2097" s="10"/>
      <c r="N2097" s="9">
        <v>2023</v>
      </c>
      <c r="O2097" s="9" t="s">
        <v>10278</v>
      </c>
      <c r="P2097" s="9" t="s">
        <v>83</v>
      </c>
      <c r="Q2097" s="9" t="s">
        <v>53</v>
      </c>
      <c r="R2097" s="9" t="s">
        <v>10562</v>
      </c>
      <c r="S2097" s="9"/>
      <c r="T2097" s="9"/>
      <c r="V2097" s="9"/>
      <c r="AC2097" s="9" t="s">
        <v>10563</v>
      </c>
      <c r="AD2097" s="9" t="s">
        <v>200</v>
      </c>
      <c r="AE2097" s="46" t="s">
        <v>10564</v>
      </c>
      <c r="AF2097" s="9" t="s">
        <v>10565</v>
      </c>
      <c r="AH2097" s="9">
        <v>2350</v>
      </c>
      <c r="AI2097" s="9" t="s">
        <v>77</v>
      </c>
      <c r="AJ2097" s="9" t="s">
        <v>301</v>
      </c>
      <c r="AK2097" s="23" t="str">
        <f t="shared" si="16"/>
        <v>2023GBP</v>
      </c>
      <c r="AL2097" s="23">
        <f>VLOOKUP(AK2097, Exchange_rates!$C:$D, 2, FALSE)</f>
        <v>1</v>
      </c>
      <c r="AM2097" s="26">
        <f t="shared" si="17"/>
        <v>2820</v>
      </c>
      <c r="AN2097" s="9"/>
      <c r="AO2097" s="9"/>
      <c r="AP2097" s="9"/>
      <c r="AQ2097" s="15" t="s">
        <v>49</v>
      </c>
      <c r="AR2097" t="s">
        <v>10410</v>
      </c>
      <c r="AS2097" s="16"/>
    </row>
    <row r="2098" spans="1:60" ht="14.5">
      <c r="A2098" s="9" t="s">
        <v>10566</v>
      </c>
      <c r="B2098" s="9" t="s">
        <v>10567</v>
      </c>
      <c r="C2098" s="9" t="s">
        <v>10568</v>
      </c>
      <c r="D2098" s="9" t="s">
        <v>5539</v>
      </c>
      <c r="E2098" s="9" t="s">
        <v>49</v>
      </c>
      <c r="F2098" s="9" t="s">
        <v>69</v>
      </c>
      <c r="G2098" s="9" t="s">
        <v>70</v>
      </c>
      <c r="H2098" s="9" t="s">
        <v>9873</v>
      </c>
      <c r="I2098" s="9" t="s">
        <v>72</v>
      </c>
      <c r="J2098" s="10"/>
      <c r="K2098" s="10">
        <v>44959</v>
      </c>
      <c r="L2098" s="10">
        <v>44963</v>
      </c>
      <c r="M2098" s="10"/>
      <c r="N2098" s="9">
        <v>2023</v>
      </c>
      <c r="O2098" s="9" t="s">
        <v>10278</v>
      </c>
      <c r="P2098" s="9" t="s">
        <v>83</v>
      </c>
      <c r="Q2098" s="9" t="s">
        <v>53</v>
      </c>
      <c r="R2098" s="9" t="s">
        <v>10569</v>
      </c>
      <c r="S2098" s="9"/>
      <c r="T2098" s="9"/>
      <c r="V2098" s="9"/>
      <c r="AC2098" s="9" t="s">
        <v>6175</v>
      </c>
      <c r="AD2098" s="9" t="s">
        <v>6176</v>
      </c>
      <c r="AE2098" s="46" t="s">
        <v>10570</v>
      </c>
      <c r="AF2098" s="9" t="s">
        <v>10571</v>
      </c>
      <c r="AH2098" s="9">
        <v>2730</v>
      </c>
      <c r="AI2098" s="9" t="s">
        <v>77</v>
      </c>
      <c r="AJ2098" s="9" t="s">
        <v>301</v>
      </c>
      <c r="AK2098" s="23" t="str">
        <f t="shared" si="16"/>
        <v>2023GBP</v>
      </c>
      <c r="AL2098" s="23">
        <f>VLOOKUP(AK2098, Exchange_rates!$C:$D, 2, FALSE)</f>
        <v>1</v>
      </c>
      <c r="AM2098" s="26">
        <f t="shared" si="17"/>
        <v>3276</v>
      </c>
      <c r="AN2098" s="9"/>
      <c r="AO2098" s="9"/>
      <c r="AP2098" s="9"/>
      <c r="AQ2098" s="15" t="s">
        <v>49</v>
      </c>
      <c r="AR2098" t="s">
        <v>10572</v>
      </c>
      <c r="AS2098" s="16"/>
    </row>
    <row r="2099" spans="1:60" ht="14.5">
      <c r="A2099" s="9" t="s">
        <v>10573</v>
      </c>
      <c r="B2099" s="9" t="s">
        <v>10574</v>
      </c>
      <c r="C2099" s="9" t="s">
        <v>10575</v>
      </c>
      <c r="D2099" s="9" t="s">
        <v>5539</v>
      </c>
      <c r="E2099" s="9" t="s">
        <v>49</v>
      </c>
      <c r="F2099" s="9" t="s">
        <v>69</v>
      </c>
      <c r="G2099" s="9" t="s">
        <v>70</v>
      </c>
      <c r="H2099" s="9" t="s">
        <v>9873</v>
      </c>
      <c r="I2099" s="9" t="s">
        <v>238</v>
      </c>
      <c r="J2099" s="10"/>
      <c r="K2099" s="10">
        <v>44959</v>
      </c>
      <c r="L2099" s="10">
        <v>44960</v>
      </c>
      <c r="M2099" s="10"/>
      <c r="N2099" s="9">
        <v>2023</v>
      </c>
      <c r="O2099" s="9" t="s">
        <v>10278</v>
      </c>
      <c r="P2099" s="9" t="s">
        <v>53</v>
      </c>
      <c r="Q2099" s="9" t="s">
        <v>53</v>
      </c>
      <c r="R2099" s="9" t="s">
        <v>10576</v>
      </c>
      <c r="S2099" s="9"/>
      <c r="T2099" s="9"/>
      <c r="V2099" s="9"/>
      <c r="AC2099" s="9" t="s">
        <v>10577</v>
      </c>
      <c r="AD2099" s="9" t="s">
        <v>10578</v>
      </c>
      <c r="AH2099" s="9">
        <v>2220</v>
      </c>
      <c r="AI2099" s="9" t="s">
        <v>77</v>
      </c>
      <c r="AJ2099" s="9" t="s">
        <v>301</v>
      </c>
      <c r="AK2099" s="23" t="str">
        <f t="shared" si="16"/>
        <v>2023GBP</v>
      </c>
      <c r="AL2099" s="23">
        <f>VLOOKUP(AK2099, Exchange_rates!$C:$D, 2, FALSE)</f>
        <v>1</v>
      </c>
      <c r="AM2099" s="26">
        <f t="shared" si="17"/>
        <v>2664</v>
      </c>
      <c r="AN2099" s="9"/>
      <c r="AO2099" s="9"/>
      <c r="AP2099" s="9"/>
      <c r="AQ2099" s="15" t="s">
        <v>49</v>
      </c>
      <c r="AR2099" t="s">
        <v>10579</v>
      </c>
      <c r="AS2099" s="16"/>
    </row>
    <row r="2100" spans="1:60" ht="14.5">
      <c r="A2100" s="9" t="s">
        <v>10580</v>
      </c>
      <c r="B2100" s="9" t="s">
        <v>10581</v>
      </c>
      <c r="C2100" s="9" t="s">
        <v>10582</v>
      </c>
      <c r="D2100" s="9" t="s">
        <v>5539</v>
      </c>
      <c r="E2100" s="9" t="s">
        <v>49</v>
      </c>
      <c r="F2100" s="9" t="s">
        <v>69</v>
      </c>
      <c r="G2100" s="9" t="s">
        <v>70</v>
      </c>
      <c r="H2100" s="9" t="s">
        <v>9873</v>
      </c>
      <c r="I2100" s="9" t="s">
        <v>72</v>
      </c>
      <c r="J2100" s="10"/>
      <c r="K2100" s="10">
        <v>44955</v>
      </c>
      <c r="L2100" s="10">
        <v>44959</v>
      </c>
      <c r="M2100" s="10"/>
      <c r="N2100" s="9">
        <v>2023</v>
      </c>
      <c r="O2100" s="9" t="s">
        <v>10278</v>
      </c>
      <c r="P2100" s="9" t="s">
        <v>53</v>
      </c>
      <c r="Q2100" s="9" t="s">
        <v>53</v>
      </c>
      <c r="R2100" s="9" t="s">
        <v>10583</v>
      </c>
      <c r="S2100" s="9"/>
      <c r="T2100" s="9"/>
      <c r="V2100" s="9"/>
      <c r="AC2100" s="9" t="s">
        <v>10584</v>
      </c>
      <c r="AD2100" s="9" t="s">
        <v>10585</v>
      </c>
      <c r="AE2100" s="46" t="s">
        <v>10586</v>
      </c>
      <c r="AF2100" s="9" t="s">
        <v>10587</v>
      </c>
      <c r="AH2100" s="9">
        <v>3240</v>
      </c>
      <c r="AI2100" s="9" t="s">
        <v>77</v>
      </c>
      <c r="AJ2100" s="9" t="s">
        <v>301</v>
      </c>
      <c r="AK2100" s="23" t="str">
        <f t="shared" si="16"/>
        <v>2023GBP</v>
      </c>
      <c r="AL2100" s="23">
        <f>VLOOKUP(AK2100, Exchange_rates!$C:$D, 2, FALSE)</f>
        <v>1</v>
      </c>
      <c r="AM2100" s="26">
        <f t="shared" si="17"/>
        <v>3888</v>
      </c>
      <c r="AN2100" s="9"/>
      <c r="AO2100" s="9"/>
      <c r="AP2100" s="9"/>
      <c r="AQ2100" s="15" t="s">
        <v>49</v>
      </c>
      <c r="AR2100" t="s">
        <v>10588</v>
      </c>
      <c r="AS2100" s="16"/>
    </row>
    <row r="2101" spans="1:60" ht="14.5">
      <c r="A2101" s="9" t="s">
        <v>10589</v>
      </c>
      <c r="B2101" s="9" t="s">
        <v>10590</v>
      </c>
      <c r="C2101" s="9" t="s">
        <v>5618</v>
      </c>
      <c r="D2101" s="9" t="s">
        <v>5539</v>
      </c>
      <c r="E2101" s="9" t="s">
        <v>49</v>
      </c>
      <c r="F2101" s="9" t="s">
        <v>69</v>
      </c>
      <c r="G2101" s="9" t="s">
        <v>70</v>
      </c>
      <c r="H2101" s="9" t="s">
        <v>9873</v>
      </c>
      <c r="I2101" s="9" t="s">
        <v>72</v>
      </c>
      <c r="J2101" s="10"/>
      <c r="K2101" s="10">
        <v>44956</v>
      </c>
      <c r="L2101" s="10">
        <v>44957</v>
      </c>
      <c r="M2101" s="10"/>
      <c r="N2101" s="9">
        <v>2023</v>
      </c>
      <c r="O2101" s="9" t="s">
        <v>10278</v>
      </c>
      <c r="P2101" s="9" t="s">
        <v>53</v>
      </c>
      <c r="Q2101" s="9" t="s">
        <v>53</v>
      </c>
      <c r="R2101" s="9" t="s">
        <v>10591</v>
      </c>
      <c r="S2101" s="9"/>
      <c r="T2101" s="9"/>
      <c r="V2101" s="9"/>
      <c r="AC2101" s="9" t="s">
        <v>6300</v>
      </c>
      <c r="AD2101" s="9" t="s">
        <v>6301</v>
      </c>
      <c r="AE2101" s="46" t="s">
        <v>10592</v>
      </c>
      <c r="AF2101" s="9" t="s">
        <v>10593</v>
      </c>
      <c r="AH2101" s="9">
        <v>3400</v>
      </c>
      <c r="AI2101" s="9" t="s">
        <v>77</v>
      </c>
      <c r="AJ2101" s="9" t="s">
        <v>301</v>
      </c>
      <c r="AK2101" s="23" t="str">
        <f t="shared" si="16"/>
        <v>2023GBP</v>
      </c>
      <c r="AL2101" s="23">
        <f>VLOOKUP(AK2101, Exchange_rates!$C:$D, 2, FALSE)</f>
        <v>1</v>
      </c>
      <c r="AM2101" s="26">
        <f t="shared" si="17"/>
        <v>4080</v>
      </c>
      <c r="AN2101" s="9"/>
      <c r="AO2101" s="9"/>
      <c r="AP2101" s="9"/>
      <c r="AQ2101" s="15" t="s">
        <v>49</v>
      </c>
      <c r="AR2101" t="s">
        <v>5624</v>
      </c>
      <c r="AS2101" s="16"/>
    </row>
    <row r="2102" spans="1:60" ht="14.5">
      <c r="A2102" s="9" t="s">
        <v>10594</v>
      </c>
      <c r="B2102" s="9" t="s">
        <v>10595</v>
      </c>
      <c r="C2102" s="9" t="s">
        <v>10596</v>
      </c>
      <c r="D2102" s="9" t="s">
        <v>5539</v>
      </c>
      <c r="E2102" s="9" t="s">
        <v>49</v>
      </c>
      <c r="F2102" s="9" t="s">
        <v>69</v>
      </c>
      <c r="G2102" s="9" t="s">
        <v>70</v>
      </c>
      <c r="H2102" s="9" t="s">
        <v>9873</v>
      </c>
      <c r="I2102" s="9" t="s">
        <v>72</v>
      </c>
      <c r="J2102" s="10"/>
      <c r="K2102" s="10">
        <v>44933</v>
      </c>
      <c r="L2102" s="10">
        <v>44950</v>
      </c>
      <c r="M2102" s="10"/>
      <c r="N2102" s="9">
        <v>2023</v>
      </c>
      <c r="O2102" s="9" t="s">
        <v>10278</v>
      </c>
      <c r="P2102" s="9" t="s">
        <v>83</v>
      </c>
      <c r="Q2102" s="9" t="s">
        <v>53</v>
      </c>
      <c r="R2102" s="9" t="s">
        <v>10597</v>
      </c>
      <c r="S2102" s="9"/>
      <c r="T2102" s="9"/>
      <c r="V2102" s="9"/>
      <c r="AC2102" s="9" t="s">
        <v>10598</v>
      </c>
      <c r="AD2102" s="9" t="s">
        <v>10599</v>
      </c>
      <c r="AE2102" s="46" t="s">
        <v>10600</v>
      </c>
      <c r="AF2102" s="9" t="s">
        <v>10601</v>
      </c>
      <c r="AH2102" s="9">
        <v>2010</v>
      </c>
      <c r="AI2102" s="9" t="s">
        <v>77</v>
      </c>
      <c r="AJ2102" s="9" t="s">
        <v>301</v>
      </c>
      <c r="AK2102" s="23" t="str">
        <f t="shared" si="16"/>
        <v>2023GBP</v>
      </c>
      <c r="AL2102" s="23">
        <f>VLOOKUP(AK2102, Exchange_rates!$C:$D, 2, FALSE)</f>
        <v>1</v>
      </c>
      <c r="AM2102" s="26">
        <f t="shared" si="17"/>
        <v>2412</v>
      </c>
      <c r="AN2102" s="9"/>
      <c r="AO2102" s="9"/>
      <c r="AP2102" s="9"/>
      <c r="AQ2102" s="15" t="s">
        <v>49</v>
      </c>
      <c r="AR2102" t="s">
        <v>10602</v>
      </c>
      <c r="AS2102" s="16"/>
    </row>
    <row r="2103" spans="1:60" ht="14.5">
      <c r="A2103" s="9" t="s">
        <v>10603</v>
      </c>
      <c r="B2103" s="9" t="s">
        <v>10604</v>
      </c>
      <c r="C2103" s="9" t="s">
        <v>5956</v>
      </c>
      <c r="D2103" s="9" t="s">
        <v>5539</v>
      </c>
      <c r="E2103" s="9" t="s">
        <v>49</v>
      </c>
      <c r="F2103" s="9" t="s">
        <v>69</v>
      </c>
      <c r="G2103" s="9" t="s">
        <v>70</v>
      </c>
      <c r="H2103" s="9" t="s">
        <v>9873</v>
      </c>
      <c r="I2103" s="9" t="s">
        <v>72</v>
      </c>
      <c r="J2103" s="10"/>
      <c r="K2103" s="10">
        <v>44909</v>
      </c>
      <c r="L2103" s="10">
        <v>44949</v>
      </c>
      <c r="M2103" s="10"/>
      <c r="N2103" s="9">
        <v>2023</v>
      </c>
      <c r="O2103" s="9" t="s">
        <v>10278</v>
      </c>
      <c r="P2103" s="9" t="s">
        <v>53</v>
      </c>
      <c r="Q2103" s="9" t="s">
        <v>53</v>
      </c>
      <c r="R2103" s="9" t="s">
        <v>10605</v>
      </c>
      <c r="S2103" s="9"/>
      <c r="T2103" s="9"/>
      <c r="V2103" s="9"/>
      <c r="AC2103" s="9" t="s">
        <v>10606</v>
      </c>
      <c r="AD2103" s="9" t="s">
        <v>10607</v>
      </c>
      <c r="AE2103" s="46" t="s">
        <v>10608</v>
      </c>
      <c r="AH2103" s="9">
        <v>2060</v>
      </c>
      <c r="AI2103" s="9" t="s">
        <v>77</v>
      </c>
      <c r="AJ2103" s="9" t="s">
        <v>301</v>
      </c>
      <c r="AK2103" s="23" t="str">
        <f t="shared" si="16"/>
        <v>2023GBP</v>
      </c>
      <c r="AL2103" s="23">
        <f>VLOOKUP(AK2103, Exchange_rates!$C:$D, 2, FALSE)</f>
        <v>1</v>
      </c>
      <c r="AM2103" s="26">
        <f t="shared" si="17"/>
        <v>2472</v>
      </c>
      <c r="AN2103" s="9"/>
      <c r="AO2103" s="9"/>
      <c r="AP2103" s="9"/>
      <c r="AQ2103" s="15" t="s">
        <v>49</v>
      </c>
      <c r="AR2103" t="s">
        <v>5960</v>
      </c>
      <c r="AS2103" s="16"/>
    </row>
    <row r="2104" spans="1:60" ht="14.5">
      <c r="A2104" s="9" t="s">
        <v>10609</v>
      </c>
      <c r="B2104" s="9" t="s">
        <v>10610</v>
      </c>
      <c r="C2104" s="9" t="s">
        <v>10611</v>
      </c>
      <c r="D2104" s="9" t="s">
        <v>5539</v>
      </c>
      <c r="E2104" s="9" t="s">
        <v>49</v>
      </c>
      <c r="F2104" s="9" t="s">
        <v>69</v>
      </c>
      <c r="G2104" s="9" t="s">
        <v>70</v>
      </c>
      <c r="H2104" s="9" t="s">
        <v>9873</v>
      </c>
      <c r="I2104" s="9" t="s">
        <v>72</v>
      </c>
      <c r="J2104" s="10"/>
      <c r="K2104" s="10">
        <v>44933</v>
      </c>
      <c r="L2104" s="10">
        <v>44944</v>
      </c>
      <c r="M2104" s="10"/>
      <c r="N2104" s="9">
        <v>2023</v>
      </c>
      <c r="O2104" s="9" t="s">
        <v>10278</v>
      </c>
      <c r="P2104" s="9" t="s">
        <v>83</v>
      </c>
      <c r="Q2104" s="9" t="s">
        <v>53</v>
      </c>
      <c r="R2104" s="9" t="s">
        <v>1456</v>
      </c>
      <c r="S2104" s="9"/>
      <c r="T2104" s="9"/>
      <c r="V2104" s="9"/>
      <c r="AC2104" s="9" t="s">
        <v>10612</v>
      </c>
      <c r="AD2104" s="9" t="s">
        <v>10613</v>
      </c>
      <c r="AE2104" s="46" t="s">
        <v>10614</v>
      </c>
      <c r="AF2104" s="9" t="s">
        <v>10615</v>
      </c>
      <c r="AH2104" s="9">
        <v>2150</v>
      </c>
      <c r="AI2104" s="9" t="s">
        <v>77</v>
      </c>
      <c r="AJ2104" s="9" t="s">
        <v>301</v>
      </c>
      <c r="AK2104" s="23" t="str">
        <f t="shared" si="16"/>
        <v>2023GBP</v>
      </c>
      <c r="AL2104" s="23">
        <f>VLOOKUP(AK2104, Exchange_rates!$C:$D, 2, FALSE)</f>
        <v>1</v>
      </c>
      <c r="AM2104" s="26">
        <f t="shared" si="17"/>
        <v>2580</v>
      </c>
      <c r="AN2104" s="9"/>
      <c r="AO2104" s="9"/>
      <c r="AP2104" s="9"/>
      <c r="AQ2104" s="15" t="s">
        <v>49</v>
      </c>
      <c r="AR2104" t="s">
        <v>10616</v>
      </c>
      <c r="AS2104" s="16"/>
    </row>
    <row r="2105" spans="1:60" ht="14.5">
      <c r="A2105" s="9" t="s">
        <v>10617</v>
      </c>
      <c r="B2105" s="9" t="s">
        <v>10618</v>
      </c>
      <c r="C2105" s="9" t="s">
        <v>6229</v>
      </c>
      <c r="D2105" s="9" t="s">
        <v>5539</v>
      </c>
      <c r="E2105" s="9" t="s">
        <v>49</v>
      </c>
      <c r="F2105" s="9" t="s">
        <v>69</v>
      </c>
      <c r="G2105" s="9" t="s">
        <v>70</v>
      </c>
      <c r="H2105" s="9" t="s">
        <v>9873</v>
      </c>
      <c r="I2105" s="9" t="s">
        <v>291</v>
      </c>
      <c r="J2105" s="10"/>
      <c r="K2105" s="10">
        <v>44933</v>
      </c>
      <c r="L2105" s="10">
        <v>44939</v>
      </c>
      <c r="M2105" s="10"/>
      <c r="N2105" s="9">
        <v>2023</v>
      </c>
      <c r="O2105" s="9" t="s">
        <v>10278</v>
      </c>
      <c r="P2105" s="9" t="s">
        <v>53</v>
      </c>
      <c r="Q2105" s="9" t="s">
        <v>53</v>
      </c>
      <c r="S2105" s="9"/>
      <c r="T2105" s="9"/>
      <c r="V2105" s="9"/>
      <c r="AC2105" s="9" t="s">
        <v>10619</v>
      </c>
      <c r="AD2105" s="9" t="s">
        <v>10620</v>
      </c>
      <c r="AF2105" s="9" t="s">
        <v>10621</v>
      </c>
      <c r="AH2105" s="9">
        <v>2470</v>
      </c>
      <c r="AI2105" s="9" t="s">
        <v>77</v>
      </c>
      <c r="AJ2105" s="9" t="s">
        <v>301</v>
      </c>
      <c r="AK2105" s="23" t="str">
        <f t="shared" si="16"/>
        <v>2023GBP</v>
      </c>
      <c r="AL2105" s="23">
        <f>VLOOKUP(AK2105, Exchange_rates!$C:$D, 2, FALSE)</f>
        <v>1</v>
      </c>
      <c r="AM2105" s="26">
        <f t="shared" si="17"/>
        <v>2964</v>
      </c>
      <c r="AN2105" s="9"/>
      <c r="AO2105" s="9"/>
      <c r="AP2105" s="9"/>
      <c r="AQ2105" s="15" t="s">
        <v>49</v>
      </c>
      <c r="AR2105" t="s">
        <v>6231</v>
      </c>
      <c r="AS2105" s="16"/>
    </row>
    <row r="2106" spans="1:60" ht="14.5">
      <c r="A2106" s="9" t="s">
        <v>10622</v>
      </c>
      <c r="B2106" s="9" t="s">
        <v>10623</v>
      </c>
      <c r="C2106" s="9" t="s">
        <v>5634</v>
      </c>
      <c r="D2106" s="9" t="s">
        <v>5539</v>
      </c>
      <c r="E2106" s="9" t="s">
        <v>49</v>
      </c>
      <c r="F2106" s="9" t="s">
        <v>69</v>
      </c>
      <c r="G2106" s="9" t="s">
        <v>70</v>
      </c>
      <c r="H2106" s="9" t="s">
        <v>9873</v>
      </c>
      <c r="I2106" s="9" t="s">
        <v>72</v>
      </c>
      <c r="J2106" s="10"/>
      <c r="K2106" s="10">
        <v>44935</v>
      </c>
      <c r="L2106" s="10">
        <v>44939</v>
      </c>
      <c r="M2106" s="10"/>
      <c r="N2106" s="9">
        <v>2023</v>
      </c>
      <c r="O2106" s="9" t="s">
        <v>10278</v>
      </c>
      <c r="P2106" s="9" t="s">
        <v>83</v>
      </c>
      <c r="Q2106" s="9" t="s">
        <v>53</v>
      </c>
      <c r="R2106" s="9" t="s">
        <v>10624</v>
      </c>
      <c r="S2106" s="9"/>
      <c r="T2106" s="9"/>
      <c r="V2106" s="9"/>
      <c r="AC2106" s="9" t="s">
        <v>9678</v>
      </c>
      <c r="AD2106" s="9" t="s">
        <v>10625</v>
      </c>
      <c r="AF2106" s="9" t="s">
        <v>10626</v>
      </c>
      <c r="AH2106" s="9">
        <v>2950</v>
      </c>
      <c r="AI2106" s="9" t="s">
        <v>77</v>
      </c>
      <c r="AJ2106" s="9" t="s">
        <v>301</v>
      </c>
      <c r="AK2106" s="23" t="str">
        <f t="shared" si="16"/>
        <v>2023GBP</v>
      </c>
      <c r="AL2106" s="23">
        <f>VLOOKUP(AK2106, Exchange_rates!$C:$D, 2, FALSE)</f>
        <v>1</v>
      </c>
      <c r="AM2106" s="26">
        <f t="shared" si="17"/>
        <v>3540</v>
      </c>
      <c r="AN2106" s="9"/>
      <c r="AO2106" s="9"/>
      <c r="AP2106" s="9"/>
      <c r="AQ2106" s="15" t="s">
        <v>49</v>
      </c>
      <c r="AR2106" t="s">
        <v>5551</v>
      </c>
      <c r="AS2106" s="16"/>
    </row>
    <row r="2107" spans="1:60" ht="14.5">
      <c r="A2107" s="9" t="s">
        <v>10627</v>
      </c>
      <c r="B2107" s="9" t="s">
        <v>10628</v>
      </c>
      <c r="C2107" s="9" t="s">
        <v>5977</v>
      </c>
      <c r="D2107" s="9" t="s">
        <v>5539</v>
      </c>
      <c r="E2107" s="9" t="s">
        <v>49</v>
      </c>
      <c r="F2107" s="9" t="s">
        <v>69</v>
      </c>
      <c r="G2107" s="9" t="s">
        <v>70</v>
      </c>
      <c r="H2107" s="9" t="s">
        <v>9873</v>
      </c>
      <c r="I2107" s="9" t="s">
        <v>291</v>
      </c>
      <c r="J2107" s="10"/>
      <c r="K2107" s="10">
        <v>44929</v>
      </c>
      <c r="L2107" s="10">
        <v>44939</v>
      </c>
      <c r="M2107" s="10"/>
      <c r="N2107" s="9">
        <v>2023</v>
      </c>
      <c r="O2107" s="9" t="s">
        <v>10278</v>
      </c>
      <c r="P2107" s="9" t="s">
        <v>53</v>
      </c>
      <c r="Q2107" s="9" t="s">
        <v>53</v>
      </c>
      <c r="S2107" s="9"/>
      <c r="T2107" s="9"/>
      <c r="V2107" s="9"/>
      <c r="AC2107" s="9" t="s">
        <v>5160</v>
      </c>
      <c r="AD2107" s="9" t="s">
        <v>5161</v>
      </c>
      <c r="AE2107" s="9" t="s">
        <v>6212</v>
      </c>
      <c r="AH2107" s="9">
        <v>2060</v>
      </c>
      <c r="AI2107" s="9" t="s">
        <v>77</v>
      </c>
      <c r="AJ2107" s="9" t="s">
        <v>301</v>
      </c>
      <c r="AK2107" s="23" t="str">
        <f t="shared" si="16"/>
        <v>2023GBP</v>
      </c>
      <c r="AL2107" s="23">
        <f>VLOOKUP(AK2107, Exchange_rates!$C:$D, 2, FALSE)</f>
        <v>1</v>
      </c>
      <c r="AM2107" s="26">
        <f t="shared" si="17"/>
        <v>2472</v>
      </c>
      <c r="AN2107" s="9"/>
      <c r="AO2107" s="9"/>
      <c r="AP2107" s="9"/>
      <c r="AQ2107" s="15" t="s">
        <v>49</v>
      </c>
      <c r="AR2107" t="s">
        <v>5982</v>
      </c>
      <c r="AS2107" s="16"/>
    </row>
    <row r="2108" spans="1:60" ht="14.5">
      <c r="A2108" s="20" t="s">
        <v>10629</v>
      </c>
      <c r="B2108" s="20" t="s">
        <v>10630</v>
      </c>
      <c r="C2108" s="20" t="s">
        <v>6700</v>
      </c>
      <c r="D2108" s="20" t="s">
        <v>5539</v>
      </c>
      <c r="E2108" s="20" t="s">
        <v>49</v>
      </c>
      <c r="F2108" s="20" t="s">
        <v>69</v>
      </c>
      <c r="G2108" s="20" t="s">
        <v>70</v>
      </c>
      <c r="H2108" s="20" t="s">
        <v>9873</v>
      </c>
      <c r="I2108" s="20" t="s">
        <v>72</v>
      </c>
      <c r="J2108" s="22"/>
      <c r="K2108" s="22">
        <v>44915</v>
      </c>
      <c r="L2108" s="22">
        <v>44939</v>
      </c>
      <c r="M2108" s="22"/>
      <c r="N2108" s="20">
        <v>2023</v>
      </c>
      <c r="O2108" s="20" t="s">
        <v>10278</v>
      </c>
      <c r="P2108" s="20" t="s">
        <v>53</v>
      </c>
      <c r="Q2108" s="20" t="s">
        <v>53</v>
      </c>
      <c r="R2108" s="20"/>
      <c r="S2108" s="20"/>
      <c r="T2108" s="20"/>
      <c r="U2108" s="20"/>
      <c r="V2108" s="20"/>
      <c r="W2108" s="20"/>
      <c r="X2108" s="20"/>
      <c r="Y2108" s="20"/>
      <c r="Z2108" s="20"/>
      <c r="AA2108" s="20"/>
      <c r="AB2108" s="20"/>
      <c r="AC2108" s="20" t="s">
        <v>10631</v>
      </c>
      <c r="AD2108" s="20" t="s">
        <v>10632</v>
      </c>
      <c r="AE2108" s="20"/>
      <c r="AF2108" s="20"/>
      <c r="AG2108" s="20"/>
      <c r="AH2108" s="20">
        <v>1750</v>
      </c>
      <c r="AI2108" s="20" t="s">
        <v>77</v>
      </c>
      <c r="AJ2108" s="20" t="s">
        <v>301</v>
      </c>
      <c r="AK2108" s="23" t="str">
        <f t="shared" si="16"/>
        <v>2023GBP</v>
      </c>
      <c r="AL2108" s="23">
        <f>VLOOKUP(AK2108, Exchange_rates!$C:$D, 2, FALSE)</f>
        <v>1</v>
      </c>
      <c r="AM2108" s="26">
        <f t="shared" si="17"/>
        <v>2100</v>
      </c>
      <c r="AN2108" s="20"/>
      <c r="AO2108" s="20"/>
      <c r="AP2108" s="20"/>
      <c r="AQ2108" s="27" t="s">
        <v>49</v>
      </c>
      <c r="AR2108" t="s">
        <v>6704</v>
      </c>
      <c r="AS2108" s="16"/>
      <c r="AT2108" s="20"/>
      <c r="AU2108" s="20"/>
      <c r="AV2108" s="20"/>
      <c r="AW2108" s="20"/>
      <c r="AX2108" s="20"/>
      <c r="AY2108" s="20"/>
      <c r="AZ2108" s="20"/>
      <c r="BA2108" s="20"/>
      <c r="BB2108" s="20"/>
      <c r="BC2108" s="20"/>
      <c r="BD2108" s="20"/>
      <c r="BE2108" s="20"/>
      <c r="BF2108" s="20"/>
      <c r="BG2108" s="20"/>
      <c r="BH2108" s="20"/>
    </row>
    <row r="2109" spans="1:60" ht="14.5">
      <c r="A2109" s="9" t="s">
        <v>10633</v>
      </c>
      <c r="B2109" s="9" t="s">
        <v>10634</v>
      </c>
      <c r="C2109" s="9" t="s">
        <v>2497</v>
      </c>
      <c r="D2109" s="9" t="s">
        <v>2479</v>
      </c>
      <c r="E2109" s="9" t="s">
        <v>49</v>
      </c>
      <c r="F2109" s="9" t="s">
        <v>69</v>
      </c>
      <c r="G2109" s="9" t="s">
        <v>70</v>
      </c>
      <c r="H2109" s="9" t="s">
        <v>8594</v>
      </c>
      <c r="I2109" s="9" t="s">
        <v>72</v>
      </c>
      <c r="J2109" s="10">
        <v>44872</v>
      </c>
      <c r="K2109" s="10">
        <v>45131</v>
      </c>
      <c r="L2109" s="10"/>
      <c r="M2109" s="10">
        <v>45163</v>
      </c>
      <c r="N2109" s="9">
        <v>2023</v>
      </c>
      <c r="O2109" s="9" t="s">
        <v>10635</v>
      </c>
      <c r="P2109" s="9" t="s">
        <v>53</v>
      </c>
      <c r="Q2109" s="9" t="s">
        <v>53</v>
      </c>
      <c r="R2109" s="9" t="s">
        <v>8664</v>
      </c>
      <c r="S2109" s="9"/>
      <c r="T2109" s="9"/>
      <c r="V2109" s="9"/>
      <c r="AC2109" s="9" t="s">
        <v>10636</v>
      </c>
      <c r="AD2109" s="9" t="s">
        <v>10637</v>
      </c>
      <c r="AH2109" s="9">
        <v>2566.5500000000002</v>
      </c>
      <c r="AI2109" s="9" t="s">
        <v>77</v>
      </c>
      <c r="AJ2109" s="9" t="s">
        <v>301</v>
      </c>
      <c r="AK2109" s="23" t="str">
        <f t="shared" si="16"/>
        <v>2023GBP</v>
      </c>
      <c r="AL2109" s="23">
        <f>VLOOKUP(AK2109, Exchange_rates!$C:$D, 2, FALSE)</f>
        <v>1</v>
      </c>
      <c r="AM2109" s="26">
        <f t="shared" si="17"/>
        <v>3079.86</v>
      </c>
      <c r="AN2109" s="9"/>
      <c r="AO2109" s="9"/>
      <c r="AP2109" s="9"/>
      <c r="AQ2109" s="15" t="s">
        <v>49</v>
      </c>
      <c r="AR2109" t="s">
        <v>2499</v>
      </c>
      <c r="AS2109" s="16"/>
    </row>
    <row r="2110" spans="1:60" ht="14.5">
      <c r="A2110" s="9" t="s">
        <v>10638</v>
      </c>
      <c r="B2110" s="9" t="s">
        <v>10639</v>
      </c>
      <c r="C2110" s="9" t="s">
        <v>2508</v>
      </c>
      <c r="D2110" s="9" t="s">
        <v>2479</v>
      </c>
      <c r="E2110" s="9" t="s">
        <v>49</v>
      </c>
      <c r="F2110" s="9" t="s">
        <v>69</v>
      </c>
      <c r="G2110" s="9" t="s">
        <v>70</v>
      </c>
      <c r="H2110" s="9" t="s">
        <v>8594</v>
      </c>
      <c r="I2110" s="9" t="s">
        <v>72</v>
      </c>
      <c r="J2110" s="10">
        <v>44808</v>
      </c>
      <c r="K2110" s="10">
        <v>45139</v>
      </c>
      <c r="L2110" s="10"/>
      <c r="M2110" s="10"/>
      <c r="N2110" s="9">
        <v>2023</v>
      </c>
      <c r="O2110" s="9" t="s">
        <v>10635</v>
      </c>
      <c r="P2110" s="9" t="s">
        <v>53</v>
      </c>
      <c r="Q2110" s="9" t="s">
        <v>53</v>
      </c>
      <c r="R2110" s="9" t="s">
        <v>10640</v>
      </c>
      <c r="S2110" s="9"/>
      <c r="T2110" s="9"/>
      <c r="V2110" s="9"/>
      <c r="AC2110" s="9" t="s">
        <v>10641</v>
      </c>
      <c r="AD2110" s="9" t="s">
        <v>10642</v>
      </c>
      <c r="AE2110" s="9" t="s">
        <v>10643</v>
      </c>
      <c r="AH2110" s="9">
        <v>2566.5500000000002</v>
      </c>
      <c r="AI2110" s="9" t="s">
        <v>77</v>
      </c>
      <c r="AJ2110" s="9" t="s">
        <v>301</v>
      </c>
      <c r="AK2110" s="23" t="str">
        <f t="shared" si="16"/>
        <v>2023GBP</v>
      </c>
      <c r="AL2110" s="23">
        <f>VLOOKUP(AK2110, Exchange_rates!$C:$D, 2, FALSE)</f>
        <v>1</v>
      </c>
      <c r="AM2110" s="26">
        <f t="shared" si="17"/>
        <v>3079.86</v>
      </c>
      <c r="AN2110" s="9"/>
      <c r="AO2110" s="9"/>
      <c r="AP2110" s="9"/>
      <c r="AQ2110" s="15" t="s">
        <v>49</v>
      </c>
      <c r="AR2110" t="s">
        <v>2510</v>
      </c>
      <c r="AS2110" s="16" t="s">
        <v>2511</v>
      </c>
    </row>
    <row r="2111" spans="1:60" ht="14.5">
      <c r="A2111" s="9" t="s">
        <v>10644</v>
      </c>
      <c r="B2111" s="9" t="s">
        <v>10645</v>
      </c>
      <c r="C2111" s="9" t="s">
        <v>10646</v>
      </c>
      <c r="D2111" s="9" t="s">
        <v>2479</v>
      </c>
      <c r="E2111" s="9" t="s">
        <v>49</v>
      </c>
      <c r="F2111" s="9" t="s">
        <v>69</v>
      </c>
      <c r="G2111" s="9" t="s">
        <v>70</v>
      </c>
      <c r="H2111" s="9" t="s">
        <v>8594</v>
      </c>
      <c r="I2111" s="9" t="s">
        <v>238</v>
      </c>
      <c r="J2111" s="10">
        <v>45016</v>
      </c>
      <c r="K2111" s="10">
        <v>45148</v>
      </c>
      <c r="L2111" s="10"/>
      <c r="M2111" s="10"/>
      <c r="N2111" s="9">
        <v>2023</v>
      </c>
      <c r="O2111" s="9" t="s">
        <v>10635</v>
      </c>
      <c r="P2111" s="9" t="s">
        <v>53</v>
      </c>
      <c r="Q2111" s="9" t="s">
        <v>53</v>
      </c>
      <c r="R2111" s="9" t="s">
        <v>10647</v>
      </c>
      <c r="S2111" s="9"/>
      <c r="T2111" s="9"/>
      <c r="V2111" s="9"/>
      <c r="AC2111" s="9" t="s">
        <v>10648</v>
      </c>
      <c r="AD2111" s="9" t="s">
        <v>10649</v>
      </c>
      <c r="AE2111" s="9" t="s">
        <v>10650</v>
      </c>
      <c r="AH2111" s="9">
        <v>2383.23</v>
      </c>
      <c r="AI2111" s="9" t="s">
        <v>77</v>
      </c>
      <c r="AJ2111" s="9" t="s">
        <v>301</v>
      </c>
      <c r="AK2111" s="23" t="str">
        <f t="shared" si="16"/>
        <v>2023GBP</v>
      </c>
      <c r="AL2111" s="23">
        <f>VLOOKUP(AK2111, Exchange_rates!$C:$D, 2, FALSE)</f>
        <v>1</v>
      </c>
      <c r="AM2111" s="26">
        <f t="shared" si="17"/>
        <v>2859.8759999999997</v>
      </c>
      <c r="AN2111" s="9"/>
      <c r="AO2111" s="9"/>
      <c r="AP2111" s="9"/>
      <c r="AQ2111" s="15" t="s">
        <v>49</v>
      </c>
      <c r="AR2111" t="s">
        <v>10651</v>
      </c>
      <c r="AS2111" s="16" t="s">
        <v>10652</v>
      </c>
    </row>
    <row r="2112" spans="1:60" ht="14.5">
      <c r="A2112" s="20" t="s">
        <v>10653</v>
      </c>
      <c r="B2112" s="20" t="s">
        <v>10654</v>
      </c>
      <c r="C2112" s="20" t="s">
        <v>8413</v>
      </c>
      <c r="D2112" s="20" t="s">
        <v>2479</v>
      </c>
      <c r="E2112" s="20" t="s">
        <v>49</v>
      </c>
      <c r="F2112" s="20" t="s">
        <v>69</v>
      </c>
      <c r="G2112" s="20" t="s">
        <v>70</v>
      </c>
      <c r="H2112" s="20" t="s">
        <v>8594</v>
      </c>
      <c r="I2112" s="20" t="s">
        <v>72</v>
      </c>
      <c r="J2112" s="42">
        <v>44880</v>
      </c>
      <c r="K2112" s="22">
        <v>45154</v>
      </c>
      <c r="L2112" s="22"/>
      <c r="M2112" s="22"/>
      <c r="N2112" s="20">
        <v>2023</v>
      </c>
      <c r="O2112" s="20" t="s">
        <v>10635</v>
      </c>
      <c r="P2112" s="20" t="s">
        <v>53</v>
      </c>
      <c r="Q2112" s="20" t="s">
        <v>53</v>
      </c>
      <c r="R2112" s="20" t="s">
        <v>8664</v>
      </c>
      <c r="S2112" s="20"/>
      <c r="T2112" s="20"/>
      <c r="U2112" s="20"/>
      <c r="V2112" s="20"/>
      <c r="W2112" s="20"/>
      <c r="X2112" s="20"/>
      <c r="Y2112" s="20"/>
      <c r="Z2112" s="20"/>
      <c r="AA2112" s="20"/>
      <c r="AB2112" s="20"/>
      <c r="AC2112" s="20" t="s">
        <v>10655</v>
      </c>
      <c r="AD2112" s="20" t="s">
        <v>10656</v>
      </c>
      <c r="AE2112" s="20" t="s">
        <v>10657</v>
      </c>
      <c r="AF2112" s="20"/>
      <c r="AG2112" s="20"/>
      <c r="AH2112" s="20">
        <v>2383.23</v>
      </c>
      <c r="AI2112" s="20" t="s">
        <v>77</v>
      </c>
      <c r="AJ2112" s="20" t="s">
        <v>301</v>
      </c>
      <c r="AK2112" s="23" t="str">
        <f t="shared" si="16"/>
        <v>2023GBP</v>
      </c>
      <c r="AL2112" s="23">
        <f>VLOOKUP(AK2112, Exchange_rates!$C:$D, 2, FALSE)</f>
        <v>1</v>
      </c>
      <c r="AM2112" s="26">
        <f t="shared" si="17"/>
        <v>2859.8759999999997</v>
      </c>
      <c r="AN2112" s="20"/>
      <c r="AO2112" s="20"/>
      <c r="AP2112" s="20"/>
      <c r="AQ2112" s="27" t="s">
        <v>49</v>
      </c>
      <c r="AR2112" t="s">
        <v>8414</v>
      </c>
      <c r="AS2112" s="16" t="s">
        <v>8415</v>
      </c>
      <c r="AT2112" s="20"/>
      <c r="AU2112" s="20"/>
      <c r="AV2112" s="20"/>
      <c r="AW2112" s="20"/>
      <c r="AX2112" s="20"/>
      <c r="AY2112" s="20"/>
      <c r="AZ2112" s="20"/>
      <c r="BA2112" s="20"/>
      <c r="BB2112" s="20"/>
      <c r="BC2112" s="20"/>
      <c r="BD2112" s="20"/>
      <c r="BE2112" s="20"/>
      <c r="BF2112" s="20"/>
      <c r="BG2112" s="20"/>
      <c r="BH2112" s="20"/>
    </row>
    <row r="2113" spans="1:60" ht="14.5">
      <c r="A2113" s="9" t="s">
        <v>10658</v>
      </c>
      <c r="B2113" s="9" t="s">
        <v>10659</v>
      </c>
      <c r="C2113" s="9" t="s">
        <v>416</v>
      </c>
      <c r="D2113" s="9" t="s">
        <v>361</v>
      </c>
      <c r="E2113" s="9" t="s">
        <v>49</v>
      </c>
      <c r="F2113" s="9" t="s">
        <v>69</v>
      </c>
      <c r="G2113" s="9" t="s">
        <v>70</v>
      </c>
      <c r="H2113" s="9" t="s">
        <v>7424</v>
      </c>
      <c r="I2113" s="9" t="s">
        <v>72</v>
      </c>
      <c r="J2113" s="10"/>
      <c r="K2113" s="10"/>
      <c r="L2113" s="10"/>
      <c r="M2113" s="10">
        <v>45160</v>
      </c>
      <c r="N2113" s="9">
        <v>2023</v>
      </c>
      <c r="O2113" s="9" t="s">
        <v>10660</v>
      </c>
      <c r="P2113" s="9" t="s">
        <v>53</v>
      </c>
      <c r="Q2113" s="9" t="s">
        <v>53</v>
      </c>
      <c r="R2113" s="9" t="s">
        <v>10661</v>
      </c>
      <c r="S2113" s="9"/>
      <c r="T2113" s="9"/>
      <c r="V2113" s="9"/>
      <c r="AC2113" s="9" t="s">
        <v>10662</v>
      </c>
      <c r="AH2113" s="9">
        <v>2110</v>
      </c>
      <c r="AI2113" s="9" t="s">
        <v>77</v>
      </c>
      <c r="AJ2113" s="9" t="s">
        <v>301</v>
      </c>
      <c r="AK2113" s="23" t="str">
        <f t="shared" si="16"/>
        <v>2023GBP</v>
      </c>
      <c r="AL2113" s="23">
        <f>VLOOKUP(AK2113, Exchange_rates!$C:$D, 2, FALSE)</f>
        <v>1</v>
      </c>
      <c r="AM2113" s="26">
        <f t="shared" si="17"/>
        <v>2532</v>
      </c>
      <c r="AN2113" s="9"/>
      <c r="AO2113" s="9"/>
      <c r="AP2113" s="9"/>
      <c r="AQ2113" s="15" t="s">
        <v>49</v>
      </c>
      <c r="AR2113" t="s">
        <v>420</v>
      </c>
      <c r="AS2113" s="16" t="s">
        <v>421</v>
      </c>
    </row>
    <row r="2114" spans="1:60" ht="14.5">
      <c r="A2114" s="9" t="s">
        <v>10663</v>
      </c>
      <c r="B2114" s="9" t="s">
        <v>10664</v>
      </c>
      <c r="C2114" s="9" t="s">
        <v>10665</v>
      </c>
      <c r="D2114" s="9" t="s">
        <v>361</v>
      </c>
      <c r="E2114" s="9" t="s">
        <v>49</v>
      </c>
      <c r="F2114" s="9" t="s">
        <v>50</v>
      </c>
      <c r="G2114" s="9" t="s">
        <v>51</v>
      </c>
      <c r="H2114" s="9"/>
      <c r="I2114" s="9"/>
      <c r="J2114" s="10"/>
      <c r="K2114" s="10"/>
      <c r="L2114" s="10"/>
      <c r="M2114" s="10">
        <v>45148</v>
      </c>
      <c r="N2114" s="9">
        <v>2023</v>
      </c>
      <c r="O2114" s="9" t="s">
        <v>10660</v>
      </c>
      <c r="P2114" s="9" t="s">
        <v>53</v>
      </c>
      <c r="Q2114" s="9" t="s">
        <v>53</v>
      </c>
      <c r="R2114" s="9" t="s">
        <v>10666</v>
      </c>
      <c r="S2114" s="9"/>
      <c r="T2114" s="9" t="s">
        <v>723</v>
      </c>
      <c r="V2114" s="9"/>
      <c r="AC2114" s="9" t="s">
        <v>10667</v>
      </c>
      <c r="AH2114" s="9">
        <v>2110</v>
      </c>
      <c r="AI2114" s="9" t="s">
        <v>875</v>
      </c>
      <c r="AJ2114" s="9" t="s">
        <v>301</v>
      </c>
      <c r="AK2114" s="23" t="str">
        <f t="shared" si="16"/>
        <v>2023GBP</v>
      </c>
      <c r="AL2114" s="23">
        <f>VLOOKUP(AK2114, Exchange_rates!$C:$D, 2, FALSE)</f>
        <v>1</v>
      </c>
      <c r="AM2114" s="26">
        <f t="shared" si="17"/>
        <v>2532</v>
      </c>
      <c r="AN2114" s="9"/>
      <c r="AO2114" s="9"/>
      <c r="AP2114" s="9"/>
      <c r="AQ2114" s="15" t="s">
        <v>49</v>
      </c>
      <c r="AR2114" t="s">
        <v>10668</v>
      </c>
      <c r="AS2114" s="16" t="s">
        <v>10669</v>
      </c>
    </row>
    <row r="2115" spans="1:60" ht="14.5">
      <c r="A2115" s="20" t="s">
        <v>10670</v>
      </c>
      <c r="B2115" s="20" t="s">
        <v>10671</v>
      </c>
      <c r="C2115" s="20" t="s">
        <v>10672</v>
      </c>
      <c r="D2115" s="20" t="s">
        <v>361</v>
      </c>
      <c r="E2115" s="20" t="s">
        <v>49</v>
      </c>
      <c r="F2115" s="20" t="s">
        <v>69</v>
      </c>
      <c r="G2115" s="20" t="s">
        <v>70</v>
      </c>
      <c r="H2115" s="20" t="s">
        <v>7424</v>
      </c>
      <c r="I2115" s="20" t="s">
        <v>72</v>
      </c>
      <c r="J2115" s="22"/>
      <c r="K2115" s="22"/>
      <c r="L2115" s="22"/>
      <c r="M2115" s="22">
        <v>45145</v>
      </c>
      <c r="N2115" s="20">
        <v>2023</v>
      </c>
      <c r="O2115" s="20" t="s">
        <v>10660</v>
      </c>
      <c r="P2115" s="20" t="s">
        <v>53</v>
      </c>
      <c r="Q2115" s="20" t="s">
        <v>53</v>
      </c>
      <c r="R2115" s="20" t="s">
        <v>92</v>
      </c>
      <c r="S2115" s="20"/>
      <c r="T2115" s="20"/>
      <c r="U2115" s="20"/>
      <c r="V2115" s="20"/>
      <c r="W2115" s="20"/>
      <c r="X2115" s="20"/>
      <c r="Y2115" s="20"/>
      <c r="Z2115" s="20"/>
      <c r="AA2115" s="20"/>
      <c r="AB2115" s="20"/>
      <c r="AC2115" s="20" t="s">
        <v>10673</v>
      </c>
      <c r="AD2115" s="20"/>
      <c r="AE2115" s="20"/>
      <c r="AF2115" s="20"/>
      <c r="AG2115" s="20"/>
      <c r="AH2115" s="20">
        <v>2110</v>
      </c>
      <c r="AI2115" s="20" t="s">
        <v>875</v>
      </c>
      <c r="AJ2115" s="20" t="s">
        <v>301</v>
      </c>
      <c r="AK2115" s="23" t="str">
        <f t="shared" si="16"/>
        <v>2023GBP</v>
      </c>
      <c r="AL2115" s="23">
        <f>VLOOKUP(AK2115, Exchange_rates!$C:$D, 2, FALSE)</f>
        <v>1</v>
      </c>
      <c r="AM2115" s="26">
        <f t="shared" si="17"/>
        <v>2532</v>
      </c>
      <c r="AN2115" s="20"/>
      <c r="AO2115" s="20"/>
      <c r="AP2115" s="20"/>
      <c r="AQ2115" s="27" t="s">
        <v>49</v>
      </c>
      <c r="AR2115" t="s">
        <v>10674</v>
      </c>
      <c r="AS2115" s="16" t="s">
        <v>10675</v>
      </c>
      <c r="AT2115" s="20"/>
      <c r="AU2115" s="20"/>
      <c r="AV2115" s="20"/>
      <c r="AW2115" s="20"/>
      <c r="AX2115" s="20"/>
      <c r="AY2115" s="20"/>
      <c r="AZ2115" s="20"/>
      <c r="BA2115" s="20"/>
      <c r="BB2115" s="20"/>
      <c r="BC2115" s="20"/>
      <c r="BD2115" s="20"/>
      <c r="BE2115" s="20"/>
      <c r="BF2115" s="20"/>
      <c r="BG2115" s="20"/>
      <c r="BH2115" s="20"/>
    </row>
    <row r="2116" spans="1:60" ht="14.5">
      <c r="A2116" s="20" t="s">
        <v>10676</v>
      </c>
      <c r="B2116" s="20" t="s">
        <v>10677</v>
      </c>
      <c r="C2116" s="20" t="s">
        <v>10678</v>
      </c>
      <c r="D2116" s="20" t="s">
        <v>2479</v>
      </c>
      <c r="E2116" s="20" t="s">
        <v>49</v>
      </c>
      <c r="F2116" s="20" t="s">
        <v>69</v>
      </c>
      <c r="G2116" s="20" t="s">
        <v>70</v>
      </c>
      <c r="H2116" s="20" t="s">
        <v>8594</v>
      </c>
      <c r="I2116" s="20" t="s">
        <v>72</v>
      </c>
      <c r="J2116" s="22">
        <v>45153</v>
      </c>
      <c r="K2116" s="22">
        <v>45170</v>
      </c>
      <c r="L2116" s="22"/>
      <c r="M2116" s="22">
        <v>45194</v>
      </c>
      <c r="N2116" s="20">
        <v>2023</v>
      </c>
      <c r="O2116" s="20" t="s">
        <v>10679</v>
      </c>
      <c r="P2116" s="20" t="s">
        <v>53</v>
      </c>
      <c r="Q2116" s="20" t="s">
        <v>53</v>
      </c>
      <c r="R2116" s="20" t="s">
        <v>10680</v>
      </c>
      <c r="S2116" s="20"/>
      <c r="T2116" s="20"/>
      <c r="U2116" s="20"/>
      <c r="V2116" s="20"/>
      <c r="W2116" s="20"/>
      <c r="X2116" s="20"/>
      <c r="Y2116" s="20"/>
      <c r="Z2116" s="20"/>
      <c r="AA2116" s="20"/>
      <c r="AB2116" s="20"/>
      <c r="AC2116" s="20" t="s">
        <v>10681</v>
      </c>
      <c r="AD2116" s="20" t="s">
        <v>10682</v>
      </c>
      <c r="AE2116" s="20" t="s">
        <v>10683</v>
      </c>
      <c r="AF2116" s="20" t="s">
        <v>10684</v>
      </c>
      <c r="AG2116" s="20"/>
      <c r="AH2116" s="20">
        <v>2199.9</v>
      </c>
      <c r="AI2116" s="20" t="s">
        <v>77</v>
      </c>
      <c r="AJ2116" s="20" t="s">
        <v>301</v>
      </c>
      <c r="AK2116" s="23" t="str">
        <f t="shared" si="16"/>
        <v>2023GBP</v>
      </c>
      <c r="AL2116" s="23">
        <f>VLOOKUP(AK2116, Exchange_rates!$C:$D, 2, FALSE)</f>
        <v>1</v>
      </c>
      <c r="AM2116" s="26">
        <f t="shared" si="17"/>
        <v>2639.88</v>
      </c>
      <c r="AN2116" s="20"/>
      <c r="AO2116" s="20"/>
      <c r="AP2116" s="20"/>
      <c r="AQ2116" s="27" t="s">
        <v>49</v>
      </c>
      <c r="AR2116" t="s">
        <v>10685</v>
      </c>
      <c r="AS2116" s="16" t="s">
        <v>10686</v>
      </c>
      <c r="AT2116" s="20"/>
      <c r="AU2116" s="20"/>
      <c r="AV2116" s="20"/>
      <c r="AW2116" s="20"/>
      <c r="AX2116" s="20"/>
      <c r="AY2116" s="20"/>
      <c r="AZ2116" s="20"/>
      <c r="BA2116" s="20"/>
      <c r="BB2116" s="20"/>
      <c r="BC2116" s="20"/>
      <c r="BD2116" s="20"/>
      <c r="BE2116" s="20"/>
      <c r="BF2116" s="20"/>
      <c r="BG2116" s="20"/>
      <c r="BH2116" s="20"/>
    </row>
    <row r="2117" spans="1:60" ht="14.5">
      <c r="A2117" s="20" t="s">
        <v>10687</v>
      </c>
      <c r="B2117" s="20" t="s">
        <v>10688</v>
      </c>
      <c r="C2117" s="20" t="s">
        <v>10689</v>
      </c>
      <c r="D2117" s="20" t="s">
        <v>2479</v>
      </c>
      <c r="E2117" s="20" t="s">
        <v>125</v>
      </c>
      <c r="F2117" s="20" t="s">
        <v>69</v>
      </c>
      <c r="G2117" s="20" t="s">
        <v>70</v>
      </c>
      <c r="H2117" s="20" t="s">
        <v>8594</v>
      </c>
      <c r="I2117" s="20" t="s">
        <v>10690</v>
      </c>
      <c r="J2117" s="22">
        <v>44978</v>
      </c>
      <c r="K2117" s="22">
        <v>45116</v>
      </c>
      <c r="L2117" s="22"/>
      <c r="M2117" s="22"/>
      <c r="N2117" s="20">
        <v>2023</v>
      </c>
      <c r="O2117" s="20" t="s">
        <v>10679</v>
      </c>
      <c r="P2117" s="20" t="s">
        <v>53</v>
      </c>
      <c r="Q2117" s="20" t="s">
        <v>53</v>
      </c>
      <c r="R2117" s="20" t="s">
        <v>10691</v>
      </c>
      <c r="S2117" s="20"/>
      <c r="T2117" s="20"/>
      <c r="U2117" s="20"/>
      <c r="V2117" s="20"/>
      <c r="W2117" s="20"/>
      <c r="X2117" s="20"/>
      <c r="Y2117" s="20"/>
      <c r="Z2117" s="20"/>
      <c r="AA2117" s="20"/>
      <c r="AB2117" s="20"/>
      <c r="AC2117" s="20" t="s">
        <v>10692</v>
      </c>
      <c r="AD2117" s="20" t="s">
        <v>10693</v>
      </c>
      <c r="AE2117" s="20" t="s">
        <v>10694</v>
      </c>
      <c r="AF2117" s="20" t="s">
        <v>10695</v>
      </c>
      <c r="AG2117" s="20"/>
      <c r="AH2117" s="20">
        <v>560</v>
      </c>
      <c r="AI2117" s="20" t="s">
        <v>77</v>
      </c>
      <c r="AJ2117" s="20" t="s">
        <v>301</v>
      </c>
      <c r="AK2117" s="23" t="str">
        <f t="shared" si="16"/>
        <v>2023GBP</v>
      </c>
      <c r="AL2117" s="23">
        <f>VLOOKUP(AK2117, Exchange_rates!$C:$D, 2, FALSE)</f>
        <v>1</v>
      </c>
      <c r="AM2117" s="26">
        <f t="shared" si="17"/>
        <v>672</v>
      </c>
      <c r="AN2117" s="20"/>
      <c r="AO2117" s="20"/>
      <c r="AP2117" s="20"/>
      <c r="AQ2117" s="27" t="s">
        <v>125</v>
      </c>
      <c r="AR2117" t="s">
        <v>10696</v>
      </c>
      <c r="AS2117" s="16"/>
      <c r="AT2117" s="20"/>
      <c r="AU2117" s="20"/>
      <c r="AV2117" s="20"/>
      <c r="AW2117" s="20"/>
      <c r="AX2117" s="20"/>
      <c r="AY2117" s="20"/>
      <c r="AZ2117" s="20"/>
      <c r="BA2117" s="20"/>
      <c r="BB2117" s="20"/>
      <c r="BC2117" s="20"/>
      <c r="BD2117" s="20"/>
      <c r="BE2117" s="20"/>
      <c r="BF2117" s="20"/>
      <c r="BG2117" s="20"/>
      <c r="BH2117" s="20"/>
    </row>
    <row r="2118" spans="1:60" ht="14.5">
      <c r="A2118" s="20" t="s">
        <v>10697</v>
      </c>
      <c r="B2118" s="20" t="s">
        <v>10698</v>
      </c>
      <c r="C2118" s="20" t="s">
        <v>10699</v>
      </c>
      <c r="D2118" s="20" t="s">
        <v>2479</v>
      </c>
      <c r="E2118" s="20" t="s">
        <v>49</v>
      </c>
      <c r="F2118" s="20" t="s">
        <v>69</v>
      </c>
      <c r="G2118" s="20" t="s">
        <v>70</v>
      </c>
      <c r="H2118" s="20" t="s">
        <v>8594</v>
      </c>
      <c r="I2118" s="20" t="s">
        <v>238</v>
      </c>
      <c r="J2118" s="22">
        <v>44958</v>
      </c>
      <c r="K2118" s="22">
        <v>45163</v>
      </c>
      <c r="L2118" s="22"/>
      <c r="M2118" s="22"/>
      <c r="N2118" s="20">
        <v>2023</v>
      </c>
      <c r="O2118" s="20" t="s">
        <v>10679</v>
      </c>
      <c r="P2118" s="20" t="s">
        <v>53</v>
      </c>
      <c r="Q2118" s="20" t="s">
        <v>53</v>
      </c>
      <c r="R2118" s="20" t="s">
        <v>10647</v>
      </c>
      <c r="S2118" s="20"/>
      <c r="T2118" s="20"/>
      <c r="U2118" s="20"/>
      <c r="V2118" s="20"/>
      <c r="W2118" s="20"/>
      <c r="X2118" s="20"/>
      <c r="Y2118" s="20"/>
      <c r="Z2118" s="20"/>
      <c r="AA2118" s="20"/>
      <c r="AB2118" s="20"/>
      <c r="AC2118" s="20" t="s">
        <v>10700</v>
      </c>
      <c r="AD2118" s="20" t="s">
        <v>10701</v>
      </c>
      <c r="AE2118" s="20" t="s">
        <v>10702</v>
      </c>
      <c r="AF2118" s="20"/>
      <c r="AG2118" s="20"/>
      <c r="AH2118" s="20">
        <v>2383.23</v>
      </c>
      <c r="AI2118" s="20" t="s">
        <v>77</v>
      </c>
      <c r="AJ2118" s="20" t="s">
        <v>301</v>
      </c>
      <c r="AK2118" s="23" t="str">
        <f t="shared" si="16"/>
        <v>2023GBP</v>
      </c>
      <c r="AL2118" s="23">
        <f>VLOOKUP(AK2118, Exchange_rates!$C:$D, 2, FALSE)</f>
        <v>1</v>
      </c>
      <c r="AM2118" s="26">
        <f t="shared" si="17"/>
        <v>2859.8759999999997</v>
      </c>
      <c r="AN2118" s="20"/>
      <c r="AO2118" s="20"/>
      <c r="AP2118" s="20"/>
      <c r="AQ2118" s="27" t="s">
        <v>49</v>
      </c>
      <c r="AR2118" t="s">
        <v>10703</v>
      </c>
      <c r="AS2118" s="16" t="s">
        <v>10704</v>
      </c>
      <c r="AT2118" s="20"/>
      <c r="AU2118" s="20"/>
      <c r="AV2118" s="20"/>
      <c r="AW2118" s="20"/>
      <c r="AX2118" s="20"/>
      <c r="AY2118" s="20"/>
      <c r="AZ2118" s="20"/>
      <c r="BA2118" s="20"/>
      <c r="BB2118" s="20"/>
      <c r="BC2118" s="20"/>
      <c r="BD2118" s="20"/>
      <c r="BE2118" s="20"/>
      <c r="BF2118" s="20"/>
      <c r="BG2118" s="20"/>
      <c r="BH2118" s="20"/>
    </row>
    <row r="2119" spans="1:60" ht="14.5">
      <c r="A2119" s="20" t="s">
        <v>10705</v>
      </c>
      <c r="B2119" s="20" t="s">
        <v>10706</v>
      </c>
      <c r="C2119" s="20" t="s">
        <v>8623</v>
      </c>
      <c r="D2119" s="20" t="s">
        <v>2479</v>
      </c>
      <c r="E2119" s="20" t="s">
        <v>49</v>
      </c>
      <c r="F2119" s="20" t="s">
        <v>69</v>
      </c>
      <c r="G2119" s="20" t="s">
        <v>70</v>
      </c>
      <c r="H2119" s="20" t="s">
        <v>8594</v>
      </c>
      <c r="I2119" s="20" t="s">
        <v>238</v>
      </c>
      <c r="J2119" s="22">
        <v>44957</v>
      </c>
      <c r="K2119" s="22">
        <v>45188</v>
      </c>
      <c r="L2119" s="22"/>
      <c r="M2119" s="22"/>
      <c r="N2119" s="20">
        <v>2023</v>
      </c>
      <c r="O2119" s="20" t="s">
        <v>10679</v>
      </c>
      <c r="P2119" s="20" t="s">
        <v>53</v>
      </c>
      <c r="Q2119" s="20" t="s">
        <v>53</v>
      </c>
      <c r="R2119" s="20" t="s">
        <v>10647</v>
      </c>
      <c r="S2119" s="20"/>
      <c r="T2119" s="20"/>
      <c r="U2119" s="20"/>
      <c r="V2119" s="20"/>
      <c r="W2119" s="20"/>
      <c r="X2119" s="20"/>
      <c r="Y2119" s="20"/>
      <c r="Z2119" s="20"/>
      <c r="AA2119" s="20"/>
      <c r="AB2119" s="20"/>
      <c r="AC2119" s="20" t="s">
        <v>623</v>
      </c>
      <c r="AD2119" s="20" t="s">
        <v>624</v>
      </c>
      <c r="AE2119" s="20" t="s">
        <v>10707</v>
      </c>
      <c r="AF2119" s="20" t="s">
        <v>10708</v>
      </c>
      <c r="AG2119" s="20"/>
      <c r="AH2119" s="20">
        <v>2383.23</v>
      </c>
      <c r="AI2119" s="20" t="s">
        <v>77</v>
      </c>
      <c r="AJ2119" s="20" t="s">
        <v>301</v>
      </c>
      <c r="AK2119" s="23" t="str">
        <f t="shared" si="16"/>
        <v>2023GBP</v>
      </c>
      <c r="AL2119" s="23">
        <f>VLOOKUP(AK2119, Exchange_rates!$C:$D, 2, FALSE)</f>
        <v>1</v>
      </c>
      <c r="AM2119" s="26">
        <f t="shared" si="17"/>
        <v>2859.8759999999997</v>
      </c>
      <c r="AN2119" s="20"/>
      <c r="AO2119" s="20"/>
      <c r="AP2119" s="20"/>
      <c r="AQ2119" s="27" t="s">
        <v>49</v>
      </c>
      <c r="AR2119" t="s">
        <v>8626</v>
      </c>
      <c r="AS2119" s="16" t="s">
        <v>8627</v>
      </c>
      <c r="AT2119" s="20"/>
      <c r="AU2119" s="20"/>
      <c r="AV2119" s="20"/>
      <c r="AW2119" s="20"/>
      <c r="AX2119" s="20"/>
      <c r="AY2119" s="20"/>
      <c r="AZ2119" s="20"/>
      <c r="BA2119" s="20"/>
      <c r="BB2119" s="20"/>
      <c r="BC2119" s="20"/>
      <c r="BD2119" s="20"/>
      <c r="BE2119" s="20"/>
      <c r="BF2119" s="20"/>
      <c r="BG2119" s="20"/>
      <c r="BH2119" s="20"/>
    </row>
    <row r="2120" spans="1:60" ht="14.5">
      <c r="A2120" s="20" t="s">
        <v>10709</v>
      </c>
      <c r="B2120" s="20" t="s">
        <v>10710</v>
      </c>
      <c r="C2120" s="20" t="s">
        <v>8281</v>
      </c>
      <c r="D2120" s="20" t="s">
        <v>2479</v>
      </c>
      <c r="E2120" s="20" t="s">
        <v>49</v>
      </c>
      <c r="F2120" s="20" t="s">
        <v>69</v>
      </c>
      <c r="G2120" s="20" t="s">
        <v>70</v>
      </c>
      <c r="H2120" s="20" t="s">
        <v>8594</v>
      </c>
      <c r="I2120" s="20" t="s">
        <v>238</v>
      </c>
      <c r="J2120" s="42">
        <v>44916</v>
      </c>
      <c r="K2120" s="22">
        <v>45175</v>
      </c>
      <c r="L2120" s="22"/>
      <c r="M2120" s="22"/>
      <c r="N2120" s="20">
        <v>2023</v>
      </c>
      <c r="O2120" s="20" t="s">
        <v>10679</v>
      </c>
      <c r="P2120" s="20" t="s">
        <v>53</v>
      </c>
      <c r="Q2120" s="20" t="s">
        <v>53</v>
      </c>
      <c r="R2120" s="20" t="s">
        <v>10647</v>
      </c>
      <c r="S2120" s="20"/>
      <c r="T2120" s="20"/>
      <c r="U2120" s="20"/>
      <c r="V2120" s="20"/>
      <c r="W2120" s="20"/>
      <c r="X2120" s="20"/>
      <c r="Y2120" s="20"/>
      <c r="Z2120" s="20"/>
      <c r="AA2120" s="20"/>
      <c r="AB2120" s="20"/>
      <c r="AC2120" s="20" t="s">
        <v>8487</v>
      </c>
      <c r="AD2120" s="20" t="s">
        <v>8488</v>
      </c>
      <c r="AE2120" s="20" t="s">
        <v>10711</v>
      </c>
      <c r="AF2120" s="20" t="s">
        <v>10712</v>
      </c>
      <c r="AG2120" s="20"/>
      <c r="AH2120" s="20">
        <v>2749.88</v>
      </c>
      <c r="AI2120" s="20" t="s">
        <v>77</v>
      </c>
      <c r="AJ2120" s="20" t="s">
        <v>301</v>
      </c>
      <c r="AK2120" s="23" t="str">
        <f t="shared" si="16"/>
        <v>2023GBP</v>
      </c>
      <c r="AL2120" s="23">
        <f>VLOOKUP(AK2120, Exchange_rates!$C:$D, 2, FALSE)</f>
        <v>1</v>
      </c>
      <c r="AM2120" s="26">
        <f t="shared" si="17"/>
        <v>3299.8560000000002</v>
      </c>
      <c r="AN2120" s="20"/>
      <c r="AO2120" s="20"/>
      <c r="AP2120" s="20"/>
      <c r="AQ2120" s="27" t="s">
        <v>49</v>
      </c>
      <c r="AR2120" t="s">
        <v>8285</v>
      </c>
      <c r="AS2120" s="16" t="s">
        <v>8286</v>
      </c>
      <c r="AT2120" s="20"/>
      <c r="AU2120" s="20"/>
      <c r="AV2120" s="20"/>
      <c r="AW2120" s="20"/>
      <c r="AX2120" s="20"/>
      <c r="AY2120" s="20"/>
      <c r="AZ2120" s="20"/>
      <c r="BA2120" s="20"/>
      <c r="BB2120" s="20"/>
      <c r="BC2120" s="20"/>
      <c r="BD2120" s="20"/>
      <c r="BE2120" s="20"/>
      <c r="BF2120" s="20"/>
      <c r="BG2120" s="20"/>
      <c r="BH2120" s="20"/>
    </row>
    <row r="2121" spans="1:60" ht="14.5">
      <c r="A2121" s="20" t="s">
        <v>10713</v>
      </c>
      <c r="B2121" s="20" t="s">
        <v>10714</v>
      </c>
      <c r="C2121" s="20" t="s">
        <v>10715</v>
      </c>
      <c r="D2121" s="20" t="s">
        <v>361</v>
      </c>
      <c r="E2121" s="20" t="s">
        <v>49</v>
      </c>
      <c r="F2121" s="20" t="s">
        <v>69</v>
      </c>
      <c r="G2121" s="20" t="s">
        <v>70</v>
      </c>
      <c r="H2121" s="20" t="s">
        <v>7424</v>
      </c>
      <c r="I2121" s="20" t="s">
        <v>10690</v>
      </c>
      <c r="J2121" s="22"/>
      <c r="K2121" s="22"/>
      <c r="L2121" s="22"/>
      <c r="M2121" s="22">
        <v>45194</v>
      </c>
      <c r="N2121" s="20">
        <v>2023</v>
      </c>
      <c r="O2121" s="20" t="s">
        <v>10716</v>
      </c>
      <c r="P2121" s="20" t="s">
        <v>53</v>
      </c>
      <c r="Q2121" s="20" t="s">
        <v>53</v>
      </c>
      <c r="R2121" s="20" t="s">
        <v>10717</v>
      </c>
      <c r="S2121" s="20"/>
      <c r="T2121" s="20"/>
      <c r="U2121" s="20"/>
      <c r="V2121" s="20"/>
      <c r="W2121" s="20"/>
      <c r="X2121" s="20"/>
      <c r="Y2121" s="20"/>
      <c r="Z2121" s="20"/>
      <c r="AA2121" s="20"/>
      <c r="AB2121" s="20"/>
      <c r="AC2121" s="20" t="s">
        <v>10718</v>
      </c>
      <c r="AD2121" s="20"/>
      <c r="AE2121" s="20"/>
      <c r="AF2121" s="20"/>
      <c r="AG2121" s="20"/>
      <c r="AH2121" s="20">
        <v>2110</v>
      </c>
      <c r="AI2121" s="20" t="s">
        <v>77</v>
      </c>
      <c r="AJ2121" s="20" t="s">
        <v>301</v>
      </c>
      <c r="AK2121" s="23" t="str">
        <f t="shared" si="16"/>
        <v>2023GBP</v>
      </c>
      <c r="AL2121" s="23">
        <f>VLOOKUP(AK2121, Exchange_rates!$C:$D, 2, FALSE)</f>
        <v>1</v>
      </c>
      <c r="AM2121" s="26">
        <f t="shared" si="17"/>
        <v>2532</v>
      </c>
      <c r="AN2121" s="20"/>
      <c r="AO2121" s="20"/>
      <c r="AP2121" s="20"/>
      <c r="AQ2121" s="27" t="s">
        <v>49</v>
      </c>
      <c r="AR2121" t="s">
        <v>10719</v>
      </c>
      <c r="AS2121" s="16" t="s">
        <v>10720</v>
      </c>
      <c r="AT2121" s="20"/>
      <c r="AU2121" s="20"/>
      <c r="AV2121" s="20"/>
      <c r="AW2121" s="20"/>
      <c r="AX2121" s="20"/>
      <c r="AY2121" s="20"/>
      <c r="AZ2121" s="20"/>
      <c r="BA2121" s="20"/>
      <c r="BB2121" s="20"/>
      <c r="BC2121" s="20"/>
      <c r="BD2121" s="20"/>
      <c r="BE2121" s="20"/>
      <c r="BF2121" s="20"/>
      <c r="BG2121" s="20"/>
      <c r="BH2121" s="20"/>
    </row>
    <row r="2122" spans="1:60" ht="14.5">
      <c r="A2122" s="20" t="s">
        <v>10721</v>
      </c>
      <c r="B2122" s="20" t="s">
        <v>10722</v>
      </c>
      <c r="C2122" s="20" t="s">
        <v>508</v>
      </c>
      <c r="D2122" s="20" t="s">
        <v>361</v>
      </c>
      <c r="E2122" s="20" t="s">
        <v>49</v>
      </c>
      <c r="F2122" s="20" t="s">
        <v>69</v>
      </c>
      <c r="G2122" s="20" t="s">
        <v>70</v>
      </c>
      <c r="H2122" s="20" t="s">
        <v>7424</v>
      </c>
      <c r="I2122" s="20" t="s">
        <v>10690</v>
      </c>
      <c r="J2122" s="22"/>
      <c r="K2122" s="22"/>
      <c r="L2122" s="22"/>
      <c r="M2122" s="22">
        <v>45033</v>
      </c>
      <c r="N2122" s="20">
        <v>2023</v>
      </c>
      <c r="O2122" s="20" t="s">
        <v>10716</v>
      </c>
      <c r="P2122" s="20" t="s">
        <v>53</v>
      </c>
      <c r="Q2122" s="20" t="s">
        <v>53</v>
      </c>
      <c r="R2122" s="20" t="s">
        <v>92</v>
      </c>
      <c r="S2122" s="20"/>
      <c r="T2122" s="20"/>
      <c r="U2122" s="20"/>
      <c r="V2122" s="20"/>
      <c r="W2122" s="20"/>
      <c r="X2122" s="20"/>
      <c r="Y2122" s="20"/>
      <c r="Z2122" s="20"/>
      <c r="AA2122" s="20"/>
      <c r="AB2122" s="20"/>
      <c r="AC2122" s="20" t="s">
        <v>10723</v>
      </c>
      <c r="AD2122" s="20"/>
      <c r="AE2122" s="20"/>
      <c r="AF2122" s="20"/>
      <c r="AG2122" s="20"/>
      <c r="AH2122" s="20">
        <v>2110</v>
      </c>
      <c r="AI2122" s="20" t="s">
        <v>77</v>
      </c>
      <c r="AJ2122" s="20" t="s">
        <v>301</v>
      </c>
      <c r="AK2122" s="23" t="str">
        <f t="shared" si="16"/>
        <v>2023GBP</v>
      </c>
      <c r="AL2122" s="23">
        <f>VLOOKUP(AK2122, Exchange_rates!$C:$D, 2, FALSE)</f>
        <v>1</v>
      </c>
      <c r="AM2122" s="26">
        <f t="shared" si="17"/>
        <v>2532</v>
      </c>
      <c r="AN2122" s="20"/>
      <c r="AO2122" s="20"/>
      <c r="AP2122" s="20"/>
      <c r="AQ2122" s="27" t="s">
        <v>49</v>
      </c>
      <c r="AR2122" t="s">
        <v>512</v>
      </c>
      <c r="AS2122" s="16" t="s">
        <v>513</v>
      </c>
      <c r="AT2122" s="20"/>
      <c r="AU2122" s="20"/>
      <c r="AV2122" s="20"/>
      <c r="AW2122" s="20"/>
      <c r="AX2122" s="20"/>
      <c r="AY2122" s="20"/>
      <c r="AZ2122" s="20"/>
      <c r="BA2122" s="20"/>
      <c r="BB2122" s="20"/>
      <c r="BC2122" s="20"/>
      <c r="BD2122" s="20"/>
      <c r="BE2122" s="20"/>
      <c r="BF2122" s="20"/>
      <c r="BG2122" s="20"/>
      <c r="BH2122" s="20"/>
    </row>
    <row r="2123" spans="1:60" ht="14.5">
      <c r="A2123" s="20" t="s">
        <v>10724</v>
      </c>
      <c r="B2123" s="20" t="s">
        <v>10725</v>
      </c>
      <c r="C2123" s="20" t="s">
        <v>10726</v>
      </c>
      <c r="D2123" s="20" t="s">
        <v>361</v>
      </c>
      <c r="E2123" s="20" t="s">
        <v>125</v>
      </c>
      <c r="F2123" s="20" t="s">
        <v>69</v>
      </c>
      <c r="G2123" s="20" t="s">
        <v>70</v>
      </c>
      <c r="H2123" s="20" t="s">
        <v>7424</v>
      </c>
      <c r="I2123" s="20" t="s">
        <v>10690</v>
      </c>
      <c r="J2123" s="22"/>
      <c r="K2123" s="22"/>
      <c r="L2123" s="22"/>
      <c r="M2123" s="22">
        <v>45195</v>
      </c>
      <c r="N2123" s="20">
        <v>2023</v>
      </c>
      <c r="O2123" s="20" t="s">
        <v>10716</v>
      </c>
      <c r="P2123" s="20" t="s">
        <v>53</v>
      </c>
      <c r="Q2123" s="20" t="s">
        <v>53</v>
      </c>
      <c r="R2123" s="20" t="s">
        <v>10727</v>
      </c>
      <c r="S2123" s="20"/>
      <c r="T2123" s="20"/>
      <c r="U2123" s="20"/>
      <c r="V2123" s="20"/>
      <c r="W2123" s="20"/>
      <c r="X2123" s="20"/>
      <c r="Y2123" s="20"/>
      <c r="Z2123" s="20"/>
      <c r="AA2123" s="20"/>
      <c r="AB2123" s="20"/>
      <c r="AC2123" s="20" t="s">
        <v>10728</v>
      </c>
      <c r="AD2123" s="20"/>
      <c r="AE2123" s="20"/>
      <c r="AF2123" s="20"/>
      <c r="AG2123" s="20"/>
      <c r="AH2123" s="20">
        <v>2110</v>
      </c>
      <c r="AI2123" s="20" t="s">
        <v>875</v>
      </c>
      <c r="AJ2123" s="20" t="s">
        <v>301</v>
      </c>
      <c r="AK2123" s="23" t="str">
        <f t="shared" si="16"/>
        <v>2023GBP</v>
      </c>
      <c r="AL2123" s="23">
        <f>VLOOKUP(AK2123, Exchange_rates!$C:$D, 2, FALSE)</f>
        <v>1</v>
      </c>
      <c r="AM2123" s="26">
        <f t="shared" si="17"/>
        <v>2532</v>
      </c>
      <c r="AN2123" s="20"/>
      <c r="AO2123" s="20"/>
      <c r="AP2123" s="20"/>
      <c r="AQ2123" s="27" t="s">
        <v>125</v>
      </c>
      <c r="AR2123" t="s">
        <v>10729</v>
      </c>
      <c r="AS2123" s="16" t="s">
        <v>10730</v>
      </c>
      <c r="AT2123" s="20"/>
      <c r="AU2123" s="20"/>
      <c r="AV2123" s="20"/>
      <c r="AW2123" s="20"/>
      <c r="AX2123" s="20"/>
      <c r="AY2123" s="20"/>
      <c r="AZ2123" s="20"/>
      <c r="BA2123" s="20"/>
      <c r="BB2123" s="20"/>
      <c r="BC2123" s="20"/>
      <c r="BD2123" s="20"/>
      <c r="BE2123" s="20"/>
      <c r="BF2123" s="20"/>
      <c r="BG2123" s="20"/>
      <c r="BH2123" s="20"/>
    </row>
    <row r="2124" spans="1:60" ht="14.5">
      <c r="A2124" s="20" t="s">
        <v>10731</v>
      </c>
      <c r="B2124" s="20" t="s">
        <v>10732</v>
      </c>
      <c r="C2124" s="20" t="s">
        <v>10733</v>
      </c>
      <c r="D2124" s="20" t="s">
        <v>1560</v>
      </c>
      <c r="E2124" s="20" t="s">
        <v>49</v>
      </c>
      <c r="F2124" s="20" t="s">
        <v>50</v>
      </c>
      <c r="G2124" s="20" t="s">
        <v>51</v>
      </c>
      <c r="H2124" s="20"/>
      <c r="I2124" s="20" t="s">
        <v>1647</v>
      </c>
      <c r="J2124" s="22"/>
      <c r="K2124" s="22">
        <v>45140</v>
      </c>
      <c r="L2124" s="22"/>
      <c r="M2124" s="22">
        <v>45157</v>
      </c>
      <c r="N2124" s="20">
        <v>2023</v>
      </c>
      <c r="O2124" s="20" t="s">
        <v>10734</v>
      </c>
      <c r="P2124" s="20" t="s">
        <v>53</v>
      </c>
      <c r="Q2124" s="20" t="s">
        <v>53</v>
      </c>
      <c r="R2124" s="20">
        <v>0</v>
      </c>
      <c r="S2124" s="20"/>
      <c r="T2124" s="20" t="s">
        <v>1912</v>
      </c>
      <c r="U2124" s="20" t="s">
        <v>474</v>
      </c>
      <c r="V2124" s="20"/>
      <c r="W2124" s="20"/>
      <c r="X2124" s="20"/>
      <c r="Y2124" s="20"/>
      <c r="Z2124" s="20"/>
      <c r="AA2124" s="20"/>
      <c r="AB2124" s="20"/>
      <c r="AC2124" s="20" t="s">
        <v>10735</v>
      </c>
      <c r="AD2124" s="20" t="s">
        <v>10736</v>
      </c>
      <c r="AE2124" s="20"/>
      <c r="AF2124" s="20"/>
      <c r="AG2124" s="20"/>
      <c r="AH2124" s="20">
        <v>2536</v>
      </c>
      <c r="AI2124" s="20" t="s">
        <v>77</v>
      </c>
      <c r="AJ2124" s="20" t="s">
        <v>301</v>
      </c>
      <c r="AK2124" s="23" t="str">
        <f t="shared" si="16"/>
        <v>2023GBP</v>
      </c>
      <c r="AL2124" s="23">
        <f>VLOOKUP(AK2124, Exchange_rates!$C:$D, 2, FALSE)</f>
        <v>1</v>
      </c>
      <c r="AM2124" s="26">
        <f t="shared" si="17"/>
        <v>3043.2</v>
      </c>
      <c r="AN2124" s="20"/>
      <c r="AO2124" s="20"/>
      <c r="AP2124" s="20"/>
      <c r="AQ2124" s="27" t="s">
        <v>49</v>
      </c>
      <c r="AS2124" s="16" t="s">
        <v>10737</v>
      </c>
      <c r="AT2124" s="20"/>
      <c r="AU2124" s="20"/>
      <c r="AV2124" s="20"/>
      <c r="AW2124" s="20"/>
      <c r="AX2124" s="20"/>
      <c r="AY2124" s="20"/>
      <c r="AZ2124" s="20"/>
      <c r="BA2124" s="20"/>
      <c r="BB2124" s="20"/>
      <c r="BC2124" s="20"/>
      <c r="BD2124" s="20"/>
      <c r="BE2124" s="20"/>
      <c r="BF2124" s="20"/>
      <c r="BG2124" s="20"/>
      <c r="BH2124" s="20"/>
    </row>
    <row r="2125" spans="1:60" ht="14.5">
      <c r="A2125" s="20" t="s">
        <v>10738</v>
      </c>
      <c r="B2125" s="20" t="s">
        <v>10739</v>
      </c>
      <c r="C2125" s="20" t="s">
        <v>10740</v>
      </c>
      <c r="D2125" s="20" t="s">
        <v>1560</v>
      </c>
      <c r="E2125" s="20" t="s">
        <v>49</v>
      </c>
      <c r="F2125" s="20" t="s">
        <v>69</v>
      </c>
      <c r="G2125" s="20" t="s">
        <v>70</v>
      </c>
      <c r="H2125" s="20" t="s">
        <v>8860</v>
      </c>
      <c r="I2125" s="20" t="s">
        <v>10690</v>
      </c>
      <c r="J2125" s="22"/>
      <c r="K2125" s="22">
        <v>45141</v>
      </c>
      <c r="L2125" s="22"/>
      <c r="M2125" s="22">
        <v>45143</v>
      </c>
      <c r="N2125" s="20">
        <v>2023</v>
      </c>
      <c r="O2125" s="20" t="s">
        <v>10734</v>
      </c>
      <c r="P2125" s="20" t="s">
        <v>53</v>
      </c>
      <c r="Q2125" s="20" t="s">
        <v>53</v>
      </c>
      <c r="R2125" s="20" t="s">
        <v>10741</v>
      </c>
      <c r="S2125" s="20"/>
      <c r="T2125" s="20"/>
      <c r="U2125" s="20"/>
      <c r="V2125" s="20"/>
      <c r="W2125" s="20"/>
      <c r="X2125" s="20"/>
      <c r="Y2125" s="20"/>
      <c r="Z2125" s="20"/>
      <c r="AA2125" s="20"/>
      <c r="AB2125" s="20"/>
      <c r="AC2125" s="20" t="s">
        <v>10742</v>
      </c>
      <c r="AD2125" s="20" t="s">
        <v>10743</v>
      </c>
      <c r="AE2125" s="20"/>
      <c r="AF2125" s="20"/>
      <c r="AG2125" s="20"/>
      <c r="AH2125" s="20">
        <v>4179</v>
      </c>
      <c r="AI2125" s="20" t="s">
        <v>77</v>
      </c>
      <c r="AJ2125" s="20" t="s">
        <v>57</v>
      </c>
      <c r="AK2125" s="23" t="str">
        <f t="shared" si="16"/>
        <v>2023USD</v>
      </c>
      <c r="AL2125" s="23">
        <f>VLOOKUP(AK2125, Exchange_rates!$C:$D, 2, FALSE)</f>
        <v>0.80430000000000001</v>
      </c>
      <c r="AM2125" s="26">
        <f t="shared" si="17"/>
        <v>4033.4036399999995</v>
      </c>
      <c r="AN2125" s="20"/>
      <c r="AO2125" s="20"/>
      <c r="AP2125" s="20"/>
      <c r="AQ2125" s="27" t="s">
        <v>49</v>
      </c>
      <c r="AS2125" s="16" t="s">
        <v>10744</v>
      </c>
      <c r="AT2125" s="20"/>
      <c r="AU2125" s="20"/>
      <c r="AV2125" s="20"/>
      <c r="AW2125" s="20"/>
      <c r="AX2125" s="20"/>
      <c r="AY2125" s="20"/>
      <c r="AZ2125" s="20"/>
      <c r="BA2125" s="20"/>
      <c r="BB2125" s="20"/>
      <c r="BC2125" s="20"/>
      <c r="BD2125" s="20"/>
      <c r="BE2125" s="20"/>
      <c r="BF2125" s="20"/>
      <c r="BG2125" s="20"/>
      <c r="BH2125" s="20"/>
    </row>
    <row r="2126" spans="1:60" ht="14.5">
      <c r="A2126" s="20" t="s">
        <v>10745</v>
      </c>
      <c r="B2126" s="20" t="s">
        <v>10746</v>
      </c>
      <c r="C2126" s="20" t="s">
        <v>7721</v>
      </c>
      <c r="D2126" s="20" t="s">
        <v>1560</v>
      </c>
      <c r="E2126" s="20" t="s">
        <v>49</v>
      </c>
      <c r="F2126" s="20" t="s">
        <v>50</v>
      </c>
      <c r="G2126" s="20" t="s">
        <v>51</v>
      </c>
      <c r="H2126" s="20"/>
      <c r="I2126" s="20" t="s">
        <v>1647</v>
      </c>
      <c r="J2126" s="22"/>
      <c r="K2126" s="47">
        <v>45152</v>
      </c>
      <c r="L2126" s="22"/>
      <c r="M2126" s="22">
        <v>45170</v>
      </c>
      <c r="N2126" s="20">
        <v>2023</v>
      </c>
      <c r="O2126" s="20" t="s">
        <v>10734</v>
      </c>
      <c r="P2126" s="20" t="s">
        <v>53</v>
      </c>
      <c r="Q2126" s="20" t="s">
        <v>53</v>
      </c>
      <c r="R2126" s="20">
        <v>0</v>
      </c>
      <c r="S2126" s="20"/>
      <c r="T2126" s="20" t="s">
        <v>1912</v>
      </c>
      <c r="U2126" s="20" t="s">
        <v>474</v>
      </c>
      <c r="V2126" s="20"/>
      <c r="W2126" s="20"/>
      <c r="X2126" s="20"/>
      <c r="Y2126" s="20"/>
      <c r="Z2126" s="20"/>
      <c r="AA2126" s="20"/>
      <c r="AB2126" s="20"/>
      <c r="AC2126" s="20" t="s">
        <v>10747</v>
      </c>
      <c r="AD2126" s="20" t="s">
        <v>10748</v>
      </c>
      <c r="AE2126" s="20"/>
      <c r="AF2126" s="20"/>
      <c r="AG2126" s="20"/>
      <c r="AH2126" s="20">
        <v>2920</v>
      </c>
      <c r="AI2126" s="20" t="s">
        <v>77</v>
      </c>
      <c r="AJ2126" s="20" t="s">
        <v>301</v>
      </c>
      <c r="AK2126" s="23" t="str">
        <f t="shared" si="16"/>
        <v>2023GBP</v>
      </c>
      <c r="AL2126" s="23">
        <f>VLOOKUP(AK2126, Exchange_rates!$C:$D, 2, FALSE)</f>
        <v>1</v>
      </c>
      <c r="AM2126" s="26">
        <f t="shared" si="17"/>
        <v>3504</v>
      </c>
      <c r="AN2126" s="20"/>
      <c r="AO2126" s="20"/>
      <c r="AP2126" s="20"/>
      <c r="AQ2126" s="27" t="s">
        <v>49</v>
      </c>
      <c r="AR2126" t="s">
        <v>7725</v>
      </c>
      <c r="AS2126" s="16" t="s">
        <v>7726</v>
      </c>
      <c r="AT2126" s="20"/>
      <c r="AU2126" s="20"/>
      <c r="AV2126" s="20"/>
      <c r="AW2126" s="20"/>
      <c r="AX2126" s="20"/>
      <c r="AY2126" s="20"/>
      <c r="AZ2126" s="20"/>
      <c r="BA2126" s="20"/>
      <c r="BB2126" s="20"/>
      <c r="BC2126" s="20"/>
      <c r="BD2126" s="20"/>
      <c r="BE2126" s="20"/>
      <c r="BF2126" s="20"/>
      <c r="BG2126" s="20"/>
      <c r="BH2126" s="20"/>
    </row>
    <row r="2127" spans="1:60" ht="14.5">
      <c r="A2127" s="20" t="s">
        <v>10749</v>
      </c>
      <c r="B2127" s="20" t="s">
        <v>10750</v>
      </c>
      <c r="C2127" s="20" t="s">
        <v>10751</v>
      </c>
      <c r="D2127" s="20" t="s">
        <v>1560</v>
      </c>
      <c r="E2127" s="20" t="s">
        <v>125</v>
      </c>
      <c r="F2127" s="20" t="s">
        <v>69</v>
      </c>
      <c r="G2127" s="20" t="s">
        <v>70</v>
      </c>
      <c r="H2127" s="20" t="s">
        <v>8860</v>
      </c>
      <c r="I2127" s="20" t="s">
        <v>10690</v>
      </c>
      <c r="J2127" s="22"/>
      <c r="K2127" s="47">
        <v>45160</v>
      </c>
      <c r="L2127" s="22"/>
      <c r="M2127" s="22">
        <v>45184</v>
      </c>
      <c r="N2127" s="20">
        <v>2023</v>
      </c>
      <c r="O2127" s="20" t="s">
        <v>10734</v>
      </c>
      <c r="P2127" s="20" t="s">
        <v>53</v>
      </c>
      <c r="Q2127" s="20" t="s">
        <v>53</v>
      </c>
      <c r="R2127" s="20" t="s">
        <v>10752</v>
      </c>
      <c r="S2127" s="20"/>
      <c r="T2127" s="20"/>
      <c r="U2127" s="20"/>
      <c r="V2127" s="20"/>
      <c r="W2127" s="20"/>
      <c r="X2127" s="20"/>
      <c r="Y2127" s="20"/>
      <c r="Z2127" s="20"/>
      <c r="AA2127" s="20"/>
      <c r="AB2127" s="20"/>
      <c r="AC2127" s="20" t="s">
        <v>10753</v>
      </c>
      <c r="AD2127" s="20" t="s">
        <v>10754</v>
      </c>
      <c r="AE2127" s="20"/>
      <c r="AF2127" s="20"/>
      <c r="AG2127" s="20"/>
      <c r="AH2127" s="20">
        <v>2822</v>
      </c>
      <c r="AI2127" s="20" t="s">
        <v>77</v>
      </c>
      <c r="AJ2127" s="20" t="s">
        <v>57</v>
      </c>
      <c r="AK2127" s="23" t="str">
        <f t="shared" si="16"/>
        <v>2023USD</v>
      </c>
      <c r="AL2127" s="23">
        <f>VLOOKUP(AK2127, Exchange_rates!$C:$D, 2, FALSE)</f>
        <v>0.80430000000000001</v>
      </c>
      <c r="AM2127" s="26">
        <f t="shared" si="17"/>
        <v>2723.6815200000001</v>
      </c>
      <c r="AN2127" s="20"/>
      <c r="AO2127" s="20"/>
      <c r="AP2127" s="20"/>
      <c r="AQ2127" s="27" t="s">
        <v>125</v>
      </c>
      <c r="AS2127" s="16" t="s">
        <v>10755</v>
      </c>
      <c r="AT2127" s="20"/>
      <c r="AU2127" s="20"/>
      <c r="AV2127" s="20"/>
      <c r="AW2127" s="20"/>
      <c r="AX2127" s="20"/>
      <c r="AY2127" s="20"/>
      <c r="AZ2127" s="20"/>
      <c r="BA2127" s="20"/>
      <c r="BB2127" s="20"/>
      <c r="BC2127" s="20"/>
      <c r="BD2127" s="20"/>
      <c r="BE2127" s="20"/>
      <c r="BF2127" s="20"/>
      <c r="BG2127" s="20"/>
      <c r="BH2127" s="20"/>
    </row>
    <row r="2128" spans="1:60" ht="14.5">
      <c r="A2128" s="20" t="s">
        <v>10756</v>
      </c>
      <c r="B2128" s="20" t="s">
        <v>10757</v>
      </c>
      <c r="C2128" s="20" t="s">
        <v>10758</v>
      </c>
      <c r="D2128" s="20" t="s">
        <v>1560</v>
      </c>
      <c r="E2128" s="20" t="s">
        <v>125</v>
      </c>
      <c r="F2128" s="20" t="s">
        <v>69</v>
      </c>
      <c r="G2128" s="20" t="s">
        <v>51</v>
      </c>
      <c r="H2128" s="20"/>
      <c r="I2128" s="20" t="s">
        <v>10690</v>
      </c>
      <c r="J2128" s="22"/>
      <c r="K2128" s="47">
        <v>45162</v>
      </c>
      <c r="L2128" s="22"/>
      <c r="M2128" s="22"/>
      <c r="N2128" s="20">
        <v>2023</v>
      </c>
      <c r="O2128" s="20" t="s">
        <v>10734</v>
      </c>
      <c r="P2128" s="20" t="s">
        <v>53</v>
      </c>
      <c r="Q2128" s="20" t="s">
        <v>53</v>
      </c>
      <c r="R2128" s="20" t="e">
        <v>#N/A</v>
      </c>
      <c r="S2128" s="20"/>
      <c r="T2128" s="20" t="s">
        <v>723</v>
      </c>
      <c r="U2128" s="20" t="s">
        <v>10759</v>
      </c>
      <c r="V2128" s="20"/>
      <c r="W2128" s="20"/>
      <c r="X2128" s="20"/>
      <c r="Y2128" s="20"/>
      <c r="Z2128" s="20"/>
      <c r="AA2128" s="20"/>
      <c r="AB2128" s="20"/>
      <c r="AC2128" s="20" t="s">
        <v>10760</v>
      </c>
      <c r="AD2128" s="20" t="s">
        <v>10761</v>
      </c>
      <c r="AE2128" s="20"/>
      <c r="AF2128" s="20"/>
      <c r="AG2128" s="20"/>
      <c r="AH2128" s="20">
        <v>1500</v>
      </c>
      <c r="AI2128" s="20" t="s">
        <v>77</v>
      </c>
      <c r="AJ2128" s="20" t="s">
        <v>57</v>
      </c>
      <c r="AK2128" s="23" t="str">
        <f t="shared" si="16"/>
        <v>2023USD</v>
      </c>
      <c r="AL2128" s="23">
        <f>VLOOKUP(AK2128, Exchange_rates!$C:$D, 2, FALSE)</f>
        <v>0.80430000000000001</v>
      </c>
      <c r="AM2128" s="26">
        <f t="shared" si="17"/>
        <v>1447.74</v>
      </c>
      <c r="AN2128" s="20"/>
      <c r="AO2128" s="20"/>
      <c r="AP2128" s="20"/>
      <c r="AQ2128" s="27" t="s">
        <v>125</v>
      </c>
      <c r="AS2128" s="16" t="s">
        <v>10762</v>
      </c>
      <c r="AT2128" s="20"/>
      <c r="AU2128" s="20"/>
      <c r="AV2128" s="20"/>
      <c r="AW2128" s="20"/>
      <c r="AX2128" s="20"/>
      <c r="AY2128" s="20"/>
      <c r="AZ2128" s="20"/>
      <c r="BA2128" s="20"/>
      <c r="BB2128" s="20"/>
      <c r="BC2128" s="20"/>
      <c r="BD2128" s="20"/>
      <c r="BE2128" s="20"/>
      <c r="BF2128" s="20"/>
      <c r="BG2128" s="20"/>
      <c r="BH2128" s="20"/>
    </row>
    <row r="2129" spans="1:60" ht="14.5">
      <c r="A2129" s="20" t="s">
        <v>10763</v>
      </c>
      <c r="B2129" s="20" t="s">
        <v>10764</v>
      </c>
      <c r="C2129" s="20" t="s">
        <v>10765</v>
      </c>
      <c r="D2129" s="20" t="s">
        <v>1560</v>
      </c>
      <c r="E2129" s="20" t="s">
        <v>49</v>
      </c>
      <c r="F2129" s="20" t="s">
        <v>69</v>
      </c>
      <c r="G2129" s="20" t="s">
        <v>70</v>
      </c>
      <c r="H2129" s="20" t="s">
        <v>8860</v>
      </c>
      <c r="I2129" s="20" t="s">
        <v>10690</v>
      </c>
      <c r="J2129" s="22"/>
      <c r="K2129" s="47">
        <v>45182</v>
      </c>
      <c r="L2129" s="22"/>
      <c r="M2129" s="22"/>
      <c r="N2129" s="20">
        <v>2023</v>
      </c>
      <c r="O2129" s="20" t="s">
        <v>10734</v>
      </c>
      <c r="P2129" s="20" t="s">
        <v>53</v>
      </c>
      <c r="Q2129" s="20" t="s">
        <v>53</v>
      </c>
      <c r="R2129" s="20" t="e">
        <v>#N/A</v>
      </c>
      <c r="S2129" s="20"/>
      <c r="T2129" s="20"/>
      <c r="U2129" s="20"/>
      <c r="V2129" s="20"/>
      <c r="W2129" s="20"/>
      <c r="X2129" s="20"/>
      <c r="Y2129" s="20"/>
      <c r="Z2129" s="20"/>
      <c r="AA2129" s="20"/>
      <c r="AB2129" s="20"/>
      <c r="AC2129" s="20" t="s">
        <v>10766</v>
      </c>
      <c r="AD2129" s="20" t="s">
        <v>10767</v>
      </c>
      <c r="AE2129" s="20"/>
      <c r="AF2129" s="20"/>
      <c r="AG2129" s="20"/>
      <c r="AH2129" s="20">
        <v>5220</v>
      </c>
      <c r="AI2129" s="20" t="s">
        <v>77</v>
      </c>
      <c r="AJ2129" s="20" t="s">
        <v>57</v>
      </c>
      <c r="AK2129" s="23" t="str">
        <f t="shared" si="16"/>
        <v>2023USD</v>
      </c>
      <c r="AL2129" s="23">
        <f>VLOOKUP(AK2129, Exchange_rates!$C:$D, 2, FALSE)</f>
        <v>0.80430000000000001</v>
      </c>
      <c r="AM2129" s="26">
        <f t="shared" si="17"/>
        <v>5038.1351999999997</v>
      </c>
      <c r="AN2129" s="20"/>
      <c r="AO2129" s="20"/>
      <c r="AP2129" s="20"/>
      <c r="AQ2129" s="27" t="s">
        <v>49</v>
      </c>
      <c r="AS2129" s="16" t="s">
        <v>10768</v>
      </c>
      <c r="AT2129" s="20"/>
      <c r="AU2129" s="20"/>
      <c r="AV2129" s="20"/>
      <c r="AW2129" s="20"/>
      <c r="AX2129" s="20"/>
      <c r="AY2129" s="20"/>
      <c r="AZ2129" s="20"/>
      <c r="BA2129" s="20"/>
      <c r="BB2129" s="20"/>
      <c r="BC2129" s="20"/>
      <c r="BD2129" s="20"/>
      <c r="BE2129" s="20"/>
      <c r="BF2129" s="20"/>
      <c r="BG2129" s="20"/>
      <c r="BH2129" s="20"/>
    </row>
    <row r="2130" spans="1:60" ht="14.5">
      <c r="A2130" s="48" t="s">
        <v>10769</v>
      </c>
      <c r="B2130" s="20" t="s">
        <v>10770</v>
      </c>
      <c r="C2130" s="20" t="s">
        <v>1717</v>
      </c>
      <c r="D2130" s="20" t="s">
        <v>1560</v>
      </c>
      <c r="E2130" s="20" t="s">
        <v>49</v>
      </c>
      <c r="F2130" s="20" t="s">
        <v>69</v>
      </c>
      <c r="G2130" s="20" t="s">
        <v>70</v>
      </c>
      <c r="H2130" s="20" t="s">
        <v>8860</v>
      </c>
      <c r="I2130" s="20" t="s">
        <v>10690</v>
      </c>
      <c r="J2130" s="22"/>
      <c r="K2130" s="47">
        <v>45190</v>
      </c>
      <c r="L2130" s="22"/>
      <c r="M2130" s="22"/>
      <c r="N2130" s="20">
        <v>2023</v>
      </c>
      <c r="O2130" s="20" t="s">
        <v>10734</v>
      </c>
      <c r="P2130" s="20" t="s">
        <v>53</v>
      </c>
      <c r="Q2130" s="20" t="s">
        <v>53</v>
      </c>
      <c r="R2130" s="20" t="e">
        <v>#N/A</v>
      </c>
      <c r="S2130" s="20"/>
      <c r="T2130" s="20"/>
      <c r="U2130" s="20"/>
      <c r="V2130" s="20"/>
      <c r="W2130" s="20"/>
      <c r="X2130" s="20"/>
      <c r="Y2130" s="20"/>
      <c r="Z2130" s="20"/>
      <c r="AA2130" s="20"/>
      <c r="AB2130" s="20"/>
      <c r="AC2130" s="20" t="s">
        <v>10771</v>
      </c>
      <c r="AD2130" s="20" t="s">
        <v>10772</v>
      </c>
      <c r="AE2130" s="20"/>
      <c r="AF2130" s="20"/>
      <c r="AG2130" s="20"/>
      <c r="AH2130" s="20">
        <v>2747</v>
      </c>
      <c r="AI2130" s="20" t="s">
        <v>77</v>
      </c>
      <c r="AJ2130" s="20" t="s">
        <v>301</v>
      </c>
      <c r="AK2130" s="23" t="str">
        <f t="shared" si="16"/>
        <v>2023GBP</v>
      </c>
      <c r="AL2130" s="23">
        <f>VLOOKUP(AK2130, Exchange_rates!$C:$D, 2, FALSE)</f>
        <v>1</v>
      </c>
      <c r="AM2130" s="26">
        <f t="shared" si="17"/>
        <v>3296.4</v>
      </c>
      <c r="AN2130" s="20"/>
      <c r="AO2130" s="20"/>
      <c r="AP2130" s="20"/>
      <c r="AQ2130" s="27" t="s">
        <v>49</v>
      </c>
      <c r="AS2130" s="16" t="s">
        <v>1720</v>
      </c>
      <c r="AT2130" s="20"/>
      <c r="AU2130" s="20"/>
      <c r="AV2130" s="20"/>
      <c r="AW2130" s="20"/>
      <c r="AX2130" s="20"/>
      <c r="AY2130" s="20"/>
      <c r="AZ2130" s="20"/>
      <c r="BA2130" s="20"/>
      <c r="BB2130" s="20"/>
      <c r="BC2130" s="20"/>
      <c r="BD2130" s="20"/>
      <c r="BE2130" s="20"/>
      <c r="BF2130" s="20"/>
      <c r="BG2130" s="20"/>
      <c r="BH2130" s="20"/>
    </row>
    <row r="2131" spans="1:60" ht="14.5">
      <c r="A2131" s="20" t="s">
        <v>10773</v>
      </c>
      <c r="B2131" s="20" t="s">
        <v>10774</v>
      </c>
      <c r="C2131" s="20" t="s">
        <v>10775</v>
      </c>
      <c r="D2131" s="20" t="s">
        <v>1560</v>
      </c>
      <c r="E2131" s="20" t="s">
        <v>125</v>
      </c>
      <c r="F2131" s="20" t="s">
        <v>69</v>
      </c>
      <c r="G2131" s="20" t="s">
        <v>70</v>
      </c>
      <c r="H2131" s="20" t="s">
        <v>8860</v>
      </c>
      <c r="I2131" s="20" t="s">
        <v>291</v>
      </c>
      <c r="J2131" s="22"/>
      <c r="K2131" s="47">
        <v>45196</v>
      </c>
      <c r="L2131" s="22"/>
      <c r="M2131" s="22"/>
      <c r="N2131" s="20">
        <v>2023</v>
      </c>
      <c r="O2131" s="20" t="s">
        <v>10734</v>
      </c>
      <c r="P2131" s="20" t="s">
        <v>53</v>
      </c>
      <c r="Q2131" s="20" t="s">
        <v>53</v>
      </c>
      <c r="R2131" s="20" t="e">
        <v>#N/A</v>
      </c>
      <c r="S2131" s="20"/>
      <c r="T2131" s="20"/>
      <c r="U2131" s="20"/>
      <c r="V2131" s="20"/>
      <c r="W2131" s="20"/>
      <c r="X2131" s="20"/>
      <c r="Y2131" s="20"/>
      <c r="Z2131" s="20"/>
      <c r="AA2131" s="20"/>
      <c r="AB2131" s="20"/>
      <c r="AC2131" s="20" t="s">
        <v>10776</v>
      </c>
      <c r="AD2131" s="20" t="s">
        <v>6767</v>
      </c>
      <c r="AE2131" s="20"/>
      <c r="AF2131" s="20"/>
      <c r="AG2131" s="20"/>
      <c r="AH2131" s="20">
        <v>3615</v>
      </c>
      <c r="AI2131" s="20" t="s">
        <v>77</v>
      </c>
      <c r="AJ2131" s="20" t="s">
        <v>57</v>
      </c>
      <c r="AK2131" s="23" t="str">
        <f t="shared" si="16"/>
        <v>2023USD</v>
      </c>
      <c r="AL2131" s="23">
        <f>VLOOKUP(AK2131, Exchange_rates!$C:$D, 2, FALSE)</f>
        <v>0.80430000000000001</v>
      </c>
      <c r="AM2131" s="26">
        <f t="shared" si="17"/>
        <v>3489.0533999999998</v>
      </c>
      <c r="AN2131" s="20"/>
      <c r="AO2131" s="20"/>
      <c r="AP2131" s="20"/>
      <c r="AQ2131" s="27" t="s">
        <v>125</v>
      </c>
      <c r="AS2131" s="16" t="s">
        <v>10777</v>
      </c>
      <c r="AT2131" s="20"/>
      <c r="AU2131" s="20"/>
      <c r="AV2131" s="20"/>
      <c r="AW2131" s="20"/>
      <c r="AX2131" s="20"/>
      <c r="AY2131" s="20"/>
      <c r="AZ2131" s="20"/>
      <c r="BA2131" s="20"/>
      <c r="BB2131" s="20"/>
      <c r="BC2131" s="20"/>
      <c r="BD2131" s="20"/>
      <c r="BE2131" s="20"/>
      <c r="BF2131" s="20"/>
      <c r="BG2131" s="20"/>
      <c r="BH2131" s="20"/>
    </row>
    <row r="2132" spans="1:60" ht="14.5">
      <c r="A2132" s="20" t="s">
        <v>10778</v>
      </c>
      <c r="B2132" s="20" t="s">
        <v>10779</v>
      </c>
      <c r="C2132" s="20" t="s">
        <v>8871</v>
      </c>
      <c r="D2132" s="20" t="s">
        <v>1560</v>
      </c>
      <c r="E2132" s="20" t="s">
        <v>49</v>
      </c>
      <c r="F2132" s="20" t="s">
        <v>69</v>
      </c>
      <c r="G2132" s="20" t="s">
        <v>51</v>
      </c>
      <c r="H2132" s="20"/>
      <c r="I2132" s="20" t="s">
        <v>10690</v>
      </c>
      <c r="J2132" s="22"/>
      <c r="K2132" s="47">
        <v>45197</v>
      </c>
      <c r="L2132" s="22"/>
      <c r="M2132" s="22"/>
      <c r="N2132" s="20">
        <v>2023</v>
      </c>
      <c r="O2132" s="20" t="s">
        <v>10734</v>
      </c>
      <c r="P2132" s="20" t="s">
        <v>53</v>
      </c>
      <c r="Q2132" s="20" t="s">
        <v>53</v>
      </c>
      <c r="R2132" s="20" t="e">
        <v>#N/A</v>
      </c>
      <c r="S2132" s="20"/>
      <c r="T2132" s="20" t="s">
        <v>723</v>
      </c>
      <c r="U2132" s="20" t="s">
        <v>10780</v>
      </c>
      <c r="V2132" s="20"/>
      <c r="W2132" s="20"/>
      <c r="X2132" s="20"/>
      <c r="Y2132" s="20"/>
      <c r="Z2132" s="20"/>
      <c r="AA2132" s="20"/>
      <c r="AB2132" s="20"/>
      <c r="AC2132" s="20" t="s">
        <v>8867</v>
      </c>
      <c r="AD2132" s="20" t="s">
        <v>5174</v>
      </c>
      <c r="AE2132" s="20"/>
      <c r="AF2132" s="20"/>
      <c r="AG2132" s="20"/>
      <c r="AH2132" s="20">
        <v>3223</v>
      </c>
      <c r="AI2132" s="20" t="s">
        <v>77</v>
      </c>
      <c r="AJ2132" s="20" t="s">
        <v>301</v>
      </c>
      <c r="AK2132" s="23" t="str">
        <f t="shared" si="16"/>
        <v>2023GBP</v>
      </c>
      <c r="AL2132" s="23">
        <f>VLOOKUP(AK2132, Exchange_rates!$C:$D, 2, FALSE)</f>
        <v>1</v>
      </c>
      <c r="AM2132" s="26">
        <f t="shared" si="17"/>
        <v>3867.6</v>
      </c>
      <c r="AN2132" s="20"/>
      <c r="AO2132" s="20"/>
      <c r="AP2132" s="20"/>
      <c r="AQ2132" s="27" t="s">
        <v>49</v>
      </c>
      <c r="AR2132" t="s">
        <v>8874</v>
      </c>
      <c r="AS2132" s="16" t="s">
        <v>8875</v>
      </c>
      <c r="AT2132" s="20"/>
      <c r="AU2132" s="20"/>
      <c r="AV2132" s="20"/>
      <c r="AW2132" s="20"/>
      <c r="AX2132" s="20"/>
      <c r="AY2132" s="20"/>
      <c r="AZ2132" s="20"/>
      <c r="BA2132" s="20"/>
      <c r="BB2132" s="20"/>
      <c r="BC2132" s="20"/>
      <c r="BD2132" s="20"/>
      <c r="BE2132" s="20"/>
      <c r="BF2132" s="20"/>
      <c r="BG2132" s="20"/>
      <c r="BH2132" s="20"/>
    </row>
    <row r="2133" spans="1:60" ht="14.5">
      <c r="A2133" s="20" t="s">
        <v>10781</v>
      </c>
      <c r="B2133" s="20" t="s">
        <v>10782</v>
      </c>
      <c r="C2133" s="20" t="s">
        <v>10035</v>
      </c>
      <c r="D2133" s="20" t="s">
        <v>1560</v>
      </c>
      <c r="E2133" s="20" t="s">
        <v>49</v>
      </c>
      <c r="F2133" s="20" t="s">
        <v>50</v>
      </c>
      <c r="G2133" s="20" t="s">
        <v>51</v>
      </c>
      <c r="H2133" s="20"/>
      <c r="I2133" s="20" t="s">
        <v>1647</v>
      </c>
      <c r="J2133" s="22"/>
      <c r="K2133" s="47">
        <v>45197</v>
      </c>
      <c r="L2133" s="22"/>
      <c r="M2133" s="22"/>
      <c r="N2133" s="20">
        <v>2023</v>
      </c>
      <c r="O2133" s="20" t="s">
        <v>10734</v>
      </c>
      <c r="P2133" s="20" t="s">
        <v>53</v>
      </c>
      <c r="Q2133" s="20" t="s">
        <v>53</v>
      </c>
      <c r="R2133" s="20" t="e">
        <v>#N/A</v>
      </c>
      <c r="S2133" s="20"/>
      <c r="T2133" s="20" t="s">
        <v>1912</v>
      </c>
      <c r="U2133" s="20" t="s">
        <v>10783</v>
      </c>
      <c r="V2133" s="20"/>
      <c r="W2133" s="20"/>
      <c r="X2133" s="20"/>
      <c r="Y2133" s="20"/>
      <c r="Z2133" s="20"/>
      <c r="AA2133" s="20"/>
      <c r="AB2133" s="20"/>
      <c r="AC2133" s="20" t="s">
        <v>10037</v>
      </c>
      <c r="AD2133" s="20" t="s">
        <v>10038</v>
      </c>
      <c r="AE2133" s="20"/>
      <c r="AF2133" s="20"/>
      <c r="AG2133" s="20"/>
      <c r="AH2133" s="20">
        <v>4181</v>
      </c>
      <c r="AI2133" s="20" t="s">
        <v>77</v>
      </c>
      <c r="AJ2133" s="20" t="s">
        <v>57</v>
      </c>
      <c r="AK2133" s="23" t="str">
        <f t="shared" si="16"/>
        <v>2023USD</v>
      </c>
      <c r="AL2133" s="23">
        <f>VLOOKUP(AK2133, Exchange_rates!$C:$D, 2, FALSE)</f>
        <v>0.80430000000000001</v>
      </c>
      <c r="AM2133" s="26">
        <f t="shared" si="17"/>
        <v>4035.3339599999999</v>
      </c>
      <c r="AN2133" s="20"/>
      <c r="AO2133" s="20"/>
      <c r="AP2133" s="20"/>
      <c r="AQ2133" s="27" t="s">
        <v>49</v>
      </c>
      <c r="AS2133" s="16" t="s">
        <v>10039</v>
      </c>
      <c r="AT2133" s="20"/>
      <c r="AU2133" s="20"/>
      <c r="AV2133" s="20"/>
      <c r="AW2133" s="20"/>
      <c r="AX2133" s="20"/>
      <c r="AY2133" s="20"/>
      <c r="AZ2133" s="20"/>
      <c r="BA2133" s="20"/>
      <c r="BB2133" s="20"/>
      <c r="BC2133" s="20"/>
      <c r="BD2133" s="20"/>
      <c r="BE2133" s="20"/>
      <c r="BF2133" s="20"/>
      <c r="BG2133" s="20"/>
      <c r="BH2133" s="20"/>
    </row>
    <row r="2134" spans="1:60" ht="14.5">
      <c r="A2134" s="9" t="s">
        <v>10784</v>
      </c>
      <c r="B2134" s="9" t="s">
        <v>10785</v>
      </c>
      <c r="C2134" s="9" t="s">
        <v>1993</v>
      </c>
      <c r="D2134" s="9" t="s">
        <v>1994</v>
      </c>
      <c r="E2134" s="9" t="s">
        <v>125</v>
      </c>
      <c r="F2134" s="9" t="s">
        <v>69</v>
      </c>
      <c r="G2134" s="9" t="s">
        <v>70</v>
      </c>
      <c r="H2134" s="9" t="s">
        <v>8943</v>
      </c>
      <c r="I2134" s="20" t="s">
        <v>10690</v>
      </c>
      <c r="J2134" s="10"/>
      <c r="K2134" s="10">
        <v>45187</v>
      </c>
      <c r="L2134" s="10"/>
      <c r="M2134" s="10"/>
      <c r="N2134" s="9">
        <v>2023</v>
      </c>
      <c r="O2134" s="9" t="s">
        <v>10786</v>
      </c>
      <c r="P2134" s="9" t="s">
        <v>53</v>
      </c>
      <c r="Q2134" s="9" t="s">
        <v>53</v>
      </c>
      <c r="R2134" s="9" t="s">
        <v>2090</v>
      </c>
      <c r="S2134" s="9" t="s">
        <v>10787</v>
      </c>
      <c r="T2134" s="9"/>
      <c r="V2134" s="9"/>
      <c r="AC2134" s="9" t="s">
        <v>5403</v>
      </c>
      <c r="AH2134" s="9">
        <v>1805</v>
      </c>
      <c r="AI2134" s="9" t="s">
        <v>77</v>
      </c>
      <c r="AJ2134" s="9" t="s">
        <v>57</v>
      </c>
      <c r="AK2134" s="23" t="str">
        <f t="shared" si="16"/>
        <v>2023USD</v>
      </c>
      <c r="AL2134" s="23">
        <f>VLOOKUP(AK2134, Exchange_rates!$C:$D, 2, FALSE)</f>
        <v>0.80430000000000001</v>
      </c>
      <c r="AM2134" s="26">
        <f t="shared" si="17"/>
        <v>1742.1138000000001</v>
      </c>
      <c r="AN2134" s="9"/>
      <c r="AO2134" s="9"/>
      <c r="AP2134" s="9"/>
      <c r="AQ2134" s="15" t="s">
        <v>125</v>
      </c>
      <c r="AR2134" t="s">
        <v>2000</v>
      </c>
      <c r="AS2134" s="16"/>
    </row>
    <row r="2135" spans="1:60" ht="14.5">
      <c r="A2135" s="20" t="s">
        <v>10788</v>
      </c>
      <c r="B2135" s="20" t="s">
        <v>10789</v>
      </c>
      <c r="C2135" s="20" t="s">
        <v>1993</v>
      </c>
      <c r="D2135" s="20" t="s">
        <v>1994</v>
      </c>
      <c r="E2135" s="20" t="s">
        <v>125</v>
      </c>
      <c r="F2135" s="20" t="s">
        <v>69</v>
      </c>
      <c r="G2135" s="20" t="s">
        <v>70</v>
      </c>
      <c r="H2135" s="20" t="s">
        <v>8943</v>
      </c>
      <c r="I2135" s="20" t="s">
        <v>10690</v>
      </c>
      <c r="J2135" s="22"/>
      <c r="K2135" s="22">
        <v>45182</v>
      </c>
      <c r="L2135" s="22"/>
      <c r="M2135" s="22"/>
      <c r="N2135" s="20">
        <v>2023</v>
      </c>
      <c r="O2135" s="20" t="s">
        <v>10786</v>
      </c>
      <c r="P2135" s="20" t="s">
        <v>53</v>
      </c>
      <c r="Q2135" s="20" t="s">
        <v>53</v>
      </c>
      <c r="R2135" s="20" t="s">
        <v>10790</v>
      </c>
      <c r="S2135" s="20"/>
      <c r="T2135" s="20"/>
      <c r="U2135" s="20"/>
      <c r="V2135" s="20"/>
      <c r="W2135" s="20"/>
      <c r="X2135" s="20"/>
      <c r="Y2135" s="20"/>
      <c r="Z2135" s="20"/>
      <c r="AA2135" s="20"/>
      <c r="AB2135" s="20"/>
      <c r="AC2135" s="20" t="s">
        <v>2096</v>
      </c>
      <c r="AD2135" s="20"/>
      <c r="AE2135" s="20"/>
      <c r="AF2135" s="20"/>
      <c r="AG2135" s="20"/>
      <c r="AH2135" s="20">
        <v>1931</v>
      </c>
      <c r="AI2135" s="20" t="s">
        <v>77</v>
      </c>
      <c r="AJ2135" s="20" t="s">
        <v>57</v>
      </c>
      <c r="AK2135" s="23" t="str">
        <f t="shared" si="16"/>
        <v>2023USD</v>
      </c>
      <c r="AL2135" s="23">
        <f>VLOOKUP(AK2135, Exchange_rates!$C:$D, 2, FALSE)</f>
        <v>0.80430000000000001</v>
      </c>
      <c r="AM2135" s="26">
        <f t="shared" si="17"/>
        <v>1863.7239599999998</v>
      </c>
      <c r="AN2135" s="20"/>
      <c r="AO2135" s="20"/>
      <c r="AP2135" s="20"/>
      <c r="AQ2135" s="27" t="s">
        <v>125</v>
      </c>
      <c r="AR2135" t="s">
        <v>2000</v>
      </c>
      <c r="AS2135" s="16"/>
      <c r="AT2135" s="20"/>
      <c r="AU2135" s="20"/>
      <c r="AV2135" s="20"/>
      <c r="AW2135" s="20"/>
      <c r="AX2135" s="20"/>
      <c r="AY2135" s="20"/>
      <c r="AZ2135" s="20"/>
      <c r="BA2135" s="20"/>
      <c r="BB2135" s="20"/>
      <c r="BC2135" s="20"/>
      <c r="BD2135" s="20"/>
      <c r="BE2135" s="20"/>
      <c r="BF2135" s="20"/>
      <c r="BG2135" s="20"/>
      <c r="BH2135" s="20"/>
    </row>
    <row r="2136" spans="1:60" ht="14.5">
      <c r="A2136" s="20" t="s">
        <v>10791</v>
      </c>
      <c r="B2136" s="20" t="s">
        <v>10792</v>
      </c>
      <c r="C2136" s="20" t="s">
        <v>2207</v>
      </c>
      <c r="D2136" s="20" t="s">
        <v>2208</v>
      </c>
      <c r="E2136" s="20" t="s">
        <v>49</v>
      </c>
      <c r="F2136" s="20" t="s">
        <v>69</v>
      </c>
      <c r="G2136" s="20" t="s">
        <v>51</v>
      </c>
      <c r="H2136" s="20"/>
      <c r="I2136" s="20" t="s">
        <v>10690</v>
      </c>
      <c r="J2136" s="22"/>
      <c r="K2136" s="22"/>
      <c r="L2136" s="22"/>
      <c r="M2136" s="22">
        <v>44795</v>
      </c>
      <c r="N2136" s="20">
        <v>2022</v>
      </c>
      <c r="O2136" s="20" t="s">
        <v>1332</v>
      </c>
      <c r="P2136" s="20"/>
      <c r="Q2136" s="20"/>
      <c r="R2136" s="20"/>
      <c r="S2136" s="20" t="s">
        <v>10793</v>
      </c>
      <c r="T2136" s="20"/>
      <c r="U2136" s="20"/>
      <c r="V2136" s="20"/>
      <c r="W2136" s="20"/>
      <c r="X2136" s="20"/>
      <c r="Y2136" s="20"/>
      <c r="Z2136" s="20"/>
      <c r="AA2136" s="20"/>
      <c r="AB2136" s="20"/>
      <c r="AC2136" s="20"/>
      <c r="AD2136" s="20"/>
      <c r="AE2136" s="20"/>
      <c r="AF2136" s="20"/>
      <c r="AG2136" s="20"/>
      <c r="AH2136" s="20">
        <v>4995</v>
      </c>
      <c r="AI2136" s="20" t="s">
        <v>875</v>
      </c>
      <c r="AJ2136" s="20" t="s">
        <v>57</v>
      </c>
      <c r="AK2136" s="23" t="str">
        <f t="shared" si="16"/>
        <v>2022USD</v>
      </c>
      <c r="AL2136" s="23">
        <f>VLOOKUP(AK2136, Exchange_rates!$C:$D, 2, FALSE)</f>
        <v>0.8115</v>
      </c>
      <c r="AM2136" s="26">
        <f t="shared" si="17"/>
        <v>4864.1310000000003</v>
      </c>
      <c r="AN2136" s="20"/>
      <c r="AO2136" s="20"/>
      <c r="AP2136" s="20"/>
      <c r="AQ2136" s="27" t="s">
        <v>49</v>
      </c>
      <c r="AR2136" t="s">
        <v>2213</v>
      </c>
      <c r="AS2136" s="16" t="s">
        <v>2214</v>
      </c>
      <c r="AT2136" s="20"/>
      <c r="AU2136" s="20"/>
      <c r="AV2136" s="20"/>
      <c r="AW2136" s="20"/>
      <c r="AX2136" s="20"/>
      <c r="AY2136" s="20"/>
      <c r="AZ2136" s="20"/>
      <c r="BA2136" s="20"/>
      <c r="BB2136" s="20"/>
      <c r="BC2136" s="20"/>
      <c r="BD2136" s="20"/>
      <c r="BE2136" s="20"/>
      <c r="BF2136" s="20"/>
      <c r="BG2136" s="20"/>
      <c r="BH2136" s="20"/>
    </row>
    <row r="2137" spans="1:60" ht="14.5">
      <c r="A2137" s="20" t="s">
        <v>10794</v>
      </c>
      <c r="B2137" s="20" t="s">
        <v>10795</v>
      </c>
      <c r="C2137" s="20" t="s">
        <v>2207</v>
      </c>
      <c r="D2137" s="20" t="s">
        <v>2208</v>
      </c>
      <c r="E2137" s="20" t="s">
        <v>49</v>
      </c>
      <c r="F2137" s="20" t="s">
        <v>69</v>
      </c>
      <c r="G2137" s="20" t="s">
        <v>70</v>
      </c>
      <c r="H2137" s="20" t="s">
        <v>2209</v>
      </c>
      <c r="I2137" s="20" t="s">
        <v>10690</v>
      </c>
      <c r="J2137" s="22"/>
      <c r="K2137" s="22"/>
      <c r="L2137" s="22"/>
      <c r="M2137" s="22">
        <v>44768</v>
      </c>
      <c r="N2137" s="20">
        <v>2022</v>
      </c>
      <c r="O2137" s="20" t="s">
        <v>2210</v>
      </c>
      <c r="P2137" s="20"/>
      <c r="Q2137" s="20"/>
      <c r="R2137" s="20"/>
      <c r="S2137" s="20"/>
      <c r="T2137" s="20"/>
      <c r="U2137" s="20"/>
      <c r="V2137" s="20"/>
      <c r="W2137" s="20"/>
      <c r="X2137" s="20"/>
      <c r="Y2137" s="20"/>
      <c r="Z2137" s="20"/>
      <c r="AA2137" s="20"/>
      <c r="AB2137" s="20"/>
      <c r="AC2137" s="20"/>
      <c r="AD2137" s="20"/>
      <c r="AE2137" s="20"/>
      <c r="AF2137" s="20"/>
      <c r="AG2137" s="20"/>
      <c r="AH2137" s="20">
        <v>4995</v>
      </c>
      <c r="AI2137" s="20" t="s">
        <v>875</v>
      </c>
      <c r="AJ2137" s="20" t="s">
        <v>57</v>
      </c>
      <c r="AK2137" s="23" t="str">
        <f t="shared" si="16"/>
        <v>2022USD</v>
      </c>
      <c r="AL2137" s="23">
        <f>VLOOKUP(AK2137, Exchange_rates!$C:$D, 2, FALSE)</f>
        <v>0.8115</v>
      </c>
      <c r="AM2137" s="26">
        <f t="shared" si="17"/>
        <v>4864.1310000000003</v>
      </c>
      <c r="AN2137" s="20"/>
      <c r="AO2137" s="20"/>
      <c r="AP2137" s="20"/>
      <c r="AQ2137" s="27" t="s">
        <v>49</v>
      </c>
      <c r="AR2137" t="s">
        <v>2213</v>
      </c>
      <c r="AS2137" s="16" t="s">
        <v>2214</v>
      </c>
      <c r="AT2137" s="20"/>
      <c r="AU2137" s="20"/>
      <c r="AV2137" s="20"/>
      <c r="AW2137" s="20"/>
      <c r="AX2137" s="20"/>
      <c r="AY2137" s="20"/>
      <c r="AZ2137" s="20"/>
      <c r="BA2137" s="20"/>
      <c r="BB2137" s="20"/>
      <c r="BC2137" s="20"/>
      <c r="BD2137" s="20"/>
      <c r="BE2137" s="20"/>
      <c r="BF2137" s="20"/>
      <c r="BG2137" s="20"/>
      <c r="BH2137" s="20"/>
    </row>
    <row r="2138" spans="1:60" ht="14.5">
      <c r="A2138" s="20" t="s">
        <v>10796</v>
      </c>
      <c r="B2138" s="20" t="s">
        <v>10797</v>
      </c>
      <c r="C2138" s="20" t="s">
        <v>2207</v>
      </c>
      <c r="D2138" s="20" t="s">
        <v>2208</v>
      </c>
      <c r="E2138" s="20" t="s">
        <v>49</v>
      </c>
      <c r="F2138" s="20" t="s">
        <v>69</v>
      </c>
      <c r="G2138" s="20" t="s">
        <v>70</v>
      </c>
      <c r="H2138" s="20" t="s">
        <v>2209</v>
      </c>
      <c r="I2138" s="20" t="s">
        <v>10690</v>
      </c>
      <c r="J2138" s="22"/>
      <c r="K2138" s="22"/>
      <c r="L2138" s="22"/>
      <c r="M2138" s="22">
        <v>44699</v>
      </c>
      <c r="N2138" s="20">
        <v>2022</v>
      </c>
      <c r="O2138" s="20" t="s">
        <v>2210</v>
      </c>
      <c r="P2138" s="20"/>
      <c r="Q2138" s="20"/>
      <c r="R2138" s="20"/>
      <c r="S2138" s="20"/>
      <c r="T2138" s="20"/>
      <c r="U2138" s="20"/>
      <c r="V2138" s="20"/>
      <c r="W2138" s="20"/>
      <c r="X2138" s="20"/>
      <c r="Y2138" s="20"/>
      <c r="Z2138" s="20"/>
      <c r="AA2138" s="20"/>
      <c r="AB2138" s="20"/>
      <c r="AC2138" s="20"/>
      <c r="AD2138" s="20"/>
      <c r="AE2138" s="20"/>
      <c r="AF2138" s="20"/>
      <c r="AG2138" s="20"/>
      <c r="AH2138" s="20">
        <v>4995</v>
      </c>
      <c r="AI2138" s="20" t="s">
        <v>875</v>
      </c>
      <c r="AJ2138" s="20" t="s">
        <v>57</v>
      </c>
      <c r="AK2138" s="23" t="str">
        <f t="shared" si="16"/>
        <v>2022USD</v>
      </c>
      <c r="AL2138" s="23">
        <f>VLOOKUP(AK2138, Exchange_rates!$C:$D, 2, FALSE)</f>
        <v>0.8115</v>
      </c>
      <c r="AM2138" s="26">
        <f t="shared" si="17"/>
        <v>4864.1310000000003</v>
      </c>
      <c r="AN2138" s="20"/>
      <c r="AO2138" s="20"/>
      <c r="AP2138" s="20"/>
      <c r="AQ2138" s="27" t="s">
        <v>49</v>
      </c>
      <c r="AR2138" t="s">
        <v>2213</v>
      </c>
      <c r="AS2138" s="16" t="s">
        <v>2214</v>
      </c>
      <c r="AT2138" s="20"/>
      <c r="AU2138" s="20"/>
      <c r="AV2138" s="20"/>
      <c r="AW2138" s="20"/>
      <c r="AX2138" s="20"/>
      <c r="AY2138" s="20"/>
      <c r="AZ2138" s="20"/>
      <c r="BA2138" s="20"/>
      <c r="BB2138" s="20"/>
      <c r="BC2138" s="20"/>
      <c r="BD2138" s="20"/>
      <c r="BE2138" s="20"/>
      <c r="BF2138" s="20"/>
      <c r="BG2138" s="20"/>
      <c r="BH2138" s="20"/>
    </row>
    <row r="2139" spans="1:60" ht="14.5">
      <c r="A2139" s="20" t="s">
        <v>10798</v>
      </c>
      <c r="B2139" s="20" t="s">
        <v>10799</v>
      </c>
      <c r="C2139" s="20" t="s">
        <v>2207</v>
      </c>
      <c r="D2139" s="20" t="s">
        <v>2208</v>
      </c>
      <c r="E2139" s="20" t="s">
        <v>49</v>
      </c>
      <c r="F2139" s="20" t="s">
        <v>69</v>
      </c>
      <c r="G2139" s="20" t="s">
        <v>70</v>
      </c>
      <c r="H2139" s="20" t="s">
        <v>10800</v>
      </c>
      <c r="I2139" s="20" t="s">
        <v>10690</v>
      </c>
      <c r="J2139" s="22"/>
      <c r="K2139" s="22"/>
      <c r="L2139" s="22"/>
      <c r="M2139" s="22">
        <v>45215</v>
      </c>
      <c r="N2139" s="20">
        <v>2023</v>
      </c>
      <c r="O2139" s="20" t="s">
        <v>2210</v>
      </c>
      <c r="P2139" s="20"/>
      <c r="Q2139" s="20"/>
      <c r="R2139" s="20"/>
      <c r="S2139" s="20"/>
      <c r="T2139" s="20"/>
      <c r="U2139" s="20"/>
      <c r="V2139" s="20"/>
      <c r="W2139" s="20"/>
      <c r="X2139" s="20"/>
      <c r="Y2139" s="20"/>
      <c r="Z2139" s="20"/>
      <c r="AA2139" s="20"/>
      <c r="AB2139" s="20"/>
      <c r="AC2139" s="20"/>
      <c r="AD2139" s="20"/>
      <c r="AE2139" s="20"/>
      <c r="AF2139" s="20"/>
      <c r="AG2139" s="20"/>
      <c r="AH2139" s="20">
        <v>4995</v>
      </c>
      <c r="AI2139" s="20" t="s">
        <v>875</v>
      </c>
      <c r="AJ2139" s="20" t="s">
        <v>57</v>
      </c>
      <c r="AK2139" s="23" t="str">
        <f t="shared" si="16"/>
        <v>2023USD</v>
      </c>
      <c r="AL2139" s="23">
        <f>VLOOKUP(AK2139, Exchange_rates!$C:$D, 2, FALSE)</f>
        <v>0.80430000000000001</v>
      </c>
      <c r="AM2139" s="26">
        <f t="shared" si="17"/>
        <v>4820.9741999999997</v>
      </c>
      <c r="AN2139" s="20"/>
      <c r="AO2139" s="20"/>
      <c r="AP2139" s="20"/>
      <c r="AQ2139" s="27" t="s">
        <v>49</v>
      </c>
      <c r="AR2139" t="s">
        <v>2213</v>
      </c>
      <c r="AS2139" s="16" t="s">
        <v>2214</v>
      </c>
      <c r="AT2139" s="20"/>
      <c r="AU2139" s="20"/>
      <c r="AV2139" s="20"/>
      <c r="AW2139" s="20"/>
      <c r="AX2139" s="20"/>
      <c r="AY2139" s="20"/>
      <c r="AZ2139" s="20"/>
      <c r="BA2139" s="20"/>
      <c r="BB2139" s="20"/>
      <c r="BC2139" s="20"/>
      <c r="BD2139" s="20"/>
      <c r="BE2139" s="20"/>
      <c r="BF2139" s="20"/>
      <c r="BG2139" s="20"/>
      <c r="BH2139" s="20"/>
    </row>
    <row r="2140" spans="1:60" ht="14.5">
      <c r="A2140" s="20" t="s">
        <v>10801</v>
      </c>
      <c r="B2140" s="20" t="s">
        <v>10802</v>
      </c>
      <c r="C2140" s="20" t="s">
        <v>2207</v>
      </c>
      <c r="D2140" s="20" t="s">
        <v>2208</v>
      </c>
      <c r="E2140" s="20" t="s">
        <v>49</v>
      </c>
      <c r="F2140" s="20" t="s">
        <v>69</v>
      </c>
      <c r="G2140" s="20" t="s">
        <v>51</v>
      </c>
      <c r="H2140" s="20"/>
      <c r="I2140" s="9" t="s">
        <v>291</v>
      </c>
      <c r="J2140" s="22"/>
      <c r="K2140" s="22"/>
      <c r="L2140" s="22"/>
      <c r="M2140" s="22">
        <v>44851</v>
      </c>
      <c r="N2140" s="20">
        <v>2022</v>
      </c>
      <c r="O2140" s="20" t="s">
        <v>1332</v>
      </c>
      <c r="P2140" s="20"/>
      <c r="Q2140" s="20"/>
      <c r="R2140" s="20"/>
      <c r="S2140" s="20" t="s">
        <v>10803</v>
      </c>
      <c r="T2140" s="20"/>
      <c r="U2140" s="20"/>
      <c r="V2140" s="20"/>
      <c r="W2140" s="20"/>
      <c r="X2140" s="20"/>
      <c r="Y2140" s="20"/>
      <c r="Z2140" s="20"/>
      <c r="AA2140" s="20"/>
      <c r="AB2140" s="20"/>
      <c r="AC2140" s="20"/>
      <c r="AD2140" s="20"/>
      <c r="AE2140" s="20"/>
      <c r="AF2140" s="20"/>
      <c r="AG2140" s="20"/>
      <c r="AH2140" s="20">
        <v>4995</v>
      </c>
      <c r="AI2140" s="20" t="s">
        <v>875</v>
      </c>
      <c r="AJ2140" s="20" t="s">
        <v>57</v>
      </c>
      <c r="AK2140" s="23" t="str">
        <f t="shared" si="16"/>
        <v>2022USD</v>
      </c>
      <c r="AL2140" s="23">
        <f>VLOOKUP(AK2140, Exchange_rates!$C:$D, 2, FALSE)</f>
        <v>0.8115</v>
      </c>
      <c r="AM2140" s="26">
        <f t="shared" si="17"/>
        <v>4864.1310000000003</v>
      </c>
      <c r="AN2140" s="20"/>
      <c r="AO2140" s="20"/>
      <c r="AP2140" s="20"/>
      <c r="AQ2140" s="27" t="s">
        <v>49</v>
      </c>
      <c r="AR2140" t="s">
        <v>2213</v>
      </c>
      <c r="AS2140" s="16" t="s">
        <v>2214</v>
      </c>
      <c r="AT2140" s="20"/>
      <c r="AU2140" s="20"/>
      <c r="AV2140" s="20"/>
      <c r="AW2140" s="20"/>
      <c r="AX2140" s="20"/>
      <c r="AY2140" s="20"/>
      <c r="AZ2140" s="20"/>
      <c r="BA2140" s="20"/>
      <c r="BB2140" s="20"/>
      <c r="BC2140" s="20"/>
      <c r="BD2140" s="20"/>
      <c r="BE2140" s="20"/>
      <c r="BF2140" s="20"/>
      <c r="BG2140" s="20"/>
      <c r="BH2140" s="20"/>
    </row>
    <row r="2141" spans="1:60" ht="14.5">
      <c r="A2141" s="20" t="s">
        <v>10804</v>
      </c>
      <c r="B2141" s="20" t="s">
        <v>10805</v>
      </c>
      <c r="C2141" s="20" t="s">
        <v>2207</v>
      </c>
      <c r="D2141" s="20" t="s">
        <v>2208</v>
      </c>
      <c r="E2141" s="20" t="s">
        <v>49</v>
      </c>
      <c r="F2141" s="20" t="s">
        <v>69</v>
      </c>
      <c r="G2141" s="20" t="s">
        <v>51</v>
      </c>
      <c r="H2141" s="20"/>
      <c r="I2141" s="20" t="s">
        <v>291</v>
      </c>
      <c r="J2141" s="22"/>
      <c r="K2141" s="22"/>
      <c r="L2141" s="22"/>
      <c r="M2141" s="22">
        <v>44585</v>
      </c>
      <c r="N2141" s="20">
        <v>2022</v>
      </c>
      <c r="O2141" s="20" t="s">
        <v>1332</v>
      </c>
      <c r="P2141" s="20"/>
      <c r="Q2141" s="20"/>
      <c r="R2141" s="20"/>
      <c r="S2141" s="20" t="s">
        <v>10806</v>
      </c>
      <c r="T2141" s="20"/>
      <c r="U2141" s="20"/>
      <c r="V2141" s="20"/>
      <c r="W2141" s="20"/>
      <c r="X2141" s="20"/>
      <c r="Y2141" s="20"/>
      <c r="Z2141" s="20"/>
      <c r="AA2141" s="20"/>
      <c r="AB2141" s="20"/>
      <c r="AC2141" s="20"/>
      <c r="AD2141" s="20"/>
      <c r="AE2141" s="20"/>
      <c r="AF2141" s="20"/>
      <c r="AG2141" s="20"/>
      <c r="AH2141" s="20">
        <v>4995</v>
      </c>
      <c r="AI2141" s="20" t="s">
        <v>875</v>
      </c>
      <c r="AJ2141" s="20" t="s">
        <v>57</v>
      </c>
      <c r="AK2141" s="23" t="str">
        <f t="shared" si="16"/>
        <v>2022USD</v>
      </c>
      <c r="AL2141" s="23">
        <f>VLOOKUP(AK2141, Exchange_rates!$C:$D, 2, FALSE)</f>
        <v>0.8115</v>
      </c>
      <c r="AM2141" s="26">
        <f t="shared" si="17"/>
        <v>4864.1310000000003</v>
      </c>
      <c r="AN2141" s="20"/>
      <c r="AO2141" s="20"/>
      <c r="AP2141" s="20"/>
      <c r="AQ2141" s="27" t="s">
        <v>49</v>
      </c>
      <c r="AR2141" t="s">
        <v>2213</v>
      </c>
      <c r="AS2141" s="16" t="s">
        <v>2214</v>
      </c>
      <c r="AT2141" s="20"/>
      <c r="AU2141" s="20"/>
      <c r="AV2141" s="20"/>
      <c r="AW2141" s="20"/>
      <c r="AX2141" s="20"/>
      <c r="AY2141" s="20"/>
      <c r="AZ2141" s="20"/>
      <c r="BA2141" s="20"/>
      <c r="BB2141" s="20"/>
      <c r="BC2141" s="20"/>
      <c r="BD2141" s="20"/>
      <c r="BE2141" s="20"/>
      <c r="BF2141" s="20"/>
      <c r="BG2141" s="20"/>
      <c r="BH2141" s="20"/>
    </row>
    <row r="2142" spans="1:60" ht="14.5">
      <c r="A2142" s="20" t="s">
        <v>10807</v>
      </c>
      <c r="B2142" s="20" t="s">
        <v>10808</v>
      </c>
      <c r="C2142" s="20" t="s">
        <v>2207</v>
      </c>
      <c r="D2142" s="20" t="s">
        <v>2208</v>
      </c>
      <c r="E2142" s="20" t="s">
        <v>49</v>
      </c>
      <c r="F2142" s="20" t="s">
        <v>69</v>
      </c>
      <c r="G2142" s="20" t="s">
        <v>70</v>
      </c>
      <c r="H2142" s="20" t="s">
        <v>10800</v>
      </c>
      <c r="I2142" s="20" t="s">
        <v>10690</v>
      </c>
      <c r="J2142" s="22"/>
      <c r="K2142" s="22"/>
      <c r="L2142" s="22"/>
      <c r="M2142" s="22">
        <v>44879</v>
      </c>
      <c r="N2142" s="20">
        <v>2022</v>
      </c>
      <c r="O2142" s="20" t="s">
        <v>2210</v>
      </c>
      <c r="P2142" s="20"/>
      <c r="Q2142" s="20"/>
      <c r="R2142" s="20"/>
      <c r="S2142" s="20"/>
      <c r="T2142" s="20"/>
      <c r="U2142" s="20"/>
      <c r="V2142" s="20"/>
      <c r="W2142" s="20"/>
      <c r="X2142" s="20"/>
      <c r="Y2142" s="20"/>
      <c r="Z2142" s="20"/>
      <c r="AA2142" s="20"/>
      <c r="AB2142" s="20"/>
      <c r="AC2142" s="20"/>
      <c r="AD2142" s="20"/>
      <c r="AE2142" s="20"/>
      <c r="AF2142" s="20"/>
      <c r="AG2142" s="20"/>
      <c r="AH2142" s="20">
        <v>4995</v>
      </c>
      <c r="AI2142" s="20" t="s">
        <v>875</v>
      </c>
      <c r="AJ2142" s="20" t="s">
        <v>57</v>
      </c>
      <c r="AK2142" s="23" t="str">
        <f t="shared" si="16"/>
        <v>2022USD</v>
      </c>
      <c r="AL2142" s="23">
        <f>VLOOKUP(AK2142, Exchange_rates!$C:$D, 2, FALSE)</f>
        <v>0.8115</v>
      </c>
      <c r="AM2142" s="26">
        <f t="shared" si="17"/>
        <v>4864.1310000000003</v>
      </c>
      <c r="AN2142" s="20"/>
      <c r="AO2142" s="20"/>
      <c r="AP2142" s="20"/>
      <c r="AQ2142" s="27" t="s">
        <v>49</v>
      </c>
      <c r="AR2142" t="s">
        <v>2213</v>
      </c>
      <c r="AS2142" s="16" t="s">
        <v>2214</v>
      </c>
      <c r="AT2142" s="20"/>
      <c r="AU2142" s="20"/>
      <c r="AV2142" s="20"/>
      <c r="AW2142" s="20"/>
      <c r="AX2142" s="20"/>
      <c r="AY2142" s="20"/>
      <c r="AZ2142" s="20"/>
      <c r="BA2142" s="20"/>
      <c r="BB2142" s="20"/>
      <c r="BC2142" s="20"/>
      <c r="BD2142" s="20"/>
      <c r="BE2142" s="20"/>
      <c r="BF2142" s="20"/>
      <c r="BG2142" s="20"/>
      <c r="BH2142" s="20"/>
    </row>
    <row r="2143" spans="1:60" ht="14.5">
      <c r="A2143" s="9" t="s">
        <v>10809</v>
      </c>
      <c r="B2143" s="9" t="s">
        <v>10810</v>
      </c>
      <c r="C2143" s="9" t="s">
        <v>5956</v>
      </c>
      <c r="D2143" s="9" t="s">
        <v>5539</v>
      </c>
      <c r="E2143" s="20" t="s">
        <v>49</v>
      </c>
      <c r="F2143" s="9" t="s">
        <v>69</v>
      </c>
      <c r="G2143" s="9" t="s">
        <v>70</v>
      </c>
      <c r="H2143" s="9" t="s">
        <v>9873</v>
      </c>
      <c r="I2143" s="9" t="s">
        <v>9814</v>
      </c>
      <c r="J2143" s="10"/>
      <c r="K2143" s="10">
        <v>45190</v>
      </c>
      <c r="L2143" s="28">
        <v>45224</v>
      </c>
      <c r="M2143" s="10"/>
      <c r="N2143" s="9">
        <v>2023</v>
      </c>
      <c r="O2143" s="9" t="s">
        <v>10811</v>
      </c>
      <c r="P2143" s="9" t="s">
        <v>53</v>
      </c>
      <c r="Q2143" s="9" t="s">
        <v>53</v>
      </c>
      <c r="S2143" s="9"/>
      <c r="T2143" s="9"/>
      <c r="V2143" s="9"/>
      <c r="AC2143" s="9" t="s">
        <v>433</v>
      </c>
      <c r="AD2143" s="9" t="s">
        <v>434</v>
      </c>
      <c r="AE2143" s="46" t="s">
        <v>10812</v>
      </c>
      <c r="AH2143" s="9">
        <v>2060</v>
      </c>
      <c r="AI2143" s="9" t="s">
        <v>77</v>
      </c>
      <c r="AJ2143" s="9" t="s">
        <v>301</v>
      </c>
      <c r="AK2143" s="23" t="str">
        <f t="shared" si="16"/>
        <v>2023GBP</v>
      </c>
      <c r="AL2143" s="23">
        <f>VLOOKUP(AK2143, Exchange_rates!$C:$D, 2, FALSE)</f>
        <v>1</v>
      </c>
      <c r="AM2143" s="26">
        <f t="shared" si="17"/>
        <v>2472</v>
      </c>
      <c r="AN2143" s="9"/>
      <c r="AO2143" s="9"/>
      <c r="AP2143" s="20"/>
      <c r="AQ2143" s="27" t="s">
        <v>49</v>
      </c>
      <c r="AR2143" t="s">
        <v>5960</v>
      </c>
      <c r="AS2143" s="16"/>
    </row>
    <row r="2144" spans="1:60" ht="14.5">
      <c r="A2144" s="9" t="s">
        <v>10813</v>
      </c>
      <c r="B2144" s="9" t="s">
        <v>10814</v>
      </c>
      <c r="C2144" s="9" t="s">
        <v>5634</v>
      </c>
      <c r="D2144" s="9" t="s">
        <v>5539</v>
      </c>
      <c r="E2144" s="20" t="s">
        <v>49</v>
      </c>
      <c r="F2144" s="9" t="s">
        <v>69</v>
      </c>
      <c r="G2144" s="9" t="s">
        <v>70</v>
      </c>
      <c r="H2144" s="9" t="s">
        <v>9873</v>
      </c>
      <c r="I2144" s="20" t="s">
        <v>72</v>
      </c>
      <c r="J2144" s="10"/>
      <c r="K2144" s="10">
        <v>45223</v>
      </c>
      <c r="L2144" s="28">
        <v>45224</v>
      </c>
      <c r="M2144" s="10"/>
      <c r="N2144" s="9">
        <v>2023</v>
      </c>
      <c r="O2144" s="9" t="s">
        <v>10811</v>
      </c>
      <c r="P2144" s="9" t="s">
        <v>83</v>
      </c>
      <c r="Q2144" s="9" t="s">
        <v>53</v>
      </c>
      <c r="R2144" s="9" t="s">
        <v>117</v>
      </c>
      <c r="S2144" s="9"/>
      <c r="T2144" s="9"/>
      <c r="V2144" s="9"/>
      <c r="AC2144" s="9" t="s">
        <v>6490</v>
      </c>
      <c r="AD2144" s="9" t="s">
        <v>6491</v>
      </c>
      <c r="AE2144" s="46" t="s">
        <v>10465</v>
      </c>
      <c r="AH2144" s="9">
        <v>3040</v>
      </c>
      <c r="AI2144" s="9" t="s">
        <v>77</v>
      </c>
      <c r="AJ2144" s="9" t="s">
        <v>301</v>
      </c>
      <c r="AK2144" s="23" t="str">
        <f t="shared" si="16"/>
        <v>2023GBP</v>
      </c>
      <c r="AL2144" s="23">
        <f>VLOOKUP(AK2144, Exchange_rates!$C:$D, 2, FALSE)</f>
        <v>1</v>
      </c>
      <c r="AM2144" s="26">
        <f t="shared" si="17"/>
        <v>3648</v>
      </c>
      <c r="AN2144" s="9"/>
      <c r="AO2144" s="9"/>
      <c r="AP2144" s="20"/>
      <c r="AQ2144" s="27" t="s">
        <v>49</v>
      </c>
      <c r="AR2144" t="s">
        <v>5551</v>
      </c>
      <c r="AS2144" s="16"/>
    </row>
    <row r="2145" spans="1:45" ht="14.5">
      <c r="A2145" s="9" t="s">
        <v>10815</v>
      </c>
      <c r="B2145" s="9" t="s">
        <v>10816</v>
      </c>
      <c r="C2145" s="9" t="s">
        <v>10817</v>
      </c>
      <c r="D2145" s="9" t="s">
        <v>5539</v>
      </c>
      <c r="E2145" s="20" t="s">
        <v>49</v>
      </c>
      <c r="F2145" s="9" t="s">
        <v>69</v>
      </c>
      <c r="G2145" s="9" t="s">
        <v>70</v>
      </c>
      <c r="H2145" s="9" t="s">
        <v>9873</v>
      </c>
      <c r="I2145" s="20" t="s">
        <v>72</v>
      </c>
      <c r="J2145" s="10"/>
      <c r="K2145" s="10">
        <v>45216</v>
      </c>
      <c r="L2145" s="28">
        <v>45222</v>
      </c>
      <c r="M2145" s="10"/>
      <c r="N2145" s="9">
        <v>2023</v>
      </c>
      <c r="O2145" s="9" t="s">
        <v>10811</v>
      </c>
      <c r="P2145" s="9" t="s">
        <v>53</v>
      </c>
      <c r="Q2145" s="9" t="s">
        <v>53</v>
      </c>
      <c r="S2145" s="9"/>
      <c r="T2145" s="9"/>
      <c r="V2145" s="9"/>
      <c r="AC2145" s="9" t="s">
        <v>9123</v>
      </c>
      <c r="AD2145" s="9" t="s">
        <v>9124</v>
      </c>
      <c r="AE2145" s="46" t="s">
        <v>10818</v>
      </c>
      <c r="AH2145" s="9">
        <v>2160</v>
      </c>
      <c r="AI2145" s="9" t="s">
        <v>77</v>
      </c>
      <c r="AJ2145" s="9" t="s">
        <v>301</v>
      </c>
      <c r="AK2145" s="23" t="str">
        <f t="shared" si="16"/>
        <v>2023GBP</v>
      </c>
      <c r="AL2145" s="23">
        <f>VLOOKUP(AK2145, Exchange_rates!$C:$D, 2, FALSE)</f>
        <v>1</v>
      </c>
      <c r="AM2145" s="26">
        <f t="shared" si="17"/>
        <v>2592</v>
      </c>
      <c r="AN2145" s="9"/>
      <c r="AO2145" s="9"/>
      <c r="AP2145" s="20"/>
      <c r="AQ2145" s="27" t="s">
        <v>49</v>
      </c>
      <c r="AR2145" t="s">
        <v>10819</v>
      </c>
      <c r="AS2145" s="16"/>
    </row>
    <row r="2146" spans="1:45" ht="14.5">
      <c r="A2146" s="9" t="s">
        <v>10820</v>
      </c>
      <c r="B2146" s="9" t="s">
        <v>10821</v>
      </c>
      <c r="C2146" s="9" t="s">
        <v>6139</v>
      </c>
      <c r="D2146" s="9" t="s">
        <v>5539</v>
      </c>
      <c r="E2146" s="20" t="s">
        <v>49</v>
      </c>
      <c r="F2146" s="9" t="s">
        <v>69</v>
      </c>
      <c r="G2146" s="9" t="s">
        <v>70</v>
      </c>
      <c r="H2146" s="9" t="s">
        <v>9873</v>
      </c>
      <c r="I2146" s="20" t="s">
        <v>72</v>
      </c>
      <c r="J2146" s="10"/>
      <c r="K2146" s="10">
        <v>45218</v>
      </c>
      <c r="L2146" s="28">
        <v>45222</v>
      </c>
      <c r="M2146" s="10"/>
      <c r="N2146" s="9">
        <v>2023</v>
      </c>
      <c r="O2146" s="9" t="s">
        <v>10811</v>
      </c>
      <c r="P2146" s="9" t="s">
        <v>53</v>
      </c>
      <c r="Q2146" s="9" t="s">
        <v>53</v>
      </c>
      <c r="S2146" s="9"/>
      <c r="T2146" s="9"/>
      <c r="V2146" s="9"/>
      <c r="AC2146" s="9" t="s">
        <v>6357</v>
      </c>
      <c r="AD2146" s="9" t="s">
        <v>6358</v>
      </c>
      <c r="AE2146" s="46" t="s">
        <v>10822</v>
      </c>
      <c r="AH2146" s="9">
        <v>2270</v>
      </c>
      <c r="AI2146" s="9" t="s">
        <v>77</v>
      </c>
      <c r="AJ2146" s="9" t="s">
        <v>301</v>
      </c>
      <c r="AK2146" s="23" t="str">
        <f t="shared" si="16"/>
        <v>2023GBP</v>
      </c>
      <c r="AL2146" s="23">
        <f>VLOOKUP(AK2146, Exchange_rates!$C:$D, 2, FALSE)</f>
        <v>1</v>
      </c>
      <c r="AM2146" s="26">
        <f t="shared" si="17"/>
        <v>2724</v>
      </c>
      <c r="AN2146" s="9"/>
      <c r="AO2146" s="9"/>
      <c r="AP2146" s="20"/>
      <c r="AQ2146" s="27" t="s">
        <v>49</v>
      </c>
      <c r="AR2146" t="s">
        <v>6143</v>
      </c>
      <c r="AS2146" s="16"/>
    </row>
    <row r="2147" spans="1:45" ht="14.5">
      <c r="A2147" s="9" t="s">
        <v>10823</v>
      </c>
      <c r="B2147" s="9" t="s">
        <v>10824</v>
      </c>
      <c r="C2147" s="9" t="s">
        <v>7059</v>
      </c>
      <c r="D2147" s="9" t="s">
        <v>5539</v>
      </c>
      <c r="E2147" s="20" t="s">
        <v>49</v>
      </c>
      <c r="F2147" s="9" t="s">
        <v>69</v>
      </c>
      <c r="G2147" s="9" t="s">
        <v>70</v>
      </c>
      <c r="H2147" s="9" t="s">
        <v>9873</v>
      </c>
      <c r="I2147" s="20" t="s">
        <v>72</v>
      </c>
      <c r="J2147" s="10"/>
      <c r="K2147" s="10">
        <v>45214</v>
      </c>
      <c r="L2147" s="28">
        <v>45222</v>
      </c>
      <c r="M2147" s="10"/>
      <c r="N2147" s="9">
        <v>2023</v>
      </c>
      <c r="O2147" s="9" t="s">
        <v>10811</v>
      </c>
      <c r="P2147" s="9" t="s">
        <v>53</v>
      </c>
      <c r="Q2147" s="9" t="s">
        <v>53</v>
      </c>
      <c r="R2147" s="9" t="s">
        <v>10825</v>
      </c>
      <c r="S2147" s="9"/>
      <c r="T2147" s="9"/>
      <c r="V2147" s="9"/>
      <c r="AC2147" s="9" t="s">
        <v>7061</v>
      </c>
      <c r="AD2147" s="9" t="s">
        <v>7062</v>
      </c>
      <c r="AE2147" s="46" t="s">
        <v>10826</v>
      </c>
      <c r="AH2147" s="9">
        <v>3460</v>
      </c>
      <c r="AI2147" s="9" t="s">
        <v>77</v>
      </c>
      <c r="AJ2147" s="9" t="s">
        <v>301</v>
      </c>
      <c r="AK2147" s="23" t="str">
        <f t="shared" si="16"/>
        <v>2023GBP</v>
      </c>
      <c r="AL2147" s="23">
        <f>VLOOKUP(AK2147, Exchange_rates!$C:$D, 2, FALSE)</f>
        <v>1</v>
      </c>
      <c r="AM2147" s="26">
        <f t="shared" si="17"/>
        <v>4152</v>
      </c>
      <c r="AN2147" s="9"/>
      <c r="AO2147" s="9"/>
      <c r="AP2147" s="20"/>
      <c r="AQ2147" s="27" t="s">
        <v>49</v>
      </c>
      <c r="AR2147" t="s">
        <v>7065</v>
      </c>
      <c r="AS2147" s="16"/>
    </row>
    <row r="2148" spans="1:45" ht="14.5">
      <c r="A2148" s="9" t="s">
        <v>10827</v>
      </c>
      <c r="B2148" s="9" t="s">
        <v>10828</v>
      </c>
      <c r="C2148" s="9" t="s">
        <v>7059</v>
      </c>
      <c r="D2148" s="9" t="s">
        <v>5539</v>
      </c>
      <c r="E2148" s="20" t="s">
        <v>49</v>
      </c>
      <c r="F2148" s="9" t="s">
        <v>69</v>
      </c>
      <c r="G2148" s="9" t="s">
        <v>70</v>
      </c>
      <c r="H2148" s="9" t="s">
        <v>9873</v>
      </c>
      <c r="I2148" s="20" t="s">
        <v>72</v>
      </c>
      <c r="J2148" s="10"/>
      <c r="K2148" s="10">
        <v>45214</v>
      </c>
      <c r="L2148" s="28">
        <v>45222</v>
      </c>
      <c r="M2148" s="10"/>
      <c r="N2148" s="9">
        <v>2023</v>
      </c>
      <c r="O2148" s="9" t="s">
        <v>10811</v>
      </c>
      <c r="P2148" s="9" t="s">
        <v>53</v>
      </c>
      <c r="Q2148" s="9" t="s">
        <v>53</v>
      </c>
      <c r="R2148" s="9" t="s">
        <v>10825</v>
      </c>
      <c r="S2148" s="9"/>
      <c r="T2148" s="9"/>
      <c r="V2148" s="9"/>
      <c r="AC2148" s="9" t="s">
        <v>7061</v>
      </c>
      <c r="AD2148" s="9" t="s">
        <v>7062</v>
      </c>
      <c r="AE2148" s="46" t="s">
        <v>10826</v>
      </c>
      <c r="AH2148" s="9">
        <v>3460</v>
      </c>
      <c r="AI2148" s="9" t="s">
        <v>77</v>
      </c>
      <c r="AJ2148" s="9" t="s">
        <v>301</v>
      </c>
      <c r="AK2148" s="23" t="str">
        <f t="shared" si="16"/>
        <v>2023GBP</v>
      </c>
      <c r="AL2148" s="23">
        <f>VLOOKUP(AK2148, Exchange_rates!$C:$D, 2, FALSE)</f>
        <v>1</v>
      </c>
      <c r="AM2148" s="26">
        <f t="shared" si="17"/>
        <v>4152</v>
      </c>
      <c r="AN2148" s="9"/>
      <c r="AO2148" s="9"/>
      <c r="AP2148" s="20"/>
      <c r="AQ2148" s="27" t="s">
        <v>49</v>
      </c>
      <c r="AR2148" t="s">
        <v>7065</v>
      </c>
      <c r="AS2148" s="16"/>
    </row>
    <row r="2149" spans="1:45" ht="14.5">
      <c r="A2149" s="9" t="s">
        <v>10829</v>
      </c>
      <c r="B2149" s="9" t="s">
        <v>10830</v>
      </c>
      <c r="C2149" s="9" t="s">
        <v>5728</v>
      </c>
      <c r="D2149" s="9" t="s">
        <v>5539</v>
      </c>
      <c r="E2149" s="20" t="s">
        <v>49</v>
      </c>
      <c r="F2149" s="9" t="s">
        <v>69</v>
      </c>
      <c r="G2149" s="9" t="s">
        <v>70</v>
      </c>
      <c r="H2149" s="9" t="s">
        <v>9873</v>
      </c>
      <c r="I2149" s="20" t="s">
        <v>72</v>
      </c>
      <c r="J2149" s="10"/>
      <c r="K2149" s="10">
        <v>45167</v>
      </c>
      <c r="L2149" s="28">
        <v>45217</v>
      </c>
      <c r="M2149" s="10"/>
      <c r="N2149" s="9">
        <v>2023</v>
      </c>
      <c r="O2149" s="9" t="s">
        <v>10811</v>
      </c>
      <c r="P2149" s="9" t="s">
        <v>53</v>
      </c>
      <c r="Q2149" s="9" t="s">
        <v>53</v>
      </c>
      <c r="S2149" s="9"/>
      <c r="T2149" s="9"/>
      <c r="V2149" s="9"/>
      <c r="AC2149" s="9" t="s">
        <v>10831</v>
      </c>
      <c r="AD2149" s="9" t="s">
        <v>10832</v>
      </c>
      <c r="AE2149" s="46" t="s">
        <v>10833</v>
      </c>
      <c r="AH2149" s="9">
        <v>2320</v>
      </c>
      <c r="AI2149" s="9" t="s">
        <v>77</v>
      </c>
      <c r="AJ2149" s="9" t="s">
        <v>301</v>
      </c>
      <c r="AK2149" s="23" t="str">
        <f t="shared" si="16"/>
        <v>2023GBP</v>
      </c>
      <c r="AL2149" s="23">
        <f>VLOOKUP(AK2149, Exchange_rates!$C:$D, 2, FALSE)</f>
        <v>1</v>
      </c>
      <c r="AM2149" s="26">
        <f t="shared" si="17"/>
        <v>2784</v>
      </c>
      <c r="AN2149" s="9"/>
      <c r="AO2149" s="9"/>
      <c r="AP2149" s="20"/>
      <c r="AQ2149" s="27" t="s">
        <v>49</v>
      </c>
      <c r="AR2149" t="s">
        <v>5732</v>
      </c>
      <c r="AS2149" s="16"/>
    </row>
    <row r="2150" spans="1:45" ht="14.5">
      <c r="A2150" s="9" t="s">
        <v>10834</v>
      </c>
      <c r="B2150" s="9" t="s">
        <v>10835</v>
      </c>
      <c r="C2150" s="9" t="s">
        <v>6139</v>
      </c>
      <c r="D2150" s="9" t="s">
        <v>5539</v>
      </c>
      <c r="E2150" s="20" t="s">
        <v>49</v>
      </c>
      <c r="F2150" s="9" t="s">
        <v>69</v>
      </c>
      <c r="G2150" s="9" t="s">
        <v>70</v>
      </c>
      <c r="H2150" s="9" t="s">
        <v>9873</v>
      </c>
      <c r="I2150" s="20" t="s">
        <v>291</v>
      </c>
      <c r="J2150" s="10"/>
      <c r="K2150" s="10">
        <v>45208</v>
      </c>
      <c r="L2150" s="28">
        <v>45216</v>
      </c>
      <c r="M2150" s="10"/>
      <c r="N2150" s="9">
        <v>2023</v>
      </c>
      <c r="O2150" s="9" t="s">
        <v>10811</v>
      </c>
      <c r="P2150" s="9" t="s">
        <v>53</v>
      </c>
      <c r="Q2150" s="9" t="s">
        <v>53</v>
      </c>
      <c r="S2150" s="9"/>
      <c r="T2150" s="9"/>
      <c r="V2150" s="9"/>
      <c r="AC2150" s="9" t="s">
        <v>10836</v>
      </c>
      <c r="AD2150" s="9" t="s">
        <v>10837</v>
      </c>
      <c r="AE2150" s="46" t="s">
        <v>10838</v>
      </c>
      <c r="AH2150" s="9">
        <v>2270</v>
      </c>
      <c r="AI2150" s="9" t="s">
        <v>77</v>
      </c>
      <c r="AJ2150" s="9" t="s">
        <v>301</v>
      </c>
      <c r="AK2150" s="23" t="str">
        <f t="shared" si="16"/>
        <v>2023GBP</v>
      </c>
      <c r="AL2150" s="23">
        <f>VLOOKUP(AK2150, Exchange_rates!$C:$D, 2, FALSE)</f>
        <v>1</v>
      </c>
      <c r="AM2150" s="26">
        <f t="shared" si="17"/>
        <v>2724</v>
      </c>
      <c r="AN2150" s="9"/>
      <c r="AO2150" s="9"/>
      <c r="AP2150" s="20"/>
      <c r="AQ2150" s="27" t="s">
        <v>49</v>
      </c>
      <c r="AR2150" t="s">
        <v>6143</v>
      </c>
      <c r="AS2150" s="16"/>
    </row>
    <row r="2151" spans="1:45" ht="14.5">
      <c r="A2151" s="9" t="s">
        <v>10839</v>
      </c>
      <c r="B2151" s="9" t="s">
        <v>10840</v>
      </c>
      <c r="C2151" s="9" t="s">
        <v>10841</v>
      </c>
      <c r="D2151" s="9" t="s">
        <v>5539</v>
      </c>
      <c r="E2151" s="20" t="s">
        <v>49</v>
      </c>
      <c r="F2151" s="9" t="s">
        <v>69</v>
      </c>
      <c r="G2151" s="9" t="s">
        <v>70</v>
      </c>
      <c r="H2151" s="9" t="s">
        <v>9873</v>
      </c>
      <c r="I2151" s="20" t="s">
        <v>72</v>
      </c>
      <c r="J2151" s="10"/>
      <c r="K2151" s="10">
        <v>45186</v>
      </c>
      <c r="L2151" s="28">
        <v>45217</v>
      </c>
      <c r="M2151" s="10"/>
      <c r="N2151" s="9">
        <v>2023</v>
      </c>
      <c r="O2151" s="9" t="s">
        <v>10811</v>
      </c>
      <c r="P2151" s="9" t="s">
        <v>83</v>
      </c>
      <c r="Q2151" s="9" t="s">
        <v>53</v>
      </c>
      <c r="R2151" s="9" t="s">
        <v>117</v>
      </c>
      <c r="S2151" s="9"/>
      <c r="T2151" s="9"/>
      <c r="V2151" s="9"/>
      <c r="AC2151" s="9" t="s">
        <v>10842</v>
      </c>
      <c r="AD2151" s="9" t="s">
        <v>10843</v>
      </c>
      <c r="AH2151" s="9">
        <v>2470</v>
      </c>
      <c r="AI2151" s="9" t="s">
        <v>77</v>
      </c>
      <c r="AJ2151" s="9" t="s">
        <v>301</v>
      </c>
      <c r="AK2151" s="23" t="str">
        <f t="shared" si="16"/>
        <v>2023GBP</v>
      </c>
      <c r="AL2151" s="23">
        <f>VLOOKUP(AK2151, Exchange_rates!$C:$D, 2, FALSE)</f>
        <v>1</v>
      </c>
      <c r="AM2151" s="26">
        <f t="shared" si="17"/>
        <v>2964</v>
      </c>
      <c r="AN2151" s="9"/>
      <c r="AO2151" s="9"/>
      <c r="AP2151" s="20"/>
      <c r="AQ2151" s="27" t="s">
        <v>49</v>
      </c>
      <c r="AR2151" t="s">
        <v>10844</v>
      </c>
      <c r="AS2151" s="16"/>
    </row>
    <row r="2152" spans="1:45" ht="14.5">
      <c r="A2152" s="9" t="s">
        <v>10845</v>
      </c>
      <c r="B2152" s="9" t="s">
        <v>10846</v>
      </c>
      <c r="C2152" s="9" t="s">
        <v>10847</v>
      </c>
      <c r="D2152" s="9" t="s">
        <v>5539</v>
      </c>
      <c r="E2152" s="20" t="s">
        <v>49</v>
      </c>
      <c r="F2152" s="9" t="s">
        <v>69</v>
      </c>
      <c r="G2152" s="9" t="s">
        <v>70</v>
      </c>
      <c r="H2152" s="9" t="s">
        <v>9873</v>
      </c>
      <c r="I2152" s="9" t="s">
        <v>238</v>
      </c>
      <c r="J2152" s="10"/>
      <c r="K2152" s="10">
        <v>45198</v>
      </c>
      <c r="L2152" s="28">
        <v>45211</v>
      </c>
      <c r="M2152" s="10">
        <v>45207</v>
      </c>
      <c r="N2152" s="9">
        <v>2023</v>
      </c>
      <c r="O2152" s="9" t="s">
        <v>10811</v>
      </c>
      <c r="P2152" s="9" t="s">
        <v>53</v>
      </c>
      <c r="Q2152" s="9" t="s">
        <v>53</v>
      </c>
      <c r="S2152" s="9"/>
      <c r="T2152" s="9"/>
      <c r="V2152" s="9"/>
      <c r="AC2152" s="9" t="s">
        <v>10848</v>
      </c>
      <c r="AD2152" s="9" t="s">
        <v>10849</v>
      </c>
      <c r="AE2152" s="46" t="s">
        <v>10850</v>
      </c>
      <c r="AH2152" s="9">
        <v>2160</v>
      </c>
      <c r="AI2152" s="9" t="s">
        <v>77</v>
      </c>
      <c r="AJ2152" s="9" t="s">
        <v>301</v>
      </c>
      <c r="AK2152" s="23" t="str">
        <f t="shared" si="16"/>
        <v>2023GBP</v>
      </c>
      <c r="AL2152" s="23">
        <f>VLOOKUP(AK2152, Exchange_rates!$C:$D, 2, FALSE)</f>
        <v>1</v>
      </c>
      <c r="AM2152" s="26">
        <f t="shared" si="17"/>
        <v>2592</v>
      </c>
      <c r="AN2152" s="9"/>
      <c r="AO2152" s="9"/>
      <c r="AP2152" s="20"/>
      <c r="AQ2152" s="27" t="s">
        <v>49</v>
      </c>
      <c r="AR2152" t="s">
        <v>10851</v>
      </c>
      <c r="AS2152" s="16"/>
    </row>
    <row r="2153" spans="1:45" ht="14.5">
      <c r="A2153" s="9" t="s">
        <v>10852</v>
      </c>
      <c r="B2153" s="9" t="s">
        <v>10853</v>
      </c>
      <c r="C2153" s="9" t="s">
        <v>10854</v>
      </c>
      <c r="D2153" s="9" t="s">
        <v>5539</v>
      </c>
      <c r="E2153" s="20" t="s">
        <v>49</v>
      </c>
      <c r="F2153" s="9" t="s">
        <v>69</v>
      </c>
      <c r="G2153" s="9" t="s">
        <v>70</v>
      </c>
      <c r="H2153" s="9" t="s">
        <v>9873</v>
      </c>
      <c r="I2153" s="20" t="s">
        <v>291</v>
      </c>
      <c r="J2153" s="10"/>
      <c r="K2153" s="10">
        <v>45198</v>
      </c>
      <c r="L2153" s="28">
        <v>45211</v>
      </c>
      <c r="M2153" s="10"/>
      <c r="N2153" s="9">
        <v>2023</v>
      </c>
      <c r="O2153" s="9" t="s">
        <v>10811</v>
      </c>
      <c r="P2153" s="9" t="s">
        <v>53</v>
      </c>
      <c r="Q2153" s="9" t="s">
        <v>53</v>
      </c>
      <c r="S2153" s="9"/>
      <c r="T2153" s="9"/>
      <c r="V2153" s="9"/>
      <c r="AC2153" s="9" t="s">
        <v>10855</v>
      </c>
      <c r="AD2153" s="9" t="s">
        <v>10856</v>
      </c>
      <c r="AE2153" s="46" t="s">
        <v>10857</v>
      </c>
      <c r="AH2153" s="9">
        <v>2220</v>
      </c>
      <c r="AI2153" s="9" t="s">
        <v>77</v>
      </c>
      <c r="AJ2153" s="9" t="s">
        <v>301</v>
      </c>
      <c r="AK2153" s="23" t="str">
        <f t="shared" si="16"/>
        <v>2023GBP</v>
      </c>
      <c r="AL2153" s="23">
        <f>VLOOKUP(AK2153, Exchange_rates!$C:$D, 2, FALSE)</f>
        <v>1</v>
      </c>
      <c r="AM2153" s="26">
        <f t="shared" si="17"/>
        <v>2664</v>
      </c>
      <c r="AN2153" s="9"/>
      <c r="AO2153" s="9"/>
      <c r="AP2153" s="20"/>
      <c r="AQ2153" s="27" t="s">
        <v>49</v>
      </c>
      <c r="AR2153" t="s">
        <v>10858</v>
      </c>
      <c r="AS2153" s="16"/>
    </row>
    <row r="2154" spans="1:45" ht="14.5">
      <c r="A2154" s="9" t="s">
        <v>10859</v>
      </c>
      <c r="B2154" s="9" t="s">
        <v>10860</v>
      </c>
      <c r="C2154" s="9" t="s">
        <v>6221</v>
      </c>
      <c r="D2154" s="9" t="s">
        <v>5539</v>
      </c>
      <c r="E2154" s="20" t="s">
        <v>49</v>
      </c>
      <c r="F2154" s="9" t="s">
        <v>69</v>
      </c>
      <c r="G2154" s="9" t="s">
        <v>70</v>
      </c>
      <c r="H2154" s="9" t="s">
        <v>9873</v>
      </c>
      <c r="I2154" s="9" t="s">
        <v>238</v>
      </c>
      <c r="J2154" s="10"/>
      <c r="K2154" s="10">
        <v>45188</v>
      </c>
      <c r="L2154" s="10">
        <v>45197</v>
      </c>
      <c r="M2154" s="10"/>
      <c r="N2154" s="9">
        <v>2023</v>
      </c>
      <c r="O2154" s="9" t="s">
        <v>10811</v>
      </c>
      <c r="P2154" s="9" t="s">
        <v>53</v>
      </c>
      <c r="Q2154" s="9" t="s">
        <v>53</v>
      </c>
      <c r="S2154" s="9"/>
      <c r="T2154" s="9"/>
      <c r="V2154" s="9"/>
      <c r="AC2154" s="9" t="s">
        <v>4710</v>
      </c>
      <c r="AD2154" s="9" t="s">
        <v>4711</v>
      </c>
      <c r="AE2154" s="46" t="s">
        <v>10861</v>
      </c>
      <c r="AH2154" s="9">
        <v>3350</v>
      </c>
      <c r="AI2154" s="9" t="s">
        <v>77</v>
      </c>
      <c r="AJ2154" s="9" t="s">
        <v>301</v>
      </c>
      <c r="AK2154" s="23" t="str">
        <f t="shared" si="16"/>
        <v>2023GBP</v>
      </c>
      <c r="AL2154" s="23">
        <f>VLOOKUP(AK2154, Exchange_rates!$C:$D, 2, FALSE)</f>
        <v>1</v>
      </c>
      <c r="AM2154" s="26">
        <f t="shared" si="17"/>
        <v>4020</v>
      </c>
      <c r="AN2154" s="9"/>
      <c r="AO2154" s="9"/>
      <c r="AP2154" s="20"/>
      <c r="AQ2154" s="27" t="s">
        <v>49</v>
      </c>
      <c r="AR2154" t="s">
        <v>6226</v>
      </c>
      <c r="AS2154" s="16"/>
    </row>
    <row r="2155" spans="1:45" ht="14.5">
      <c r="A2155" s="9" t="s">
        <v>10862</v>
      </c>
      <c r="B2155" s="9" t="s">
        <v>10863</v>
      </c>
      <c r="C2155" s="9" t="s">
        <v>5823</v>
      </c>
      <c r="D2155" s="9" t="s">
        <v>5539</v>
      </c>
      <c r="E2155" s="20" t="s">
        <v>49</v>
      </c>
      <c r="F2155" s="9" t="s">
        <v>69</v>
      </c>
      <c r="G2155" s="9" t="s">
        <v>70</v>
      </c>
      <c r="H2155" s="9" t="s">
        <v>9873</v>
      </c>
      <c r="I2155" s="20" t="s">
        <v>72</v>
      </c>
      <c r="J2155" s="10"/>
      <c r="K2155" s="10">
        <v>45174</v>
      </c>
      <c r="L2155" s="10">
        <v>45195</v>
      </c>
      <c r="M2155" s="10"/>
      <c r="N2155" s="9">
        <v>2023</v>
      </c>
      <c r="O2155" s="9" t="s">
        <v>10811</v>
      </c>
      <c r="P2155" s="9" t="s">
        <v>53</v>
      </c>
      <c r="Q2155" s="9" t="s">
        <v>53</v>
      </c>
      <c r="S2155" s="9"/>
      <c r="T2155" s="9"/>
      <c r="V2155" s="9"/>
      <c r="AC2155" s="9" t="s">
        <v>10864</v>
      </c>
      <c r="AD2155" s="9" t="s">
        <v>10865</v>
      </c>
      <c r="AE2155" s="46" t="s">
        <v>10866</v>
      </c>
      <c r="AH2155" s="9">
        <v>2320</v>
      </c>
      <c r="AI2155" s="9" t="s">
        <v>77</v>
      </c>
      <c r="AJ2155" s="9" t="s">
        <v>301</v>
      </c>
      <c r="AK2155" s="23" t="str">
        <f t="shared" si="16"/>
        <v>2023GBP</v>
      </c>
      <c r="AL2155" s="23">
        <f>VLOOKUP(AK2155, Exchange_rates!$C:$D, 2, FALSE)</f>
        <v>1</v>
      </c>
      <c r="AM2155" s="26">
        <f t="shared" si="17"/>
        <v>2784</v>
      </c>
      <c r="AN2155" s="9"/>
      <c r="AO2155" s="9"/>
      <c r="AP2155" s="20"/>
      <c r="AQ2155" s="27" t="s">
        <v>49</v>
      </c>
      <c r="AR2155" t="s">
        <v>5828</v>
      </c>
      <c r="AS2155" s="16"/>
    </row>
    <row r="2156" spans="1:45" ht="14.5" hidden="1">
      <c r="A2156" s="9" t="s">
        <v>10867</v>
      </c>
      <c r="B2156" s="9"/>
      <c r="C2156" s="9" t="s">
        <v>6018</v>
      </c>
      <c r="D2156" s="9" t="s">
        <v>5539</v>
      </c>
      <c r="E2156" s="9" t="s">
        <v>125</v>
      </c>
      <c r="F2156" s="9" t="s">
        <v>50</v>
      </c>
      <c r="G2156" s="9" t="s">
        <v>51</v>
      </c>
      <c r="H2156" s="9"/>
      <c r="I2156" s="9"/>
      <c r="J2156" s="10"/>
      <c r="K2156" s="10"/>
      <c r="L2156" s="10">
        <v>45190</v>
      </c>
      <c r="M2156" s="10"/>
      <c r="N2156" s="9">
        <v>2023</v>
      </c>
      <c r="O2156" s="9" t="s">
        <v>10811</v>
      </c>
      <c r="P2156" s="9" t="s">
        <v>83</v>
      </c>
      <c r="Q2156" s="9" t="s">
        <v>53</v>
      </c>
      <c r="R2156" s="9" t="s">
        <v>10868</v>
      </c>
      <c r="S2156" s="9"/>
      <c r="T2156" s="9" t="s">
        <v>6095</v>
      </c>
      <c r="V2156" s="9"/>
      <c r="AC2156" s="9" t="s">
        <v>10869</v>
      </c>
      <c r="AD2156" s="9" t="s">
        <v>10870</v>
      </c>
      <c r="AH2156" s="9">
        <v>2530.5</v>
      </c>
      <c r="AI2156" s="9" t="s">
        <v>77</v>
      </c>
      <c r="AJ2156" s="9" t="s">
        <v>301</v>
      </c>
      <c r="AK2156" s="23" t="str">
        <f t="shared" si="16"/>
        <v>2023GBP</v>
      </c>
      <c r="AL2156" s="23">
        <f>VLOOKUP(AK2156, Exchange_rates!$C:$D, 2, FALSE)</f>
        <v>1</v>
      </c>
      <c r="AM2156" s="26">
        <f t="shared" si="17"/>
        <v>3036.6</v>
      </c>
      <c r="AN2156" s="9"/>
      <c r="AO2156" s="9"/>
      <c r="AP2156" s="9"/>
      <c r="AQ2156" s="15" t="s">
        <v>125</v>
      </c>
      <c r="AR2156" t="s">
        <v>6023</v>
      </c>
      <c r="AS2156" s="16"/>
    </row>
    <row r="2157" spans="1:45" ht="14.5">
      <c r="A2157" s="9" t="s">
        <v>10871</v>
      </c>
      <c r="B2157" s="9" t="s">
        <v>10872</v>
      </c>
      <c r="C2157" s="9" t="s">
        <v>6922</v>
      </c>
      <c r="D2157" s="9" t="s">
        <v>5539</v>
      </c>
      <c r="E2157" s="20" t="s">
        <v>49</v>
      </c>
      <c r="F2157" s="9" t="s">
        <v>69</v>
      </c>
      <c r="G2157" s="9" t="s">
        <v>70</v>
      </c>
      <c r="H2157" s="9" t="s">
        <v>9873</v>
      </c>
      <c r="I2157" s="9" t="s">
        <v>238</v>
      </c>
      <c r="J2157" s="10"/>
      <c r="K2157" s="10">
        <v>45166</v>
      </c>
      <c r="L2157" s="10">
        <v>45183</v>
      </c>
      <c r="M2157" s="10"/>
      <c r="N2157" s="9">
        <v>2023</v>
      </c>
      <c r="O2157" s="9" t="s">
        <v>10811</v>
      </c>
      <c r="P2157" s="9" t="s">
        <v>53</v>
      </c>
      <c r="Q2157" s="9" t="s">
        <v>53</v>
      </c>
      <c r="R2157" s="9" t="s">
        <v>10873</v>
      </c>
      <c r="S2157" s="9"/>
      <c r="T2157" s="9"/>
      <c r="V2157" s="9"/>
      <c r="AC2157" s="9" t="s">
        <v>6315</v>
      </c>
      <c r="AD2157" s="9" t="s">
        <v>10874</v>
      </c>
      <c r="AE2157" s="46" t="s">
        <v>10875</v>
      </c>
      <c r="AH2157" s="9">
        <v>3030</v>
      </c>
      <c r="AI2157" s="9" t="s">
        <v>77</v>
      </c>
      <c r="AJ2157" s="9" t="s">
        <v>301</v>
      </c>
      <c r="AK2157" s="23" t="str">
        <f t="shared" si="16"/>
        <v>2023GBP</v>
      </c>
      <c r="AL2157" s="23">
        <f>VLOOKUP(AK2157, Exchange_rates!$C:$D, 2, FALSE)</f>
        <v>1</v>
      </c>
      <c r="AM2157" s="26">
        <f t="shared" si="17"/>
        <v>3636</v>
      </c>
      <c r="AN2157" s="9"/>
      <c r="AO2157" s="9"/>
      <c r="AP2157" s="20"/>
      <c r="AQ2157" s="27" t="s">
        <v>49</v>
      </c>
      <c r="AR2157" t="s">
        <v>6928</v>
      </c>
      <c r="AS2157" s="16"/>
    </row>
    <row r="2158" spans="1:45" ht="14.5" hidden="1">
      <c r="A2158" s="9" t="s">
        <v>10876</v>
      </c>
      <c r="B2158" s="9"/>
      <c r="C2158" s="9" t="s">
        <v>5834</v>
      </c>
      <c r="D2158" s="9" t="s">
        <v>5539</v>
      </c>
      <c r="E2158" s="9" t="s">
        <v>125</v>
      </c>
      <c r="F2158" s="9" t="s">
        <v>50</v>
      </c>
      <c r="G2158" s="9" t="s">
        <v>51</v>
      </c>
      <c r="H2158" s="9"/>
      <c r="I2158" s="9"/>
      <c r="J2158" s="10"/>
      <c r="K2158" s="10"/>
      <c r="L2158" s="10">
        <v>45183</v>
      </c>
      <c r="M2158" s="10"/>
      <c r="N2158" s="9">
        <v>2023</v>
      </c>
      <c r="O2158" s="9" t="s">
        <v>10811</v>
      </c>
      <c r="P2158" s="9" t="s">
        <v>83</v>
      </c>
      <c r="Q2158" s="9" t="s">
        <v>53</v>
      </c>
      <c r="R2158" s="9" t="s">
        <v>10877</v>
      </c>
      <c r="S2158" s="9"/>
      <c r="T2158" s="9" t="s">
        <v>6095</v>
      </c>
      <c r="V2158" s="9"/>
      <c r="AC2158" s="9" t="s">
        <v>10878</v>
      </c>
      <c r="AD2158" s="9" t="s">
        <v>10879</v>
      </c>
      <c r="AH2158" s="9">
        <v>1750.5</v>
      </c>
      <c r="AI2158" s="9" t="s">
        <v>77</v>
      </c>
      <c r="AJ2158" s="9" t="s">
        <v>301</v>
      </c>
      <c r="AK2158" s="23" t="str">
        <f t="shared" si="16"/>
        <v>2023GBP</v>
      </c>
      <c r="AL2158" s="23">
        <f>VLOOKUP(AK2158, Exchange_rates!$C:$D, 2, FALSE)</f>
        <v>1</v>
      </c>
      <c r="AM2158" s="26">
        <f t="shared" si="17"/>
        <v>2100.6</v>
      </c>
      <c r="AN2158" s="9"/>
      <c r="AO2158" s="9"/>
      <c r="AP2158" s="9"/>
      <c r="AQ2158" s="15" t="s">
        <v>125</v>
      </c>
      <c r="AR2158" t="s">
        <v>5839</v>
      </c>
      <c r="AS2158" s="16"/>
    </row>
    <row r="2159" spans="1:45" ht="14.5">
      <c r="A2159" s="9" t="s">
        <v>10880</v>
      </c>
      <c r="B2159" s="9" t="s">
        <v>10881</v>
      </c>
      <c r="C2159" s="9" t="s">
        <v>10556</v>
      </c>
      <c r="D2159" s="9" t="s">
        <v>5539</v>
      </c>
      <c r="E2159" s="20" t="s">
        <v>49</v>
      </c>
      <c r="F2159" s="9" t="s">
        <v>69</v>
      </c>
      <c r="G2159" s="9" t="s">
        <v>70</v>
      </c>
      <c r="H2159" s="9" t="s">
        <v>9873</v>
      </c>
      <c r="I2159" s="20" t="s">
        <v>72</v>
      </c>
      <c r="J2159" s="10"/>
      <c r="K2159" s="10">
        <v>45171</v>
      </c>
      <c r="L2159" s="10">
        <v>45180</v>
      </c>
      <c r="M2159" s="10"/>
      <c r="N2159" s="9">
        <v>2023</v>
      </c>
      <c r="O2159" s="9" t="s">
        <v>10811</v>
      </c>
      <c r="P2159" s="9" t="s">
        <v>53</v>
      </c>
      <c r="Q2159" s="9" t="s">
        <v>53</v>
      </c>
      <c r="S2159" s="9"/>
      <c r="T2159" s="9"/>
      <c r="V2159" s="9"/>
      <c r="AC2159" s="9" t="s">
        <v>10882</v>
      </c>
      <c r="AD2159" s="9" t="s">
        <v>10883</v>
      </c>
      <c r="AH2159" s="9">
        <v>2420</v>
      </c>
      <c r="AI2159" s="9" t="s">
        <v>77</v>
      </c>
      <c r="AJ2159" s="9" t="s">
        <v>301</v>
      </c>
      <c r="AK2159" s="23" t="str">
        <f t="shared" si="16"/>
        <v>2023GBP</v>
      </c>
      <c r="AL2159" s="23">
        <f>VLOOKUP(AK2159, Exchange_rates!$C:$D, 2, FALSE)</f>
        <v>1</v>
      </c>
      <c r="AM2159" s="26">
        <f t="shared" si="17"/>
        <v>2904</v>
      </c>
      <c r="AN2159" s="9"/>
      <c r="AO2159" s="9"/>
      <c r="AP2159" s="20"/>
      <c r="AQ2159" s="27" t="s">
        <v>49</v>
      </c>
      <c r="AR2159" t="s">
        <v>10559</v>
      </c>
      <c r="AS2159" s="16"/>
    </row>
    <row r="2160" spans="1:45" ht="14.5">
      <c r="A2160" s="9" t="s">
        <v>10884</v>
      </c>
      <c r="B2160" s="9" t="s">
        <v>10885</v>
      </c>
      <c r="C2160" s="9" t="s">
        <v>10817</v>
      </c>
      <c r="D2160" s="9" t="s">
        <v>5539</v>
      </c>
      <c r="E2160" s="20" t="s">
        <v>49</v>
      </c>
      <c r="F2160" s="9" t="s">
        <v>69</v>
      </c>
      <c r="G2160" s="9" t="s">
        <v>70</v>
      </c>
      <c r="H2160" s="9" t="s">
        <v>9873</v>
      </c>
      <c r="I2160" s="9" t="s">
        <v>291</v>
      </c>
      <c r="J2160" s="10"/>
      <c r="K2160" s="10">
        <v>45173</v>
      </c>
      <c r="L2160" s="10">
        <v>45176</v>
      </c>
      <c r="M2160" s="10"/>
      <c r="N2160" s="9">
        <v>2023</v>
      </c>
      <c r="O2160" s="9" t="s">
        <v>10811</v>
      </c>
      <c r="P2160" s="9" t="s">
        <v>53</v>
      </c>
      <c r="Q2160" s="9" t="s">
        <v>53</v>
      </c>
      <c r="S2160" s="9"/>
      <c r="T2160" s="9"/>
      <c r="V2160" s="9"/>
      <c r="AC2160" s="9" t="s">
        <v>5478</v>
      </c>
      <c r="AD2160" s="9" t="s">
        <v>5479</v>
      </c>
      <c r="AE2160" s="46" t="s">
        <v>10886</v>
      </c>
      <c r="AH2160" s="9">
        <v>2060</v>
      </c>
      <c r="AI2160" s="9" t="s">
        <v>77</v>
      </c>
      <c r="AJ2160" s="9" t="s">
        <v>301</v>
      </c>
      <c r="AK2160" s="23" t="str">
        <f t="shared" si="16"/>
        <v>2023GBP</v>
      </c>
      <c r="AL2160" s="23">
        <f>VLOOKUP(AK2160, Exchange_rates!$C:$D, 2, FALSE)</f>
        <v>1</v>
      </c>
      <c r="AM2160" s="26">
        <f t="shared" si="17"/>
        <v>2472</v>
      </c>
      <c r="AN2160" s="9"/>
      <c r="AO2160" s="9"/>
      <c r="AP2160" s="20"/>
      <c r="AQ2160" s="27" t="s">
        <v>49</v>
      </c>
      <c r="AR2160" t="s">
        <v>10819</v>
      </c>
      <c r="AS2160" s="16"/>
    </row>
    <row r="2161" spans="1:60" ht="14.5">
      <c r="A2161" s="9" t="s">
        <v>10887</v>
      </c>
      <c r="B2161" s="9" t="s">
        <v>10888</v>
      </c>
      <c r="C2161" s="9" t="s">
        <v>6174</v>
      </c>
      <c r="D2161" s="9" t="s">
        <v>5539</v>
      </c>
      <c r="E2161" s="20" t="s">
        <v>49</v>
      </c>
      <c r="F2161" s="9" t="s">
        <v>69</v>
      </c>
      <c r="G2161" s="9" t="s">
        <v>70</v>
      </c>
      <c r="H2161" s="9" t="s">
        <v>9873</v>
      </c>
      <c r="I2161" s="9" t="s">
        <v>291</v>
      </c>
      <c r="J2161" s="10"/>
      <c r="K2161" s="10">
        <v>45167</v>
      </c>
      <c r="L2161" s="10">
        <v>45173</v>
      </c>
      <c r="M2161" s="10"/>
      <c r="N2161" s="9">
        <v>2023</v>
      </c>
      <c r="O2161" s="9" t="s">
        <v>10811</v>
      </c>
      <c r="P2161" s="9" t="s">
        <v>53</v>
      </c>
      <c r="Q2161" s="9" t="s">
        <v>53</v>
      </c>
      <c r="S2161" s="9"/>
      <c r="T2161" s="9"/>
      <c r="V2161" s="9"/>
      <c r="AC2161" s="9" t="s">
        <v>4710</v>
      </c>
      <c r="AD2161" s="9" t="s">
        <v>4711</v>
      </c>
      <c r="AE2161" s="46" t="s">
        <v>10861</v>
      </c>
      <c r="AH2161" s="9">
        <v>2160</v>
      </c>
      <c r="AI2161" s="9" t="s">
        <v>77</v>
      </c>
      <c r="AJ2161" s="9" t="s">
        <v>301</v>
      </c>
      <c r="AK2161" s="23" t="str">
        <f t="shared" si="16"/>
        <v>2023GBP</v>
      </c>
      <c r="AL2161" s="23">
        <f>VLOOKUP(AK2161, Exchange_rates!$C:$D, 2, FALSE)</f>
        <v>1</v>
      </c>
      <c r="AM2161" s="26">
        <f t="shared" si="17"/>
        <v>2592</v>
      </c>
      <c r="AN2161" s="9"/>
      <c r="AO2161" s="9"/>
      <c r="AP2161" s="20"/>
      <c r="AQ2161" s="27" t="s">
        <v>49</v>
      </c>
      <c r="AR2161" t="s">
        <v>6179</v>
      </c>
      <c r="AS2161" s="16"/>
    </row>
    <row r="2162" spans="1:60" ht="14.5">
      <c r="A2162" s="9" t="s">
        <v>10889</v>
      </c>
      <c r="B2162" s="9" t="s">
        <v>10890</v>
      </c>
      <c r="C2162" s="9" t="s">
        <v>5781</v>
      </c>
      <c r="D2162" s="9" t="s">
        <v>5539</v>
      </c>
      <c r="E2162" s="20" t="s">
        <v>49</v>
      </c>
      <c r="F2162" s="9" t="s">
        <v>69</v>
      </c>
      <c r="G2162" s="9" t="s">
        <v>70</v>
      </c>
      <c r="H2162" s="9" t="s">
        <v>9873</v>
      </c>
      <c r="I2162" s="20" t="s">
        <v>72</v>
      </c>
      <c r="J2162" s="10"/>
      <c r="K2162" s="10">
        <v>45160</v>
      </c>
      <c r="L2162" s="10">
        <v>45167</v>
      </c>
      <c r="M2162" s="10"/>
      <c r="N2162" s="9">
        <v>2023</v>
      </c>
      <c r="O2162" s="9" t="s">
        <v>10811</v>
      </c>
      <c r="P2162" s="9" t="s">
        <v>83</v>
      </c>
      <c r="Q2162" s="9" t="s">
        <v>53</v>
      </c>
      <c r="R2162" s="9" t="s">
        <v>4005</v>
      </c>
      <c r="S2162" s="9"/>
      <c r="T2162" s="9"/>
      <c r="V2162" s="9"/>
      <c r="AC2162" s="9" t="s">
        <v>4439</v>
      </c>
      <c r="AD2162" s="9" t="s">
        <v>4440</v>
      </c>
      <c r="AE2162" s="46" t="s">
        <v>10384</v>
      </c>
      <c r="AH2162" s="9">
        <v>2730</v>
      </c>
      <c r="AI2162" s="9" t="s">
        <v>77</v>
      </c>
      <c r="AJ2162" s="9" t="s">
        <v>301</v>
      </c>
      <c r="AK2162" s="23" t="str">
        <f t="shared" si="16"/>
        <v>2023GBP</v>
      </c>
      <c r="AL2162" s="23">
        <f>VLOOKUP(AK2162, Exchange_rates!$C:$D, 2, FALSE)</f>
        <v>1</v>
      </c>
      <c r="AM2162" s="26">
        <f t="shared" si="17"/>
        <v>3276</v>
      </c>
      <c r="AN2162" s="9"/>
      <c r="AO2162" s="9"/>
      <c r="AP2162" s="20"/>
      <c r="AQ2162" s="27" t="s">
        <v>49</v>
      </c>
      <c r="AR2162" t="s">
        <v>5783</v>
      </c>
      <c r="AS2162" s="16"/>
    </row>
    <row r="2163" spans="1:60" ht="14.5">
      <c r="A2163" s="9" t="s">
        <v>10891</v>
      </c>
      <c r="B2163" s="9" t="s">
        <v>10892</v>
      </c>
      <c r="C2163" s="9" t="s">
        <v>10893</v>
      </c>
      <c r="D2163" s="9" t="s">
        <v>5539</v>
      </c>
      <c r="E2163" s="20" t="s">
        <v>49</v>
      </c>
      <c r="F2163" s="9" t="s">
        <v>69</v>
      </c>
      <c r="G2163" s="9" t="s">
        <v>70</v>
      </c>
      <c r="H2163" s="9" t="s">
        <v>9873</v>
      </c>
      <c r="I2163" s="20" t="s">
        <v>72</v>
      </c>
      <c r="J2163" s="10"/>
      <c r="K2163" s="10">
        <v>45157</v>
      </c>
      <c r="L2163" s="10">
        <v>45162</v>
      </c>
      <c r="M2163" s="10"/>
      <c r="N2163" s="9">
        <v>2023</v>
      </c>
      <c r="O2163" s="9" t="s">
        <v>10811</v>
      </c>
      <c r="P2163" s="9" t="s">
        <v>53</v>
      </c>
      <c r="Q2163" s="9" t="s">
        <v>53</v>
      </c>
      <c r="S2163" s="9"/>
      <c r="T2163" s="9"/>
      <c r="V2163" s="9"/>
      <c r="AC2163" s="9" t="s">
        <v>10894</v>
      </c>
      <c r="AD2163" s="9" t="s">
        <v>10895</v>
      </c>
      <c r="AE2163" s="46" t="s">
        <v>10896</v>
      </c>
      <c r="AH2163" s="9">
        <v>2010</v>
      </c>
      <c r="AI2163" s="9" t="s">
        <v>77</v>
      </c>
      <c r="AJ2163" s="9" t="s">
        <v>301</v>
      </c>
      <c r="AK2163" s="23" t="str">
        <f t="shared" si="16"/>
        <v>2023GBP</v>
      </c>
      <c r="AL2163" s="23">
        <f>VLOOKUP(AK2163, Exchange_rates!$C:$D, 2, FALSE)</f>
        <v>1</v>
      </c>
      <c r="AM2163" s="26">
        <f t="shared" si="17"/>
        <v>2412</v>
      </c>
      <c r="AN2163" s="9"/>
      <c r="AO2163" s="9"/>
      <c r="AP2163" s="20"/>
      <c r="AQ2163" s="27" t="s">
        <v>49</v>
      </c>
      <c r="AR2163" t="s">
        <v>10897</v>
      </c>
      <c r="AS2163" s="16"/>
    </row>
    <row r="2164" spans="1:60" ht="14.5">
      <c r="A2164" s="9" t="s">
        <v>10898</v>
      </c>
      <c r="B2164" s="9" t="s">
        <v>10899</v>
      </c>
      <c r="C2164" s="9" t="s">
        <v>10900</v>
      </c>
      <c r="D2164" s="9" t="s">
        <v>5539</v>
      </c>
      <c r="E2164" s="20" t="s">
        <v>49</v>
      </c>
      <c r="F2164" s="9" t="s">
        <v>69</v>
      </c>
      <c r="G2164" s="9" t="s">
        <v>70</v>
      </c>
      <c r="H2164" s="9" t="s">
        <v>9873</v>
      </c>
      <c r="I2164" s="20" t="s">
        <v>72</v>
      </c>
      <c r="J2164" s="10"/>
      <c r="K2164" s="10">
        <v>45144</v>
      </c>
      <c r="L2164" s="10">
        <v>45162</v>
      </c>
      <c r="M2164" s="10"/>
      <c r="N2164" s="9">
        <v>2023</v>
      </c>
      <c r="O2164" s="9" t="s">
        <v>10811</v>
      </c>
      <c r="P2164" s="9" t="s">
        <v>83</v>
      </c>
      <c r="Q2164" s="9" t="s">
        <v>53</v>
      </c>
      <c r="R2164" s="9" t="s">
        <v>1456</v>
      </c>
      <c r="S2164" s="9"/>
      <c r="T2164" s="9"/>
      <c r="V2164" s="9"/>
      <c r="AC2164" s="9" t="s">
        <v>10901</v>
      </c>
      <c r="AD2164" s="9" t="s">
        <v>10902</v>
      </c>
      <c r="AE2164" s="46" t="s">
        <v>10903</v>
      </c>
      <c r="AH2164" s="9">
        <v>2890</v>
      </c>
      <c r="AI2164" s="9" t="s">
        <v>77</v>
      </c>
      <c r="AJ2164" s="9" t="s">
        <v>301</v>
      </c>
      <c r="AK2164" s="23" t="str">
        <f t="shared" si="16"/>
        <v>2023GBP</v>
      </c>
      <c r="AL2164" s="23">
        <f>VLOOKUP(AK2164, Exchange_rates!$C:$D, 2, FALSE)</f>
        <v>1</v>
      </c>
      <c r="AM2164" s="26">
        <f t="shared" si="17"/>
        <v>3468</v>
      </c>
      <c r="AN2164" s="9"/>
      <c r="AO2164" s="9"/>
      <c r="AP2164" s="20"/>
      <c r="AQ2164" s="27" t="s">
        <v>49</v>
      </c>
      <c r="AR2164" t="s">
        <v>10904</v>
      </c>
      <c r="AS2164" s="16"/>
    </row>
    <row r="2165" spans="1:60" ht="14.5">
      <c r="A2165" s="9" t="s">
        <v>10905</v>
      </c>
      <c r="B2165" s="9" t="s">
        <v>10906</v>
      </c>
      <c r="C2165" s="9" t="s">
        <v>10907</v>
      </c>
      <c r="D2165" s="9" t="s">
        <v>5539</v>
      </c>
      <c r="E2165" s="20" t="s">
        <v>49</v>
      </c>
      <c r="F2165" s="9" t="s">
        <v>69</v>
      </c>
      <c r="G2165" s="9" t="s">
        <v>70</v>
      </c>
      <c r="H2165" s="9" t="s">
        <v>9873</v>
      </c>
      <c r="I2165" s="20" t="s">
        <v>72</v>
      </c>
      <c r="J2165" s="10"/>
      <c r="K2165" s="10">
        <v>45156</v>
      </c>
      <c r="L2165" s="10">
        <v>45162</v>
      </c>
      <c r="M2165" s="10"/>
      <c r="N2165" s="9">
        <v>2023</v>
      </c>
      <c r="O2165" s="9" t="s">
        <v>10811</v>
      </c>
      <c r="P2165" s="9" t="s">
        <v>53</v>
      </c>
      <c r="Q2165" s="9" t="s">
        <v>53</v>
      </c>
      <c r="R2165" s="9" t="s">
        <v>1400</v>
      </c>
      <c r="S2165" s="9"/>
      <c r="T2165" s="9"/>
      <c r="V2165" s="9"/>
      <c r="AC2165" s="9" t="s">
        <v>6357</v>
      </c>
      <c r="AD2165" s="9" t="s">
        <v>6358</v>
      </c>
      <c r="AE2165" s="46" t="s">
        <v>10822</v>
      </c>
      <c r="AH2165" s="9">
        <v>2420</v>
      </c>
      <c r="AI2165" s="9" t="s">
        <v>77</v>
      </c>
      <c r="AJ2165" s="9" t="s">
        <v>301</v>
      </c>
      <c r="AK2165" s="23" t="str">
        <f t="shared" si="16"/>
        <v>2023GBP</v>
      </c>
      <c r="AL2165" s="23">
        <f>VLOOKUP(AK2165, Exchange_rates!$C:$D, 2, FALSE)</f>
        <v>1</v>
      </c>
      <c r="AM2165" s="26">
        <f t="shared" si="17"/>
        <v>2904</v>
      </c>
      <c r="AN2165" s="9"/>
      <c r="AO2165" s="9"/>
      <c r="AP2165" s="20"/>
      <c r="AQ2165" s="27" t="s">
        <v>49</v>
      </c>
      <c r="AR2165" t="s">
        <v>10908</v>
      </c>
      <c r="AS2165" s="16"/>
    </row>
    <row r="2166" spans="1:60" ht="14.5">
      <c r="A2166" s="9" t="s">
        <v>10909</v>
      </c>
      <c r="B2166" s="9" t="s">
        <v>10910</v>
      </c>
      <c r="C2166" s="9" t="s">
        <v>5823</v>
      </c>
      <c r="D2166" s="9" t="s">
        <v>5539</v>
      </c>
      <c r="E2166" s="20" t="s">
        <v>49</v>
      </c>
      <c r="F2166" s="9" t="s">
        <v>69</v>
      </c>
      <c r="G2166" s="9" t="s">
        <v>70</v>
      </c>
      <c r="H2166" s="9" t="s">
        <v>9873</v>
      </c>
      <c r="I2166" s="20" t="s">
        <v>72</v>
      </c>
      <c r="J2166" s="10"/>
      <c r="K2166" s="10">
        <v>45139</v>
      </c>
      <c r="L2166" s="10">
        <v>45162</v>
      </c>
      <c r="M2166" s="10"/>
      <c r="N2166" s="9">
        <v>2023</v>
      </c>
      <c r="O2166" s="9" t="s">
        <v>10811</v>
      </c>
      <c r="P2166" s="9" t="s">
        <v>53</v>
      </c>
      <c r="Q2166" s="9" t="s">
        <v>53</v>
      </c>
      <c r="S2166" s="9"/>
      <c r="T2166" s="9"/>
      <c r="V2166" s="9"/>
      <c r="AC2166" s="9" t="s">
        <v>10911</v>
      </c>
      <c r="AD2166" s="9" t="s">
        <v>10912</v>
      </c>
      <c r="AH2166" s="9">
        <v>2320</v>
      </c>
      <c r="AI2166" s="9" t="s">
        <v>77</v>
      </c>
      <c r="AJ2166" s="9" t="s">
        <v>301</v>
      </c>
      <c r="AK2166" s="23" t="str">
        <f t="shared" si="16"/>
        <v>2023GBP</v>
      </c>
      <c r="AL2166" s="23">
        <f>VLOOKUP(AK2166, Exchange_rates!$C:$D, 2, FALSE)</f>
        <v>1</v>
      </c>
      <c r="AM2166" s="26">
        <f t="shared" si="17"/>
        <v>2784</v>
      </c>
      <c r="AN2166" s="9"/>
      <c r="AO2166" s="9"/>
      <c r="AP2166" s="20"/>
      <c r="AQ2166" s="27" t="s">
        <v>49</v>
      </c>
      <c r="AR2166" t="s">
        <v>5828</v>
      </c>
      <c r="AS2166" s="16"/>
    </row>
    <row r="2167" spans="1:60" ht="14.5" hidden="1">
      <c r="A2167" s="9" t="s">
        <v>10913</v>
      </c>
      <c r="B2167" s="9"/>
      <c r="C2167" s="9" t="s">
        <v>10914</v>
      </c>
      <c r="D2167" s="9" t="s">
        <v>5539</v>
      </c>
      <c r="E2167" s="9" t="s">
        <v>125</v>
      </c>
      <c r="F2167" s="9" t="s">
        <v>50</v>
      </c>
      <c r="G2167" s="9" t="s">
        <v>51</v>
      </c>
      <c r="H2167" s="9"/>
      <c r="I2167" s="9"/>
      <c r="J2167" s="10"/>
      <c r="K2167" s="10"/>
      <c r="L2167" s="10"/>
      <c r="M2167" s="10"/>
      <c r="N2167" s="9">
        <v>2023</v>
      </c>
      <c r="O2167" s="9" t="s">
        <v>10811</v>
      </c>
      <c r="P2167" s="9" t="s">
        <v>53</v>
      </c>
      <c r="Q2167" s="9" t="s">
        <v>53</v>
      </c>
      <c r="S2167" s="9"/>
      <c r="T2167" s="9" t="s">
        <v>6095</v>
      </c>
      <c r="V2167" s="9"/>
      <c r="AC2167" s="9" t="s">
        <v>10915</v>
      </c>
      <c r="AD2167" s="9" t="s">
        <v>10916</v>
      </c>
      <c r="AH2167" s="9">
        <v>1980</v>
      </c>
      <c r="AI2167" s="9" t="s">
        <v>77</v>
      </c>
      <c r="AJ2167" s="9" t="s">
        <v>301</v>
      </c>
      <c r="AK2167" s="23" t="str">
        <f t="shared" si="16"/>
        <v>2023GBP</v>
      </c>
      <c r="AL2167" s="23">
        <f>VLOOKUP(AK2167, Exchange_rates!$C:$D, 2, FALSE)</f>
        <v>1</v>
      </c>
      <c r="AM2167" s="26">
        <f t="shared" si="17"/>
        <v>2376</v>
      </c>
      <c r="AN2167" s="9"/>
      <c r="AO2167" s="9"/>
      <c r="AP2167" s="9"/>
      <c r="AQ2167" s="15" t="s">
        <v>125</v>
      </c>
      <c r="AR2167" t="s">
        <v>10917</v>
      </c>
      <c r="AS2167" s="16"/>
    </row>
    <row r="2168" spans="1:60" ht="14.5" hidden="1">
      <c r="A2168" s="9" t="s">
        <v>10918</v>
      </c>
      <c r="B2168" s="9"/>
      <c r="C2168" s="9" t="s">
        <v>10919</v>
      </c>
      <c r="D2168" s="9" t="s">
        <v>5539</v>
      </c>
      <c r="E2168" s="9" t="s">
        <v>125</v>
      </c>
      <c r="F2168" s="9" t="s">
        <v>50</v>
      </c>
      <c r="G2168" s="9" t="s">
        <v>51</v>
      </c>
      <c r="H2168" s="9"/>
      <c r="I2168" s="9"/>
      <c r="J2168" s="10"/>
      <c r="K2168" s="10"/>
      <c r="L2168" s="10">
        <v>45146</v>
      </c>
      <c r="M2168" s="10"/>
      <c r="N2168" s="9">
        <v>2023</v>
      </c>
      <c r="O2168" s="9" t="s">
        <v>10811</v>
      </c>
      <c r="P2168" s="9" t="s">
        <v>53</v>
      </c>
      <c r="Q2168" s="9" t="s">
        <v>53</v>
      </c>
      <c r="S2168" s="9"/>
      <c r="T2168" s="9" t="s">
        <v>6095</v>
      </c>
      <c r="V2168" s="9"/>
      <c r="AC2168" s="9" t="s">
        <v>5925</v>
      </c>
      <c r="AD2168" s="9" t="s">
        <v>1774</v>
      </c>
      <c r="AH2168" s="9">
        <v>3050.5</v>
      </c>
      <c r="AI2168" s="9" t="s">
        <v>77</v>
      </c>
      <c r="AJ2168" s="9" t="s">
        <v>301</v>
      </c>
      <c r="AK2168" s="23" t="str">
        <f t="shared" si="16"/>
        <v>2023GBP</v>
      </c>
      <c r="AL2168" s="23">
        <f>VLOOKUP(AK2168, Exchange_rates!$C:$D, 2, FALSE)</f>
        <v>1</v>
      </c>
      <c r="AM2168" s="26">
        <f t="shared" si="17"/>
        <v>3660.6</v>
      </c>
      <c r="AN2168" s="9"/>
      <c r="AO2168" s="9"/>
      <c r="AP2168" s="9"/>
      <c r="AQ2168" s="15" t="s">
        <v>125</v>
      </c>
      <c r="AR2168" t="s">
        <v>10920</v>
      </c>
      <c r="AS2168" s="16" t="s">
        <v>10921</v>
      </c>
    </row>
    <row r="2169" spans="1:60" ht="14.5">
      <c r="A2169" s="9" t="s">
        <v>10922</v>
      </c>
      <c r="B2169" s="9" t="s">
        <v>10923</v>
      </c>
      <c r="C2169" s="9" t="s">
        <v>10924</v>
      </c>
      <c r="D2169" s="9" t="s">
        <v>5539</v>
      </c>
      <c r="E2169" s="9" t="s">
        <v>125</v>
      </c>
      <c r="F2169" s="9" t="s">
        <v>69</v>
      </c>
      <c r="G2169" s="9" t="s">
        <v>70</v>
      </c>
      <c r="H2169" s="9" t="s">
        <v>9873</v>
      </c>
      <c r="I2169" s="9" t="s">
        <v>72</v>
      </c>
      <c r="J2169" s="10"/>
      <c r="K2169" s="10">
        <v>45189</v>
      </c>
      <c r="L2169" s="10">
        <v>45134</v>
      </c>
      <c r="M2169" s="10"/>
      <c r="N2169" s="9">
        <v>2023</v>
      </c>
      <c r="O2169" s="9" t="s">
        <v>10811</v>
      </c>
      <c r="P2169" s="9" t="s">
        <v>53</v>
      </c>
      <c r="Q2169" s="9" t="s">
        <v>53</v>
      </c>
      <c r="R2169" s="9" t="s">
        <v>10925</v>
      </c>
      <c r="S2169" s="9"/>
      <c r="T2169" s="9"/>
      <c r="V2169" s="9"/>
      <c r="AH2169" s="9">
        <v>1600</v>
      </c>
      <c r="AI2169" s="9" t="s">
        <v>77</v>
      </c>
      <c r="AJ2169" s="9" t="s">
        <v>301</v>
      </c>
      <c r="AK2169" s="23" t="str">
        <f t="shared" si="16"/>
        <v>2023GBP</v>
      </c>
      <c r="AL2169" s="23">
        <f>VLOOKUP(AK2169, Exchange_rates!$C:$D, 2, FALSE)</f>
        <v>1</v>
      </c>
      <c r="AM2169" s="26">
        <f t="shared" si="17"/>
        <v>1920</v>
      </c>
      <c r="AN2169" s="9"/>
      <c r="AO2169" s="9"/>
      <c r="AP2169" s="9"/>
      <c r="AQ2169" s="15" t="s">
        <v>125</v>
      </c>
      <c r="AR2169" t="s">
        <v>10926</v>
      </c>
      <c r="AS2169" s="16"/>
    </row>
    <row r="2170" spans="1:60" ht="14.5">
      <c r="A2170" s="9" t="s">
        <v>10927</v>
      </c>
      <c r="B2170" s="9" t="s">
        <v>10928</v>
      </c>
      <c r="C2170" s="9" t="s">
        <v>10929</v>
      </c>
      <c r="D2170" s="9" t="s">
        <v>5539</v>
      </c>
      <c r="E2170" s="9" t="s">
        <v>125</v>
      </c>
      <c r="F2170" s="9" t="s">
        <v>69</v>
      </c>
      <c r="G2170" s="9" t="s">
        <v>70</v>
      </c>
      <c r="H2170" s="9" t="s">
        <v>9873</v>
      </c>
      <c r="I2170" s="20" t="s">
        <v>72</v>
      </c>
      <c r="J2170" s="10"/>
      <c r="K2170" s="10">
        <v>45203</v>
      </c>
      <c r="L2170" s="10">
        <v>45134</v>
      </c>
      <c r="M2170" s="10"/>
      <c r="N2170" s="9">
        <v>2023</v>
      </c>
      <c r="O2170" s="9" t="s">
        <v>10811</v>
      </c>
      <c r="P2170" s="9" t="s">
        <v>53</v>
      </c>
      <c r="Q2170" s="9" t="s">
        <v>53</v>
      </c>
      <c r="S2170" s="9"/>
      <c r="T2170" s="9"/>
      <c r="V2170" s="9"/>
      <c r="AC2170" s="9" t="s">
        <v>6260</v>
      </c>
      <c r="AD2170" s="9" t="s">
        <v>6261</v>
      </c>
      <c r="AE2170" s="46" t="s">
        <v>10930</v>
      </c>
      <c r="AH2170" s="9">
        <v>1960</v>
      </c>
      <c r="AI2170" s="9" t="s">
        <v>77</v>
      </c>
      <c r="AJ2170" s="9" t="s">
        <v>301</v>
      </c>
      <c r="AK2170" s="23" t="str">
        <f t="shared" si="16"/>
        <v>2023GBP</v>
      </c>
      <c r="AL2170" s="23">
        <f>VLOOKUP(AK2170, Exchange_rates!$C:$D, 2, FALSE)</f>
        <v>1</v>
      </c>
      <c r="AM2170" s="26">
        <f t="shared" si="17"/>
        <v>2352</v>
      </c>
      <c r="AN2170" s="9"/>
      <c r="AO2170" s="9"/>
      <c r="AP2170" s="9"/>
      <c r="AQ2170" s="15" t="s">
        <v>125</v>
      </c>
      <c r="AR2170" t="s">
        <v>10931</v>
      </c>
      <c r="AS2170" s="16"/>
    </row>
    <row r="2171" spans="1:60" ht="14.5" hidden="1">
      <c r="A2171" s="9" t="s">
        <v>10932</v>
      </c>
      <c r="B2171" s="9"/>
      <c r="C2171" s="9" t="s">
        <v>10933</v>
      </c>
      <c r="D2171" s="9" t="s">
        <v>5539</v>
      </c>
      <c r="E2171" s="9" t="s">
        <v>125</v>
      </c>
      <c r="F2171" s="9" t="s">
        <v>50</v>
      </c>
      <c r="G2171" s="9" t="s">
        <v>51</v>
      </c>
      <c r="H2171" s="9"/>
      <c r="I2171" s="9"/>
      <c r="J2171" s="10"/>
      <c r="K2171" s="10"/>
      <c r="L2171" s="10">
        <v>45118</v>
      </c>
      <c r="M2171" s="10"/>
      <c r="N2171" s="9">
        <v>2023</v>
      </c>
      <c r="O2171" s="9" t="s">
        <v>10811</v>
      </c>
      <c r="P2171" s="9" t="s">
        <v>83</v>
      </c>
      <c r="Q2171" s="9" t="s">
        <v>53</v>
      </c>
      <c r="R2171" s="9" t="s">
        <v>10934</v>
      </c>
      <c r="S2171" s="9"/>
      <c r="T2171" s="9" t="s">
        <v>6095</v>
      </c>
      <c r="V2171" s="9"/>
      <c r="AC2171" s="9" t="s">
        <v>10935</v>
      </c>
      <c r="AD2171" s="9" t="s">
        <v>10936</v>
      </c>
      <c r="AH2171" s="9">
        <v>1770.5</v>
      </c>
      <c r="AI2171" s="9" t="s">
        <v>77</v>
      </c>
      <c r="AJ2171" s="9" t="s">
        <v>301</v>
      </c>
      <c r="AK2171" s="23" t="str">
        <f t="shared" si="16"/>
        <v>2023GBP</v>
      </c>
      <c r="AL2171" s="23">
        <f>VLOOKUP(AK2171, Exchange_rates!$C:$D, 2, FALSE)</f>
        <v>1</v>
      </c>
      <c r="AM2171" s="26">
        <f t="shared" si="17"/>
        <v>2124.6</v>
      </c>
      <c r="AN2171" s="9"/>
      <c r="AO2171" s="9"/>
      <c r="AP2171" s="9"/>
      <c r="AQ2171" s="15" t="s">
        <v>125</v>
      </c>
      <c r="AR2171" t="s">
        <v>10937</v>
      </c>
      <c r="AS2171" s="16"/>
    </row>
    <row r="2172" spans="1:60" ht="14.5">
      <c r="A2172" s="20" t="s">
        <v>10938</v>
      </c>
      <c r="B2172" s="20" t="s">
        <v>10939</v>
      </c>
      <c r="C2172" s="20" t="s">
        <v>6466</v>
      </c>
      <c r="D2172" s="20" t="s">
        <v>5539</v>
      </c>
      <c r="E2172" s="20" t="s">
        <v>125</v>
      </c>
      <c r="F2172" s="20" t="s">
        <v>69</v>
      </c>
      <c r="G2172" s="20" t="s">
        <v>70</v>
      </c>
      <c r="H2172" s="20" t="s">
        <v>9873</v>
      </c>
      <c r="I2172" s="20" t="s">
        <v>72</v>
      </c>
      <c r="J2172" s="22"/>
      <c r="K2172" s="22">
        <v>45214</v>
      </c>
      <c r="L2172" s="22">
        <v>44949</v>
      </c>
      <c r="M2172" s="22">
        <v>45229</v>
      </c>
      <c r="N2172" s="20">
        <v>2023</v>
      </c>
      <c r="O2172" s="20" t="s">
        <v>10811</v>
      </c>
      <c r="P2172" s="20" t="s">
        <v>53</v>
      </c>
      <c r="Q2172" s="20" t="s">
        <v>53</v>
      </c>
      <c r="R2172" s="20" t="s">
        <v>8793</v>
      </c>
      <c r="S2172" s="20"/>
      <c r="T2172" s="20"/>
      <c r="U2172" s="20"/>
      <c r="V2172" s="20"/>
      <c r="W2172" s="20"/>
      <c r="X2172" s="20"/>
      <c r="Y2172" s="20"/>
      <c r="Z2172" s="20"/>
      <c r="AA2172" s="20"/>
      <c r="AB2172" s="20"/>
      <c r="AC2172" s="20" t="s">
        <v>10940</v>
      </c>
      <c r="AD2172" s="20" t="s">
        <v>10941</v>
      </c>
      <c r="AE2172" s="41" t="s">
        <v>10942</v>
      </c>
      <c r="AF2172" s="20"/>
      <c r="AG2172" s="20"/>
      <c r="AH2172" s="20">
        <v>2640</v>
      </c>
      <c r="AI2172" s="20" t="s">
        <v>77</v>
      </c>
      <c r="AJ2172" s="20" t="s">
        <v>301</v>
      </c>
      <c r="AK2172" s="23" t="str">
        <f t="shared" si="16"/>
        <v>2023GBP</v>
      </c>
      <c r="AL2172" s="23">
        <f>VLOOKUP(AK2172, Exchange_rates!$C:$D, 2, FALSE)</f>
        <v>1</v>
      </c>
      <c r="AM2172" s="26">
        <f t="shared" si="17"/>
        <v>3168</v>
      </c>
      <c r="AN2172" s="20"/>
      <c r="AO2172" s="20"/>
      <c r="AP2172" s="20"/>
      <c r="AQ2172" s="27" t="s">
        <v>125</v>
      </c>
      <c r="AR2172" t="s">
        <v>6471</v>
      </c>
      <c r="AS2172" s="16"/>
      <c r="AT2172" s="20"/>
      <c r="AU2172" s="20"/>
      <c r="AV2172" s="20"/>
      <c r="AW2172" s="20"/>
      <c r="AX2172" s="20"/>
      <c r="AY2172" s="20"/>
      <c r="AZ2172" s="20"/>
      <c r="BA2172" s="20"/>
      <c r="BB2172" s="20"/>
      <c r="BC2172" s="20"/>
      <c r="BD2172" s="20"/>
      <c r="BE2172" s="20"/>
      <c r="BF2172" s="20"/>
      <c r="BG2172" s="20"/>
      <c r="BH2172" s="20"/>
    </row>
    <row r="2173" spans="1:60" ht="14.5">
      <c r="A2173" s="9" t="s">
        <v>10943</v>
      </c>
      <c r="B2173" s="9" t="s">
        <v>10944</v>
      </c>
      <c r="C2173" s="9" t="s">
        <v>10945</v>
      </c>
      <c r="D2173" s="9" t="s">
        <v>1240</v>
      </c>
      <c r="E2173" s="9" t="s">
        <v>125</v>
      </c>
      <c r="F2173" s="9" t="s">
        <v>69</v>
      </c>
      <c r="G2173" s="9" t="s">
        <v>70</v>
      </c>
      <c r="H2173" s="9" t="s">
        <v>9040</v>
      </c>
      <c r="I2173" s="9" t="s">
        <v>72</v>
      </c>
      <c r="J2173" s="10"/>
      <c r="K2173" s="10">
        <v>45162</v>
      </c>
      <c r="M2173" s="10">
        <v>45187</v>
      </c>
      <c r="N2173" s="20">
        <v>2023</v>
      </c>
      <c r="O2173" s="9" t="s">
        <v>10946</v>
      </c>
      <c r="P2173" s="9" t="s">
        <v>83</v>
      </c>
      <c r="Q2173" s="9" t="s">
        <v>53</v>
      </c>
      <c r="R2173" s="9" t="s">
        <v>117</v>
      </c>
      <c r="S2173" s="9"/>
      <c r="T2173" s="9"/>
      <c r="V2173" s="9"/>
      <c r="AC2173" s="9" t="s">
        <v>10947</v>
      </c>
      <c r="AH2173" s="9">
        <v>1580</v>
      </c>
      <c r="AI2173" s="9" t="s">
        <v>77</v>
      </c>
      <c r="AJ2173" s="9" t="s">
        <v>301</v>
      </c>
      <c r="AK2173" s="23" t="str">
        <f t="shared" si="16"/>
        <v>2023GBP</v>
      </c>
      <c r="AL2173" s="23">
        <f>VLOOKUP(AK2173, Exchange_rates!$C:$D, 2, FALSE)</f>
        <v>1</v>
      </c>
      <c r="AM2173" s="26">
        <f t="shared" si="17"/>
        <v>1896</v>
      </c>
      <c r="AN2173" s="9"/>
      <c r="AO2173" s="9"/>
      <c r="AP2173" s="9"/>
      <c r="AQ2173" s="15" t="s">
        <v>125</v>
      </c>
      <c r="AR2173" t="s">
        <v>10948</v>
      </c>
      <c r="AS2173" s="16"/>
    </row>
    <row r="2174" spans="1:60" ht="14.5">
      <c r="A2174" s="9" t="s">
        <v>10949</v>
      </c>
      <c r="B2174" s="9" t="s">
        <v>10950</v>
      </c>
      <c r="C2174" s="9" t="s">
        <v>1331</v>
      </c>
      <c r="D2174" s="9" t="s">
        <v>1240</v>
      </c>
      <c r="E2174" s="9" t="s">
        <v>125</v>
      </c>
      <c r="F2174" s="9" t="s">
        <v>69</v>
      </c>
      <c r="G2174" s="9" t="s">
        <v>70</v>
      </c>
      <c r="H2174" s="9" t="s">
        <v>9040</v>
      </c>
      <c r="I2174" s="9" t="s">
        <v>72</v>
      </c>
      <c r="J2174" s="10"/>
      <c r="K2174" s="10">
        <v>45175</v>
      </c>
      <c r="M2174" s="10">
        <v>45194</v>
      </c>
      <c r="N2174" s="20">
        <v>2023</v>
      </c>
      <c r="O2174" s="9" t="s">
        <v>10946</v>
      </c>
      <c r="P2174" s="9" t="s">
        <v>53</v>
      </c>
      <c r="Q2174" s="9" t="s">
        <v>53</v>
      </c>
      <c r="S2174" s="9"/>
      <c r="T2174" s="9"/>
      <c r="V2174" s="9"/>
      <c r="AC2174" s="9" t="s">
        <v>10951</v>
      </c>
      <c r="AH2174" s="9">
        <v>2000</v>
      </c>
      <c r="AI2174" s="9" t="s">
        <v>77</v>
      </c>
      <c r="AJ2174" s="9" t="s">
        <v>301</v>
      </c>
      <c r="AK2174" s="23" t="str">
        <f t="shared" si="16"/>
        <v>2023GBP</v>
      </c>
      <c r="AL2174" s="23">
        <f>VLOOKUP(AK2174, Exchange_rates!$C:$D, 2, FALSE)</f>
        <v>1</v>
      </c>
      <c r="AM2174" s="26">
        <f t="shared" si="17"/>
        <v>2400</v>
      </c>
      <c r="AN2174" s="9"/>
      <c r="AO2174" s="9"/>
      <c r="AP2174" s="9"/>
      <c r="AQ2174" s="15" t="s">
        <v>125</v>
      </c>
      <c r="AR2174" t="s">
        <v>1336</v>
      </c>
      <c r="AS2174" s="16" t="s">
        <v>1337</v>
      </c>
    </row>
    <row r="2175" spans="1:60" ht="14.5">
      <c r="A2175" s="9" t="s">
        <v>10952</v>
      </c>
      <c r="B2175" s="9" t="s">
        <v>10953</v>
      </c>
      <c r="C2175" s="9" t="s">
        <v>1331</v>
      </c>
      <c r="D2175" s="9" t="s">
        <v>1240</v>
      </c>
      <c r="E2175" s="9" t="s">
        <v>125</v>
      </c>
      <c r="F2175" s="9" t="s">
        <v>69</v>
      </c>
      <c r="G2175" s="9" t="s">
        <v>70</v>
      </c>
      <c r="H2175" s="9" t="s">
        <v>9040</v>
      </c>
      <c r="I2175" s="9" t="s">
        <v>72</v>
      </c>
      <c r="J2175" s="10"/>
      <c r="K2175" s="10">
        <v>45198</v>
      </c>
      <c r="M2175" s="10">
        <v>45224</v>
      </c>
      <c r="N2175" s="20">
        <v>2023</v>
      </c>
      <c r="O2175" s="9" t="s">
        <v>10946</v>
      </c>
      <c r="P2175" s="9" t="s">
        <v>83</v>
      </c>
      <c r="Q2175" s="9" t="s">
        <v>53</v>
      </c>
      <c r="R2175" s="9" t="s">
        <v>7911</v>
      </c>
      <c r="S2175" s="9"/>
      <c r="T2175" s="9"/>
      <c r="V2175" s="9"/>
      <c r="AC2175" s="9" t="s">
        <v>9046</v>
      </c>
      <c r="AH2175" s="9">
        <v>2000</v>
      </c>
      <c r="AI2175" s="9" t="s">
        <v>77</v>
      </c>
      <c r="AJ2175" s="9" t="s">
        <v>301</v>
      </c>
      <c r="AK2175" s="23" t="str">
        <f t="shared" si="16"/>
        <v>2023GBP</v>
      </c>
      <c r="AL2175" s="23">
        <f>VLOOKUP(AK2175, Exchange_rates!$C:$D, 2, FALSE)</f>
        <v>1</v>
      </c>
      <c r="AM2175" s="26">
        <f t="shared" si="17"/>
        <v>2400</v>
      </c>
      <c r="AN2175" s="9"/>
      <c r="AO2175" s="9"/>
      <c r="AP2175" s="9"/>
      <c r="AQ2175" s="15" t="s">
        <v>125</v>
      </c>
      <c r="AR2175" t="s">
        <v>1336</v>
      </c>
      <c r="AS2175" s="16" t="s">
        <v>1337</v>
      </c>
    </row>
    <row r="2176" spans="1:60" ht="14.5">
      <c r="A2176" s="9" t="s">
        <v>10954</v>
      </c>
      <c r="B2176" s="9" t="s">
        <v>10955</v>
      </c>
      <c r="C2176" s="9" t="s">
        <v>1399</v>
      </c>
      <c r="D2176" s="9" t="s">
        <v>1240</v>
      </c>
      <c r="E2176" s="9" t="s">
        <v>49</v>
      </c>
      <c r="F2176" s="9" t="s">
        <v>69</v>
      </c>
      <c r="G2176" s="9" t="s">
        <v>70</v>
      </c>
      <c r="H2176" s="9" t="s">
        <v>9040</v>
      </c>
      <c r="I2176" s="9" t="s">
        <v>72</v>
      </c>
      <c r="J2176" s="10"/>
      <c r="K2176" s="10">
        <v>45104</v>
      </c>
      <c r="M2176" s="10">
        <v>45135</v>
      </c>
      <c r="N2176" s="20">
        <v>2023</v>
      </c>
      <c r="O2176" s="9" t="s">
        <v>10946</v>
      </c>
      <c r="P2176" s="9" t="s">
        <v>53</v>
      </c>
      <c r="Q2176" s="9" t="s">
        <v>53</v>
      </c>
      <c r="R2176" s="9" t="s">
        <v>1416</v>
      </c>
      <c r="S2176" s="9"/>
      <c r="T2176" s="9"/>
      <c r="V2176" s="9"/>
      <c r="AC2176" s="9" t="s">
        <v>10956</v>
      </c>
      <c r="AH2176" s="9">
        <v>2230</v>
      </c>
      <c r="AI2176" s="9" t="s">
        <v>77</v>
      </c>
      <c r="AJ2176" s="9" t="s">
        <v>301</v>
      </c>
      <c r="AK2176" s="23" t="str">
        <f t="shared" si="16"/>
        <v>2023GBP</v>
      </c>
      <c r="AL2176" s="23">
        <f>VLOOKUP(AK2176, Exchange_rates!$C:$D, 2, FALSE)</f>
        <v>1</v>
      </c>
      <c r="AM2176" s="26">
        <f t="shared" si="17"/>
        <v>2676</v>
      </c>
      <c r="AN2176" s="9"/>
      <c r="AO2176" s="9"/>
      <c r="AP2176" s="9"/>
      <c r="AQ2176" s="15" t="s">
        <v>49</v>
      </c>
      <c r="AR2176" t="s">
        <v>1243</v>
      </c>
      <c r="AS2176" s="16" t="s">
        <v>1244</v>
      </c>
    </row>
    <row r="2177" spans="1:60" ht="14.5">
      <c r="A2177" s="9" t="s">
        <v>10957</v>
      </c>
      <c r="B2177" s="9" t="s">
        <v>10958</v>
      </c>
      <c r="C2177" s="9" t="s">
        <v>1371</v>
      </c>
      <c r="D2177" s="9" t="s">
        <v>1240</v>
      </c>
      <c r="E2177" s="9" t="s">
        <v>49</v>
      </c>
      <c r="F2177" s="9" t="s">
        <v>69</v>
      </c>
      <c r="G2177" s="9" t="s">
        <v>70</v>
      </c>
      <c r="H2177" s="9" t="s">
        <v>9040</v>
      </c>
      <c r="I2177" s="9" t="s">
        <v>72</v>
      </c>
      <c r="J2177" s="10"/>
      <c r="K2177" s="10">
        <v>45147</v>
      </c>
      <c r="M2177" s="10">
        <v>45167</v>
      </c>
      <c r="N2177" s="20">
        <v>2023</v>
      </c>
      <c r="O2177" s="9" t="s">
        <v>10946</v>
      </c>
      <c r="P2177" s="9" t="s">
        <v>53</v>
      </c>
      <c r="Q2177" s="9" t="s">
        <v>53</v>
      </c>
      <c r="S2177" s="9"/>
      <c r="T2177" s="9"/>
      <c r="V2177" s="9"/>
      <c r="AC2177" s="9" t="s">
        <v>10959</v>
      </c>
      <c r="AH2177" s="9">
        <v>2230</v>
      </c>
      <c r="AI2177" s="9" t="s">
        <v>77</v>
      </c>
      <c r="AJ2177" s="9" t="s">
        <v>301</v>
      </c>
      <c r="AK2177" s="23" t="str">
        <f t="shared" si="16"/>
        <v>2023GBP</v>
      </c>
      <c r="AL2177" s="23">
        <f>VLOOKUP(AK2177, Exchange_rates!$C:$D, 2, FALSE)</f>
        <v>1</v>
      </c>
      <c r="AM2177" s="26">
        <f t="shared" si="17"/>
        <v>2676</v>
      </c>
      <c r="AN2177" s="9"/>
      <c r="AO2177" s="9"/>
      <c r="AP2177" s="9"/>
      <c r="AQ2177" s="15" t="s">
        <v>49</v>
      </c>
      <c r="AR2177" t="s">
        <v>1327</v>
      </c>
      <c r="AS2177" s="16" t="s">
        <v>1328</v>
      </c>
    </row>
    <row r="2178" spans="1:60" ht="14.5">
      <c r="A2178" s="9" t="s">
        <v>10960</v>
      </c>
      <c r="B2178" s="9" t="s">
        <v>10961</v>
      </c>
      <c r="C2178" s="9" t="s">
        <v>10962</v>
      </c>
      <c r="D2178" s="9" t="s">
        <v>1240</v>
      </c>
      <c r="E2178" s="9" t="s">
        <v>49</v>
      </c>
      <c r="F2178" s="9" t="s">
        <v>69</v>
      </c>
      <c r="G2178" s="9" t="s">
        <v>70</v>
      </c>
      <c r="H2178" s="9" t="s">
        <v>9040</v>
      </c>
      <c r="I2178" s="9" t="s">
        <v>72</v>
      </c>
      <c r="J2178" s="10"/>
      <c r="K2178" s="10">
        <v>45195</v>
      </c>
      <c r="M2178" s="10">
        <v>45216</v>
      </c>
      <c r="N2178" s="20">
        <v>2023</v>
      </c>
      <c r="O2178" s="9" t="s">
        <v>10946</v>
      </c>
      <c r="P2178" s="9" t="s">
        <v>53</v>
      </c>
      <c r="Q2178" s="9" t="s">
        <v>53</v>
      </c>
      <c r="S2178" s="9"/>
      <c r="T2178" s="9"/>
      <c r="V2178" s="9"/>
      <c r="AC2178" s="9" t="s">
        <v>10963</v>
      </c>
      <c r="AH2178" s="9">
        <v>2230</v>
      </c>
      <c r="AI2178" s="9" t="s">
        <v>77</v>
      </c>
      <c r="AJ2178" s="9" t="s">
        <v>301</v>
      </c>
      <c r="AK2178" s="23" t="str">
        <f t="shared" si="16"/>
        <v>2023GBP</v>
      </c>
      <c r="AL2178" s="23">
        <f>VLOOKUP(AK2178, Exchange_rates!$C:$D, 2, FALSE)</f>
        <v>1</v>
      </c>
      <c r="AM2178" s="26">
        <f t="shared" si="17"/>
        <v>2676</v>
      </c>
      <c r="AN2178" s="9"/>
      <c r="AO2178" s="9"/>
      <c r="AP2178" s="9"/>
      <c r="AQ2178" s="15" t="s">
        <v>49</v>
      </c>
      <c r="AR2178" t="s">
        <v>10964</v>
      </c>
      <c r="AS2178" s="16" t="s">
        <v>10965</v>
      </c>
    </row>
    <row r="2179" spans="1:60" ht="14.5">
      <c r="A2179" s="9" t="s">
        <v>10966</v>
      </c>
      <c r="B2179" s="9" t="s">
        <v>10967</v>
      </c>
      <c r="C2179" s="9" t="s">
        <v>1270</v>
      </c>
      <c r="D2179" s="9" t="s">
        <v>1240</v>
      </c>
      <c r="E2179" s="9" t="s">
        <v>49</v>
      </c>
      <c r="F2179" s="9" t="s">
        <v>69</v>
      </c>
      <c r="G2179" s="9" t="s">
        <v>70</v>
      </c>
      <c r="H2179" s="9" t="s">
        <v>9040</v>
      </c>
      <c r="I2179" s="9" t="s">
        <v>72</v>
      </c>
      <c r="J2179" s="10"/>
      <c r="K2179" s="10">
        <v>45187</v>
      </c>
      <c r="M2179" s="10">
        <v>45215</v>
      </c>
      <c r="N2179" s="20">
        <v>2023</v>
      </c>
      <c r="O2179" s="9" t="s">
        <v>10946</v>
      </c>
      <c r="P2179" s="9" t="s">
        <v>83</v>
      </c>
      <c r="Q2179" s="9" t="s">
        <v>53</v>
      </c>
      <c r="R2179" s="9" t="s">
        <v>7911</v>
      </c>
      <c r="S2179" s="9"/>
      <c r="T2179" s="9"/>
      <c r="V2179" s="9"/>
      <c r="AC2179" s="9" t="s">
        <v>10968</v>
      </c>
      <c r="AH2179" s="9">
        <v>2230</v>
      </c>
      <c r="AI2179" s="9" t="s">
        <v>77</v>
      </c>
      <c r="AJ2179" s="9" t="s">
        <v>301</v>
      </c>
      <c r="AK2179" s="23" t="str">
        <f t="shared" si="16"/>
        <v>2023GBP</v>
      </c>
      <c r="AL2179" s="23">
        <f>VLOOKUP(AK2179, Exchange_rates!$C:$D, 2, FALSE)</f>
        <v>1</v>
      </c>
      <c r="AM2179" s="26">
        <f t="shared" si="17"/>
        <v>2676</v>
      </c>
      <c r="AN2179" s="9"/>
      <c r="AO2179" s="9"/>
      <c r="AP2179" s="9"/>
      <c r="AQ2179" s="15" t="s">
        <v>49</v>
      </c>
      <c r="AR2179" t="s">
        <v>1272</v>
      </c>
      <c r="AS2179" s="16" t="s">
        <v>1273</v>
      </c>
    </row>
    <row r="2180" spans="1:60" ht="14.5">
      <c r="A2180" s="9" t="s">
        <v>10969</v>
      </c>
      <c r="B2180" s="9" t="s">
        <v>10970</v>
      </c>
      <c r="C2180" s="9" t="s">
        <v>10971</v>
      </c>
      <c r="D2180" s="9" t="s">
        <v>1240</v>
      </c>
      <c r="E2180" s="9" t="s">
        <v>49</v>
      </c>
      <c r="F2180" s="9" t="s">
        <v>69</v>
      </c>
      <c r="G2180" s="9" t="s">
        <v>70</v>
      </c>
      <c r="H2180" s="9" t="s">
        <v>9040</v>
      </c>
      <c r="I2180" s="9" t="s">
        <v>72</v>
      </c>
      <c r="J2180" s="10"/>
      <c r="K2180" s="10">
        <v>45142</v>
      </c>
      <c r="M2180" s="10">
        <v>45154</v>
      </c>
      <c r="N2180" s="20">
        <v>2023</v>
      </c>
      <c r="O2180" s="9" t="s">
        <v>10946</v>
      </c>
      <c r="P2180" s="9" t="s">
        <v>83</v>
      </c>
      <c r="Q2180" s="9" t="s">
        <v>53</v>
      </c>
      <c r="R2180" s="9" t="s">
        <v>117</v>
      </c>
      <c r="S2180" s="9"/>
      <c r="T2180" s="9"/>
      <c r="V2180" s="9"/>
      <c r="AC2180" s="9" t="s">
        <v>10972</v>
      </c>
      <c r="AH2180" s="9">
        <v>1650</v>
      </c>
      <c r="AI2180" s="9" t="s">
        <v>77</v>
      </c>
      <c r="AJ2180" s="9" t="s">
        <v>301</v>
      </c>
      <c r="AK2180" s="23" t="str">
        <f t="shared" si="16"/>
        <v>2023GBP</v>
      </c>
      <c r="AL2180" s="23">
        <f>VLOOKUP(AK2180, Exchange_rates!$C:$D, 2, FALSE)</f>
        <v>1</v>
      </c>
      <c r="AM2180" s="26">
        <f t="shared" si="17"/>
        <v>1980</v>
      </c>
      <c r="AN2180" s="9"/>
      <c r="AO2180" s="9"/>
      <c r="AP2180" s="9"/>
      <c r="AQ2180" s="15" t="s">
        <v>49</v>
      </c>
      <c r="AR2180" t="s">
        <v>10973</v>
      </c>
      <c r="AS2180" s="16" t="s">
        <v>10974</v>
      </c>
    </row>
    <row r="2181" spans="1:60" ht="14.5">
      <c r="A2181" s="9" t="s">
        <v>10975</v>
      </c>
      <c r="B2181" s="9" t="s">
        <v>10976</v>
      </c>
      <c r="C2181" s="9" t="s">
        <v>1276</v>
      </c>
      <c r="D2181" s="9" t="s">
        <v>1240</v>
      </c>
      <c r="E2181" s="9" t="s">
        <v>49</v>
      </c>
      <c r="F2181" s="9" t="s">
        <v>69</v>
      </c>
      <c r="G2181" s="9" t="s">
        <v>70</v>
      </c>
      <c r="H2181" s="9" t="s">
        <v>9040</v>
      </c>
      <c r="I2181" s="9" t="s">
        <v>72</v>
      </c>
      <c r="J2181" s="10"/>
      <c r="K2181" s="10">
        <v>45177</v>
      </c>
      <c r="M2181" s="10">
        <v>45203</v>
      </c>
      <c r="N2181" s="20">
        <v>2023</v>
      </c>
      <c r="O2181" s="9" t="s">
        <v>10946</v>
      </c>
      <c r="P2181" s="9" t="s">
        <v>53</v>
      </c>
      <c r="Q2181" s="9" t="s">
        <v>53</v>
      </c>
      <c r="S2181" s="9"/>
      <c r="T2181" s="9"/>
      <c r="V2181" s="9"/>
      <c r="AC2181" s="9" t="s">
        <v>10977</v>
      </c>
      <c r="AH2181" s="9">
        <v>2230</v>
      </c>
      <c r="AI2181" s="9" t="s">
        <v>77</v>
      </c>
      <c r="AJ2181" s="9" t="s">
        <v>301</v>
      </c>
      <c r="AK2181" s="23" t="str">
        <f t="shared" si="16"/>
        <v>2023GBP</v>
      </c>
      <c r="AL2181" s="23">
        <f>VLOOKUP(AK2181, Exchange_rates!$C:$D, 2, FALSE)</f>
        <v>1</v>
      </c>
      <c r="AM2181" s="26">
        <f t="shared" si="17"/>
        <v>2676</v>
      </c>
      <c r="AN2181" s="9"/>
      <c r="AO2181" s="9"/>
      <c r="AP2181" s="9"/>
      <c r="AQ2181" s="15" t="s">
        <v>49</v>
      </c>
      <c r="AR2181" t="s">
        <v>1278</v>
      </c>
      <c r="AS2181" s="16" t="s">
        <v>1279</v>
      </c>
    </row>
    <row r="2182" spans="1:60" ht="14.5">
      <c r="A2182" s="9" t="s">
        <v>10978</v>
      </c>
      <c r="B2182" s="9" t="s">
        <v>10979</v>
      </c>
      <c r="C2182" s="9" t="s">
        <v>1388</v>
      </c>
      <c r="D2182" s="9" t="s">
        <v>1240</v>
      </c>
      <c r="E2182" s="9" t="s">
        <v>49</v>
      </c>
      <c r="F2182" s="9" t="s">
        <v>69</v>
      </c>
      <c r="G2182" s="9" t="s">
        <v>70</v>
      </c>
      <c r="H2182" s="9" t="s">
        <v>9040</v>
      </c>
      <c r="I2182" s="9" t="s">
        <v>72</v>
      </c>
      <c r="J2182" s="10"/>
      <c r="K2182" s="10">
        <v>45135</v>
      </c>
      <c r="M2182" s="10">
        <v>45146</v>
      </c>
      <c r="N2182" s="20">
        <v>2023</v>
      </c>
      <c r="O2182" s="9" t="s">
        <v>10946</v>
      </c>
      <c r="P2182" s="9" t="s">
        <v>83</v>
      </c>
      <c r="Q2182" s="9" t="s">
        <v>53</v>
      </c>
      <c r="R2182" s="9" t="s">
        <v>117</v>
      </c>
      <c r="S2182" s="9"/>
      <c r="T2182" s="9"/>
      <c r="V2182" s="9"/>
      <c r="AC2182" s="9" t="s">
        <v>10980</v>
      </c>
      <c r="AH2182" s="9">
        <v>2230</v>
      </c>
      <c r="AI2182" s="9" t="s">
        <v>77</v>
      </c>
      <c r="AJ2182" s="9" t="s">
        <v>301</v>
      </c>
      <c r="AK2182" s="23" t="str">
        <f t="shared" si="16"/>
        <v>2023GBP</v>
      </c>
      <c r="AL2182" s="23">
        <f>VLOOKUP(AK2182, Exchange_rates!$C:$D, 2, FALSE)</f>
        <v>1</v>
      </c>
      <c r="AM2182" s="26">
        <f t="shared" si="17"/>
        <v>2676</v>
      </c>
      <c r="AN2182" s="9"/>
      <c r="AO2182" s="9"/>
      <c r="AP2182" s="9"/>
      <c r="AQ2182" s="15" t="s">
        <v>49</v>
      </c>
      <c r="AR2182" t="s">
        <v>1283</v>
      </c>
      <c r="AS2182" s="16" t="s">
        <v>1284</v>
      </c>
    </row>
    <row r="2183" spans="1:60" ht="14.5">
      <c r="A2183" s="9" t="s">
        <v>10981</v>
      </c>
      <c r="B2183" s="9" t="s">
        <v>10982</v>
      </c>
      <c r="C2183" s="9" t="s">
        <v>1468</v>
      </c>
      <c r="D2183" s="9" t="s">
        <v>1240</v>
      </c>
      <c r="E2183" s="9" t="s">
        <v>49</v>
      </c>
      <c r="F2183" s="9" t="s">
        <v>69</v>
      </c>
      <c r="G2183" s="9" t="s">
        <v>70</v>
      </c>
      <c r="H2183" s="9" t="s">
        <v>9040</v>
      </c>
      <c r="I2183" s="9" t="s">
        <v>72</v>
      </c>
      <c r="J2183" s="10"/>
      <c r="K2183" s="10">
        <v>45119</v>
      </c>
      <c r="M2183" s="10">
        <v>45141</v>
      </c>
      <c r="N2183" s="20">
        <v>2023</v>
      </c>
      <c r="O2183" s="9" t="s">
        <v>10946</v>
      </c>
      <c r="P2183" s="9" t="s">
        <v>83</v>
      </c>
      <c r="Q2183" s="9" t="s">
        <v>53</v>
      </c>
      <c r="R2183" s="9" t="s">
        <v>10983</v>
      </c>
      <c r="S2183" s="9"/>
      <c r="T2183" s="9"/>
      <c r="V2183" s="9"/>
      <c r="AC2183" s="9" t="s">
        <v>10984</v>
      </c>
      <c r="AH2183" s="9">
        <v>2230</v>
      </c>
      <c r="AI2183" s="9" t="s">
        <v>77</v>
      </c>
      <c r="AJ2183" s="9" t="s">
        <v>301</v>
      </c>
      <c r="AK2183" s="23" t="str">
        <f t="shared" si="16"/>
        <v>2023GBP</v>
      </c>
      <c r="AL2183" s="23">
        <f>VLOOKUP(AK2183, Exchange_rates!$C:$D, 2, FALSE)</f>
        <v>1</v>
      </c>
      <c r="AM2183" s="26">
        <f t="shared" si="17"/>
        <v>2676</v>
      </c>
      <c r="AN2183" s="9"/>
      <c r="AO2183" s="9"/>
      <c r="AP2183" s="9"/>
      <c r="AQ2183" s="15" t="s">
        <v>49</v>
      </c>
      <c r="AR2183" t="s">
        <v>1301</v>
      </c>
      <c r="AS2183" s="16" t="s">
        <v>1302</v>
      </c>
    </row>
    <row r="2184" spans="1:60" ht="14.5">
      <c r="A2184" s="20" t="s">
        <v>10985</v>
      </c>
      <c r="B2184" s="20" t="s">
        <v>10986</v>
      </c>
      <c r="C2184" s="20" t="s">
        <v>1468</v>
      </c>
      <c r="D2184" s="20" t="s">
        <v>1240</v>
      </c>
      <c r="E2184" s="20" t="s">
        <v>49</v>
      </c>
      <c r="F2184" s="20" t="s">
        <v>69</v>
      </c>
      <c r="G2184" s="20" t="s">
        <v>70</v>
      </c>
      <c r="H2184" s="20" t="s">
        <v>9040</v>
      </c>
      <c r="I2184" s="20" t="s">
        <v>72</v>
      </c>
      <c r="J2184" s="22"/>
      <c r="K2184" s="22">
        <v>45225</v>
      </c>
      <c r="L2184" s="22"/>
      <c r="M2184" s="22"/>
      <c r="N2184" s="20">
        <v>2023</v>
      </c>
      <c r="O2184" s="20" t="s">
        <v>10946</v>
      </c>
      <c r="P2184" s="20" t="s">
        <v>83</v>
      </c>
      <c r="Q2184" s="20" t="s">
        <v>53</v>
      </c>
      <c r="R2184" s="20" t="s">
        <v>7911</v>
      </c>
      <c r="S2184" s="20"/>
      <c r="T2184" s="20"/>
      <c r="U2184" s="20"/>
      <c r="V2184" s="20"/>
      <c r="W2184" s="20"/>
      <c r="X2184" s="20"/>
      <c r="Y2184" s="20"/>
      <c r="Z2184" s="20"/>
      <c r="AA2184" s="20"/>
      <c r="AB2184" s="20"/>
      <c r="AC2184" s="20" t="s">
        <v>10987</v>
      </c>
      <c r="AD2184" s="20"/>
      <c r="AE2184" s="20"/>
      <c r="AF2184" s="20"/>
      <c r="AG2184" s="20"/>
      <c r="AH2184" s="20">
        <v>2230</v>
      </c>
      <c r="AI2184" s="20" t="s">
        <v>77</v>
      </c>
      <c r="AJ2184" s="20" t="s">
        <v>301</v>
      </c>
      <c r="AK2184" s="23" t="str">
        <f t="shared" si="16"/>
        <v>2023GBP</v>
      </c>
      <c r="AL2184" s="23">
        <f>VLOOKUP(AK2184, Exchange_rates!$C:$D, 2, FALSE)</f>
        <v>1</v>
      </c>
      <c r="AM2184" s="26">
        <f t="shared" si="17"/>
        <v>2676</v>
      </c>
      <c r="AN2184" s="20"/>
      <c r="AO2184" s="20"/>
      <c r="AP2184" s="20"/>
      <c r="AQ2184" s="27" t="s">
        <v>49</v>
      </c>
      <c r="AR2184" t="s">
        <v>1301</v>
      </c>
      <c r="AS2184" s="16" t="s">
        <v>1302</v>
      </c>
      <c r="AT2184" s="20"/>
      <c r="AU2184" s="20"/>
      <c r="AV2184" s="20"/>
      <c r="AW2184" s="20"/>
      <c r="AX2184" s="20"/>
      <c r="AY2184" s="20"/>
      <c r="AZ2184" s="20"/>
      <c r="BA2184" s="20"/>
      <c r="BB2184" s="20"/>
      <c r="BC2184" s="20"/>
      <c r="BD2184" s="20"/>
      <c r="BE2184" s="20"/>
      <c r="BF2184" s="20"/>
      <c r="BG2184" s="20"/>
      <c r="BH2184" s="20"/>
    </row>
    <row r="2185" spans="1:60" ht="14.5">
      <c r="A2185" s="9" t="s">
        <v>10988</v>
      </c>
      <c r="B2185" s="9" t="s">
        <v>10989</v>
      </c>
      <c r="C2185" s="9" t="s">
        <v>8077</v>
      </c>
      <c r="D2185" s="9" t="s">
        <v>7930</v>
      </c>
      <c r="E2185" s="9" t="s">
        <v>49</v>
      </c>
      <c r="F2185" s="9" t="s">
        <v>69</v>
      </c>
      <c r="G2185" s="9" t="s">
        <v>70</v>
      </c>
      <c r="H2185" s="9" t="s">
        <v>7940</v>
      </c>
      <c r="I2185" s="9" t="s">
        <v>72</v>
      </c>
      <c r="K2185" s="10">
        <v>45010</v>
      </c>
      <c r="L2185" s="10"/>
      <c r="M2185" s="10">
        <v>45028</v>
      </c>
      <c r="N2185" s="9">
        <v>2023</v>
      </c>
      <c r="O2185" s="9" t="s">
        <v>10990</v>
      </c>
      <c r="P2185" s="9" t="s">
        <v>83</v>
      </c>
      <c r="Q2185" s="9" t="s">
        <v>53</v>
      </c>
      <c r="R2185" s="9" t="s">
        <v>10991</v>
      </c>
      <c r="S2185" s="9"/>
      <c r="T2185" s="9"/>
      <c r="V2185" s="9"/>
      <c r="AC2185" s="9" t="s">
        <v>10992</v>
      </c>
      <c r="AD2185" s="9" t="s">
        <v>10993</v>
      </c>
      <c r="AE2185" s="9" t="s">
        <v>10994</v>
      </c>
      <c r="AH2185" s="9">
        <v>3500</v>
      </c>
      <c r="AI2185" s="9" t="s">
        <v>77</v>
      </c>
      <c r="AJ2185" s="9" t="s">
        <v>57</v>
      </c>
      <c r="AK2185" s="23" t="str">
        <f t="shared" si="16"/>
        <v>2023USD</v>
      </c>
      <c r="AL2185" s="23">
        <f>VLOOKUP(AK2185, Exchange_rates!$C:$D, 2, FALSE)</f>
        <v>0.80430000000000001</v>
      </c>
      <c r="AM2185" s="26">
        <f t="shared" si="17"/>
        <v>3378.06</v>
      </c>
      <c r="AN2185" s="9"/>
      <c r="AO2185" s="9"/>
      <c r="AP2185" s="9"/>
      <c r="AQ2185" s="15" t="s">
        <v>49</v>
      </c>
      <c r="AR2185" t="s">
        <v>8080</v>
      </c>
      <c r="AS2185" s="16" t="s">
        <v>8081</v>
      </c>
    </row>
    <row r="2186" spans="1:60" ht="14.5">
      <c r="A2186" s="9" t="s">
        <v>10995</v>
      </c>
      <c r="B2186" s="9" t="s">
        <v>10996</v>
      </c>
      <c r="C2186" s="9" t="s">
        <v>8070</v>
      </c>
      <c r="D2186" s="9" t="s">
        <v>7930</v>
      </c>
      <c r="E2186" s="9" t="s">
        <v>49</v>
      </c>
      <c r="F2186" s="9" t="s">
        <v>69</v>
      </c>
      <c r="G2186" s="9" t="s">
        <v>70</v>
      </c>
      <c r="H2186" s="9" t="s">
        <v>7940</v>
      </c>
      <c r="I2186" s="9" t="s">
        <v>72</v>
      </c>
      <c r="K2186" s="10">
        <v>44957</v>
      </c>
      <c r="L2186" s="10"/>
      <c r="M2186" s="10">
        <v>44986</v>
      </c>
      <c r="N2186" s="9">
        <v>2023</v>
      </c>
      <c r="O2186" s="9" t="s">
        <v>10990</v>
      </c>
      <c r="P2186" s="9" t="s">
        <v>53</v>
      </c>
      <c r="Q2186" s="9" t="s">
        <v>53</v>
      </c>
      <c r="R2186" s="9" t="s">
        <v>178</v>
      </c>
      <c r="S2186" s="9"/>
      <c r="T2186" s="9"/>
      <c r="V2186" s="9"/>
      <c r="AC2186" s="9" t="s">
        <v>8112</v>
      </c>
      <c r="AD2186" s="9" t="s">
        <v>8113</v>
      </c>
      <c r="AE2186" s="9" t="s">
        <v>10997</v>
      </c>
      <c r="AH2186" s="9">
        <v>3500</v>
      </c>
      <c r="AI2186" s="9" t="s">
        <v>77</v>
      </c>
      <c r="AJ2186" s="9" t="s">
        <v>57</v>
      </c>
      <c r="AK2186" s="23" t="str">
        <f t="shared" si="16"/>
        <v>2023USD</v>
      </c>
      <c r="AL2186" s="23">
        <f>VLOOKUP(AK2186, Exchange_rates!$C:$D, 2, FALSE)</f>
        <v>0.80430000000000001</v>
      </c>
      <c r="AM2186" s="26">
        <f t="shared" si="17"/>
        <v>3378.06</v>
      </c>
      <c r="AN2186" s="9"/>
      <c r="AO2186" s="9"/>
      <c r="AP2186" s="9"/>
      <c r="AQ2186" s="15" t="s">
        <v>49</v>
      </c>
      <c r="AR2186" t="s">
        <v>8073</v>
      </c>
      <c r="AS2186" s="16" t="s">
        <v>8074</v>
      </c>
    </row>
    <row r="2187" spans="1:60" ht="14.5">
      <c r="A2187" s="9" t="s">
        <v>10998</v>
      </c>
      <c r="B2187" s="9" t="s">
        <v>10999</v>
      </c>
      <c r="C2187" s="9" t="s">
        <v>8104</v>
      </c>
      <c r="D2187" s="9" t="s">
        <v>7930</v>
      </c>
      <c r="E2187" s="9" t="s">
        <v>49</v>
      </c>
      <c r="F2187" s="9" t="s">
        <v>69</v>
      </c>
      <c r="G2187" s="9" t="s">
        <v>70</v>
      </c>
      <c r="H2187" s="9" t="s">
        <v>7940</v>
      </c>
      <c r="I2187" s="9" t="s">
        <v>72</v>
      </c>
      <c r="K2187" s="10">
        <v>45046</v>
      </c>
      <c r="M2187" s="10">
        <v>45063</v>
      </c>
      <c r="N2187" s="9">
        <v>2023</v>
      </c>
      <c r="O2187" s="9" t="s">
        <v>10990</v>
      </c>
      <c r="P2187" s="9" t="s">
        <v>83</v>
      </c>
      <c r="Q2187" s="9" t="s">
        <v>53</v>
      </c>
      <c r="R2187" s="9" t="s">
        <v>11000</v>
      </c>
      <c r="S2187" s="9"/>
      <c r="T2187" s="9"/>
      <c r="V2187" s="9"/>
      <c r="AC2187" s="9" t="s">
        <v>11001</v>
      </c>
      <c r="AD2187" s="9" t="s">
        <v>11002</v>
      </c>
      <c r="AE2187" s="9" t="s">
        <v>11003</v>
      </c>
      <c r="AH2187" s="9">
        <v>3500</v>
      </c>
      <c r="AI2187" s="9" t="s">
        <v>77</v>
      </c>
      <c r="AJ2187" s="9" t="s">
        <v>57</v>
      </c>
      <c r="AK2187" s="23" t="str">
        <f t="shared" si="16"/>
        <v>2023USD</v>
      </c>
      <c r="AL2187" s="23">
        <f>VLOOKUP(AK2187, Exchange_rates!$C:$D, 2, FALSE)</f>
        <v>0.80430000000000001</v>
      </c>
      <c r="AM2187" s="26">
        <f t="shared" si="17"/>
        <v>3378.06</v>
      </c>
      <c r="AN2187" s="9"/>
      <c r="AO2187" s="9"/>
      <c r="AP2187" s="9"/>
      <c r="AQ2187" s="15" t="s">
        <v>49</v>
      </c>
      <c r="AR2187" t="s">
        <v>8108</v>
      </c>
      <c r="AS2187" s="16" t="s">
        <v>8109</v>
      </c>
    </row>
    <row r="2188" spans="1:60" ht="14.5">
      <c r="A2188" s="9" t="s">
        <v>11004</v>
      </c>
      <c r="B2188" s="9" t="s">
        <v>11005</v>
      </c>
      <c r="C2188" s="9" t="s">
        <v>7939</v>
      </c>
      <c r="D2188" s="9" t="s">
        <v>7930</v>
      </c>
      <c r="E2188" s="9" t="s">
        <v>49</v>
      </c>
      <c r="F2188" s="9" t="s">
        <v>69</v>
      </c>
      <c r="G2188" s="9" t="s">
        <v>70</v>
      </c>
      <c r="H2188" s="9" t="s">
        <v>7940</v>
      </c>
      <c r="I2188" s="9" t="s">
        <v>72</v>
      </c>
      <c r="K2188" s="10">
        <v>45073</v>
      </c>
      <c r="L2188" s="10"/>
      <c r="M2188" s="10">
        <v>45114</v>
      </c>
      <c r="N2188" s="9">
        <v>2023</v>
      </c>
      <c r="O2188" s="9" t="s">
        <v>10990</v>
      </c>
      <c r="P2188" s="9" t="s">
        <v>83</v>
      </c>
      <c r="Q2188" s="9" t="s">
        <v>53</v>
      </c>
      <c r="R2188" s="9" t="s">
        <v>11006</v>
      </c>
      <c r="S2188" s="9"/>
      <c r="T2188" s="9"/>
      <c r="V2188" s="9"/>
      <c r="AC2188" s="9" t="s">
        <v>11007</v>
      </c>
      <c r="AD2188" s="9" t="s">
        <v>11008</v>
      </c>
      <c r="AE2188" s="9" t="s">
        <v>11009</v>
      </c>
      <c r="AH2188" s="9">
        <v>3500</v>
      </c>
      <c r="AI2188" s="9" t="s">
        <v>77</v>
      </c>
      <c r="AJ2188" s="9" t="s">
        <v>57</v>
      </c>
      <c r="AK2188" s="23" t="str">
        <f t="shared" si="16"/>
        <v>2023USD</v>
      </c>
      <c r="AL2188" s="23">
        <f>VLOOKUP(AK2188, Exchange_rates!$C:$D, 2, FALSE)</f>
        <v>0.80430000000000001</v>
      </c>
      <c r="AM2188" s="26">
        <f t="shared" si="17"/>
        <v>3378.06</v>
      </c>
      <c r="AN2188" s="9"/>
      <c r="AO2188" s="9"/>
      <c r="AP2188" s="9"/>
      <c r="AQ2188" s="15" t="s">
        <v>49</v>
      </c>
      <c r="AR2188" t="s">
        <v>7944</v>
      </c>
      <c r="AS2188" s="16" t="s">
        <v>7945</v>
      </c>
    </row>
    <row r="2189" spans="1:60" ht="14.5">
      <c r="A2189" s="9" t="s">
        <v>11010</v>
      </c>
      <c r="B2189" s="9" t="s">
        <v>11011</v>
      </c>
      <c r="C2189" s="9" t="s">
        <v>11012</v>
      </c>
      <c r="D2189" s="9" t="s">
        <v>7930</v>
      </c>
      <c r="E2189" s="9" t="s">
        <v>49</v>
      </c>
      <c r="F2189" s="9" t="s">
        <v>69</v>
      </c>
      <c r="G2189" s="9" t="s">
        <v>70</v>
      </c>
      <c r="H2189" s="9" t="s">
        <v>7940</v>
      </c>
      <c r="I2189" s="9" t="s">
        <v>72</v>
      </c>
      <c r="J2189" s="10"/>
      <c r="K2189" s="10">
        <v>45085</v>
      </c>
      <c r="M2189" s="10">
        <v>45128</v>
      </c>
      <c r="N2189" s="9">
        <v>2023</v>
      </c>
      <c r="O2189" s="9" t="s">
        <v>10990</v>
      </c>
      <c r="P2189" s="9" t="s">
        <v>53</v>
      </c>
      <c r="Q2189" s="9" t="s">
        <v>53</v>
      </c>
      <c r="R2189" s="9" t="s">
        <v>11013</v>
      </c>
      <c r="S2189" s="9"/>
      <c r="T2189" s="9"/>
      <c r="V2189" s="9"/>
      <c r="AC2189" s="9" t="s">
        <v>1277</v>
      </c>
      <c r="AD2189" s="9" t="s">
        <v>11014</v>
      </c>
      <c r="AE2189" s="9" t="s">
        <v>11015</v>
      </c>
      <c r="AH2189" s="9">
        <v>3500</v>
      </c>
      <c r="AI2189" s="9" t="s">
        <v>77</v>
      </c>
      <c r="AJ2189" s="9" t="s">
        <v>57</v>
      </c>
      <c r="AK2189" s="23" t="str">
        <f t="shared" si="16"/>
        <v>2023USD</v>
      </c>
      <c r="AL2189" s="23">
        <f>VLOOKUP(AK2189, Exchange_rates!$C:$D, 2, FALSE)</f>
        <v>0.80430000000000001</v>
      </c>
      <c r="AM2189" s="26">
        <f t="shared" si="17"/>
        <v>3378.06</v>
      </c>
      <c r="AN2189" s="9"/>
      <c r="AO2189" s="9"/>
      <c r="AP2189" s="9"/>
      <c r="AQ2189" s="15" t="s">
        <v>49</v>
      </c>
      <c r="AR2189" t="s">
        <v>11016</v>
      </c>
      <c r="AS2189" s="16" t="s">
        <v>11017</v>
      </c>
    </row>
    <row r="2190" spans="1:60" ht="14.5">
      <c r="A2190" s="20" t="s">
        <v>11018</v>
      </c>
      <c r="B2190" s="20" t="s">
        <v>11019</v>
      </c>
      <c r="C2190" s="20" t="s">
        <v>8077</v>
      </c>
      <c r="D2190" s="20" t="s">
        <v>7930</v>
      </c>
      <c r="E2190" s="20" t="s">
        <v>49</v>
      </c>
      <c r="F2190" s="20" t="s">
        <v>69</v>
      </c>
      <c r="G2190" s="20" t="s">
        <v>70</v>
      </c>
      <c r="H2190" s="20" t="s">
        <v>7940</v>
      </c>
      <c r="I2190" s="20" t="s">
        <v>72</v>
      </c>
      <c r="J2190" s="20"/>
      <c r="K2190" s="22">
        <v>45162</v>
      </c>
      <c r="L2190" s="22"/>
      <c r="M2190" s="22">
        <v>45181</v>
      </c>
      <c r="N2190" s="20">
        <v>2023</v>
      </c>
      <c r="O2190" s="20" t="s">
        <v>10990</v>
      </c>
      <c r="P2190" s="20" t="s">
        <v>83</v>
      </c>
      <c r="Q2190" s="20" t="s">
        <v>53</v>
      </c>
      <c r="R2190" s="20" t="s">
        <v>11020</v>
      </c>
      <c r="S2190" s="20"/>
      <c r="T2190" s="20"/>
      <c r="U2190" s="20"/>
      <c r="V2190" s="20"/>
      <c r="W2190" s="20"/>
      <c r="X2190" s="20"/>
      <c r="Y2190" s="20"/>
      <c r="Z2190" s="20"/>
      <c r="AA2190" s="20"/>
      <c r="AB2190" s="20"/>
      <c r="AC2190" s="20" t="s">
        <v>11021</v>
      </c>
      <c r="AD2190" s="20" t="s">
        <v>11022</v>
      </c>
      <c r="AE2190" s="20" t="s">
        <v>11023</v>
      </c>
      <c r="AF2190" s="20"/>
      <c r="AG2190" s="20"/>
      <c r="AH2190" s="20">
        <v>3500</v>
      </c>
      <c r="AI2190" s="20" t="s">
        <v>77</v>
      </c>
      <c r="AJ2190" s="20" t="s">
        <v>57</v>
      </c>
      <c r="AK2190" s="23" t="str">
        <f t="shared" si="16"/>
        <v>2023USD</v>
      </c>
      <c r="AL2190" s="23">
        <f>VLOOKUP(AK2190, Exchange_rates!$C:$D, 2, FALSE)</f>
        <v>0.80430000000000001</v>
      </c>
      <c r="AM2190" s="26">
        <f t="shared" si="17"/>
        <v>3378.06</v>
      </c>
      <c r="AN2190" s="20"/>
      <c r="AO2190" s="20"/>
      <c r="AP2190" s="20"/>
      <c r="AQ2190" s="27" t="s">
        <v>49</v>
      </c>
      <c r="AR2190" t="s">
        <v>8080</v>
      </c>
      <c r="AS2190" s="16" t="s">
        <v>8081</v>
      </c>
      <c r="AT2190" s="20"/>
      <c r="AU2190" s="20"/>
      <c r="AV2190" s="20"/>
      <c r="AW2190" s="20"/>
      <c r="AX2190" s="20"/>
      <c r="AY2190" s="20"/>
      <c r="AZ2190" s="20"/>
      <c r="BA2190" s="20"/>
      <c r="BB2190" s="20"/>
      <c r="BC2190" s="20"/>
      <c r="BD2190" s="20"/>
      <c r="BE2190" s="20"/>
      <c r="BF2190" s="20"/>
      <c r="BG2190" s="20"/>
      <c r="BH2190" s="20"/>
    </row>
    <row r="2191" spans="1:60" ht="14.5">
      <c r="A2191" s="9" t="s">
        <v>11024</v>
      </c>
      <c r="B2191" s="9" t="s">
        <v>11025</v>
      </c>
      <c r="C2191" s="9" t="s">
        <v>11026</v>
      </c>
      <c r="D2191" s="9" t="s">
        <v>2479</v>
      </c>
      <c r="E2191" s="9" t="s">
        <v>49</v>
      </c>
      <c r="F2191" s="9" t="s">
        <v>69</v>
      </c>
      <c r="G2191" s="9" t="s">
        <v>70</v>
      </c>
      <c r="H2191" s="9" t="s">
        <v>8594</v>
      </c>
      <c r="I2191" s="9" t="s">
        <v>72</v>
      </c>
      <c r="J2191" s="10">
        <v>44581</v>
      </c>
      <c r="K2191" s="10">
        <v>45147</v>
      </c>
      <c r="L2191" s="10"/>
      <c r="M2191" s="10"/>
      <c r="N2191" s="9">
        <v>2023</v>
      </c>
      <c r="O2191" s="9" t="s">
        <v>11027</v>
      </c>
      <c r="P2191" s="9" t="s">
        <v>53</v>
      </c>
      <c r="Q2191" s="9" t="s">
        <v>53</v>
      </c>
      <c r="R2191" s="9" t="s">
        <v>11028</v>
      </c>
      <c r="S2191" s="9"/>
      <c r="T2191" s="9"/>
      <c r="V2191" s="9"/>
      <c r="AC2191" s="9" t="s">
        <v>5082</v>
      </c>
      <c r="AD2191" s="9" t="s">
        <v>10044</v>
      </c>
      <c r="AF2191" s="9" t="s">
        <v>11029</v>
      </c>
      <c r="AH2191" s="9">
        <v>2383.23</v>
      </c>
      <c r="AI2191" s="9" t="s">
        <v>77</v>
      </c>
      <c r="AJ2191" s="9" t="s">
        <v>301</v>
      </c>
      <c r="AK2191" s="23" t="str">
        <f t="shared" si="16"/>
        <v>2023GBP</v>
      </c>
      <c r="AL2191" s="23">
        <f>VLOOKUP(AK2191, Exchange_rates!$C:$D, 2, FALSE)</f>
        <v>1</v>
      </c>
      <c r="AM2191" s="26">
        <f t="shared" si="17"/>
        <v>2859.8759999999997</v>
      </c>
      <c r="AN2191" s="9"/>
      <c r="AO2191" s="9"/>
      <c r="AP2191" s="9"/>
      <c r="AQ2191" s="15" t="s">
        <v>49</v>
      </c>
      <c r="AR2191" t="s">
        <v>11030</v>
      </c>
      <c r="AS2191" s="16" t="s">
        <v>11031</v>
      </c>
    </row>
    <row r="2192" spans="1:60" ht="14.5">
      <c r="A2192" s="20" t="s">
        <v>11032</v>
      </c>
      <c r="B2192" s="20" t="s">
        <v>11033</v>
      </c>
      <c r="C2192" s="20" t="s">
        <v>11034</v>
      </c>
      <c r="D2192" s="20" t="s">
        <v>2479</v>
      </c>
      <c r="E2192" s="20" t="s">
        <v>49</v>
      </c>
      <c r="F2192" s="20" t="s">
        <v>69</v>
      </c>
      <c r="G2192" s="20" t="s">
        <v>70</v>
      </c>
      <c r="H2192" s="20" t="s">
        <v>8594</v>
      </c>
      <c r="I2192" s="20" t="s">
        <v>72</v>
      </c>
      <c r="J2192" s="22">
        <v>44772</v>
      </c>
      <c r="K2192" s="22">
        <v>45188</v>
      </c>
      <c r="L2192" s="22"/>
      <c r="M2192" s="22"/>
      <c r="N2192" s="20">
        <v>2023</v>
      </c>
      <c r="O2192" s="20" t="s">
        <v>11027</v>
      </c>
      <c r="P2192" s="20" t="s">
        <v>53</v>
      </c>
      <c r="Q2192" s="20" t="s">
        <v>53</v>
      </c>
      <c r="R2192" s="20" t="s">
        <v>10647</v>
      </c>
      <c r="S2192" s="20"/>
      <c r="T2192" s="20"/>
      <c r="U2192" s="20"/>
      <c r="V2192" s="20"/>
      <c r="W2192" s="20"/>
      <c r="X2192" s="20"/>
      <c r="Y2192" s="20"/>
      <c r="Z2192" s="20"/>
      <c r="AA2192" s="20"/>
      <c r="AB2192" s="20"/>
      <c r="AC2192" s="20" t="s">
        <v>11035</v>
      </c>
      <c r="AD2192" s="20" t="s">
        <v>11036</v>
      </c>
      <c r="AE2192" s="20"/>
      <c r="AF2192" s="20"/>
      <c r="AG2192" s="20"/>
      <c r="AH2192" s="20">
        <v>2383.23</v>
      </c>
      <c r="AI2192" s="20" t="s">
        <v>77</v>
      </c>
      <c r="AJ2192" s="20" t="s">
        <v>301</v>
      </c>
      <c r="AK2192" s="23" t="str">
        <f t="shared" si="16"/>
        <v>2023GBP</v>
      </c>
      <c r="AL2192" s="23">
        <f>VLOOKUP(AK2192, Exchange_rates!$C:$D, 2, FALSE)</f>
        <v>1</v>
      </c>
      <c r="AM2192" s="26">
        <f t="shared" si="17"/>
        <v>2859.8759999999997</v>
      </c>
      <c r="AN2192" s="20"/>
      <c r="AO2192" s="20"/>
      <c r="AP2192" s="20"/>
      <c r="AQ2192" s="27" t="s">
        <v>49</v>
      </c>
      <c r="AR2192" t="s">
        <v>11037</v>
      </c>
      <c r="AS2192" s="16" t="s">
        <v>11038</v>
      </c>
      <c r="AT2192" s="20"/>
      <c r="AU2192" s="20"/>
      <c r="AV2192" s="20"/>
      <c r="AW2192" s="20"/>
      <c r="AX2192" s="20"/>
      <c r="AY2192" s="20"/>
      <c r="AZ2192" s="20"/>
      <c r="BA2192" s="20"/>
      <c r="BB2192" s="20"/>
      <c r="BC2192" s="20"/>
      <c r="BD2192" s="20"/>
      <c r="BE2192" s="20"/>
      <c r="BF2192" s="20"/>
      <c r="BG2192" s="20"/>
      <c r="BH2192" s="20"/>
    </row>
    <row r="2193" spans="1:60" ht="14.5">
      <c r="A2193" s="9" t="s">
        <v>11039</v>
      </c>
      <c r="B2193" s="9" t="s">
        <v>11040</v>
      </c>
      <c r="C2193" s="9" t="s">
        <v>807</v>
      </c>
      <c r="D2193" s="9" t="s">
        <v>361</v>
      </c>
      <c r="E2193" s="20" t="s">
        <v>49</v>
      </c>
      <c r="F2193" s="9" t="s">
        <v>69</v>
      </c>
      <c r="G2193" s="9" t="s">
        <v>70</v>
      </c>
      <c r="H2193" s="9" t="s">
        <v>7424</v>
      </c>
      <c r="I2193" s="9" t="s">
        <v>72</v>
      </c>
      <c r="J2193" s="10"/>
      <c r="K2193" s="10"/>
      <c r="L2193" s="10"/>
      <c r="M2193" s="10">
        <v>45201</v>
      </c>
      <c r="N2193" s="9">
        <v>2023</v>
      </c>
      <c r="O2193" s="9" t="s">
        <v>11041</v>
      </c>
      <c r="P2193" s="9" t="s">
        <v>83</v>
      </c>
      <c r="Q2193" s="9" t="s">
        <v>53</v>
      </c>
      <c r="R2193" s="9" t="s">
        <v>11042</v>
      </c>
      <c r="S2193" s="9"/>
      <c r="T2193" s="9"/>
      <c r="V2193" s="9"/>
      <c r="AC2193" s="9" t="s">
        <v>11043</v>
      </c>
      <c r="AH2193" s="9">
        <v>2110</v>
      </c>
      <c r="AI2193" s="9" t="s">
        <v>77</v>
      </c>
      <c r="AJ2193" s="9" t="s">
        <v>301</v>
      </c>
      <c r="AK2193" s="23" t="str">
        <f t="shared" si="16"/>
        <v>2023GBP</v>
      </c>
      <c r="AL2193" s="23">
        <f>VLOOKUP(AK2193, Exchange_rates!$C:$D, 2, FALSE)</f>
        <v>1</v>
      </c>
      <c r="AM2193" s="26">
        <f t="shared" si="17"/>
        <v>2532</v>
      </c>
      <c r="AN2193" s="9"/>
      <c r="AO2193" s="9"/>
      <c r="AP2193" s="20"/>
      <c r="AQ2193" s="27" t="s">
        <v>49</v>
      </c>
      <c r="AR2193" t="s">
        <v>811</v>
      </c>
      <c r="AS2193" s="16" t="s">
        <v>812</v>
      </c>
    </row>
    <row r="2194" spans="1:60" ht="14.5">
      <c r="A2194" s="9" t="s">
        <v>11044</v>
      </c>
      <c r="B2194" s="9" t="s">
        <v>11045</v>
      </c>
      <c r="C2194" s="9" t="s">
        <v>11046</v>
      </c>
      <c r="D2194" s="9" t="s">
        <v>361</v>
      </c>
      <c r="E2194" s="20" t="s">
        <v>49</v>
      </c>
      <c r="F2194" s="9" t="s">
        <v>69</v>
      </c>
      <c r="G2194" s="9" t="s">
        <v>70</v>
      </c>
      <c r="H2194" s="9" t="s">
        <v>7424</v>
      </c>
      <c r="I2194" s="9" t="s">
        <v>72</v>
      </c>
      <c r="J2194" s="10"/>
      <c r="K2194" s="10"/>
      <c r="L2194" s="10"/>
      <c r="M2194" s="28">
        <v>45222</v>
      </c>
      <c r="N2194" s="9">
        <v>2023</v>
      </c>
      <c r="O2194" s="9" t="s">
        <v>11041</v>
      </c>
      <c r="P2194" s="9" t="s">
        <v>53</v>
      </c>
      <c r="Q2194" s="9" t="s">
        <v>53</v>
      </c>
      <c r="R2194" s="9" t="s">
        <v>11013</v>
      </c>
      <c r="S2194" s="9"/>
      <c r="T2194" s="9"/>
      <c r="V2194" s="9"/>
      <c r="AC2194" s="9" t="s">
        <v>6419</v>
      </c>
      <c r="AH2194" s="9">
        <v>2110</v>
      </c>
      <c r="AI2194" s="9" t="s">
        <v>77</v>
      </c>
      <c r="AJ2194" s="9" t="s">
        <v>301</v>
      </c>
      <c r="AK2194" s="23" t="str">
        <f t="shared" si="16"/>
        <v>2023GBP</v>
      </c>
      <c r="AL2194" s="23">
        <f>VLOOKUP(AK2194, Exchange_rates!$C:$D, 2, FALSE)</f>
        <v>1</v>
      </c>
      <c r="AM2194" s="26">
        <f t="shared" si="17"/>
        <v>2532</v>
      </c>
      <c r="AN2194" s="9"/>
      <c r="AO2194" s="9"/>
      <c r="AP2194" s="20"/>
      <c r="AQ2194" s="27" t="s">
        <v>49</v>
      </c>
      <c r="AR2194" t="s">
        <v>11047</v>
      </c>
      <c r="AS2194" s="16" t="s">
        <v>11048</v>
      </c>
    </row>
    <row r="2195" spans="1:60" ht="14.5">
      <c r="A2195" s="9" t="s">
        <v>11049</v>
      </c>
      <c r="B2195" s="9" t="s">
        <v>11050</v>
      </c>
      <c r="C2195" s="9" t="s">
        <v>11051</v>
      </c>
      <c r="D2195" s="9" t="s">
        <v>361</v>
      </c>
      <c r="E2195" s="20" t="s">
        <v>49</v>
      </c>
      <c r="F2195" s="9" t="s">
        <v>50</v>
      </c>
      <c r="G2195" s="9" t="s">
        <v>51</v>
      </c>
      <c r="H2195" s="9"/>
      <c r="I2195" s="9"/>
      <c r="J2195" s="10"/>
      <c r="K2195" s="10"/>
      <c r="L2195" s="10"/>
      <c r="M2195" s="28">
        <v>45218</v>
      </c>
      <c r="N2195" s="9">
        <v>2023</v>
      </c>
      <c r="O2195" s="9" t="s">
        <v>11041</v>
      </c>
      <c r="P2195" s="9" t="s">
        <v>53</v>
      </c>
      <c r="Q2195" s="9" t="s">
        <v>53</v>
      </c>
      <c r="R2195" s="9" t="s">
        <v>3705</v>
      </c>
      <c r="S2195" s="9"/>
      <c r="T2195" s="9" t="s">
        <v>661</v>
      </c>
      <c r="U2195" s="9" t="s">
        <v>11052</v>
      </c>
      <c r="V2195" s="9"/>
      <c r="AC2195" s="9" t="s">
        <v>11053</v>
      </c>
      <c r="AH2195" s="9">
        <v>0</v>
      </c>
      <c r="AI2195" s="9"/>
      <c r="AJ2195" s="9"/>
      <c r="AK2195" s="23" t="str">
        <f t="shared" si="16"/>
        <v>2023</v>
      </c>
      <c r="AL2195" s="23" t="e">
        <f>VLOOKUP(AK2195, Exchange_rates!$C:$D, 2, FALSE)</f>
        <v>#N/A</v>
      </c>
      <c r="AM2195" s="26" t="str">
        <f t="shared" si="17"/>
        <v/>
      </c>
      <c r="AN2195" s="9"/>
      <c r="AO2195" s="9"/>
      <c r="AP2195" s="20"/>
      <c r="AQ2195" s="27" t="s">
        <v>49</v>
      </c>
      <c r="AR2195" t="s">
        <v>11054</v>
      </c>
      <c r="AS2195" s="16"/>
    </row>
    <row r="2196" spans="1:60" ht="14.5">
      <c r="A2196" s="20" t="s">
        <v>11055</v>
      </c>
      <c r="B2196" s="20" t="s">
        <v>11056</v>
      </c>
      <c r="C2196" s="20" t="s">
        <v>439</v>
      </c>
      <c r="D2196" s="20" t="s">
        <v>361</v>
      </c>
      <c r="E2196" s="20" t="s">
        <v>49</v>
      </c>
      <c r="F2196" s="20" t="s">
        <v>50</v>
      </c>
      <c r="G2196" s="20" t="s">
        <v>51</v>
      </c>
      <c r="H2196" s="20"/>
      <c r="I2196" s="20"/>
      <c r="J2196" s="22"/>
      <c r="K2196" s="22"/>
      <c r="L2196" s="22"/>
      <c r="M2196" s="22">
        <v>45203</v>
      </c>
      <c r="N2196" s="20">
        <v>2023</v>
      </c>
      <c r="O2196" s="20" t="s">
        <v>11041</v>
      </c>
      <c r="P2196" s="20" t="s">
        <v>53</v>
      </c>
      <c r="Q2196" s="20" t="s">
        <v>53</v>
      </c>
      <c r="R2196" s="20" t="s">
        <v>11057</v>
      </c>
      <c r="S2196" s="20"/>
      <c r="T2196" s="20" t="s">
        <v>723</v>
      </c>
      <c r="U2196" s="20"/>
      <c r="V2196" s="20"/>
      <c r="W2196" s="20"/>
      <c r="X2196" s="20"/>
      <c r="Y2196" s="20"/>
      <c r="Z2196" s="20"/>
      <c r="AA2196" s="20"/>
      <c r="AB2196" s="20"/>
      <c r="AC2196" s="20" t="s">
        <v>11058</v>
      </c>
      <c r="AD2196" s="20"/>
      <c r="AE2196" s="20"/>
      <c r="AF2196" s="20"/>
      <c r="AG2196" s="20"/>
      <c r="AH2196" s="20">
        <v>0</v>
      </c>
      <c r="AI2196" s="20"/>
      <c r="AJ2196" s="20"/>
      <c r="AK2196" s="23" t="str">
        <f t="shared" si="16"/>
        <v>2023</v>
      </c>
      <c r="AL2196" s="23" t="e">
        <f>VLOOKUP(AK2196, Exchange_rates!$C:$D, 2, FALSE)</f>
        <v>#N/A</v>
      </c>
      <c r="AM2196" s="26" t="str">
        <f t="shared" si="17"/>
        <v/>
      </c>
      <c r="AN2196" s="20"/>
      <c r="AO2196" s="20"/>
      <c r="AP2196" s="20"/>
      <c r="AQ2196" s="27" t="s">
        <v>49</v>
      </c>
      <c r="AR2196" t="s">
        <v>442</v>
      </c>
      <c r="AS2196" s="16" t="s">
        <v>443</v>
      </c>
      <c r="AT2196" s="20"/>
      <c r="AU2196" s="20"/>
      <c r="AV2196" s="20"/>
      <c r="AW2196" s="20"/>
      <c r="AX2196" s="20"/>
      <c r="AY2196" s="20"/>
      <c r="AZ2196" s="20"/>
      <c r="BA2196" s="20"/>
      <c r="BB2196" s="20"/>
      <c r="BC2196" s="20"/>
      <c r="BD2196" s="20"/>
      <c r="BE2196" s="20"/>
      <c r="BF2196" s="20"/>
      <c r="BG2196" s="20"/>
      <c r="BH2196" s="20"/>
    </row>
    <row r="2197" spans="1:60" ht="14.5">
      <c r="A2197" s="9" t="s">
        <v>11059</v>
      </c>
      <c r="B2197" s="9" t="s">
        <v>11060</v>
      </c>
      <c r="C2197" s="9" t="s">
        <v>11061</v>
      </c>
      <c r="D2197" s="9" t="s">
        <v>2479</v>
      </c>
      <c r="E2197" s="9" t="s">
        <v>49</v>
      </c>
      <c r="F2197" s="9" t="s">
        <v>50</v>
      </c>
      <c r="G2197" s="9" t="s">
        <v>11062</v>
      </c>
      <c r="H2197" s="9"/>
      <c r="I2197" s="9"/>
      <c r="J2197" s="10">
        <v>45019</v>
      </c>
      <c r="K2197" s="28">
        <v>45211</v>
      </c>
      <c r="L2197" s="10"/>
      <c r="M2197" s="10"/>
      <c r="N2197" s="9">
        <v>2023</v>
      </c>
      <c r="O2197" s="9" t="s">
        <v>11063</v>
      </c>
      <c r="P2197" s="9" t="s">
        <v>53</v>
      </c>
      <c r="Q2197" s="9" t="s">
        <v>53</v>
      </c>
      <c r="R2197" s="9" t="s">
        <v>10647</v>
      </c>
      <c r="S2197" s="9"/>
      <c r="T2197" s="9" t="s">
        <v>661</v>
      </c>
      <c r="U2197" s="9" t="s">
        <v>11064</v>
      </c>
      <c r="V2197" s="9"/>
      <c r="AC2197" s="9" t="s">
        <v>11065</v>
      </c>
      <c r="AD2197" s="9" t="s">
        <v>11066</v>
      </c>
      <c r="AE2197" s="9" t="s">
        <v>11067</v>
      </c>
      <c r="AH2197" s="9"/>
      <c r="AI2197" s="9"/>
      <c r="AJ2197" s="9"/>
      <c r="AK2197" s="23" t="str">
        <f t="shared" si="16"/>
        <v>2023</v>
      </c>
      <c r="AL2197" s="23" t="e">
        <f>VLOOKUP(AK2197, Exchange_rates!$C:$D, 2, FALSE)</f>
        <v>#N/A</v>
      </c>
      <c r="AM2197" s="26" t="str">
        <f t="shared" si="17"/>
        <v/>
      </c>
      <c r="AN2197" s="9"/>
      <c r="AO2197" s="9"/>
      <c r="AP2197" s="9"/>
      <c r="AQ2197" s="15" t="s">
        <v>49</v>
      </c>
      <c r="AR2197" t="s">
        <v>11068</v>
      </c>
      <c r="AS2197" s="16" t="s">
        <v>11069</v>
      </c>
    </row>
    <row r="2198" spans="1:60" ht="14.5">
      <c r="A2198" s="9" t="s">
        <v>11070</v>
      </c>
      <c r="B2198" s="9" t="s">
        <v>11071</v>
      </c>
      <c r="C2198" s="9" t="s">
        <v>11072</v>
      </c>
      <c r="D2198" s="9" t="s">
        <v>2479</v>
      </c>
      <c r="E2198" s="9" t="s">
        <v>49</v>
      </c>
      <c r="F2198" s="9" t="s">
        <v>50</v>
      </c>
      <c r="G2198" s="9" t="s">
        <v>51</v>
      </c>
      <c r="H2198" s="9"/>
      <c r="I2198" s="9"/>
      <c r="J2198" s="10">
        <v>44930</v>
      </c>
      <c r="K2198" s="10">
        <v>45203</v>
      </c>
      <c r="L2198" s="10"/>
      <c r="M2198" s="10"/>
      <c r="N2198" s="9">
        <v>2023</v>
      </c>
      <c r="O2198" s="9" t="s">
        <v>11063</v>
      </c>
      <c r="P2198" s="9" t="s">
        <v>53</v>
      </c>
      <c r="Q2198" s="9" t="s">
        <v>53</v>
      </c>
      <c r="R2198" s="9" t="s">
        <v>10647</v>
      </c>
      <c r="S2198" s="9"/>
      <c r="T2198" s="9" t="s">
        <v>661</v>
      </c>
      <c r="U2198" s="9" t="s">
        <v>11064</v>
      </c>
      <c r="V2198" s="9"/>
      <c r="AC2198" s="9" t="s">
        <v>11073</v>
      </c>
      <c r="AD2198" s="9" t="s">
        <v>11074</v>
      </c>
      <c r="AF2198" s="9" t="s">
        <v>11075</v>
      </c>
      <c r="AH2198" s="9"/>
      <c r="AI2198" s="9"/>
      <c r="AJ2198" s="9"/>
      <c r="AK2198" s="23" t="str">
        <f t="shared" si="16"/>
        <v>2023</v>
      </c>
      <c r="AL2198" s="23" t="e">
        <f>VLOOKUP(AK2198, Exchange_rates!$C:$D, 2, FALSE)</f>
        <v>#N/A</v>
      </c>
      <c r="AM2198" s="26" t="str">
        <f t="shared" si="17"/>
        <v/>
      </c>
      <c r="AN2198" s="9"/>
      <c r="AO2198" s="9"/>
      <c r="AP2198" s="9"/>
      <c r="AQ2198" s="15" t="s">
        <v>49</v>
      </c>
      <c r="AR2198" t="s">
        <v>11076</v>
      </c>
      <c r="AS2198" s="16" t="s">
        <v>11077</v>
      </c>
    </row>
    <row r="2199" spans="1:60" ht="14.5">
      <c r="A2199" s="9" t="s">
        <v>11078</v>
      </c>
      <c r="B2199" s="9" t="s">
        <v>11079</v>
      </c>
      <c r="C2199" s="9" t="s">
        <v>2550</v>
      </c>
      <c r="D2199" s="9" t="s">
        <v>2479</v>
      </c>
      <c r="E2199" s="9" t="s">
        <v>49</v>
      </c>
      <c r="F2199" s="9" t="s">
        <v>69</v>
      </c>
      <c r="G2199" s="9" t="s">
        <v>70</v>
      </c>
      <c r="H2199" s="9" t="s">
        <v>8594</v>
      </c>
      <c r="I2199" s="9" t="s">
        <v>72</v>
      </c>
      <c r="J2199" s="10">
        <v>45086</v>
      </c>
      <c r="K2199" s="28">
        <v>45227</v>
      </c>
      <c r="L2199" s="10"/>
      <c r="M2199" s="10"/>
      <c r="N2199" s="9">
        <v>2023</v>
      </c>
      <c r="O2199" s="9" t="s">
        <v>11063</v>
      </c>
      <c r="P2199" s="9" t="s">
        <v>53</v>
      </c>
      <c r="Q2199" s="9" t="s">
        <v>53</v>
      </c>
      <c r="R2199" s="9" t="s">
        <v>11080</v>
      </c>
      <c r="S2199" s="9"/>
      <c r="T2199" s="9"/>
      <c r="V2199" s="9"/>
      <c r="AC2199" s="9" t="s">
        <v>8549</v>
      </c>
      <c r="AD2199" s="9" t="s">
        <v>8550</v>
      </c>
      <c r="AE2199" s="9" t="s">
        <v>11081</v>
      </c>
      <c r="AF2199" s="9" t="s">
        <v>11082</v>
      </c>
      <c r="AH2199" s="9">
        <v>2933.2</v>
      </c>
      <c r="AI2199" s="9" t="s">
        <v>77</v>
      </c>
      <c r="AJ2199" s="9" t="s">
        <v>301</v>
      </c>
      <c r="AK2199" s="23" t="str">
        <f t="shared" si="16"/>
        <v>2023GBP</v>
      </c>
      <c r="AL2199" s="23">
        <f>VLOOKUP(AK2199, Exchange_rates!$C:$D, 2, FALSE)</f>
        <v>1</v>
      </c>
      <c r="AM2199" s="26">
        <f t="shared" si="17"/>
        <v>3519.8399999999997</v>
      </c>
      <c r="AN2199" s="9"/>
      <c r="AO2199" s="9"/>
      <c r="AP2199" s="9"/>
      <c r="AQ2199" s="15" t="s">
        <v>49</v>
      </c>
      <c r="AR2199" t="s">
        <v>2552</v>
      </c>
      <c r="AS2199" s="16" t="s">
        <v>2553</v>
      </c>
    </row>
    <row r="2200" spans="1:60" ht="14.5">
      <c r="A2200" s="9" t="s">
        <v>11083</v>
      </c>
      <c r="B2200" s="9" t="s">
        <v>11084</v>
      </c>
      <c r="C2200" s="9" t="s">
        <v>11085</v>
      </c>
      <c r="D2200" s="9" t="s">
        <v>2479</v>
      </c>
      <c r="E2200" s="9" t="s">
        <v>49</v>
      </c>
      <c r="F2200" s="9" t="s">
        <v>69</v>
      </c>
      <c r="G2200" s="9" t="s">
        <v>70</v>
      </c>
      <c r="H2200" s="9" t="s">
        <v>8594</v>
      </c>
      <c r="I2200" s="9" t="s">
        <v>72</v>
      </c>
      <c r="J2200" s="10">
        <v>44965</v>
      </c>
      <c r="K2200" s="10">
        <v>45236</v>
      </c>
      <c r="L2200" s="10"/>
      <c r="M2200" s="28">
        <v>45250</v>
      </c>
      <c r="N2200" s="9">
        <v>2023</v>
      </c>
      <c r="O2200" s="9" t="s">
        <v>11063</v>
      </c>
      <c r="P2200" s="9" t="s">
        <v>53</v>
      </c>
      <c r="Q2200" s="9" t="s">
        <v>53</v>
      </c>
      <c r="R2200" s="9" t="s">
        <v>10647</v>
      </c>
      <c r="S2200" s="9"/>
      <c r="T2200" s="9"/>
      <c r="V2200" s="9"/>
      <c r="AC2200" s="9" t="s">
        <v>11086</v>
      </c>
      <c r="AD2200" s="9" t="s">
        <v>11087</v>
      </c>
      <c r="AE2200" s="9" t="s">
        <v>11088</v>
      </c>
      <c r="AF2200" s="9" t="s">
        <v>11089</v>
      </c>
      <c r="AH2200" s="9">
        <v>2383.23</v>
      </c>
      <c r="AI2200" s="9" t="s">
        <v>77</v>
      </c>
      <c r="AJ2200" s="9" t="s">
        <v>301</v>
      </c>
      <c r="AK2200" s="23" t="str">
        <f t="shared" si="16"/>
        <v>2023GBP</v>
      </c>
      <c r="AL2200" s="23">
        <f>VLOOKUP(AK2200, Exchange_rates!$C:$D, 2, FALSE)</f>
        <v>1</v>
      </c>
      <c r="AM2200" s="26">
        <f t="shared" si="17"/>
        <v>2859.8759999999997</v>
      </c>
      <c r="AN2200" s="9"/>
      <c r="AO2200" s="9"/>
      <c r="AP2200" s="9"/>
      <c r="AQ2200" s="15" t="s">
        <v>49</v>
      </c>
      <c r="AR2200" t="s">
        <v>11090</v>
      </c>
      <c r="AS2200" s="16" t="s">
        <v>11091</v>
      </c>
    </row>
    <row r="2201" spans="1:60" ht="14.5">
      <c r="A2201" s="20" t="s">
        <v>11092</v>
      </c>
      <c r="B2201" s="20" t="s">
        <v>11093</v>
      </c>
      <c r="C2201" s="20" t="s">
        <v>2766</v>
      </c>
      <c r="D2201" s="20" t="s">
        <v>2479</v>
      </c>
      <c r="E2201" s="20" t="s">
        <v>49</v>
      </c>
      <c r="F2201" s="20" t="s">
        <v>69</v>
      </c>
      <c r="G2201" s="20" t="s">
        <v>70</v>
      </c>
      <c r="H2201" s="20" t="s">
        <v>8594</v>
      </c>
      <c r="I2201" s="20" t="s">
        <v>72</v>
      </c>
      <c r="J2201" s="22">
        <v>45016</v>
      </c>
      <c r="K2201" s="22">
        <v>45237</v>
      </c>
      <c r="L2201" s="22"/>
      <c r="M2201" s="22"/>
      <c r="N2201" s="20">
        <v>2023</v>
      </c>
      <c r="O2201" s="20" t="s">
        <v>11063</v>
      </c>
      <c r="P2201" s="20" t="s">
        <v>53</v>
      </c>
      <c r="Q2201" s="20" t="s">
        <v>53</v>
      </c>
      <c r="R2201" s="20" t="s">
        <v>10647</v>
      </c>
      <c r="S2201" s="20"/>
      <c r="T2201" s="20"/>
      <c r="U2201" s="20"/>
      <c r="V2201" s="20"/>
      <c r="W2201" s="20"/>
      <c r="X2201" s="20"/>
      <c r="Y2201" s="20"/>
      <c r="Z2201" s="20"/>
      <c r="AA2201" s="20"/>
      <c r="AB2201" s="20"/>
      <c r="AC2201" s="20" t="s">
        <v>11094</v>
      </c>
      <c r="AD2201" s="20" t="s">
        <v>11095</v>
      </c>
      <c r="AE2201" s="20" t="s">
        <v>11096</v>
      </c>
      <c r="AF2201" s="20" t="s">
        <v>5870</v>
      </c>
      <c r="AG2201" s="20"/>
      <c r="AH2201" s="20">
        <v>2383.23</v>
      </c>
      <c r="AI2201" s="20" t="s">
        <v>77</v>
      </c>
      <c r="AJ2201" s="20" t="s">
        <v>301</v>
      </c>
      <c r="AK2201" s="23" t="str">
        <f t="shared" si="16"/>
        <v>2023GBP</v>
      </c>
      <c r="AL2201" s="23">
        <f>VLOOKUP(AK2201, Exchange_rates!$C:$D, 2, FALSE)</f>
        <v>1</v>
      </c>
      <c r="AM2201" s="26">
        <f t="shared" si="17"/>
        <v>2859.8759999999997</v>
      </c>
      <c r="AN2201" s="20"/>
      <c r="AO2201" s="20"/>
      <c r="AP2201" s="20"/>
      <c r="AQ2201" s="27" t="s">
        <v>49</v>
      </c>
      <c r="AR2201" t="s">
        <v>2768</v>
      </c>
      <c r="AS2201" s="16" t="s">
        <v>2769</v>
      </c>
      <c r="AT2201" s="20"/>
      <c r="AU2201" s="20"/>
      <c r="AV2201" s="20"/>
      <c r="AW2201" s="20"/>
      <c r="AX2201" s="20"/>
      <c r="AY2201" s="20"/>
      <c r="AZ2201" s="20"/>
      <c r="BA2201" s="20"/>
      <c r="BB2201" s="20"/>
      <c r="BC2201" s="20"/>
      <c r="BD2201" s="20"/>
      <c r="BE2201" s="20"/>
      <c r="BF2201" s="20"/>
      <c r="BG2201" s="20"/>
      <c r="BH2201" s="20"/>
    </row>
    <row r="2202" spans="1:60" ht="14.5">
      <c r="A2202" s="9" t="s">
        <v>11097</v>
      </c>
      <c r="B2202" s="9" t="s">
        <v>11098</v>
      </c>
      <c r="C2202" s="9" t="s">
        <v>6111</v>
      </c>
      <c r="D2202" s="9" t="s">
        <v>5539</v>
      </c>
      <c r="E2202" s="9" t="s">
        <v>49</v>
      </c>
      <c r="F2202" s="9" t="s">
        <v>69</v>
      </c>
      <c r="G2202" s="9" t="s">
        <v>70</v>
      </c>
      <c r="H2202" s="9" t="s">
        <v>9873</v>
      </c>
      <c r="I2202" s="9" t="s">
        <v>72</v>
      </c>
      <c r="J2202" s="10"/>
      <c r="K2202" s="10">
        <v>45264</v>
      </c>
      <c r="L2202" s="10"/>
      <c r="M2202" s="10"/>
      <c r="N2202" s="9">
        <v>2023</v>
      </c>
      <c r="O2202" s="9" t="s">
        <v>11099</v>
      </c>
      <c r="P2202" s="9" t="s">
        <v>53</v>
      </c>
      <c r="Q2202" s="9" t="s">
        <v>53</v>
      </c>
      <c r="R2202" s="20" t="s">
        <v>10647</v>
      </c>
      <c r="S2202" s="9"/>
      <c r="T2202" s="9"/>
      <c r="V2202" s="9"/>
      <c r="AC2202" s="9" t="s">
        <v>11100</v>
      </c>
      <c r="AD2202" s="9" t="s">
        <v>11101</v>
      </c>
      <c r="AE2202" s="46" t="s">
        <v>11102</v>
      </c>
      <c r="AH2202" s="9">
        <v>2830</v>
      </c>
      <c r="AI2202" s="9" t="s">
        <v>77</v>
      </c>
      <c r="AJ2202" s="9" t="s">
        <v>301</v>
      </c>
      <c r="AK2202" s="23" t="str">
        <f t="shared" si="16"/>
        <v>2023GBP</v>
      </c>
      <c r="AL2202" s="23">
        <f>VLOOKUP(AK2202, Exchange_rates!$C:$D, 2, FALSE)</f>
        <v>1</v>
      </c>
      <c r="AM2202" s="26">
        <f t="shared" si="17"/>
        <v>3396</v>
      </c>
      <c r="AN2202" s="9"/>
      <c r="AO2202" s="9"/>
      <c r="AP2202" s="9"/>
      <c r="AQ2202" s="15" t="s">
        <v>49</v>
      </c>
      <c r="AR2202" t="s">
        <v>6115</v>
      </c>
      <c r="AS2202" s="16"/>
    </row>
    <row r="2203" spans="1:60" ht="14.5">
      <c r="A2203" s="9" t="s">
        <v>11103</v>
      </c>
      <c r="B2203" s="9" t="s">
        <v>11104</v>
      </c>
      <c r="C2203" s="9" t="s">
        <v>6123</v>
      </c>
      <c r="D2203" s="9" t="s">
        <v>5539</v>
      </c>
      <c r="E2203" s="9" t="s">
        <v>49</v>
      </c>
      <c r="F2203" s="9" t="s">
        <v>69</v>
      </c>
      <c r="G2203" s="9" t="s">
        <v>70</v>
      </c>
      <c r="H2203" s="9" t="s">
        <v>9873</v>
      </c>
      <c r="I2203" s="9" t="s">
        <v>72</v>
      </c>
      <c r="J2203" s="10"/>
      <c r="K2203" s="10">
        <v>45230</v>
      </c>
      <c r="L2203" s="10"/>
      <c r="M2203" s="10"/>
      <c r="N2203" s="9">
        <v>2023</v>
      </c>
      <c r="O2203" s="9" t="s">
        <v>11099</v>
      </c>
      <c r="P2203" s="9" t="s">
        <v>53</v>
      </c>
      <c r="Q2203" s="9" t="s">
        <v>53</v>
      </c>
      <c r="R2203" s="9" t="s">
        <v>8793</v>
      </c>
      <c r="S2203" s="9"/>
      <c r="T2203" s="9"/>
      <c r="V2203" s="9"/>
      <c r="AC2203" s="9" t="s">
        <v>11105</v>
      </c>
      <c r="AD2203" s="9" t="s">
        <v>11106</v>
      </c>
      <c r="AE2203" s="46" t="s">
        <v>11107</v>
      </c>
      <c r="AH2203" s="9">
        <v>2890</v>
      </c>
      <c r="AI2203" s="9" t="s">
        <v>77</v>
      </c>
      <c r="AJ2203" s="9" t="s">
        <v>301</v>
      </c>
      <c r="AK2203" s="23" t="str">
        <f t="shared" si="16"/>
        <v>2023GBP</v>
      </c>
      <c r="AL2203" s="23">
        <f>VLOOKUP(AK2203, Exchange_rates!$C:$D, 2, FALSE)</f>
        <v>1</v>
      </c>
      <c r="AM2203" s="26">
        <f t="shared" si="17"/>
        <v>3468</v>
      </c>
      <c r="AN2203" s="9"/>
      <c r="AO2203" s="9"/>
      <c r="AP2203" s="9"/>
      <c r="AQ2203" s="15" t="s">
        <v>49</v>
      </c>
      <c r="AR2203" t="s">
        <v>6128</v>
      </c>
      <c r="AS2203" s="16"/>
    </row>
    <row r="2204" spans="1:60" ht="14.5">
      <c r="A2204" s="9" t="s">
        <v>11108</v>
      </c>
      <c r="B2204" s="9" t="s">
        <v>11109</v>
      </c>
      <c r="C2204" s="9" t="s">
        <v>11110</v>
      </c>
      <c r="D2204" s="9" t="s">
        <v>5539</v>
      </c>
      <c r="E2204" s="9" t="s">
        <v>49</v>
      </c>
      <c r="F2204" s="9" t="s">
        <v>69</v>
      </c>
      <c r="G2204" s="9" t="s">
        <v>70</v>
      </c>
      <c r="H2204" s="9" t="s">
        <v>9873</v>
      </c>
      <c r="I2204" s="9" t="s">
        <v>72</v>
      </c>
      <c r="J2204" s="10"/>
      <c r="K2204" s="10">
        <v>45250</v>
      </c>
      <c r="L2204" s="10"/>
      <c r="M2204" s="10"/>
      <c r="N2204" s="9">
        <v>2023</v>
      </c>
      <c r="O2204" s="9" t="s">
        <v>11099</v>
      </c>
      <c r="P2204" s="9" t="s">
        <v>83</v>
      </c>
      <c r="Q2204" s="9" t="s">
        <v>53</v>
      </c>
      <c r="R2204" s="9" t="s">
        <v>11111</v>
      </c>
      <c r="S2204" s="9"/>
      <c r="T2204" s="9"/>
      <c r="V2204" s="9"/>
      <c r="AC2204" s="9" t="s">
        <v>11112</v>
      </c>
      <c r="AD2204" s="9" t="s">
        <v>11113</v>
      </c>
      <c r="AH2204" s="9">
        <v>3040</v>
      </c>
      <c r="AI2204" s="9" t="s">
        <v>77</v>
      </c>
      <c r="AJ2204" s="9" t="s">
        <v>301</v>
      </c>
      <c r="AK2204" s="23" t="str">
        <f t="shared" si="16"/>
        <v>2023GBP</v>
      </c>
      <c r="AL2204" s="23">
        <f>VLOOKUP(AK2204, Exchange_rates!$C:$D, 2, FALSE)</f>
        <v>1</v>
      </c>
      <c r="AM2204" s="26">
        <f t="shared" si="17"/>
        <v>3648</v>
      </c>
      <c r="AN2204" s="9"/>
      <c r="AO2204" s="9"/>
      <c r="AP2204" s="9"/>
      <c r="AQ2204" s="15" t="s">
        <v>49</v>
      </c>
      <c r="AR2204" t="s">
        <v>11114</v>
      </c>
      <c r="AS2204" s="16"/>
    </row>
    <row r="2205" spans="1:60" ht="14.5">
      <c r="A2205" s="9" t="s">
        <v>11115</v>
      </c>
      <c r="B2205" s="9" t="s">
        <v>11116</v>
      </c>
      <c r="C2205" s="9" t="s">
        <v>5634</v>
      </c>
      <c r="D2205" s="9" t="s">
        <v>5539</v>
      </c>
      <c r="E2205" s="9" t="s">
        <v>49</v>
      </c>
      <c r="F2205" s="9" t="s">
        <v>69</v>
      </c>
      <c r="G2205" s="9" t="s">
        <v>70</v>
      </c>
      <c r="H2205" s="9" t="s">
        <v>9873</v>
      </c>
      <c r="I2205" s="9" t="s">
        <v>291</v>
      </c>
      <c r="J2205" s="10"/>
      <c r="K2205" s="10">
        <v>45261</v>
      </c>
      <c r="L2205" s="10"/>
      <c r="M2205" s="10"/>
      <c r="N2205" s="9">
        <v>2023</v>
      </c>
      <c r="O2205" s="9" t="s">
        <v>11099</v>
      </c>
      <c r="P2205" s="9" t="s">
        <v>53</v>
      </c>
      <c r="Q2205" s="9" t="s">
        <v>53</v>
      </c>
      <c r="R2205" s="9" t="s">
        <v>11117</v>
      </c>
      <c r="S2205" s="9"/>
      <c r="T2205" s="9"/>
      <c r="V2205" s="9"/>
      <c r="AC2205" s="9" t="s">
        <v>9801</v>
      </c>
      <c r="AD2205" s="9" t="s">
        <v>9802</v>
      </c>
      <c r="AE2205" s="46" t="s">
        <v>10541</v>
      </c>
      <c r="AH2205" s="9">
        <v>3040</v>
      </c>
      <c r="AI2205" s="9" t="s">
        <v>77</v>
      </c>
      <c r="AJ2205" s="9" t="s">
        <v>301</v>
      </c>
      <c r="AK2205" s="23" t="str">
        <f t="shared" si="16"/>
        <v>2023GBP</v>
      </c>
      <c r="AL2205" s="23">
        <f>VLOOKUP(AK2205, Exchange_rates!$C:$D, 2, FALSE)</f>
        <v>1</v>
      </c>
      <c r="AM2205" s="26">
        <f t="shared" si="17"/>
        <v>3648</v>
      </c>
      <c r="AN2205" s="9"/>
      <c r="AO2205" s="9"/>
      <c r="AP2205" s="9"/>
      <c r="AQ2205" s="15" t="s">
        <v>49</v>
      </c>
      <c r="AR2205" t="s">
        <v>5551</v>
      </c>
      <c r="AS2205" s="16"/>
    </row>
    <row r="2206" spans="1:60" ht="14.5">
      <c r="A2206" s="9" t="s">
        <v>11118</v>
      </c>
      <c r="B2206" s="9" t="s">
        <v>11119</v>
      </c>
      <c r="C2206" s="9" t="s">
        <v>11120</v>
      </c>
      <c r="D2206" s="9" t="s">
        <v>5539</v>
      </c>
      <c r="E2206" s="9" t="s">
        <v>49</v>
      </c>
      <c r="F2206" s="9" t="s">
        <v>69</v>
      </c>
      <c r="G2206" s="9" t="s">
        <v>70</v>
      </c>
      <c r="H2206" s="9" t="s">
        <v>9873</v>
      </c>
      <c r="I2206" s="9" t="s">
        <v>72</v>
      </c>
      <c r="J2206" s="10"/>
      <c r="K2206" s="10">
        <v>45251</v>
      </c>
      <c r="L2206" s="10"/>
      <c r="M2206" s="10"/>
      <c r="N2206" s="9">
        <v>2023</v>
      </c>
      <c r="O2206" s="9" t="s">
        <v>11099</v>
      </c>
      <c r="P2206" s="9" t="s">
        <v>83</v>
      </c>
      <c r="Q2206" s="9" t="s">
        <v>53</v>
      </c>
      <c r="R2206" s="9" t="s">
        <v>1847</v>
      </c>
      <c r="S2206" s="9"/>
      <c r="T2206" s="9"/>
      <c r="V2206" s="9"/>
      <c r="AC2206" s="9" t="s">
        <v>11121</v>
      </c>
      <c r="AD2206" s="9" t="s">
        <v>11122</v>
      </c>
      <c r="AE2206" s="46" t="s">
        <v>11123</v>
      </c>
      <c r="AH2206" s="9">
        <v>1750</v>
      </c>
      <c r="AI2206" s="9" t="s">
        <v>77</v>
      </c>
      <c r="AJ2206" s="9" t="s">
        <v>301</v>
      </c>
      <c r="AK2206" s="23" t="str">
        <f t="shared" si="16"/>
        <v>2023GBP</v>
      </c>
      <c r="AL2206" s="23">
        <f>VLOOKUP(AK2206, Exchange_rates!$C:$D, 2, FALSE)</f>
        <v>1</v>
      </c>
      <c r="AM2206" s="26">
        <f t="shared" si="17"/>
        <v>2100</v>
      </c>
      <c r="AN2206" s="9"/>
      <c r="AO2206" s="9"/>
      <c r="AP2206" s="9"/>
      <c r="AQ2206" s="15" t="s">
        <v>49</v>
      </c>
      <c r="AR2206" t="s">
        <v>11124</v>
      </c>
      <c r="AS2206" s="16"/>
    </row>
    <row r="2207" spans="1:60" ht="14.5">
      <c r="A2207" s="9" t="s">
        <v>11125</v>
      </c>
      <c r="B2207" s="9" t="s">
        <v>11126</v>
      </c>
      <c r="C2207" s="9" t="s">
        <v>11127</v>
      </c>
      <c r="D2207" s="9" t="s">
        <v>5539</v>
      </c>
      <c r="E2207" s="9" t="s">
        <v>49</v>
      </c>
      <c r="F2207" s="9" t="s">
        <v>69</v>
      </c>
      <c r="G2207" s="9" t="s">
        <v>70</v>
      </c>
      <c r="H2207" s="9" t="s">
        <v>9873</v>
      </c>
      <c r="I2207" s="9" t="s">
        <v>72</v>
      </c>
      <c r="J2207" s="10"/>
      <c r="K2207" s="10">
        <v>45252</v>
      </c>
      <c r="L2207" s="10"/>
      <c r="M2207" s="10"/>
      <c r="N2207" s="9">
        <v>2023</v>
      </c>
      <c r="O2207" s="9" t="s">
        <v>11099</v>
      </c>
      <c r="P2207" s="9" t="s">
        <v>53</v>
      </c>
      <c r="Q2207" s="9" t="s">
        <v>53</v>
      </c>
      <c r="R2207" s="9" t="s">
        <v>8793</v>
      </c>
      <c r="S2207" s="9"/>
      <c r="T2207" s="9"/>
      <c r="V2207" s="9"/>
      <c r="AC2207" s="9" t="s">
        <v>11128</v>
      </c>
      <c r="AD2207" s="9" t="s">
        <v>11129</v>
      </c>
      <c r="AE2207" s="46" t="s">
        <v>11130</v>
      </c>
      <c r="AH2207" s="9">
        <v>1700</v>
      </c>
      <c r="AI2207" s="9" t="s">
        <v>77</v>
      </c>
      <c r="AJ2207" s="9" t="s">
        <v>301</v>
      </c>
      <c r="AK2207" s="23" t="str">
        <f t="shared" si="16"/>
        <v>2023GBP</v>
      </c>
      <c r="AL2207" s="23">
        <f>VLOOKUP(AK2207, Exchange_rates!$C:$D, 2, FALSE)</f>
        <v>1</v>
      </c>
      <c r="AM2207" s="26">
        <f t="shared" si="17"/>
        <v>2040</v>
      </c>
      <c r="AN2207" s="9"/>
      <c r="AO2207" s="9"/>
      <c r="AP2207" s="9"/>
      <c r="AQ2207" s="15" t="s">
        <v>49</v>
      </c>
      <c r="AR2207" t="s">
        <v>11131</v>
      </c>
      <c r="AS2207" s="16"/>
    </row>
    <row r="2208" spans="1:60" ht="14.5">
      <c r="A2208" s="9" t="s">
        <v>11132</v>
      </c>
      <c r="B2208" s="9" t="s">
        <v>11133</v>
      </c>
      <c r="C2208" s="9" t="s">
        <v>5756</v>
      </c>
      <c r="D2208" s="9" t="s">
        <v>5539</v>
      </c>
      <c r="E2208" s="9" t="s">
        <v>49</v>
      </c>
      <c r="F2208" s="9" t="s">
        <v>69</v>
      </c>
      <c r="G2208" s="9" t="s">
        <v>70</v>
      </c>
      <c r="H2208" s="9" t="s">
        <v>9873</v>
      </c>
      <c r="I2208" s="9" t="s">
        <v>72</v>
      </c>
      <c r="J2208" s="10"/>
      <c r="K2208" s="10">
        <v>45256</v>
      </c>
      <c r="L2208" s="10"/>
      <c r="M2208" s="10"/>
      <c r="N2208" s="9">
        <v>2023</v>
      </c>
      <c r="O2208" s="9" t="s">
        <v>11099</v>
      </c>
      <c r="P2208" s="9" t="s">
        <v>53</v>
      </c>
      <c r="Q2208" s="9" t="s">
        <v>53</v>
      </c>
      <c r="R2208" s="9" t="s">
        <v>10647</v>
      </c>
      <c r="S2208" s="9"/>
      <c r="T2208" s="9"/>
      <c r="V2208" s="9"/>
      <c r="AC2208" s="9" t="s">
        <v>6989</v>
      </c>
      <c r="AD2208" s="9" t="s">
        <v>6990</v>
      </c>
      <c r="AE2208" s="46" t="s">
        <v>11134</v>
      </c>
      <c r="AH2208" s="9">
        <v>2870</v>
      </c>
      <c r="AI2208" s="9" t="s">
        <v>77</v>
      </c>
      <c r="AJ2208" s="9" t="s">
        <v>301</v>
      </c>
      <c r="AK2208" s="23" t="str">
        <f t="shared" si="16"/>
        <v>2023GBP</v>
      </c>
      <c r="AL2208" s="23">
        <f>VLOOKUP(AK2208, Exchange_rates!$C:$D, 2, FALSE)</f>
        <v>1</v>
      </c>
      <c r="AM2208" s="26">
        <f t="shared" si="17"/>
        <v>3444</v>
      </c>
      <c r="AN2208" s="9"/>
      <c r="AO2208" s="9"/>
      <c r="AP2208" s="9"/>
      <c r="AQ2208" s="15" t="s">
        <v>49</v>
      </c>
      <c r="AR2208" t="s">
        <v>5761</v>
      </c>
      <c r="AS2208" s="16"/>
    </row>
    <row r="2209" spans="1:45" ht="14.5">
      <c r="A2209" s="9" t="s">
        <v>11135</v>
      </c>
      <c r="B2209" s="9" t="s">
        <v>11136</v>
      </c>
      <c r="C2209" s="9" t="s">
        <v>11137</v>
      </c>
      <c r="D2209" s="9" t="s">
        <v>5539</v>
      </c>
      <c r="E2209" s="9" t="s">
        <v>49</v>
      </c>
      <c r="F2209" s="9" t="s">
        <v>69</v>
      </c>
      <c r="G2209" s="9" t="s">
        <v>70</v>
      </c>
      <c r="H2209" s="9" t="s">
        <v>9873</v>
      </c>
      <c r="I2209" s="9" t="s">
        <v>72</v>
      </c>
      <c r="J2209" s="10"/>
      <c r="K2209" s="10">
        <v>45177</v>
      </c>
      <c r="L2209" s="10"/>
      <c r="M2209" s="10"/>
      <c r="N2209" s="9">
        <v>2023</v>
      </c>
      <c r="O2209" s="9" t="s">
        <v>11099</v>
      </c>
      <c r="P2209" s="9" t="s">
        <v>53</v>
      </c>
      <c r="Q2209" s="9" t="s">
        <v>53</v>
      </c>
      <c r="R2209" s="9" t="s">
        <v>11138</v>
      </c>
      <c r="S2209" s="9"/>
      <c r="T2209" s="9"/>
      <c r="V2209" s="9"/>
      <c r="AC2209" s="9" t="s">
        <v>6467</v>
      </c>
      <c r="AD2209" s="9" t="s">
        <v>6468</v>
      </c>
      <c r="AE2209" s="46" t="s">
        <v>11139</v>
      </c>
      <c r="AH2209" s="9">
        <v>3240</v>
      </c>
      <c r="AI2209" s="9" t="s">
        <v>77</v>
      </c>
      <c r="AJ2209" s="9" t="s">
        <v>301</v>
      </c>
      <c r="AK2209" s="23" t="str">
        <f t="shared" si="16"/>
        <v>2023GBP</v>
      </c>
      <c r="AL2209" s="23">
        <f>VLOOKUP(AK2209, Exchange_rates!$C:$D, 2, FALSE)</f>
        <v>1</v>
      </c>
      <c r="AM2209" s="26">
        <f t="shared" si="17"/>
        <v>3888</v>
      </c>
      <c r="AN2209" s="9"/>
      <c r="AO2209" s="9"/>
      <c r="AP2209" s="9"/>
      <c r="AQ2209" s="15" t="s">
        <v>49</v>
      </c>
      <c r="AR2209" t="s">
        <v>11140</v>
      </c>
      <c r="AS2209" s="16"/>
    </row>
    <row r="2210" spans="1:45" ht="14.5">
      <c r="A2210" s="9" t="s">
        <v>11141</v>
      </c>
      <c r="B2210" s="9" t="s">
        <v>11142</v>
      </c>
      <c r="C2210" s="9" t="s">
        <v>5869</v>
      </c>
      <c r="D2210" s="9" t="s">
        <v>5539</v>
      </c>
      <c r="E2210" s="9" t="s">
        <v>49</v>
      </c>
      <c r="F2210" s="9" t="s">
        <v>69</v>
      </c>
      <c r="G2210" s="9" t="s">
        <v>70</v>
      </c>
      <c r="H2210" s="9" t="s">
        <v>9873</v>
      </c>
      <c r="I2210" s="9" t="s">
        <v>291</v>
      </c>
      <c r="J2210" s="10"/>
      <c r="K2210" s="10">
        <v>45246</v>
      </c>
      <c r="L2210" s="10"/>
      <c r="M2210" s="10"/>
      <c r="N2210" s="9">
        <v>2023</v>
      </c>
      <c r="O2210" s="9" t="s">
        <v>11099</v>
      </c>
      <c r="P2210" s="9" t="s">
        <v>53</v>
      </c>
      <c r="Q2210" s="9" t="s">
        <v>53</v>
      </c>
      <c r="R2210" s="9" t="s">
        <v>10647</v>
      </c>
      <c r="S2210" s="9"/>
      <c r="T2210" s="9"/>
      <c r="V2210" s="9"/>
      <c r="AC2210" s="9" t="s">
        <v>5870</v>
      </c>
      <c r="AD2210" s="9" t="s">
        <v>5871</v>
      </c>
      <c r="AE2210" s="46" t="s">
        <v>11143</v>
      </c>
      <c r="AH2210" s="9">
        <v>3140</v>
      </c>
      <c r="AI2210" s="9" t="s">
        <v>77</v>
      </c>
      <c r="AJ2210" s="9" t="s">
        <v>301</v>
      </c>
      <c r="AK2210" s="23" t="str">
        <f t="shared" si="16"/>
        <v>2023GBP</v>
      </c>
      <c r="AL2210" s="23">
        <f>VLOOKUP(AK2210, Exchange_rates!$C:$D, 2, FALSE)</f>
        <v>1</v>
      </c>
      <c r="AM2210" s="26">
        <f t="shared" si="17"/>
        <v>3768</v>
      </c>
      <c r="AN2210" s="9"/>
      <c r="AO2210" s="9"/>
      <c r="AP2210" s="9"/>
      <c r="AQ2210" s="15" t="s">
        <v>49</v>
      </c>
      <c r="AR2210" t="s">
        <v>5873</v>
      </c>
      <c r="AS2210" s="16"/>
    </row>
    <row r="2211" spans="1:45" ht="14.5">
      <c r="A2211" s="9" t="s">
        <v>11144</v>
      </c>
      <c r="B2211" s="9" t="s">
        <v>11145</v>
      </c>
      <c r="C2211" s="9" t="s">
        <v>5634</v>
      </c>
      <c r="D2211" s="9" t="s">
        <v>5539</v>
      </c>
      <c r="E2211" s="9" t="s">
        <v>49</v>
      </c>
      <c r="F2211" s="9" t="s">
        <v>69</v>
      </c>
      <c r="G2211" s="9" t="s">
        <v>70</v>
      </c>
      <c r="H2211" s="9" t="s">
        <v>9873</v>
      </c>
      <c r="I2211" s="9" t="s">
        <v>72</v>
      </c>
      <c r="J2211" s="10"/>
      <c r="K2211" s="10">
        <v>45251</v>
      </c>
      <c r="L2211" s="10"/>
      <c r="M2211" s="10"/>
      <c r="N2211" s="9">
        <v>2023</v>
      </c>
      <c r="O2211" s="9" t="s">
        <v>11099</v>
      </c>
      <c r="P2211" s="9" t="s">
        <v>53</v>
      </c>
      <c r="Q2211" s="9" t="s">
        <v>53</v>
      </c>
      <c r="R2211" s="9" t="s">
        <v>185</v>
      </c>
      <c r="S2211" s="9"/>
      <c r="T2211" s="9"/>
      <c r="V2211" s="9"/>
      <c r="AC2211" s="9" t="s">
        <v>6300</v>
      </c>
      <c r="AD2211" s="9" t="s">
        <v>6301</v>
      </c>
      <c r="AE2211" s="46" t="s">
        <v>10592</v>
      </c>
      <c r="AH2211" s="9">
        <v>3040</v>
      </c>
      <c r="AI2211" s="9" t="s">
        <v>77</v>
      </c>
      <c r="AJ2211" s="9" t="s">
        <v>301</v>
      </c>
      <c r="AK2211" s="23" t="str">
        <f t="shared" si="16"/>
        <v>2023GBP</v>
      </c>
      <c r="AL2211" s="23">
        <f>VLOOKUP(AK2211, Exchange_rates!$C:$D, 2, FALSE)</f>
        <v>1</v>
      </c>
      <c r="AM2211" s="26">
        <f t="shared" si="17"/>
        <v>3648</v>
      </c>
      <c r="AN2211" s="9"/>
      <c r="AO2211" s="9"/>
      <c r="AP2211" s="9"/>
      <c r="AQ2211" s="15" t="s">
        <v>49</v>
      </c>
      <c r="AR2211" t="s">
        <v>5551</v>
      </c>
      <c r="AS2211" s="16"/>
    </row>
    <row r="2212" spans="1:45" ht="14.5">
      <c r="A2212" s="9" t="s">
        <v>11146</v>
      </c>
      <c r="B2212" s="9" t="s">
        <v>11147</v>
      </c>
      <c r="C2212" s="9" t="s">
        <v>11148</v>
      </c>
      <c r="D2212" s="9" t="s">
        <v>5539</v>
      </c>
      <c r="E2212" s="9" t="s">
        <v>49</v>
      </c>
      <c r="F2212" s="9" t="s">
        <v>69</v>
      </c>
      <c r="G2212" s="9" t="s">
        <v>70</v>
      </c>
      <c r="H2212" s="9" t="s">
        <v>9873</v>
      </c>
      <c r="I2212" s="9" t="s">
        <v>72</v>
      </c>
      <c r="J2212" s="10"/>
      <c r="K2212" s="10">
        <v>45249</v>
      </c>
      <c r="L2212" s="10"/>
      <c r="M2212" s="10"/>
      <c r="N2212" s="9">
        <v>2023</v>
      </c>
      <c r="O2212" s="9" t="s">
        <v>11099</v>
      </c>
      <c r="P2212" s="9" t="s">
        <v>53</v>
      </c>
      <c r="Q2212" s="9" t="s">
        <v>53</v>
      </c>
      <c r="R2212" s="9" t="s">
        <v>11149</v>
      </c>
      <c r="S2212" s="9"/>
      <c r="T2212" s="9"/>
      <c r="V2212" s="9"/>
      <c r="AC2212" s="9" t="s">
        <v>11150</v>
      </c>
      <c r="AD2212" s="9" t="s">
        <v>11151</v>
      </c>
      <c r="AE2212" s="46" t="s">
        <v>11152</v>
      </c>
      <c r="AH2212" s="9">
        <v>3190</v>
      </c>
      <c r="AI2212" s="9" t="s">
        <v>77</v>
      </c>
      <c r="AJ2212" s="9" t="s">
        <v>301</v>
      </c>
      <c r="AK2212" s="23" t="str">
        <f t="shared" si="16"/>
        <v>2023GBP</v>
      </c>
      <c r="AL2212" s="23">
        <f>VLOOKUP(AK2212, Exchange_rates!$C:$D, 2, FALSE)</f>
        <v>1</v>
      </c>
      <c r="AM2212" s="26">
        <f t="shared" si="17"/>
        <v>3828</v>
      </c>
      <c r="AN2212" s="9"/>
      <c r="AO2212" s="9"/>
      <c r="AP2212" s="9"/>
      <c r="AQ2212" s="15" t="s">
        <v>49</v>
      </c>
      <c r="AR2212" t="s">
        <v>11153</v>
      </c>
      <c r="AS2212" s="16"/>
    </row>
    <row r="2213" spans="1:45" ht="14.5">
      <c r="A2213" s="9" t="s">
        <v>11154</v>
      </c>
      <c r="B2213" s="9" t="s">
        <v>11155</v>
      </c>
      <c r="C2213" s="9" t="s">
        <v>5618</v>
      </c>
      <c r="D2213" s="9" t="s">
        <v>5539</v>
      </c>
      <c r="E2213" s="9" t="s">
        <v>49</v>
      </c>
      <c r="F2213" s="9" t="s">
        <v>69</v>
      </c>
      <c r="G2213" s="9" t="s">
        <v>70</v>
      </c>
      <c r="H2213" s="9" t="s">
        <v>9873</v>
      </c>
      <c r="I2213" s="9" t="s">
        <v>72</v>
      </c>
      <c r="J2213" s="10"/>
      <c r="K2213" s="10">
        <v>45247</v>
      </c>
      <c r="L2213" s="10"/>
      <c r="M2213" s="10"/>
      <c r="N2213" s="9">
        <v>2023</v>
      </c>
      <c r="O2213" s="9" t="s">
        <v>11099</v>
      </c>
      <c r="P2213" s="9" t="s">
        <v>83</v>
      </c>
      <c r="Q2213" s="9" t="s">
        <v>53</v>
      </c>
      <c r="R2213" s="9" t="s">
        <v>11156</v>
      </c>
      <c r="S2213" s="9"/>
      <c r="T2213" s="9"/>
      <c r="V2213" s="9"/>
      <c r="AC2213" s="9" t="s">
        <v>6267</v>
      </c>
      <c r="AD2213" s="9" t="s">
        <v>6268</v>
      </c>
      <c r="AE2213" s="46" t="s">
        <v>11157</v>
      </c>
      <c r="AH2213" s="9">
        <v>3680</v>
      </c>
      <c r="AI2213" s="9" t="s">
        <v>77</v>
      </c>
      <c r="AJ2213" s="9" t="s">
        <v>301</v>
      </c>
      <c r="AK2213" s="23" t="str">
        <f t="shared" si="16"/>
        <v>2023GBP</v>
      </c>
      <c r="AL2213" s="23">
        <f>VLOOKUP(AK2213, Exchange_rates!$C:$D, 2, FALSE)</f>
        <v>1</v>
      </c>
      <c r="AM2213" s="26">
        <f t="shared" si="17"/>
        <v>4416</v>
      </c>
      <c r="AN2213" s="9"/>
      <c r="AO2213" s="9"/>
      <c r="AP2213" s="9"/>
      <c r="AQ2213" s="15" t="s">
        <v>49</v>
      </c>
      <c r="AR2213" t="s">
        <v>5624</v>
      </c>
      <c r="AS2213" s="16"/>
    </row>
    <row r="2214" spans="1:45" ht="14.5" hidden="1">
      <c r="A2214" s="9" t="s">
        <v>11158</v>
      </c>
      <c r="B2214" s="9"/>
      <c r="C2214" s="9" t="s">
        <v>9841</v>
      </c>
      <c r="D2214" s="9" t="s">
        <v>5539</v>
      </c>
      <c r="E2214" s="9" t="s">
        <v>125</v>
      </c>
      <c r="F2214" s="9" t="s">
        <v>50</v>
      </c>
      <c r="G2214" s="9" t="s">
        <v>51</v>
      </c>
      <c r="H2214" s="9"/>
      <c r="I2214" s="9"/>
      <c r="J2214" s="10"/>
      <c r="K2214" s="10"/>
      <c r="L2214" s="10"/>
      <c r="M2214" s="10"/>
      <c r="N2214" s="9">
        <v>2023</v>
      </c>
      <c r="O2214" s="9" t="s">
        <v>11099</v>
      </c>
      <c r="P2214" s="9" t="s">
        <v>53</v>
      </c>
      <c r="Q2214" s="9" t="s">
        <v>53</v>
      </c>
      <c r="S2214" s="9"/>
      <c r="T2214" s="9" t="s">
        <v>6095</v>
      </c>
      <c r="V2214" s="9"/>
      <c r="AC2214" s="9" t="s">
        <v>11159</v>
      </c>
      <c r="AD2214" s="9" t="s">
        <v>11160</v>
      </c>
      <c r="AH2214" s="9">
        <v>3140</v>
      </c>
      <c r="AI2214" s="9" t="s">
        <v>77</v>
      </c>
      <c r="AJ2214" s="9" t="s">
        <v>301</v>
      </c>
      <c r="AK2214" s="23" t="str">
        <f t="shared" si="16"/>
        <v>2023GBP</v>
      </c>
      <c r="AL2214" s="23">
        <f>VLOOKUP(AK2214, Exchange_rates!$C:$D, 2, FALSE)</f>
        <v>1</v>
      </c>
      <c r="AM2214" s="26">
        <f t="shared" si="17"/>
        <v>3768</v>
      </c>
      <c r="AN2214" s="9"/>
      <c r="AO2214" s="9"/>
      <c r="AP2214" s="9"/>
      <c r="AQ2214" s="15" t="s">
        <v>125</v>
      </c>
      <c r="AR2214" t="s">
        <v>9843</v>
      </c>
      <c r="AS2214" s="16"/>
    </row>
    <row r="2215" spans="1:45" ht="14.5">
      <c r="A2215" s="9" t="s">
        <v>11161</v>
      </c>
      <c r="B2215" s="9" t="s">
        <v>11162</v>
      </c>
      <c r="C2215" s="9" t="s">
        <v>6458</v>
      </c>
      <c r="D2215" s="9" t="s">
        <v>5539</v>
      </c>
      <c r="E2215" s="9" t="s">
        <v>49</v>
      </c>
      <c r="F2215" s="9" t="s">
        <v>69</v>
      </c>
      <c r="G2215" s="9" t="s">
        <v>70</v>
      </c>
      <c r="H2215" s="9" t="s">
        <v>9873</v>
      </c>
      <c r="I2215" s="9" t="s">
        <v>72</v>
      </c>
      <c r="J2215" s="10"/>
      <c r="K2215" s="10">
        <v>45240</v>
      </c>
      <c r="L2215" s="10"/>
      <c r="M2215" s="10"/>
      <c r="N2215" s="9">
        <v>2023</v>
      </c>
      <c r="O2215" s="9" t="s">
        <v>11099</v>
      </c>
      <c r="P2215" s="9" t="s">
        <v>83</v>
      </c>
      <c r="Q2215" s="9" t="s">
        <v>53</v>
      </c>
      <c r="R2215" s="9" t="s">
        <v>1456</v>
      </c>
      <c r="S2215" s="9"/>
      <c r="T2215" s="9"/>
      <c r="V2215" s="9"/>
      <c r="AC2215" s="9" t="s">
        <v>11163</v>
      </c>
      <c r="AD2215" s="9" t="s">
        <v>11164</v>
      </c>
      <c r="AH2215" s="9">
        <v>2990</v>
      </c>
      <c r="AI2215" s="9" t="s">
        <v>77</v>
      </c>
      <c r="AJ2215" s="9" t="s">
        <v>301</v>
      </c>
      <c r="AK2215" s="23" t="str">
        <f t="shared" si="16"/>
        <v>2023GBP</v>
      </c>
      <c r="AL2215" s="23">
        <f>VLOOKUP(AK2215, Exchange_rates!$C:$D, 2, FALSE)</f>
        <v>1</v>
      </c>
      <c r="AM2215" s="26">
        <f t="shared" si="17"/>
        <v>3588</v>
      </c>
      <c r="AN2215" s="9"/>
      <c r="AO2215" s="9"/>
      <c r="AP2215" s="9"/>
      <c r="AQ2215" s="15" t="s">
        <v>49</v>
      </c>
      <c r="AR2215" t="s">
        <v>6463</v>
      </c>
      <c r="AS2215" s="16"/>
    </row>
    <row r="2216" spans="1:45" ht="14.5">
      <c r="A2216" s="9" t="s">
        <v>11165</v>
      </c>
      <c r="B2216" s="9" t="s">
        <v>11166</v>
      </c>
      <c r="C2216" s="9" t="s">
        <v>11167</v>
      </c>
      <c r="D2216" s="9" t="s">
        <v>5539</v>
      </c>
      <c r="E2216" s="9" t="s">
        <v>49</v>
      </c>
      <c r="F2216" s="9" t="s">
        <v>69</v>
      </c>
      <c r="G2216" s="9" t="s">
        <v>70</v>
      </c>
      <c r="H2216" s="9" t="s">
        <v>9873</v>
      </c>
      <c r="I2216" s="9" t="s">
        <v>72</v>
      </c>
      <c r="J2216" s="10"/>
      <c r="K2216" s="10">
        <v>45230</v>
      </c>
      <c r="L2216" s="10"/>
      <c r="M2216" s="10"/>
      <c r="N2216" s="9">
        <v>2023</v>
      </c>
      <c r="O2216" s="9" t="s">
        <v>11099</v>
      </c>
      <c r="P2216" s="9" t="s">
        <v>83</v>
      </c>
      <c r="Q2216" s="9" t="s">
        <v>53</v>
      </c>
      <c r="R2216" s="9" t="s">
        <v>11168</v>
      </c>
      <c r="S2216" s="9"/>
      <c r="T2216" s="9"/>
      <c r="V2216" s="9"/>
      <c r="AC2216" s="9" t="s">
        <v>6983</v>
      </c>
      <c r="AD2216" s="9" t="s">
        <v>6984</v>
      </c>
      <c r="AE2216" s="46" t="s">
        <v>11169</v>
      </c>
      <c r="AH2216" s="9">
        <v>2270</v>
      </c>
      <c r="AI2216" s="9" t="s">
        <v>77</v>
      </c>
      <c r="AJ2216" s="9" t="s">
        <v>301</v>
      </c>
      <c r="AK2216" s="23" t="str">
        <f t="shared" si="16"/>
        <v>2023GBP</v>
      </c>
      <c r="AL2216" s="23">
        <f>VLOOKUP(AK2216, Exchange_rates!$C:$D, 2, FALSE)</f>
        <v>1</v>
      </c>
      <c r="AM2216" s="26">
        <f t="shared" si="17"/>
        <v>2724</v>
      </c>
      <c r="AN2216" s="9"/>
      <c r="AO2216" s="9"/>
      <c r="AP2216" s="9"/>
      <c r="AQ2216" s="15" t="s">
        <v>49</v>
      </c>
      <c r="AR2216" t="s">
        <v>11170</v>
      </c>
      <c r="AS2216" s="16"/>
    </row>
    <row r="2217" spans="1:45" ht="14.5">
      <c r="A2217" s="9" t="s">
        <v>11171</v>
      </c>
      <c r="B2217" s="9" t="s">
        <v>11172</v>
      </c>
      <c r="C2217" s="9" t="s">
        <v>11173</v>
      </c>
      <c r="D2217" s="9" t="s">
        <v>5539</v>
      </c>
      <c r="E2217" s="9" t="s">
        <v>49</v>
      </c>
      <c r="F2217" s="9" t="s">
        <v>69</v>
      </c>
      <c r="G2217" s="9" t="s">
        <v>70</v>
      </c>
      <c r="H2217" s="9" t="s">
        <v>9873</v>
      </c>
      <c r="I2217" s="9" t="s">
        <v>238</v>
      </c>
      <c r="J2217" s="10"/>
      <c r="K2217" s="10">
        <v>45180</v>
      </c>
      <c r="L2217" s="10"/>
      <c r="M2217" s="10"/>
      <c r="N2217" s="9">
        <v>2023</v>
      </c>
      <c r="O2217" s="9" t="s">
        <v>11099</v>
      </c>
      <c r="P2217" s="9" t="s">
        <v>53</v>
      </c>
      <c r="Q2217" s="9" t="s">
        <v>53</v>
      </c>
      <c r="R2217" s="9" t="s">
        <v>11174</v>
      </c>
      <c r="S2217" s="9"/>
      <c r="T2217" s="9"/>
      <c r="V2217" s="9"/>
      <c r="AC2217" s="9" t="s">
        <v>11175</v>
      </c>
      <c r="AD2217" s="9" t="s">
        <v>11176</v>
      </c>
      <c r="AH2217" s="9">
        <v>2730</v>
      </c>
      <c r="AI2217" s="9" t="s">
        <v>77</v>
      </c>
      <c r="AJ2217" s="9" t="s">
        <v>301</v>
      </c>
      <c r="AK2217" s="23" t="str">
        <f t="shared" si="16"/>
        <v>2023GBP</v>
      </c>
      <c r="AL2217" s="23">
        <f>VLOOKUP(AK2217, Exchange_rates!$C:$D, 2, FALSE)</f>
        <v>1</v>
      </c>
      <c r="AM2217" s="26">
        <f t="shared" si="17"/>
        <v>3276</v>
      </c>
      <c r="AN2217" s="9"/>
      <c r="AO2217" s="9"/>
      <c r="AP2217" s="9"/>
      <c r="AQ2217" s="15" t="s">
        <v>49</v>
      </c>
      <c r="AR2217" t="s">
        <v>11177</v>
      </c>
      <c r="AS2217" s="16"/>
    </row>
    <row r="2218" spans="1:45" ht="14.5">
      <c r="A2218" s="9" t="s">
        <v>11178</v>
      </c>
      <c r="B2218" s="9" t="s">
        <v>11179</v>
      </c>
      <c r="C2218" s="9" t="s">
        <v>11173</v>
      </c>
      <c r="D2218" s="9" t="s">
        <v>5539</v>
      </c>
      <c r="E2218" s="9" t="s">
        <v>49</v>
      </c>
      <c r="F2218" s="9" t="s">
        <v>69</v>
      </c>
      <c r="G2218" s="9" t="s">
        <v>70</v>
      </c>
      <c r="H2218" s="9" t="s">
        <v>9873</v>
      </c>
      <c r="I2218" s="9" t="s">
        <v>72</v>
      </c>
      <c r="J2218" s="10"/>
      <c r="K2218" s="10">
        <v>45208</v>
      </c>
      <c r="L2218" s="10"/>
      <c r="M2218" s="10"/>
      <c r="N2218" s="9">
        <v>2023</v>
      </c>
      <c r="O2218" s="9" t="s">
        <v>11099</v>
      </c>
      <c r="P2218" s="9" t="s">
        <v>83</v>
      </c>
      <c r="Q2218" s="9" t="s">
        <v>53</v>
      </c>
      <c r="R2218" s="9" t="s">
        <v>11180</v>
      </c>
      <c r="S2218" s="9"/>
      <c r="T2218" s="9"/>
      <c r="V2218" s="9"/>
      <c r="AC2218" s="9" t="s">
        <v>11181</v>
      </c>
      <c r="AD2218" s="9" t="s">
        <v>11182</v>
      </c>
      <c r="AE2218" s="46" t="s">
        <v>11183</v>
      </c>
      <c r="AH2218" s="9">
        <v>2730</v>
      </c>
      <c r="AI2218" s="9" t="s">
        <v>77</v>
      </c>
      <c r="AJ2218" s="9" t="s">
        <v>301</v>
      </c>
      <c r="AK2218" s="23" t="str">
        <f t="shared" si="16"/>
        <v>2023GBP</v>
      </c>
      <c r="AL2218" s="23">
        <f>VLOOKUP(AK2218, Exchange_rates!$C:$D, 2, FALSE)</f>
        <v>1</v>
      </c>
      <c r="AM2218" s="26">
        <f t="shared" si="17"/>
        <v>3276</v>
      </c>
      <c r="AN2218" s="9"/>
      <c r="AO2218" s="9"/>
      <c r="AP2218" s="9"/>
      <c r="AQ2218" s="15" t="s">
        <v>49</v>
      </c>
      <c r="AR2218" t="s">
        <v>11177</v>
      </c>
      <c r="AS2218" s="16"/>
    </row>
    <row r="2219" spans="1:45" ht="14.5" hidden="1">
      <c r="A2219" s="9" t="s">
        <v>11184</v>
      </c>
      <c r="B2219" s="9"/>
      <c r="C2219" s="9" t="s">
        <v>11185</v>
      </c>
      <c r="D2219" s="9" t="s">
        <v>5539</v>
      </c>
      <c r="E2219" s="9" t="s">
        <v>125</v>
      </c>
      <c r="F2219" s="9" t="s">
        <v>50</v>
      </c>
      <c r="G2219" s="9" t="s">
        <v>51</v>
      </c>
      <c r="H2219" s="9"/>
      <c r="I2219" s="9"/>
      <c r="J2219" s="10"/>
      <c r="K2219" s="10"/>
      <c r="L2219" s="10"/>
      <c r="M2219" s="10"/>
      <c r="N2219" s="9">
        <v>2023</v>
      </c>
      <c r="O2219" s="9" t="s">
        <v>11099</v>
      </c>
      <c r="P2219" s="9" t="s">
        <v>53</v>
      </c>
      <c r="Q2219" s="9" t="s">
        <v>53</v>
      </c>
      <c r="S2219" s="9"/>
      <c r="T2219" s="9" t="s">
        <v>6095</v>
      </c>
      <c r="V2219" s="9"/>
      <c r="AC2219" s="9" t="s">
        <v>11186</v>
      </c>
      <c r="AD2219" s="9" t="s">
        <v>11187</v>
      </c>
      <c r="AH2219" s="9">
        <v>1838.75</v>
      </c>
      <c r="AI2219" s="9" t="s">
        <v>77</v>
      </c>
      <c r="AJ2219" s="9" t="s">
        <v>301</v>
      </c>
      <c r="AK2219" s="23" t="str">
        <f t="shared" si="16"/>
        <v>2023GBP</v>
      </c>
      <c r="AL2219" s="23">
        <f>VLOOKUP(AK2219, Exchange_rates!$C:$D, 2, FALSE)</f>
        <v>1</v>
      </c>
      <c r="AM2219" s="26">
        <f t="shared" si="17"/>
        <v>2206.5</v>
      </c>
      <c r="AN2219" s="9"/>
      <c r="AO2219" s="9"/>
      <c r="AP2219" s="9"/>
      <c r="AQ2219" s="15" t="s">
        <v>125</v>
      </c>
      <c r="AR2219" t="s">
        <v>11188</v>
      </c>
      <c r="AS2219" s="16"/>
    </row>
    <row r="2220" spans="1:45" ht="14.5" hidden="1">
      <c r="A2220" s="9" t="s">
        <v>11189</v>
      </c>
      <c r="B2220" s="9"/>
      <c r="C2220" s="9" t="s">
        <v>6330</v>
      </c>
      <c r="D2220" s="9" t="s">
        <v>5539</v>
      </c>
      <c r="E2220" s="9" t="s">
        <v>125</v>
      </c>
      <c r="F2220" s="9" t="s">
        <v>50</v>
      </c>
      <c r="G2220" s="9" t="s">
        <v>51</v>
      </c>
      <c r="H2220" s="9"/>
      <c r="I2220" s="9"/>
      <c r="J2220" s="10"/>
      <c r="K2220" s="10"/>
      <c r="L2220" s="10"/>
      <c r="M2220" s="10"/>
      <c r="N2220" s="9">
        <v>2023</v>
      </c>
      <c r="O2220" s="9" t="s">
        <v>11099</v>
      </c>
      <c r="P2220" s="9" t="s">
        <v>53</v>
      </c>
      <c r="Q2220" s="9" t="s">
        <v>53</v>
      </c>
      <c r="S2220" s="9"/>
      <c r="T2220" s="9" t="s">
        <v>6095</v>
      </c>
      <c r="V2220" s="9"/>
      <c r="AC2220" s="9" t="s">
        <v>11190</v>
      </c>
      <c r="AD2220" s="9" t="s">
        <v>11191</v>
      </c>
      <c r="AH2220" s="9">
        <v>2270.5</v>
      </c>
      <c r="AI2220" s="9" t="s">
        <v>77</v>
      </c>
      <c r="AJ2220" s="9" t="s">
        <v>301</v>
      </c>
      <c r="AK2220" s="23" t="str">
        <f t="shared" si="16"/>
        <v>2023GBP</v>
      </c>
      <c r="AL2220" s="23">
        <f>VLOOKUP(AK2220, Exchange_rates!$C:$D, 2, FALSE)</f>
        <v>1</v>
      </c>
      <c r="AM2220" s="26">
        <f t="shared" si="17"/>
        <v>2724.6</v>
      </c>
      <c r="AN2220" s="9"/>
      <c r="AO2220" s="9"/>
      <c r="AP2220" s="9"/>
      <c r="AQ2220" s="15" t="s">
        <v>125</v>
      </c>
      <c r="AR2220" t="s">
        <v>6335</v>
      </c>
      <c r="AS2220" s="16"/>
    </row>
    <row r="2221" spans="1:45" ht="14.5">
      <c r="A2221" s="9" t="s">
        <v>11192</v>
      </c>
      <c r="B2221" s="9" t="s">
        <v>11193</v>
      </c>
      <c r="C2221" s="9" t="s">
        <v>11194</v>
      </c>
      <c r="D2221" s="9" t="s">
        <v>5539</v>
      </c>
      <c r="E2221" s="9" t="s">
        <v>125</v>
      </c>
      <c r="F2221" s="9" t="s">
        <v>69</v>
      </c>
      <c r="G2221" s="9" t="s">
        <v>70</v>
      </c>
      <c r="H2221" s="9" t="s">
        <v>9873</v>
      </c>
      <c r="I2221" s="9" t="s">
        <v>72</v>
      </c>
      <c r="J2221" s="10"/>
      <c r="K2221" s="10">
        <v>45245</v>
      </c>
      <c r="L2221" s="10"/>
      <c r="M2221" s="10"/>
      <c r="N2221" s="9">
        <v>2023</v>
      </c>
      <c r="O2221" s="9" t="s">
        <v>11099</v>
      </c>
      <c r="P2221" s="9" t="s">
        <v>53</v>
      </c>
      <c r="Q2221" s="9" t="s">
        <v>53</v>
      </c>
      <c r="R2221" s="9" t="s">
        <v>11195</v>
      </c>
      <c r="S2221" s="9"/>
      <c r="T2221" s="9"/>
      <c r="V2221" s="9"/>
      <c r="AH2221" s="9">
        <v>1692</v>
      </c>
      <c r="AI2221" s="9" t="s">
        <v>77</v>
      </c>
      <c r="AJ2221" s="9" t="s">
        <v>301</v>
      </c>
      <c r="AK2221" s="23" t="str">
        <f t="shared" si="16"/>
        <v>2023GBP</v>
      </c>
      <c r="AL2221" s="23">
        <f>VLOOKUP(AK2221, Exchange_rates!$C:$D, 2, FALSE)</f>
        <v>1</v>
      </c>
      <c r="AM2221" s="26">
        <f t="shared" si="17"/>
        <v>2030.3999999999999</v>
      </c>
      <c r="AN2221" s="9"/>
      <c r="AO2221" s="9"/>
      <c r="AP2221" s="9"/>
      <c r="AQ2221" s="15" t="s">
        <v>125</v>
      </c>
      <c r="AR2221" t="s">
        <v>11196</v>
      </c>
      <c r="AS2221" s="16"/>
    </row>
    <row r="2222" spans="1:45" ht="14.5">
      <c r="A2222" s="9" t="s">
        <v>11197</v>
      </c>
      <c r="B2222" s="9" t="s">
        <v>11198</v>
      </c>
      <c r="C2222" s="9" t="s">
        <v>6720</v>
      </c>
      <c r="D2222" s="9" t="s">
        <v>5539</v>
      </c>
      <c r="E2222" s="9" t="s">
        <v>125</v>
      </c>
      <c r="F2222" s="9" t="s">
        <v>69</v>
      </c>
      <c r="G2222" s="9" t="s">
        <v>70</v>
      </c>
      <c r="H2222" s="9" t="s">
        <v>9873</v>
      </c>
      <c r="I2222" s="9" t="s">
        <v>72</v>
      </c>
      <c r="J2222" s="10"/>
      <c r="K2222" s="10">
        <v>45261</v>
      </c>
      <c r="L2222" s="10"/>
      <c r="M2222" s="10"/>
      <c r="N2222" s="9">
        <v>2023</v>
      </c>
      <c r="O2222" s="9" t="s">
        <v>11099</v>
      </c>
      <c r="P2222" s="9" t="s">
        <v>83</v>
      </c>
      <c r="Q2222" s="9" t="s">
        <v>53</v>
      </c>
      <c r="R2222" s="9" t="s">
        <v>292</v>
      </c>
      <c r="S2222" s="9"/>
      <c r="T2222" s="9"/>
      <c r="V2222" s="9"/>
      <c r="AC2222" s="9" t="s">
        <v>11199</v>
      </c>
      <c r="AD2222" s="9" t="s">
        <v>11200</v>
      </c>
      <c r="AE2222" s="46" t="s">
        <v>11201</v>
      </c>
      <c r="AH2222" s="9">
        <v>1825.25</v>
      </c>
      <c r="AI2222" s="9" t="s">
        <v>77</v>
      </c>
      <c r="AJ2222" s="9" t="s">
        <v>301</v>
      </c>
      <c r="AK2222" s="23" t="str">
        <f t="shared" si="16"/>
        <v>2023GBP</v>
      </c>
      <c r="AL2222" s="23">
        <f>VLOOKUP(AK2222, Exchange_rates!$C:$D, 2, FALSE)</f>
        <v>1</v>
      </c>
      <c r="AM2222" s="26">
        <f t="shared" si="17"/>
        <v>2190.2999999999997</v>
      </c>
      <c r="AN2222" s="9"/>
      <c r="AO2222" s="9"/>
      <c r="AP2222" s="9"/>
      <c r="AQ2222" s="15" t="s">
        <v>125</v>
      </c>
      <c r="AR2222" t="s">
        <v>6724</v>
      </c>
      <c r="AS2222" s="16"/>
    </row>
    <row r="2223" spans="1:45" ht="14.5">
      <c r="A2223" s="9" t="s">
        <v>11202</v>
      </c>
      <c r="B2223" s="9" t="s">
        <v>11203</v>
      </c>
      <c r="C2223" s="9" t="s">
        <v>6018</v>
      </c>
      <c r="D2223" s="9" t="s">
        <v>5539</v>
      </c>
      <c r="E2223" s="9" t="s">
        <v>125</v>
      </c>
      <c r="F2223" s="9" t="s">
        <v>69</v>
      </c>
      <c r="G2223" s="9" t="s">
        <v>70</v>
      </c>
      <c r="H2223" s="9" t="s">
        <v>9873</v>
      </c>
      <c r="I2223" s="9" t="s">
        <v>72</v>
      </c>
      <c r="J2223" s="10"/>
      <c r="K2223" s="10">
        <v>45219</v>
      </c>
      <c r="L2223" s="10"/>
      <c r="M2223" s="10"/>
      <c r="N2223" s="9">
        <v>2023</v>
      </c>
      <c r="O2223" s="9" t="s">
        <v>11099</v>
      </c>
      <c r="P2223" s="9" t="s">
        <v>83</v>
      </c>
      <c r="Q2223" s="9" t="s">
        <v>53</v>
      </c>
      <c r="R2223" s="9" t="s">
        <v>11204</v>
      </c>
      <c r="S2223" s="9"/>
      <c r="T2223" s="9"/>
      <c r="V2223" s="9"/>
      <c r="AC2223" s="9" t="s">
        <v>11205</v>
      </c>
      <c r="AD2223" s="9" t="s">
        <v>11206</v>
      </c>
      <c r="AE2223" s="46" t="s">
        <v>11207</v>
      </c>
      <c r="AH2223" s="9">
        <v>2530.5</v>
      </c>
      <c r="AI2223" s="9" t="s">
        <v>77</v>
      </c>
      <c r="AJ2223" s="9" t="s">
        <v>301</v>
      </c>
      <c r="AK2223" s="23" t="str">
        <f t="shared" si="16"/>
        <v>2023GBP</v>
      </c>
      <c r="AL2223" s="23">
        <f>VLOOKUP(AK2223, Exchange_rates!$C:$D, 2, FALSE)</f>
        <v>1</v>
      </c>
      <c r="AM2223" s="26">
        <f t="shared" si="17"/>
        <v>3036.6</v>
      </c>
      <c r="AN2223" s="9"/>
      <c r="AO2223" s="9"/>
      <c r="AP2223" s="9"/>
      <c r="AQ2223" s="15" t="s">
        <v>125</v>
      </c>
      <c r="AR2223" t="s">
        <v>6023</v>
      </c>
      <c r="AS2223" s="16"/>
    </row>
    <row r="2224" spans="1:45" ht="14.5">
      <c r="A2224" s="9" t="s">
        <v>11208</v>
      </c>
      <c r="B2224" s="9" t="s">
        <v>11209</v>
      </c>
      <c r="C2224" s="9" t="s">
        <v>11210</v>
      </c>
      <c r="D2224" s="9" t="s">
        <v>5539</v>
      </c>
      <c r="E2224" s="9" t="s">
        <v>125</v>
      </c>
      <c r="F2224" s="9" t="s">
        <v>69</v>
      </c>
      <c r="G2224" s="9" t="s">
        <v>70</v>
      </c>
      <c r="H2224" s="9" t="s">
        <v>9873</v>
      </c>
      <c r="I2224" s="9" t="s">
        <v>72</v>
      </c>
      <c r="J2224" s="10"/>
      <c r="K2224" s="10">
        <v>45205</v>
      </c>
      <c r="L2224" s="10"/>
      <c r="M2224" s="10"/>
      <c r="N2224" s="9">
        <v>2023</v>
      </c>
      <c r="O2224" s="9" t="s">
        <v>11099</v>
      </c>
      <c r="P2224" s="9" t="s">
        <v>53</v>
      </c>
      <c r="Q2224" s="9" t="s">
        <v>53</v>
      </c>
      <c r="R2224" s="9" t="s">
        <v>11211</v>
      </c>
      <c r="S2224" s="9"/>
      <c r="T2224" s="9"/>
      <c r="V2224" s="9"/>
      <c r="AH2224" s="9">
        <v>1838.75</v>
      </c>
      <c r="AI2224" s="9" t="s">
        <v>77</v>
      </c>
      <c r="AJ2224" s="9" t="s">
        <v>301</v>
      </c>
      <c r="AK2224" s="23" t="str">
        <f t="shared" si="16"/>
        <v>2023GBP</v>
      </c>
      <c r="AL2224" s="23">
        <f>VLOOKUP(AK2224, Exchange_rates!$C:$D, 2, FALSE)</f>
        <v>1</v>
      </c>
      <c r="AM2224" s="26">
        <f t="shared" si="17"/>
        <v>2206.5</v>
      </c>
      <c r="AN2224" s="9"/>
      <c r="AO2224" s="9"/>
      <c r="AP2224" s="9"/>
      <c r="AQ2224" s="15" t="s">
        <v>125</v>
      </c>
      <c r="AR2224" t="s">
        <v>5806</v>
      </c>
      <c r="AS2224" s="16"/>
    </row>
    <row r="2225" spans="1:60" ht="14.5">
      <c r="A2225" s="9" t="s">
        <v>11212</v>
      </c>
      <c r="B2225" s="9" t="s">
        <v>11213</v>
      </c>
      <c r="C2225" s="9" t="s">
        <v>11214</v>
      </c>
      <c r="D2225" s="9" t="s">
        <v>5539</v>
      </c>
      <c r="E2225" s="9" t="s">
        <v>125</v>
      </c>
      <c r="F2225" s="9" t="s">
        <v>69</v>
      </c>
      <c r="G2225" s="9" t="s">
        <v>70</v>
      </c>
      <c r="H2225" s="9" t="s">
        <v>9873</v>
      </c>
      <c r="I2225" s="9" t="s">
        <v>72</v>
      </c>
      <c r="J2225" s="10"/>
      <c r="K2225" s="10">
        <v>45120</v>
      </c>
      <c r="L2225" s="10"/>
      <c r="M2225" s="10"/>
      <c r="N2225" s="9">
        <v>2023</v>
      </c>
      <c r="O2225" s="9" t="s">
        <v>11099</v>
      </c>
      <c r="P2225" s="9" t="s">
        <v>53</v>
      </c>
      <c r="Q2225" s="9" t="s">
        <v>53</v>
      </c>
      <c r="R2225" s="9" t="s">
        <v>11215</v>
      </c>
      <c r="S2225" s="9"/>
      <c r="T2225" s="9"/>
      <c r="V2225" s="9"/>
      <c r="AC2225" s="9" t="s">
        <v>11216</v>
      </c>
      <c r="AD2225" s="9" t="s">
        <v>11217</v>
      </c>
      <c r="AE2225" s="46" t="s">
        <v>11218</v>
      </c>
      <c r="AH2225" s="9">
        <v>1470.5</v>
      </c>
      <c r="AI2225" s="9" t="s">
        <v>77</v>
      </c>
      <c r="AJ2225" s="9" t="s">
        <v>301</v>
      </c>
      <c r="AK2225" s="23" t="str">
        <f t="shared" si="16"/>
        <v>2023GBP</v>
      </c>
      <c r="AL2225" s="23">
        <f>VLOOKUP(AK2225, Exchange_rates!$C:$D, 2, FALSE)</f>
        <v>1</v>
      </c>
      <c r="AM2225" s="26">
        <f t="shared" si="17"/>
        <v>1764.6</v>
      </c>
      <c r="AN2225" s="9"/>
      <c r="AO2225" s="9"/>
      <c r="AP2225" s="9"/>
      <c r="AQ2225" s="15" t="s">
        <v>125</v>
      </c>
      <c r="AR2225" t="s">
        <v>11219</v>
      </c>
      <c r="AS2225" s="16"/>
    </row>
    <row r="2226" spans="1:60" ht="14.5">
      <c r="A2226" s="9" t="s">
        <v>11220</v>
      </c>
      <c r="B2226" s="9" t="s">
        <v>11221</v>
      </c>
      <c r="C2226" s="9" t="s">
        <v>2016</v>
      </c>
      <c r="D2226" s="20" t="s">
        <v>1994</v>
      </c>
      <c r="E2226" s="20" t="s">
        <v>125</v>
      </c>
      <c r="F2226" s="20" t="s">
        <v>69</v>
      </c>
      <c r="G2226" s="20" t="s">
        <v>70</v>
      </c>
      <c r="H2226" s="9" t="s">
        <v>10095</v>
      </c>
      <c r="I2226" s="20" t="s">
        <v>10690</v>
      </c>
      <c r="J2226" s="10">
        <v>44814</v>
      </c>
      <c r="K2226" s="28">
        <v>45229</v>
      </c>
      <c r="L2226" s="10"/>
      <c r="M2226" s="10"/>
      <c r="N2226" s="20">
        <v>2023</v>
      </c>
      <c r="O2226" s="9" t="s">
        <v>11222</v>
      </c>
      <c r="P2226" s="9" t="s">
        <v>53</v>
      </c>
      <c r="Q2226" s="9" t="s">
        <v>53</v>
      </c>
      <c r="R2226" s="9" t="s">
        <v>11223</v>
      </c>
      <c r="S2226" s="9"/>
      <c r="T2226" s="9"/>
      <c r="V2226" s="9"/>
      <c r="AC2226" s="9" t="s">
        <v>11224</v>
      </c>
      <c r="AD2226" s="9" t="s">
        <v>11225</v>
      </c>
      <c r="AH2226" s="9">
        <v>5300</v>
      </c>
      <c r="AI2226" s="9" t="s">
        <v>77</v>
      </c>
      <c r="AJ2226" s="9" t="s">
        <v>57</v>
      </c>
      <c r="AK2226" s="23" t="str">
        <f t="shared" si="16"/>
        <v>2023USD</v>
      </c>
      <c r="AL2226" s="23">
        <f>VLOOKUP(AK2226, Exchange_rates!$C:$D, 2, FALSE)</f>
        <v>0.80430000000000001</v>
      </c>
      <c r="AM2226" s="26">
        <f t="shared" si="17"/>
        <v>5115.348</v>
      </c>
      <c r="AN2226" s="9"/>
      <c r="AO2226" s="9"/>
      <c r="AP2226" s="20"/>
      <c r="AQ2226" s="27" t="s">
        <v>125</v>
      </c>
      <c r="AR2226" t="s">
        <v>2022</v>
      </c>
      <c r="AS2226" s="16"/>
    </row>
    <row r="2227" spans="1:60" ht="14.5">
      <c r="A2227" s="20" t="s">
        <v>11226</v>
      </c>
      <c r="B2227" s="20" t="s">
        <v>11227</v>
      </c>
      <c r="C2227" s="20" t="s">
        <v>7831</v>
      </c>
      <c r="D2227" s="20" t="s">
        <v>1994</v>
      </c>
      <c r="E2227" s="20" t="s">
        <v>125</v>
      </c>
      <c r="F2227" s="20" t="s">
        <v>69</v>
      </c>
      <c r="G2227" s="20" t="s">
        <v>70</v>
      </c>
      <c r="H2227" s="20" t="s">
        <v>8943</v>
      </c>
      <c r="I2227" s="20" t="s">
        <v>10690</v>
      </c>
      <c r="J2227" s="22">
        <v>45078</v>
      </c>
      <c r="K2227" s="42">
        <v>45224</v>
      </c>
      <c r="L2227" s="22"/>
      <c r="M2227" s="22">
        <v>45238</v>
      </c>
      <c r="N2227" s="20">
        <v>2023</v>
      </c>
      <c r="O2227" s="20" t="s">
        <v>11222</v>
      </c>
      <c r="P2227" s="20" t="s">
        <v>53</v>
      </c>
      <c r="Q2227" s="20" t="s">
        <v>53</v>
      </c>
      <c r="R2227" s="20" t="s">
        <v>11228</v>
      </c>
      <c r="S2227" s="20"/>
      <c r="T2227" s="20"/>
      <c r="U2227" s="20"/>
      <c r="V2227" s="20"/>
      <c r="W2227" s="20"/>
      <c r="X2227" s="20"/>
      <c r="Y2227" s="20"/>
      <c r="Z2227" s="20"/>
      <c r="AA2227" s="20"/>
      <c r="AB2227" s="20"/>
      <c r="AC2227" s="20" t="s">
        <v>11229</v>
      </c>
      <c r="AD2227" s="20" t="s">
        <v>11230</v>
      </c>
      <c r="AE2227" s="20"/>
      <c r="AF2227" s="20"/>
      <c r="AG2227" s="20"/>
      <c r="AH2227" s="20">
        <v>2100</v>
      </c>
      <c r="AI2227" s="20" t="s">
        <v>77</v>
      </c>
      <c r="AJ2227" s="20" t="s">
        <v>57</v>
      </c>
      <c r="AK2227" s="23" t="str">
        <f t="shared" si="16"/>
        <v>2023USD</v>
      </c>
      <c r="AL2227" s="23">
        <f>VLOOKUP(AK2227, Exchange_rates!$C:$D, 2, FALSE)</f>
        <v>0.80430000000000001</v>
      </c>
      <c r="AM2227" s="26">
        <f t="shared" si="17"/>
        <v>2026.8359999999998</v>
      </c>
      <c r="AN2227" s="20"/>
      <c r="AO2227" s="20"/>
      <c r="AP2227" s="20"/>
      <c r="AQ2227" s="27" t="s">
        <v>125</v>
      </c>
      <c r="AR2227" t="s">
        <v>7835</v>
      </c>
      <c r="AS2227" s="16"/>
      <c r="AT2227" s="20"/>
      <c r="AU2227" s="20"/>
      <c r="AV2227" s="20"/>
      <c r="AW2227" s="20"/>
      <c r="AX2227" s="20"/>
      <c r="AY2227" s="20"/>
      <c r="AZ2227" s="20"/>
      <c r="BA2227" s="20"/>
      <c r="BB2227" s="20"/>
      <c r="BC2227" s="20"/>
      <c r="BD2227" s="20"/>
      <c r="BE2227" s="20"/>
      <c r="BF2227" s="20"/>
      <c r="BG2227" s="20"/>
      <c r="BH2227" s="20"/>
    </row>
    <row r="2228" spans="1:60" ht="14.5">
      <c r="A2228" s="9" t="s">
        <v>11231</v>
      </c>
      <c r="B2228" s="9" t="s">
        <v>11232</v>
      </c>
      <c r="C2228" s="9" t="s">
        <v>986</v>
      </c>
      <c r="D2228" s="9" t="s">
        <v>870</v>
      </c>
      <c r="E2228" s="9" t="s">
        <v>49</v>
      </c>
      <c r="F2228" s="9" t="s">
        <v>69</v>
      </c>
      <c r="G2228" s="9" t="s">
        <v>70</v>
      </c>
      <c r="H2228" s="9" t="s">
        <v>7452</v>
      </c>
      <c r="I2228" s="9" t="s">
        <v>72</v>
      </c>
      <c r="J2228" s="10"/>
      <c r="K2228" s="10"/>
      <c r="L2228" s="10">
        <v>45229</v>
      </c>
      <c r="M2228" s="10"/>
      <c r="N2228" s="9">
        <v>2023</v>
      </c>
      <c r="O2228" s="9" t="s">
        <v>11233</v>
      </c>
      <c r="P2228" s="9" t="s">
        <v>53</v>
      </c>
      <c r="Q2228" s="9" t="s">
        <v>53</v>
      </c>
      <c r="R2228" s="9" t="s">
        <v>11234</v>
      </c>
      <c r="S2228" s="9"/>
      <c r="T2228" s="9"/>
      <c r="V2228" s="9"/>
      <c r="AH2228" s="18">
        <v>2060</v>
      </c>
      <c r="AI2228" s="9" t="s">
        <v>875</v>
      </c>
      <c r="AJ2228" s="9" t="s">
        <v>301</v>
      </c>
      <c r="AK2228" s="23" t="str">
        <f t="shared" si="16"/>
        <v>2023GBP</v>
      </c>
      <c r="AL2228" s="23">
        <f>VLOOKUP(AK2228, Exchange_rates!$C:$D, 2, FALSE)</f>
        <v>1</v>
      </c>
      <c r="AM2228" s="26">
        <f t="shared" si="17"/>
        <v>2472</v>
      </c>
      <c r="AN2228" s="9"/>
      <c r="AO2228" s="9"/>
      <c r="AP2228" s="9"/>
      <c r="AQ2228" s="15" t="s">
        <v>49</v>
      </c>
      <c r="AS2228" s="16" t="s">
        <v>988</v>
      </c>
    </row>
    <row r="2229" spans="1:60" ht="14.5">
      <c r="A2229" s="9" t="s">
        <v>11235</v>
      </c>
      <c r="B2229" s="9" t="s">
        <v>11236</v>
      </c>
      <c r="C2229" s="9" t="s">
        <v>1019</v>
      </c>
      <c r="D2229" s="9" t="s">
        <v>870</v>
      </c>
      <c r="E2229" s="9" t="s">
        <v>49</v>
      </c>
      <c r="F2229" s="9" t="s">
        <v>69</v>
      </c>
      <c r="G2229" s="9" t="s">
        <v>70</v>
      </c>
      <c r="H2229" s="9" t="s">
        <v>7452</v>
      </c>
      <c r="I2229" s="9" t="s">
        <v>72</v>
      </c>
      <c r="J2229" s="10"/>
      <c r="K2229" s="10"/>
      <c r="L2229" s="10">
        <v>45224</v>
      </c>
      <c r="M2229" s="10"/>
      <c r="N2229" s="9">
        <v>2023</v>
      </c>
      <c r="O2229" s="9" t="s">
        <v>11233</v>
      </c>
      <c r="P2229" s="9" t="s">
        <v>53</v>
      </c>
      <c r="Q2229" s="9" t="s">
        <v>53</v>
      </c>
      <c r="R2229" s="18">
        <v>821010765408</v>
      </c>
      <c r="S2229" s="9"/>
      <c r="T2229" s="9"/>
      <c r="V2229" s="9"/>
      <c r="AH2229" s="18">
        <v>3280</v>
      </c>
      <c r="AI2229" s="9" t="s">
        <v>875</v>
      </c>
      <c r="AJ2229" s="9" t="s">
        <v>301</v>
      </c>
      <c r="AK2229" s="23" t="str">
        <f t="shared" si="16"/>
        <v>2023GBP</v>
      </c>
      <c r="AL2229" s="23">
        <f>VLOOKUP(AK2229, Exchange_rates!$C:$D, 2, FALSE)</f>
        <v>1</v>
      </c>
      <c r="AM2229" s="26">
        <f t="shared" si="17"/>
        <v>3936</v>
      </c>
      <c r="AN2229" s="9"/>
      <c r="AO2229" s="9"/>
      <c r="AP2229" s="9"/>
      <c r="AQ2229" s="15" t="s">
        <v>49</v>
      </c>
      <c r="AS2229" s="16" t="s">
        <v>1021</v>
      </c>
    </row>
    <row r="2230" spans="1:60" ht="14.5">
      <c r="A2230" s="9" t="s">
        <v>11237</v>
      </c>
      <c r="B2230" s="9" t="s">
        <v>11238</v>
      </c>
      <c r="C2230" s="9" t="s">
        <v>11239</v>
      </c>
      <c r="D2230" s="9" t="s">
        <v>870</v>
      </c>
      <c r="E2230" s="9" t="s">
        <v>125</v>
      </c>
      <c r="F2230" s="9" t="s">
        <v>69</v>
      </c>
      <c r="G2230" s="9" t="s">
        <v>51</v>
      </c>
      <c r="H2230" s="9"/>
      <c r="I2230" s="9" t="s">
        <v>72</v>
      </c>
      <c r="J2230" s="10"/>
      <c r="K2230" s="10"/>
      <c r="L2230" s="10">
        <v>45229</v>
      </c>
      <c r="M2230" s="10"/>
      <c r="N2230" s="9">
        <v>2023</v>
      </c>
      <c r="O2230" s="9" t="s">
        <v>11233</v>
      </c>
      <c r="P2230" s="9" t="s">
        <v>53</v>
      </c>
      <c r="Q2230" s="9" t="s">
        <v>53</v>
      </c>
      <c r="R2230" s="9" t="s">
        <v>11240</v>
      </c>
      <c r="S2230" s="9"/>
      <c r="T2230" s="9" t="s">
        <v>279</v>
      </c>
      <c r="U2230" s="9" t="s">
        <v>11241</v>
      </c>
      <c r="V2230" s="9"/>
      <c r="AH2230" s="30">
        <v>1880</v>
      </c>
      <c r="AI2230" s="9" t="s">
        <v>77</v>
      </c>
      <c r="AJ2230" s="9" t="s">
        <v>301</v>
      </c>
      <c r="AK2230" s="23" t="str">
        <f t="shared" si="16"/>
        <v>2023GBP</v>
      </c>
      <c r="AL2230" s="23">
        <f>VLOOKUP(AK2230, Exchange_rates!$C:$D, 2, FALSE)</f>
        <v>1</v>
      </c>
      <c r="AM2230" s="26">
        <f t="shared" si="17"/>
        <v>2256</v>
      </c>
      <c r="AN2230" s="9"/>
      <c r="AO2230" s="9"/>
      <c r="AP2230" s="9"/>
      <c r="AQ2230" s="15" t="s">
        <v>125</v>
      </c>
      <c r="AR2230" t="s">
        <v>11242</v>
      </c>
      <c r="AS2230" s="16"/>
    </row>
    <row r="2231" spans="1:60" ht="14.5">
      <c r="A2231" s="9" t="s">
        <v>11243</v>
      </c>
      <c r="B2231" s="9" t="s">
        <v>11244</v>
      </c>
      <c r="C2231" s="9" t="s">
        <v>11245</v>
      </c>
      <c r="D2231" s="9" t="s">
        <v>870</v>
      </c>
      <c r="E2231" s="9" t="s">
        <v>49</v>
      </c>
      <c r="F2231" s="9" t="s">
        <v>69</v>
      </c>
      <c r="G2231" s="9" t="s">
        <v>70</v>
      </c>
      <c r="H2231" s="9" t="s">
        <v>7452</v>
      </c>
      <c r="I2231" s="9" t="s">
        <v>72</v>
      </c>
      <c r="J2231" s="10"/>
      <c r="K2231" s="10"/>
      <c r="L2231" s="10">
        <v>45236</v>
      </c>
      <c r="M2231" s="10"/>
      <c r="N2231" s="9">
        <v>2023</v>
      </c>
      <c r="O2231" s="9" t="s">
        <v>11233</v>
      </c>
      <c r="P2231" s="9" t="s">
        <v>83</v>
      </c>
      <c r="Q2231" s="9" t="s">
        <v>53</v>
      </c>
      <c r="R2231" s="9" t="s">
        <v>11246</v>
      </c>
      <c r="S2231" s="9"/>
      <c r="T2231" s="9"/>
      <c r="V2231" s="9"/>
      <c r="AH2231" s="18">
        <v>2720</v>
      </c>
      <c r="AI2231" s="9" t="s">
        <v>875</v>
      </c>
      <c r="AJ2231" s="9" t="s">
        <v>301</v>
      </c>
      <c r="AK2231" s="23" t="str">
        <f t="shared" si="16"/>
        <v>2023GBP</v>
      </c>
      <c r="AL2231" s="23">
        <f>VLOOKUP(AK2231, Exchange_rates!$C:$D, 2, FALSE)</f>
        <v>1</v>
      </c>
      <c r="AM2231" s="26">
        <f t="shared" si="17"/>
        <v>3264</v>
      </c>
      <c r="AN2231" s="9"/>
      <c r="AO2231" s="9"/>
      <c r="AP2231" s="9"/>
      <c r="AQ2231" s="15" t="s">
        <v>49</v>
      </c>
      <c r="AS2231" s="16" t="s">
        <v>11247</v>
      </c>
    </row>
    <row r="2232" spans="1:60" ht="14.5">
      <c r="A2232" s="9" t="s">
        <v>11248</v>
      </c>
      <c r="B2232" s="9" t="s">
        <v>11249</v>
      </c>
      <c r="C2232" s="9" t="s">
        <v>11250</v>
      </c>
      <c r="D2232" s="9" t="s">
        <v>870</v>
      </c>
      <c r="E2232" s="9" t="s">
        <v>125</v>
      </c>
      <c r="F2232" s="9" t="s">
        <v>69</v>
      </c>
      <c r="G2232" s="9" t="s">
        <v>51</v>
      </c>
      <c r="H2232" s="9"/>
      <c r="I2232" s="9" t="s">
        <v>72</v>
      </c>
      <c r="J2232" s="10"/>
      <c r="K2232" s="10"/>
      <c r="L2232" s="10">
        <v>45250</v>
      </c>
      <c r="M2232" s="10"/>
      <c r="N2232" s="9">
        <v>2023</v>
      </c>
      <c r="O2232" s="9" t="s">
        <v>11233</v>
      </c>
      <c r="P2232" s="9" t="s">
        <v>53</v>
      </c>
      <c r="Q2232" s="9" t="s">
        <v>53</v>
      </c>
      <c r="R2232" s="9" t="s">
        <v>11251</v>
      </c>
      <c r="S2232" s="9"/>
      <c r="T2232" s="9" t="s">
        <v>279</v>
      </c>
      <c r="U2232" s="9" t="s">
        <v>11241</v>
      </c>
      <c r="V2232" s="9"/>
      <c r="AH2232" s="30">
        <v>2490</v>
      </c>
      <c r="AI2232" s="9" t="s">
        <v>77</v>
      </c>
      <c r="AJ2232" s="9" t="s">
        <v>301</v>
      </c>
      <c r="AK2232" s="23" t="str">
        <f t="shared" si="16"/>
        <v>2023GBP</v>
      </c>
      <c r="AL2232" s="23">
        <f>VLOOKUP(AK2232, Exchange_rates!$C:$D, 2, FALSE)</f>
        <v>1</v>
      </c>
      <c r="AM2232" s="26">
        <f t="shared" si="17"/>
        <v>2988</v>
      </c>
      <c r="AN2232" s="9"/>
      <c r="AO2232" s="9"/>
      <c r="AP2232" s="9"/>
      <c r="AQ2232" s="15" t="s">
        <v>125</v>
      </c>
      <c r="AR2232" t="s">
        <v>11252</v>
      </c>
      <c r="AS2232" s="16"/>
    </row>
    <row r="2233" spans="1:60" ht="14.5">
      <c r="A2233" s="9" t="s">
        <v>11253</v>
      </c>
      <c r="B2233" s="9" t="s">
        <v>11254</v>
      </c>
      <c r="C2233" s="9" t="s">
        <v>7690</v>
      </c>
      <c r="D2233" s="9" t="s">
        <v>870</v>
      </c>
      <c r="E2233" s="9" t="s">
        <v>125</v>
      </c>
      <c r="F2233" s="9" t="s">
        <v>69</v>
      </c>
      <c r="G2233" s="9" t="s">
        <v>51</v>
      </c>
      <c r="H2233" s="9"/>
      <c r="I2233" s="9" t="s">
        <v>72</v>
      </c>
      <c r="J2233" s="10"/>
      <c r="K2233" s="10"/>
      <c r="L2233" s="10">
        <v>45156</v>
      </c>
      <c r="M2233" s="10"/>
      <c r="N2233" s="9">
        <v>2023</v>
      </c>
      <c r="O2233" s="9" t="s">
        <v>11233</v>
      </c>
      <c r="P2233" s="9" t="s">
        <v>83</v>
      </c>
      <c r="Q2233" s="9" t="s">
        <v>53</v>
      </c>
      <c r="R2233" s="9" t="s">
        <v>11255</v>
      </c>
      <c r="S2233" s="9"/>
      <c r="T2233" s="9" t="s">
        <v>279</v>
      </c>
      <c r="U2233" s="9" t="s">
        <v>11241</v>
      </c>
      <c r="V2233" s="9"/>
      <c r="AH2233" s="30">
        <v>1760</v>
      </c>
      <c r="AI2233" s="9" t="s">
        <v>77</v>
      </c>
      <c r="AJ2233" s="9" t="s">
        <v>301</v>
      </c>
      <c r="AK2233" s="23" t="str">
        <f t="shared" si="16"/>
        <v>2023GBP</v>
      </c>
      <c r="AL2233" s="23">
        <f>VLOOKUP(AK2233, Exchange_rates!$C:$D, 2, FALSE)</f>
        <v>1</v>
      </c>
      <c r="AM2233" s="26">
        <f t="shared" si="17"/>
        <v>2112</v>
      </c>
      <c r="AN2233" s="9"/>
      <c r="AO2233" s="9"/>
      <c r="AP2233" s="9"/>
      <c r="AQ2233" s="15" t="s">
        <v>125</v>
      </c>
      <c r="AR2233" t="s">
        <v>7693</v>
      </c>
      <c r="AS2233" s="16"/>
    </row>
    <row r="2234" spans="1:60" ht="14.5">
      <c r="A2234" s="9" t="s">
        <v>11256</v>
      </c>
      <c r="B2234" s="9" t="s">
        <v>11257</v>
      </c>
      <c r="C2234" s="9" t="s">
        <v>7964</v>
      </c>
      <c r="D2234" s="9" t="s">
        <v>870</v>
      </c>
      <c r="E2234" s="9" t="s">
        <v>49</v>
      </c>
      <c r="F2234" s="9" t="s">
        <v>69</v>
      </c>
      <c r="G2234" s="9" t="s">
        <v>70</v>
      </c>
      <c r="H2234" s="9" t="s">
        <v>7452</v>
      </c>
      <c r="I2234" s="9" t="s">
        <v>72</v>
      </c>
      <c r="J2234" s="10"/>
      <c r="K2234" s="10"/>
      <c r="L2234" s="10">
        <v>45138</v>
      </c>
      <c r="M2234" s="10"/>
      <c r="N2234" s="9">
        <v>2023</v>
      </c>
      <c r="O2234" s="9" t="s">
        <v>11233</v>
      </c>
      <c r="P2234" s="9" t="s">
        <v>53</v>
      </c>
      <c r="Q2234" s="9" t="s">
        <v>53</v>
      </c>
      <c r="S2234" s="9"/>
      <c r="T2234" s="9"/>
      <c r="V2234" s="9"/>
      <c r="AH2234" s="18">
        <v>2280</v>
      </c>
      <c r="AI2234" s="9" t="s">
        <v>875</v>
      </c>
      <c r="AJ2234" s="9" t="s">
        <v>301</v>
      </c>
      <c r="AK2234" s="23" t="str">
        <f t="shared" si="16"/>
        <v>2023GBP</v>
      </c>
      <c r="AL2234" s="23">
        <f>VLOOKUP(AK2234, Exchange_rates!$C:$D, 2, FALSE)</f>
        <v>1</v>
      </c>
      <c r="AM2234" s="26">
        <f t="shared" si="17"/>
        <v>2736</v>
      </c>
      <c r="AN2234" s="9"/>
      <c r="AO2234" s="9"/>
      <c r="AP2234" s="9"/>
      <c r="AQ2234" s="15" t="s">
        <v>49</v>
      </c>
      <c r="AS2234" s="16" t="s">
        <v>7967</v>
      </c>
    </row>
    <row r="2235" spans="1:60" ht="14.5">
      <c r="A2235" s="9" t="s">
        <v>11258</v>
      </c>
      <c r="B2235" s="9" t="s">
        <v>11259</v>
      </c>
      <c r="C2235" s="9" t="s">
        <v>11260</v>
      </c>
      <c r="D2235" s="9" t="s">
        <v>870</v>
      </c>
      <c r="E2235" s="9" t="s">
        <v>49</v>
      </c>
      <c r="F2235" s="9" t="s">
        <v>69</v>
      </c>
      <c r="G2235" s="9" t="s">
        <v>70</v>
      </c>
      <c r="H2235" s="9" t="s">
        <v>7452</v>
      </c>
      <c r="I2235" s="9" t="s">
        <v>72</v>
      </c>
      <c r="J2235" s="10"/>
      <c r="K2235" s="10"/>
      <c r="L2235" s="10">
        <v>45128</v>
      </c>
      <c r="M2235" s="10"/>
      <c r="N2235" s="9">
        <v>2023</v>
      </c>
      <c r="O2235" s="9" t="s">
        <v>11233</v>
      </c>
      <c r="P2235" s="9" t="s">
        <v>53</v>
      </c>
      <c r="Q2235" s="9" t="s">
        <v>53</v>
      </c>
      <c r="R2235" s="9" t="s">
        <v>11261</v>
      </c>
      <c r="S2235" s="9"/>
      <c r="T2235" s="9"/>
      <c r="V2235" s="9"/>
      <c r="AH2235" s="18">
        <v>3140</v>
      </c>
      <c r="AI2235" s="9" t="s">
        <v>875</v>
      </c>
      <c r="AJ2235" s="9" t="s">
        <v>301</v>
      </c>
      <c r="AK2235" s="23" t="str">
        <f t="shared" si="16"/>
        <v>2023GBP</v>
      </c>
      <c r="AL2235" s="23">
        <f>VLOOKUP(AK2235, Exchange_rates!$C:$D, 2, FALSE)</f>
        <v>1</v>
      </c>
      <c r="AM2235" s="26">
        <f t="shared" si="17"/>
        <v>3768</v>
      </c>
      <c r="AN2235" s="9"/>
      <c r="AO2235" s="9"/>
      <c r="AP2235" s="9"/>
      <c r="AQ2235" s="15" t="s">
        <v>49</v>
      </c>
      <c r="AS2235" s="16" t="s">
        <v>11262</v>
      </c>
    </row>
    <row r="2236" spans="1:60" ht="14.5">
      <c r="A2236" s="9" t="s">
        <v>11263</v>
      </c>
      <c r="B2236" s="9" t="s">
        <v>11264</v>
      </c>
      <c r="C2236" s="9" t="s">
        <v>913</v>
      </c>
      <c r="D2236" s="9" t="s">
        <v>870</v>
      </c>
      <c r="E2236" s="9" t="s">
        <v>49</v>
      </c>
      <c r="F2236" s="9" t="s">
        <v>69</v>
      </c>
      <c r="G2236" s="9" t="s">
        <v>70</v>
      </c>
      <c r="H2236" s="9" t="s">
        <v>7452</v>
      </c>
      <c r="I2236" s="9" t="s">
        <v>72</v>
      </c>
      <c r="J2236" s="10"/>
      <c r="K2236" s="10"/>
      <c r="L2236" s="10">
        <v>45138</v>
      </c>
      <c r="M2236" s="10"/>
      <c r="N2236" s="9">
        <v>2023</v>
      </c>
      <c r="O2236" s="9" t="s">
        <v>11233</v>
      </c>
      <c r="P2236" s="9" t="s">
        <v>83</v>
      </c>
      <c r="Q2236" s="9" t="s">
        <v>53</v>
      </c>
      <c r="R2236" s="9" t="s">
        <v>1014</v>
      </c>
      <c r="S2236" s="9"/>
      <c r="T2236" s="9"/>
      <c r="V2236" s="9"/>
      <c r="AH2236" s="18">
        <v>2690</v>
      </c>
      <c r="AI2236" s="9" t="s">
        <v>875</v>
      </c>
      <c r="AJ2236" s="9" t="s">
        <v>301</v>
      </c>
      <c r="AK2236" s="23" t="str">
        <f t="shared" si="16"/>
        <v>2023GBP</v>
      </c>
      <c r="AL2236" s="23">
        <f>VLOOKUP(AK2236, Exchange_rates!$C:$D, 2, FALSE)</f>
        <v>1</v>
      </c>
      <c r="AM2236" s="26">
        <f t="shared" si="17"/>
        <v>3228</v>
      </c>
      <c r="AN2236" s="9"/>
      <c r="AO2236" s="9"/>
      <c r="AP2236" s="9"/>
      <c r="AQ2236" s="15" t="s">
        <v>49</v>
      </c>
      <c r="AS2236" s="16" t="s">
        <v>916</v>
      </c>
    </row>
    <row r="2237" spans="1:60" ht="14.5">
      <c r="A2237" s="9" t="s">
        <v>11265</v>
      </c>
      <c r="B2237" s="9" t="s">
        <v>11266</v>
      </c>
      <c r="C2237" s="9" t="s">
        <v>11267</v>
      </c>
      <c r="D2237" s="9" t="s">
        <v>870</v>
      </c>
      <c r="E2237" s="9" t="s">
        <v>49</v>
      </c>
      <c r="F2237" s="9" t="s">
        <v>69</v>
      </c>
      <c r="G2237" s="9" t="s">
        <v>70</v>
      </c>
      <c r="H2237" s="9" t="s">
        <v>7452</v>
      </c>
      <c r="I2237" s="9" t="s">
        <v>72</v>
      </c>
      <c r="J2237" s="10"/>
      <c r="K2237" s="10"/>
      <c r="L2237" s="10">
        <v>45167</v>
      </c>
      <c r="M2237" s="10"/>
      <c r="N2237" s="9">
        <v>2023</v>
      </c>
      <c r="O2237" s="9" t="s">
        <v>11233</v>
      </c>
      <c r="P2237" s="9" t="s">
        <v>53</v>
      </c>
      <c r="Q2237" s="9" t="s">
        <v>53</v>
      </c>
      <c r="R2237" s="9">
        <v>24130</v>
      </c>
      <c r="S2237" s="9"/>
      <c r="T2237" s="9"/>
      <c r="V2237" s="9"/>
      <c r="AH2237" s="18">
        <v>8330</v>
      </c>
      <c r="AI2237" s="9" t="s">
        <v>875</v>
      </c>
      <c r="AJ2237" s="9" t="s">
        <v>301</v>
      </c>
      <c r="AK2237" s="23" t="str">
        <f t="shared" si="16"/>
        <v>2023GBP</v>
      </c>
      <c r="AL2237" s="23">
        <f>VLOOKUP(AK2237, Exchange_rates!$C:$D, 2, FALSE)</f>
        <v>1</v>
      </c>
      <c r="AM2237" s="26">
        <f t="shared" si="17"/>
        <v>9996</v>
      </c>
      <c r="AN2237" s="9"/>
      <c r="AO2237" s="9"/>
      <c r="AP2237" s="9"/>
      <c r="AQ2237" s="15" t="s">
        <v>49</v>
      </c>
      <c r="AR2237" t="s">
        <v>11268</v>
      </c>
      <c r="AS2237" s="16" t="s">
        <v>11269</v>
      </c>
    </row>
    <row r="2238" spans="1:60" ht="14.5">
      <c r="A2238" s="9" t="s">
        <v>11270</v>
      </c>
      <c r="B2238" s="9" t="s">
        <v>11271</v>
      </c>
      <c r="C2238" s="9" t="s">
        <v>7506</v>
      </c>
      <c r="D2238" s="9" t="s">
        <v>870</v>
      </c>
      <c r="E2238" s="9" t="s">
        <v>49</v>
      </c>
      <c r="F2238" s="9" t="s">
        <v>69</v>
      </c>
      <c r="G2238" s="9" t="s">
        <v>70</v>
      </c>
      <c r="H2238" s="9" t="s">
        <v>7452</v>
      </c>
      <c r="I2238" s="9" t="s">
        <v>72</v>
      </c>
      <c r="J2238" s="10"/>
      <c r="K2238" s="10"/>
      <c r="L2238" s="10">
        <v>45145</v>
      </c>
      <c r="M2238" s="10"/>
      <c r="N2238" s="9">
        <v>2023</v>
      </c>
      <c r="O2238" s="9" t="s">
        <v>11233</v>
      </c>
      <c r="P2238" s="9" t="s">
        <v>53</v>
      </c>
      <c r="Q2238" s="9" t="s">
        <v>53</v>
      </c>
      <c r="S2238" s="9"/>
      <c r="T2238" s="9"/>
      <c r="V2238" s="9"/>
      <c r="AH2238" s="18">
        <v>3260</v>
      </c>
      <c r="AI2238" s="9" t="s">
        <v>875</v>
      </c>
      <c r="AJ2238" s="9" t="s">
        <v>301</v>
      </c>
      <c r="AK2238" s="23" t="str">
        <f t="shared" si="16"/>
        <v>2023GBP</v>
      </c>
      <c r="AL2238" s="23">
        <f>VLOOKUP(AK2238, Exchange_rates!$C:$D, 2, FALSE)</f>
        <v>1</v>
      </c>
      <c r="AM2238" s="26">
        <f t="shared" si="17"/>
        <v>3912</v>
      </c>
      <c r="AN2238" s="9"/>
      <c r="AO2238" s="9"/>
      <c r="AP2238" s="9"/>
      <c r="AQ2238" s="15" t="s">
        <v>49</v>
      </c>
      <c r="AS2238" s="16" t="s">
        <v>7509</v>
      </c>
    </row>
    <row r="2239" spans="1:60" ht="14.5">
      <c r="A2239" s="9" t="s">
        <v>11272</v>
      </c>
      <c r="B2239" s="9" t="s">
        <v>11273</v>
      </c>
      <c r="C2239" s="9" t="s">
        <v>934</v>
      </c>
      <c r="D2239" s="9" t="s">
        <v>870</v>
      </c>
      <c r="E2239" s="9" t="s">
        <v>49</v>
      </c>
      <c r="F2239" s="9" t="s">
        <v>69</v>
      </c>
      <c r="G2239" s="9" t="s">
        <v>70</v>
      </c>
      <c r="H2239" s="9" t="s">
        <v>7452</v>
      </c>
      <c r="I2239" s="9" t="s">
        <v>72</v>
      </c>
      <c r="J2239" s="10"/>
      <c r="K2239" s="10"/>
      <c r="L2239" s="10">
        <v>45246</v>
      </c>
      <c r="M2239" s="10"/>
      <c r="N2239" s="9">
        <v>2023</v>
      </c>
      <c r="O2239" s="9" t="s">
        <v>11233</v>
      </c>
      <c r="P2239" s="9" t="s">
        <v>53</v>
      </c>
      <c r="Q2239" s="9" t="s">
        <v>53</v>
      </c>
      <c r="S2239" s="9"/>
      <c r="T2239" s="9"/>
      <c r="V2239" s="9"/>
      <c r="AH2239" s="18">
        <v>1200</v>
      </c>
      <c r="AI2239" s="9" t="s">
        <v>875</v>
      </c>
      <c r="AJ2239" s="9" t="s">
        <v>301</v>
      </c>
      <c r="AK2239" s="23" t="str">
        <f t="shared" si="16"/>
        <v>2023GBP</v>
      </c>
      <c r="AL2239" s="23">
        <f>VLOOKUP(AK2239, Exchange_rates!$C:$D, 2, FALSE)</f>
        <v>1</v>
      </c>
      <c r="AM2239" s="26">
        <f t="shared" si="17"/>
        <v>1440</v>
      </c>
      <c r="AN2239" s="9"/>
      <c r="AO2239" s="9"/>
      <c r="AP2239" s="9"/>
      <c r="AQ2239" s="15" t="s">
        <v>49</v>
      </c>
      <c r="AS2239" s="16" t="s">
        <v>937</v>
      </c>
    </row>
    <row r="2240" spans="1:60" ht="14.5">
      <c r="A2240" s="9" t="s">
        <v>11274</v>
      </c>
      <c r="B2240" s="9" t="s">
        <v>11275</v>
      </c>
      <c r="C2240" s="9" t="s">
        <v>1091</v>
      </c>
      <c r="D2240" s="9" t="s">
        <v>870</v>
      </c>
      <c r="E2240" s="9" t="s">
        <v>49</v>
      </c>
      <c r="F2240" s="9" t="s">
        <v>69</v>
      </c>
      <c r="G2240" s="9" t="s">
        <v>70</v>
      </c>
      <c r="H2240" s="9" t="s">
        <v>7452</v>
      </c>
      <c r="I2240" s="9" t="s">
        <v>72</v>
      </c>
      <c r="J2240" s="10"/>
      <c r="K2240" s="10"/>
      <c r="L2240" s="10">
        <v>45148</v>
      </c>
      <c r="M2240" s="10"/>
      <c r="N2240" s="9">
        <v>2023</v>
      </c>
      <c r="O2240" s="9" t="s">
        <v>11233</v>
      </c>
      <c r="P2240" s="9" t="s">
        <v>53</v>
      </c>
      <c r="Q2240" s="9" t="s">
        <v>53</v>
      </c>
      <c r="R2240" s="9">
        <v>202208890030</v>
      </c>
      <c r="S2240" s="9"/>
      <c r="T2240" s="9"/>
      <c r="V2240" s="9"/>
      <c r="AH2240" s="18">
        <v>3100</v>
      </c>
      <c r="AI2240" s="9" t="s">
        <v>875</v>
      </c>
      <c r="AJ2240" s="9" t="s">
        <v>301</v>
      </c>
      <c r="AK2240" s="23" t="str">
        <f t="shared" si="16"/>
        <v>2023GBP</v>
      </c>
      <c r="AL2240" s="23">
        <f>VLOOKUP(AK2240, Exchange_rates!$C:$D, 2, FALSE)</f>
        <v>1</v>
      </c>
      <c r="AM2240" s="26">
        <f t="shared" si="17"/>
        <v>3720</v>
      </c>
      <c r="AN2240" s="9"/>
      <c r="AO2240" s="9"/>
      <c r="AP2240" s="9"/>
      <c r="AQ2240" s="15" t="s">
        <v>49</v>
      </c>
      <c r="AS2240" s="16" t="s">
        <v>1094</v>
      </c>
    </row>
    <row r="2241" spans="1:45" ht="14.5">
      <c r="A2241" s="9" t="s">
        <v>11276</v>
      </c>
      <c r="B2241" s="9" t="s">
        <v>11277</v>
      </c>
      <c r="C2241" s="9" t="s">
        <v>11278</v>
      </c>
      <c r="D2241" s="9" t="s">
        <v>870</v>
      </c>
      <c r="E2241" s="9" t="s">
        <v>125</v>
      </c>
      <c r="F2241" s="9" t="s">
        <v>69</v>
      </c>
      <c r="G2241" s="9" t="s">
        <v>51</v>
      </c>
      <c r="H2241" s="9"/>
      <c r="I2241" s="9" t="s">
        <v>72</v>
      </c>
      <c r="J2241" s="10"/>
      <c r="K2241" s="10"/>
      <c r="L2241" s="10">
        <v>45155</v>
      </c>
      <c r="M2241" s="10"/>
      <c r="N2241" s="9">
        <v>2023</v>
      </c>
      <c r="O2241" s="9" t="s">
        <v>11233</v>
      </c>
      <c r="P2241" s="9" t="s">
        <v>53</v>
      </c>
      <c r="Q2241" s="9" t="s">
        <v>53</v>
      </c>
      <c r="S2241" s="9"/>
      <c r="T2241" s="9" t="s">
        <v>279</v>
      </c>
      <c r="U2241" s="9" t="s">
        <v>11241</v>
      </c>
      <c r="V2241" s="9"/>
      <c r="AH2241" s="30">
        <v>1600</v>
      </c>
      <c r="AI2241" s="9" t="s">
        <v>77</v>
      </c>
      <c r="AJ2241" s="9" t="s">
        <v>301</v>
      </c>
      <c r="AK2241" s="23" t="str">
        <f t="shared" si="16"/>
        <v>2023GBP</v>
      </c>
      <c r="AL2241" s="23">
        <f>VLOOKUP(AK2241, Exchange_rates!$C:$D, 2, FALSE)</f>
        <v>1</v>
      </c>
      <c r="AM2241" s="26">
        <f t="shared" si="17"/>
        <v>1920</v>
      </c>
      <c r="AN2241" s="9"/>
      <c r="AO2241" s="9"/>
      <c r="AP2241" s="9"/>
      <c r="AQ2241" s="15" t="s">
        <v>125</v>
      </c>
      <c r="AR2241" t="s">
        <v>11279</v>
      </c>
      <c r="AS2241" s="16"/>
    </row>
    <row r="2242" spans="1:45" ht="14.5">
      <c r="A2242" s="9" t="s">
        <v>11280</v>
      </c>
      <c r="B2242" s="9" t="s">
        <v>11281</v>
      </c>
      <c r="C2242" s="9" t="s">
        <v>1109</v>
      </c>
      <c r="D2242" s="9" t="s">
        <v>870</v>
      </c>
      <c r="E2242" s="9" t="s">
        <v>49</v>
      </c>
      <c r="F2242" s="9" t="s">
        <v>69</v>
      </c>
      <c r="G2242" s="9" t="s">
        <v>70</v>
      </c>
      <c r="H2242" s="9" t="s">
        <v>7452</v>
      </c>
      <c r="I2242" s="9" t="s">
        <v>72</v>
      </c>
      <c r="J2242" s="10"/>
      <c r="K2242" s="10"/>
      <c r="L2242" s="10">
        <v>45155</v>
      </c>
      <c r="M2242" s="10"/>
      <c r="N2242" s="9">
        <v>2023</v>
      </c>
      <c r="O2242" s="9" t="s">
        <v>11233</v>
      </c>
      <c r="P2242" s="9" t="s">
        <v>53</v>
      </c>
      <c r="Q2242" s="9" t="s">
        <v>53</v>
      </c>
      <c r="S2242" s="9"/>
      <c r="T2242" s="9"/>
      <c r="V2242" s="9"/>
      <c r="AH2242" s="18">
        <v>2670</v>
      </c>
      <c r="AI2242" s="9" t="s">
        <v>875</v>
      </c>
      <c r="AJ2242" s="9" t="s">
        <v>301</v>
      </c>
      <c r="AK2242" s="23" t="str">
        <f t="shared" si="16"/>
        <v>2023GBP</v>
      </c>
      <c r="AL2242" s="23">
        <f>VLOOKUP(AK2242, Exchange_rates!$C:$D, 2, FALSE)</f>
        <v>1</v>
      </c>
      <c r="AM2242" s="26">
        <f t="shared" si="17"/>
        <v>3204</v>
      </c>
      <c r="AN2242" s="9"/>
      <c r="AO2242" s="9"/>
      <c r="AP2242" s="9"/>
      <c r="AQ2242" s="15" t="s">
        <v>49</v>
      </c>
      <c r="AS2242" s="16" t="s">
        <v>1112</v>
      </c>
    </row>
    <row r="2243" spans="1:45" ht="14.5">
      <c r="A2243" s="9" t="s">
        <v>11282</v>
      </c>
      <c r="B2243" s="9" t="s">
        <v>11283</v>
      </c>
      <c r="C2243" s="9" t="s">
        <v>11284</v>
      </c>
      <c r="D2243" s="9" t="s">
        <v>870</v>
      </c>
      <c r="E2243" s="9" t="s">
        <v>49</v>
      </c>
      <c r="F2243" s="9" t="s">
        <v>69</v>
      </c>
      <c r="G2243" s="9" t="s">
        <v>70</v>
      </c>
      <c r="H2243" s="9" t="s">
        <v>7452</v>
      </c>
      <c r="I2243" s="9" t="s">
        <v>72</v>
      </c>
      <c r="J2243" s="10"/>
      <c r="K2243" s="10"/>
      <c r="L2243" s="10">
        <v>45168</v>
      </c>
      <c r="M2243" s="10"/>
      <c r="N2243" s="9">
        <v>2023</v>
      </c>
      <c r="O2243" s="9" t="s">
        <v>11233</v>
      </c>
      <c r="P2243" s="9" t="s">
        <v>53</v>
      </c>
      <c r="Q2243" s="9" t="s">
        <v>53</v>
      </c>
      <c r="S2243" s="9"/>
      <c r="T2243" s="9"/>
      <c r="V2243" s="9"/>
      <c r="AH2243" s="18">
        <v>3030</v>
      </c>
      <c r="AI2243" s="9" t="s">
        <v>875</v>
      </c>
      <c r="AJ2243" s="9" t="s">
        <v>301</v>
      </c>
      <c r="AK2243" s="23" t="str">
        <f t="shared" si="16"/>
        <v>2023GBP</v>
      </c>
      <c r="AL2243" s="23">
        <f>VLOOKUP(AK2243, Exchange_rates!$C:$D, 2, FALSE)</f>
        <v>1</v>
      </c>
      <c r="AM2243" s="26">
        <f t="shared" si="17"/>
        <v>3636</v>
      </c>
      <c r="AN2243" s="9"/>
      <c r="AO2243" s="9"/>
      <c r="AP2243" s="9"/>
      <c r="AQ2243" s="15" t="s">
        <v>49</v>
      </c>
      <c r="AS2243" s="16" t="s">
        <v>11285</v>
      </c>
    </row>
    <row r="2244" spans="1:45" ht="14.5">
      <c r="A2244" s="9" t="s">
        <v>11286</v>
      </c>
      <c r="B2244" s="9" t="s">
        <v>11287</v>
      </c>
      <c r="C2244" s="9" t="s">
        <v>7989</v>
      </c>
      <c r="D2244" s="9" t="s">
        <v>870</v>
      </c>
      <c r="E2244" s="9" t="s">
        <v>49</v>
      </c>
      <c r="F2244" s="9" t="s">
        <v>69</v>
      </c>
      <c r="G2244" s="9" t="s">
        <v>70</v>
      </c>
      <c r="H2244" s="9" t="s">
        <v>7452</v>
      </c>
      <c r="I2244" s="9" t="s">
        <v>72</v>
      </c>
      <c r="J2244" s="10"/>
      <c r="K2244" s="10"/>
      <c r="L2244" s="10">
        <v>45180</v>
      </c>
      <c r="M2244" s="10"/>
      <c r="N2244" s="9">
        <v>2023</v>
      </c>
      <c r="O2244" s="9" t="s">
        <v>11233</v>
      </c>
      <c r="P2244" s="9" t="s">
        <v>83</v>
      </c>
      <c r="Q2244" s="9" t="s">
        <v>53</v>
      </c>
      <c r="R2244" s="9" t="s">
        <v>11288</v>
      </c>
      <c r="S2244" s="9"/>
      <c r="T2244" s="9"/>
      <c r="V2244" s="9"/>
      <c r="AH2244" s="18">
        <v>2790</v>
      </c>
      <c r="AI2244" s="9" t="s">
        <v>875</v>
      </c>
      <c r="AJ2244" s="9" t="s">
        <v>301</v>
      </c>
      <c r="AK2244" s="23" t="str">
        <f t="shared" si="16"/>
        <v>2023GBP</v>
      </c>
      <c r="AL2244" s="23">
        <f>VLOOKUP(AK2244, Exchange_rates!$C:$D, 2, FALSE)</f>
        <v>1</v>
      </c>
      <c r="AM2244" s="26">
        <f t="shared" si="17"/>
        <v>3348</v>
      </c>
      <c r="AN2244" s="9"/>
      <c r="AO2244" s="9"/>
      <c r="AP2244" s="9"/>
      <c r="AQ2244" s="15" t="s">
        <v>49</v>
      </c>
      <c r="AS2244" s="16" t="s">
        <v>7991</v>
      </c>
    </row>
    <row r="2245" spans="1:45" ht="14.5">
      <c r="A2245" s="9" t="s">
        <v>11289</v>
      </c>
      <c r="B2245" s="9" t="s">
        <v>11290</v>
      </c>
      <c r="C2245" s="9" t="s">
        <v>7518</v>
      </c>
      <c r="D2245" s="9" t="s">
        <v>870</v>
      </c>
      <c r="E2245" s="9" t="s">
        <v>49</v>
      </c>
      <c r="F2245" s="9" t="s">
        <v>69</v>
      </c>
      <c r="G2245" s="9" t="s">
        <v>70</v>
      </c>
      <c r="H2245" s="9" t="s">
        <v>7452</v>
      </c>
      <c r="I2245" s="9" t="s">
        <v>72</v>
      </c>
      <c r="J2245" s="10"/>
      <c r="K2245" s="10"/>
      <c r="L2245" s="10">
        <v>45180</v>
      </c>
      <c r="M2245" s="10"/>
      <c r="N2245" s="9">
        <v>2023</v>
      </c>
      <c r="O2245" s="9" t="s">
        <v>11233</v>
      </c>
      <c r="P2245" s="9" t="s">
        <v>53</v>
      </c>
      <c r="Q2245" s="9" t="s">
        <v>53</v>
      </c>
      <c r="S2245" s="9"/>
      <c r="T2245" s="9"/>
      <c r="V2245" s="9"/>
      <c r="AH2245" s="18">
        <v>2420</v>
      </c>
      <c r="AI2245" s="9" t="s">
        <v>875</v>
      </c>
      <c r="AJ2245" s="9" t="s">
        <v>301</v>
      </c>
      <c r="AK2245" s="23" t="str">
        <f t="shared" si="16"/>
        <v>2023GBP</v>
      </c>
      <c r="AL2245" s="23">
        <f>VLOOKUP(AK2245, Exchange_rates!$C:$D, 2, FALSE)</f>
        <v>1</v>
      </c>
      <c r="AM2245" s="26">
        <f t="shared" si="17"/>
        <v>2904</v>
      </c>
      <c r="AN2245" s="9"/>
      <c r="AO2245" s="9"/>
      <c r="AP2245" s="9"/>
      <c r="AQ2245" s="15" t="s">
        <v>49</v>
      </c>
      <c r="AS2245" s="16" t="s">
        <v>7521</v>
      </c>
    </row>
    <row r="2246" spans="1:45" ht="14.5">
      <c r="A2246" s="9" t="s">
        <v>11291</v>
      </c>
      <c r="B2246" s="9" t="s">
        <v>11292</v>
      </c>
      <c r="C2246" s="9" t="s">
        <v>11293</v>
      </c>
      <c r="D2246" s="9" t="s">
        <v>870</v>
      </c>
      <c r="E2246" s="9" t="s">
        <v>49</v>
      </c>
      <c r="F2246" s="9" t="s">
        <v>69</v>
      </c>
      <c r="G2246" s="9" t="s">
        <v>70</v>
      </c>
      <c r="H2246" s="9" t="s">
        <v>7452</v>
      </c>
      <c r="I2246" s="9" t="s">
        <v>72</v>
      </c>
      <c r="J2246" s="10"/>
      <c r="K2246" s="10"/>
      <c r="L2246" s="10">
        <v>45201</v>
      </c>
      <c r="M2246" s="10"/>
      <c r="N2246" s="9">
        <v>2023</v>
      </c>
      <c r="O2246" s="9" t="s">
        <v>11233</v>
      </c>
      <c r="P2246" s="9" t="s">
        <v>83</v>
      </c>
      <c r="Q2246" s="9" t="s">
        <v>53</v>
      </c>
      <c r="R2246" s="9" t="s">
        <v>11294</v>
      </c>
      <c r="S2246" s="9"/>
      <c r="T2246" s="9"/>
      <c r="V2246" s="9"/>
      <c r="AH2246" s="18">
        <v>2510</v>
      </c>
      <c r="AI2246" s="9" t="s">
        <v>875</v>
      </c>
      <c r="AJ2246" s="9" t="s">
        <v>301</v>
      </c>
      <c r="AK2246" s="23" t="str">
        <f t="shared" si="16"/>
        <v>2023GBP</v>
      </c>
      <c r="AL2246" s="23">
        <f>VLOOKUP(AK2246, Exchange_rates!$C:$D, 2, FALSE)</f>
        <v>1</v>
      </c>
      <c r="AM2246" s="26">
        <f t="shared" si="17"/>
        <v>3012</v>
      </c>
      <c r="AN2246" s="9"/>
      <c r="AO2246" s="9"/>
      <c r="AP2246" s="9"/>
      <c r="AQ2246" s="15" t="s">
        <v>49</v>
      </c>
      <c r="AS2246" s="16" t="s">
        <v>11295</v>
      </c>
    </row>
    <row r="2247" spans="1:45" ht="14.5">
      <c r="A2247" s="9" t="s">
        <v>11296</v>
      </c>
      <c r="B2247" s="9" t="s">
        <v>11297</v>
      </c>
      <c r="C2247" s="9" t="s">
        <v>9363</v>
      </c>
      <c r="D2247" s="9" t="s">
        <v>870</v>
      </c>
      <c r="E2247" s="9" t="s">
        <v>49</v>
      </c>
      <c r="F2247" s="9" t="s">
        <v>69</v>
      </c>
      <c r="G2247" s="9" t="s">
        <v>70</v>
      </c>
      <c r="H2247" s="9" t="s">
        <v>7452</v>
      </c>
      <c r="I2247" s="9" t="s">
        <v>72</v>
      </c>
      <c r="J2247" s="10"/>
      <c r="K2247" s="10"/>
      <c r="L2247" s="10">
        <v>45187</v>
      </c>
      <c r="M2247" s="10"/>
      <c r="N2247" s="9">
        <v>2023</v>
      </c>
      <c r="O2247" s="9" t="s">
        <v>11233</v>
      </c>
      <c r="P2247" s="9" t="s">
        <v>83</v>
      </c>
      <c r="Q2247" s="9" t="s">
        <v>53</v>
      </c>
      <c r="R2247" s="9" t="s">
        <v>11298</v>
      </c>
      <c r="S2247" s="9"/>
      <c r="T2247" s="9"/>
      <c r="V2247" s="9"/>
      <c r="AH2247" s="18">
        <v>2910</v>
      </c>
      <c r="AI2247" s="9" t="s">
        <v>875</v>
      </c>
      <c r="AJ2247" s="9" t="s">
        <v>301</v>
      </c>
      <c r="AK2247" s="23" t="str">
        <f t="shared" si="16"/>
        <v>2023GBP</v>
      </c>
      <c r="AL2247" s="23">
        <f>VLOOKUP(AK2247, Exchange_rates!$C:$D, 2, FALSE)</f>
        <v>1</v>
      </c>
      <c r="AM2247" s="26">
        <f t="shared" si="17"/>
        <v>3492</v>
      </c>
      <c r="AN2247" s="9"/>
      <c r="AO2247" s="9"/>
      <c r="AP2247" s="9"/>
      <c r="AQ2247" s="15" t="s">
        <v>49</v>
      </c>
      <c r="AS2247" s="16" t="s">
        <v>9366</v>
      </c>
    </row>
    <row r="2248" spans="1:45" ht="14.5">
      <c r="A2248" s="9" t="s">
        <v>11299</v>
      </c>
      <c r="B2248" s="9" t="s">
        <v>11300</v>
      </c>
      <c r="C2248" s="9" t="s">
        <v>1013</v>
      </c>
      <c r="D2248" s="9" t="s">
        <v>870</v>
      </c>
      <c r="E2248" s="9" t="s">
        <v>49</v>
      </c>
      <c r="F2248" s="9" t="s">
        <v>69</v>
      </c>
      <c r="G2248" s="9" t="s">
        <v>70</v>
      </c>
      <c r="H2248" s="9" t="s">
        <v>7452</v>
      </c>
      <c r="I2248" s="9" t="s">
        <v>72</v>
      </c>
      <c r="J2248" s="10"/>
      <c r="K2248" s="10"/>
      <c r="L2248" s="10">
        <v>45187</v>
      </c>
      <c r="M2248" s="10"/>
      <c r="N2248" s="9">
        <v>2023</v>
      </c>
      <c r="O2248" s="9" t="s">
        <v>11233</v>
      </c>
      <c r="P2248" s="9" t="s">
        <v>53</v>
      </c>
      <c r="Q2248" s="9" t="s">
        <v>53</v>
      </c>
      <c r="R2248" s="9" t="s">
        <v>11301</v>
      </c>
      <c r="S2248" s="9"/>
      <c r="T2248" s="9"/>
      <c r="V2248" s="9"/>
      <c r="AH2248" s="18">
        <v>1200</v>
      </c>
      <c r="AI2248" s="9" t="s">
        <v>875</v>
      </c>
      <c r="AJ2248" s="9" t="s">
        <v>301</v>
      </c>
      <c r="AK2248" s="23" t="str">
        <f t="shared" si="16"/>
        <v>2023GBP</v>
      </c>
      <c r="AL2248" s="23">
        <f>VLOOKUP(AK2248, Exchange_rates!$C:$D, 2, FALSE)</f>
        <v>1</v>
      </c>
      <c r="AM2248" s="26">
        <f t="shared" si="17"/>
        <v>1440</v>
      </c>
      <c r="AN2248" s="9"/>
      <c r="AO2248" s="9"/>
      <c r="AP2248" s="9"/>
      <c r="AQ2248" s="15" t="s">
        <v>49</v>
      </c>
      <c r="AS2248" s="16" t="s">
        <v>1016</v>
      </c>
    </row>
    <row r="2249" spans="1:45" ht="14.5">
      <c r="A2249" s="9" t="s">
        <v>11302</v>
      </c>
      <c r="B2249" s="9" t="s">
        <v>11303</v>
      </c>
      <c r="C2249" s="9" t="s">
        <v>9319</v>
      </c>
      <c r="D2249" s="9" t="s">
        <v>870</v>
      </c>
      <c r="E2249" s="9" t="s">
        <v>49</v>
      </c>
      <c r="F2249" s="9" t="s">
        <v>69</v>
      </c>
      <c r="G2249" s="9" t="s">
        <v>70</v>
      </c>
      <c r="H2249" s="9" t="s">
        <v>7452</v>
      </c>
      <c r="I2249" s="9" t="s">
        <v>72</v>
      </c>
      <c r="J2249" s="10"/>
      <c r="K2249" s="10"/>
      <c r="L2249" s="10">
        <v>45190</v>
      </c>
      <c r="M2249" s="10"/>
      <c r="N2249" s="9">
        <v>2023</v>
      </c>
      <c r="O2249" s="9" t="s">
        <v>11233</v>
      </c>
      <c r="P2249" s="9" t="s">
        <v>53</v>
      </c>
      <c r="Q2249" s="9" t="s">
        <v>53</v>
      </c>
      <c r="R2249" s="9" t="s">
        <v>11304</v>
      </c>
      <c r="S2249" s="9"/>
      <c r="T2249" s="9"/>
      <c r="V2249" s="9"/>
      <c r="AH2249" s="18">
        <v>2860</v>
      </c>
      <c r="AI2249" s="9" t="s">
        <v>875</v>
      </c>
      <c r="AJ2249" s="9" t="s">
        <v>301</v>
      </c>
      <c r="AK2249" s="23" t="str">
        <f t="shared" si="16"/>
        <v>2023GBP</v>
      </c>
      <c r="AL2249" s="23">
        <f>VLOOKUP(AK2249, Exchange_rates!$C:$D, 2, FALSE)</f>
        <v>1</v>
      </c>
      <c r="AM2249" s="26">
        <f t="shared" si="17"/>
        <v>3432</v>
      </c>
      <c r="AN2249" s="9"/>
      <c r="AO2249" s="9"/>
      <c r="AP2249" s="9"/>
      <c r="AQ2249" s="15" t="s">
        <v>49</v>
      </c>
      <c r="AS2249" s="16" t="s">
        <v>9322</v>
      </c>
    </row>
    <row r="2250" spans="1:45" ht="14.5">
      <c r="A2250" s="9" t="s">
        <v>11305</v>
      </c>
      <c r="B2250" s="9" t="s">
        <v>11306</v>
      </c>
      <c r="C2250" s="9" t="s">
        <v>7670</v>
      </c>
      <c r="D2250" s="9" t="s">
        <v>870</v>
      </c>
      <c r="E2250" s="9" t="s">
        <v>49</v>
      </c>
      <c r="F2250" s="9" t="s">
        <v>69</v>
      </c>
      <c r="G2250" s="9" t="s">
        <v>70</v>
      </c>
      <c r="H2250" s="9" t="s">
        <v>7452</v>
      </c>
      <c r="I2250" s="9" t="s">
        <v>72</v>
      </c>
      <c r="J2250" s="10"/>
      <c r="K2250" s="10"/>
      <c r="L2250" s="10">
        <v>45201</v>
      </c>
      <c r="M2250" s="10"/>
      <c r="N2250" s="9">
        <v>2023</v>
      </c>
      <c r="O2250" s="9" t="s">
        <v>11233</v>
      </c>
      <c r="P2250" s="9" t="s">
        <v>83</v>
      </c>
      <c r="Q2250" s="9" t="s">
        <v>53</v>
      </c>
      <c r="R2250" s="9" t="s">
        <v>11307</v>
      </c>
      <c r="S2250" s="9"/>
      <c r="T2250" s="9"/>
      <c r="V2250" s="9"/>
      <c r="AH2250" s="18">
        <v>2310</v>
      </c>
      <c r="AI2250" s="9" t="s">
        <v>875</v>
      </c>
      <c r="AJ2250" s="9" t="s">
        <v>301</v>
      </c>
      <c r="AK2250" s="23" t="str">
        <f t="shared" si="16"/>
        <v>2023GBP</v>
      </c>
      <c r="AL2250" s="23">
        <f>VLOOKUP(AK2250, Exchange_rates!$C:$D, 2, FALSE)</f>
        <v>1</v>
      </c>
      <c r="AM2250" s="26">
        <f t="shared" si="17"/>
        <v>2772</v>
      </c>
      <c r="AN2250" s="9"/>
      <c r="AO2250" s="9"/>
      <c r="AP2250" s="9"/>
      <c r="AQ2250" s="15" t="s">
        <v>49</v>
      </c>
      <c r="AS2250" s="16" t="s">
        <v>7673</v>
      </c>
    </row>
    <row r="2251" spans="1:45" ht="14.5">
      <c r="A2251" s="9" t="s">
        <v>11308</v>
      </c>
      <c r="B2251" s="9" t="s">
        <v>11309</v>
      </c>
      <c r="C2251" s="9" t="s">
        <v>11310</v>
      </c>
      <c r="D2251" s="9" t="s">
        <v>870</v>
      </c>
      <c r="E2251" s="9" t="s">
        <v>49</v>
      </c>
      <c r="F2251" s="9" t="s">
        <v>69</v>
      </c>
      <c r="G2251" s="9" t="s">
        <v>70</v>
      </c>
      <c r="H2251" s="9" t="s">
        <v>7452</v>
      </c>
      <c r="I2251" s="9" t="s">
        <v>291</v>
      </c>
      <c r="J2251" s="10"/>
      <c r="K2251" s="10"/>
      <c r="L2251" s="10">
        <v>45194</v>
      </c>
      <c r="M2251" s="10"/>
      <c r="N2251" s="9">
        <v>2023</v>
      </c>
      <c r="O2251" s="9" t="s">
        <v>11233</v>
      </c>
      <c r="P2251" s="9" t="s">
        <v>53</v>
      </c>
      <c r="Q2251" s="9" t="s">
        <v>53</v>
      </c>
      <c r="S2251" s="9"/>
      <c r="T2251" s="9"/>
      <c r="V2251" s="9"/>
      <c r="AH2251" s="18">
        <v>2690</v>
      </c>
      <c r="AI2251" s="9" t="s">
        <v>875</v>
      </c>
      <c r="AJ2251" s="9" t="s">
        <v>301</v>
      </c>
      <c r="AK2251" s="23" t="str">
        <f t="shared" si="16"/>
        <v>2023GBP</v>
      </c>
      <c r="AL2251" s="23">
        <f>VLOOKUP(AK2251, Exchange_rates!$C:$D, 2, FALSE)</f>
        <v>1</v>
      </c>
      <c r="AM2251" s="26">
        <f t="shared" si="17"/>
        <v>3228</v>
      </c>
      <c r="AN2251" s="9"/>
      <c r="AO2251" s="9"/>
      <c r="AP2251" s="9"/>
      <c r="AQ2251" s="15" t="s">
        <v>49</v>
      </c>
      <c r="AS2251" s="16" t="s">
        <v>11311</v>
      </c>
    </row>
    <row r="2252" spans="1:45" ht="14.5">
      <c r="A2252" s="9" t="s">
        <v>11312</v>
      </c>
      <c r="B2252" s="9" t="s">
        <v>11313</v>
      </c>
      <c r="C2252" s="9" t="s">
        <v>9218</v>
      </c>
      <c r="D2252" s="9" t="s">
        <v>870</v>
      </c>
      <c r="E2252" s="9" t="s">
        <v>49</v>
      </c>
      <c r="F2252" s="9" t="s">
        <v>69</v>
      </c>
      <c r="G2252" s="9" t="s">
        <v>70</v>
      </c>
      <c r="H2252" s="9" t="s">
        <v>7452</v>
      </c>
      <c r="I2252" s="9" t="s">
        <v>238</v>
      </c>
      <c r="J2252" s="10"/>
      <c r="K2252" s="10"/>
      <c r="L2252" s="10">
        <v>45194</v>
      </c>
      <c r="M2252" s="10"/>
      <c r="N2252" s="9">
        <v>2023</v>
      </c>
      <c r="O2252" s="9" t="s">
        <v>11233</v>
      </c>
      <c r="P2252" s="9" t="s">
        <v>53</v>
      </c>
      <c r="Q2252" s="9" t="s">
        <v>53</v>
      </c>
      <c r="R2252" s="9" t="s">
        <v>11314</v>
      </c>
      <c r="S2252" s="9"/>
      <c r="T2252" s="9"/>
      <c r="V2252" s="9"/>
      <c r="AH2252" s="18">
        <v>2980</v>
      </c>
      <c r="AI2252" s="9" t="s">
        <v>875</v>
      </c>
      <c r="AJ2252" s="9" t="s">
        <v>301</v>
      </c>
      <c r="AK2252" s="23" t="str">
        <f t="shared" si="16"/>
        <v>2023GBP</v>
      </c>
      <c r="AL2252" s="23">
        <f>VLOOKUP(AK2252, Exchange_rates!$C:$D, 2, FALSE)</f>
        <v>1</v>
      </c>
      <c r="AM2252" s="26">
        <f t="shared" si="17"/>
        <v>3576</v>
      </c>
      <c r="AN2252" s="9"/>
      <c r="AO2252" s="9"/>
      <c r="AP2252" s="9"/>
      <c r="AQ2252" s="15" t="s">
        <v>49</v>
      </c>
      <c r="AS2252" s="16" t="s">
        <v>9221</v>
      </c>
    </row>
    <row r="2253" spans="1:45" ht="14.5">
      <c r="A2253" s="9" t="s">
        <v>11315</v>
      </c>
      <c r="B2253" s="9" t="s">
        <v>11316</v>
      </c>
      <c r="C2253" s="9" t="s">
        <v>11317</v>
      </c>
      <c r="D2253" s="9" t="s">
        <v>870</v>
      </c>
      <c r="E2253" s="9" t="s">
        <v>49</v>
      </c>
      <c r="F2253" s="9" t="s">
        <v>69</v>
      </c>
      <c r="G2253" s="9" t="s">
        <v>70</v>
      </c>
      <c r="H2253" s="9" t="s">
        <v>7452</v>
      </c>
      <c r="I2253" s="9" t="s">
        <v>72</v>
      </c>
      <c r="J2253" s="10"/>
      <c r="K2253" s="10"/>
      <c r="L2253" s="10">
        <v>45250</v>
      </c>
      <c r="M2253" s="10"/>
      <c r="N2253" s="9">
        <v>2023</v>
      </c>
      <c r="O2253" s="9" t="s">
        <v>11233</v>
      </c>
      <c r="P2253" s="9" t="s">
        <v>53</v>
      </c>
      <c r="Q2253" s="9" t="s">
        <v>53</v>
      </c>
      <c r="R2253" s="9">
        <v>838816</v>
      </c>
      <c r="S2253" s="9"/>
      <c r="T2253" s="9"/>
      <c r="V2253" s="9"/>
      <c r="AH2253" s="18">
        <v>2430</v>
      </c>
      <c r="AI2253" s="9" t="s">
        <v>875</v>
      </c>
      <c r="AJ2253" s="9" t="s">
        <v>301</v>
      </c>
      <c r="AK2253" s="23" t="str">
        <f t="shared" si="16"/>
        <v>2023GBP</v>
      </c>
      <c r="AL2253" s="23">
        <f>VLOOKUP(AK2253, Exchange_rates!$C:$D, 2, FALSE)</f>
        <v>1</v>
      </c>
      <c r="AM2253" s="26">
        <f t="shared" si="17"/>
        <v>2916</v>
      </c>
      <c r="AN2253" s="9"/>
      <c r="AO2253" s="9"/>
      <c r="AP2253" s="9"/>
      <c r="AQ2253" s="15" t="s">
        <v>49</v>
      </c>
      <c r="AS2253" s="16" t="s">
        <v>11318</v>
      </c>
    </row>
    <row r="2254" spans="1:45" ht="14.5">
      <c r="A2254" s="9" t="s">
        <v>11319</v>
      </c>
      <c r="B2254" s="9" t="s">
        <v>11320</v>
      </c>
      <c r="C2254" s="9" t="s">
        <v>11321</v>
      </c>
      <c r="D2254" s="9" t="s">
        <v>870</v>
      </c>
      <c r="E2254" s="9" t="s">
        <v>49</v>
      </c>
      <c r="F2254" s="9" t="s">
        <v>69</v>
      </c>
      <c r="G2254" s="9" t="s">
        <v>70</v>
      </c>
      <c r="H2254" s="9" t="s">
        <v>7452</v>
      </c>
      <c r="I2254" s="9" t="s">
        <v>72</v>
      </c>
      <c r="J2254" s="10"/>
      <c r="K2254" s="10"/>
      <c r="L2254" s="10">
        <v>45197</v>
      </c>
      <c r="M2254" s="10"/>
      <c r="N2254" s="9">
        <v>2023</v>
      </c>
      <c r="O2254" s="9" t="s">
        <v>11233</v>
      </c>
      <c r="P2254" s="9" t="s">
        <v>83</v>
      </c>
      <c r="Q2254" s="9" t="s">
        <v>53</v>
      </c>
      <c r="R2254" s="9" t="s">
        <v>11322</v>
      </c>
      <c r="S2254" s="9"/>
      <c r="T2254" s="9"/>
      <c r="V2254" s="9"/>
      <c r="AH2254" s="18">
        <v>3600</v>
      </c>
      <c r="AI2254" s="9" t="s">
        <v>875</v>
      </c>
      <c r="AJ2254" s="9" t="s">
        <v>301</v>
      </c>
      <c r="AK2254" s="23" t="str">
        <f t="shared" si="16"/>
        <v>2023GBP</v>
      </c>
      <c r="AL2254" s="23">
        <f>VLOOKUP(AK2254, Exchange_rates!$C:$D, 2, FALSE)</f>
        <v>1</v>
      </c>
      <c r="AM2254" s="26">
        <f t="shared" si="17"/>
        <v>4320</v>
      </c>
      <c r="AN2254" s="9"/>
      <c r="AO2254" s="9"/>
      <c r="AP2254" s="9"/>
      <c r="AQ2254" s="15" t="s">
        <v>49</v>
      </c>
      <c r="AS2254" s="16" t="s">
        <v>11323</v>
      </c>
    </row>
    <row r="2255" spans="1:45" ht="14.5">
      <c r="A2255" s="9" t="s">
        <v>11324</v>
      </c>
      <c r="B2255" s="9" t="s">
        <v>11325</v>
      </c>
      <c r="C2255" s="9" t="s">
        <v>7512</v>
      </c>
      <c r="D2255" s="9" t="s">
        <v>870</v>
      </c>
      <c r="E2255" s="9" t="s">
        <v>125</v>
      </c>
      <c r="F2255" s="9" t="s">
        <v>69</v>
      </c>
      <c r="G2255" s="9" t="s">
        <v>51</v>
      </c>
      <c r="H2255" s="9"/>
      <c r="I2255" s="9" t="s">
        <v>72</v>
      </c>
      <c r="J2255" s="10"/>
      <c r="K2255" s="10"/>
      <c r="L2255" s="10">
        <v>45202</v>
      </c>
      <c r="M2255" s="10"/>
      <c r="N2255" s="9">
        <v>2023</v>
      </c>
      <c r="O2255" s="9" t="s">
        <v>11233</v>
      </c>
      <c r="P2255" s="9" t="s">
        <v>53</v>
      </c>
      <c r="Q2255" s="9" t="s">
        <v>83</v>
      </c>
      <c r="R2255" s="9" t="s">
        <v>11326</v>
      </c>
      <c r="S2255" s="9"/>
      <c r="T2255" s="9" t="s">
        <v>279</v>
      </c>
      <c r="U2255" s="9" t="s">
        <v>11241</v>
      </c>
      <c r="V2255" s="9"/>
      <c r="AH2255" s="30">
        <v>2520</v>
      </c>
      <c r="AI2255" s="9" t="s">
        <v>77</v>
      </c>
      <c r="AJ2255" s="9" t="s">
        <v>301</v>
      </c>
      <c r="AK2255" s="23" t="str">
        <f t="shared" si="16"/>
        <v>2023GBP</v>
      </c>
      <c r="AL2255" s="23">
        <f>VLOOKUP(AK2255, Exchange_rates!$C:$D, 2, FALSE)</f>
        <v>1</v>
      </c>
      <c r="AM2255" s="26">
        <f t="shared" si="17"/>
        <v>3024</v>
      </c>
      <c r="AN2255" s="9"/>
      <c r="AO2255" s="9"/>
      <c r="AP2255" s="9"/>
      <c r="AQ2255" s="15" t="s">
        <v>125</v>
      </c>
      <c r="AR2255" t="s">
        <v>7515</v>
      </c>
      <c r="AS2255" s="16"/>
    </row>
    <row r="2256" spans="1:45" ht="14.5">
      <c r="A2256" s="9" t="s">
        <v>11327</v>
      </c>
      <c r="B2256" s="9" t="s">
        <v>11328</v>
      </c>
      <c r="C2256" s="9" t="s">
        <v>11329</v>
      </c>
      <c r="D2256" s="9" t="s">
        <v>870</v>
      </c>
      <c r="E2256" s="9" t="s">
        <v>49</v>
      </c>
      <c r="F2256" s="9" t="s">
        <v>69</v>
      </c>
      <c r="G2256" s="9" t="s">
        <v>70</v>
      </c>
      <c r="H2256" s="9" t="s">
        <v>7452</v>
      </c>
      <c r="I2256" s="9" t="s">
        <v>72</v>
      </c>
      <c r="J2256" s="10"/>
      <c r="K2256" s="10"/>
      <c r="L2256" s="10">
        <v>45203</v>
      </c>
      <c r="M2256" s="10"/>
      <c r="N2256" s="9">
        <v>2023</v>
      </c>
      <c r="O2256" s="9" t="s">
        <v>11233</v>
      </c>
      <c r="P2256" s="9" t="s">
        <v>83</v>
      </c>
      <c r="Q2256" s="9" t="s">
        <v>53</v>
      </c>
      <c r="R2256" s="9" t="s">
        <v>11330</v>
      </c>
      <c r="S2256" s="9"/>
      <c r="T2256" s="9"/>
      <c r="V2256" s="9"/>
      <c r="AH2256" s="18">
        <v>2630</v>
      </c>
      <c r="AI2256" s="9" t="s">
        <v>875</v>
      </c>
      <c r="AJ2256" s="9" t="s">
        <v>301</v>
      </c>
      <c r="AK2256" s="23" t="str">
        <f t="shared" si="16"/>
        <v>2023GBP</v>
      </c>
      <c r="AL2256" s="23">
        <f>VLOOKUP(AK2256, Exchange_rates!$C:$D, 2, FALSE)</f>
        <v>1</v>
      </c>
      <c r="AM2256" s="26">
        <f t="shared" si="17"/>
        <v>3156</v>
      </c>
      <c r="AN2256" s="9"/>
      <c r="AO2256" s="9"/>
      <c r="AP2256" s="9"/>
      <c r="AQ2256" s="15" t="s">
        <v>49</v>
      </c>
      <c r="AS2256" s="16" t="s">
        <v>11331</v>
      </c>
    </row>
    <row r="2257" spans="1:45" ht="14.5">
      <c r="A2257" s="9" t="s">
        <v>11332</v>
      </c>
      <c r="B2257" s="9" t="s">
        <v>11333</v>
      </c>
      <c r="C2257" s="9" t="s">
        <v>7518</v>
      </c>
      <c r="D2257" s="9" t="s">
        <v>870</v>
      </c>
      <c r="E2257" s="9" t="s">
        <v>49</v>
      </c>
      <c r="F2257" s="9" t="s">
        <v>69</v>
      </c>
      <c r="G2257" s="9" t="s">
        <v>70</v>
      </c>
      <c r="H2257" s="9" t="s">
        <v>7452</v>
      </c>
      <c r="I2257" s="9" t="s">
        <v>72</v>
      </c>
      <c r="J2257" s="10"/>
      <c r="K2257" s="10"/>
      <c r="L2257" s="10">
        <v>45204</v>
      </c>
      <c r="M2257" s="10"/>
      <c r="N2257" s="9">
        <v>2023</v>
      </c>
      <c r="O2257" s="9" t="s">
        <v>11233</v>
      </c>
      <c r="P2257" s="9" t="s">
        <v>83</v>
      </c>
      <c r="Q2257" s="9" t="s">
        <v>53</v>
      </c>
      <c r="R2257" s="9" t="s">
        <v>9180</v>
      </c>
      <c r="S2257" s="9"/>
      <c r="T2257" s="9"/>
      <c r="V2257" s="9"/>
      <c r="AH2257" s="18">
        <v>2420</v>
      </c>
      <c r="AI2257" s="9" t="s">
        <v>875</v>
      </c>
      <c r="AJ2257" s="9" t="s">
        <v>301</v>
      </c>
      <c r="AK2257" s="23" t="str">
        <f t="shared" si="16"/>
        <v>2023GBP</v>
      </c>
      <c r="AL2257" s="23">
        <f>VLOOKUP(AK2257, Exchange_rates!$C:$D, 2, FALSE)</f>
        <v>1</v>
      </c>
      <c r="AM2257" s="26">
        <f t="shared" si="17"/>
        <v>2904</v>
      </c>
      <c r="AN2257" s="9"/>
      <c r="AO2257" s="9"/>
      <c r="AP2257" s="9"/>
      <c r="AQ2257" s="15" t="s">
        <v>49</v>
      </c>
      <c r="AS2257" s="16" t="s">
        <v>7521</v>
      </c>
    </row>
    <row r="2258" spans="1:45" ht="14.5">
      <c r="A2258" s="9" t="s">
        <v>11334</v>
      </c>
      <c r="B2258" s="9" t="s">
        <v>11335</v>
      </c>
      <c r="C2258" s="9" t="s">
        <v>11336</v>
      </c>
      <c r="D2258" s="9" t="s">
        <v>870</v>
      </c>
      <c r="E2258" s="9" t="s">
        <v>49</v>
      </c>
      <c r="F2258" s="9" t="s">
        <v>69</v>
      </c>
      <c r="G2258" s="9" t="s">
        <v>70</v>
      </c>
      <c r="H2258" s="9" t="s">
        <v>7452</v>
      </c>
      <c r="I2258" s="9" t="s">
        <v>72</v>
      </c>
      <c r="J2258" s="10"/>
      <c r="K2258" s="10"/>
      <c r="L2258" s="10">
        <v>45204</v>
      </c>
      <c r="M2258" s="10"/>
      <c r="N2258" s="9">
        <v>2023</v>
      </c>
      <c r="O2258" s="9" t="s">
        <v>11233</v>
      </c>
      <c r="P2258" s="9" t="s">
        <v>53</v>
      </c>
      <c r="Q2258" s="9" t="s">
        <v>53</v>
      </c>
      <c r="S2258" s="9"/>
      <c r="T2258" s="9"/>
      <c r="V2258" s="9"/>
      <c r="AH2258" s="18">
        <v>2250</v>
      </c>
      <c r="AI2258" s="9" t="s">
        <v>875</v>
      </c>
      <c r="AJ2258" s="9" t="s">
        <v>301</v>
      </c>
      <c r="AK2258" s="23" t="str">
        <f t="shared" si="16"/>
        <v>2023GBP</v>
      </c>
      <c r="AL2258" s="23">
        <f>VLOOKUP(AK2258, Exchange_rates!$C:$D, 2, FALSE)</f>
        <v>1</v>
      </c>
      <c r="AM2258" s="26">
        <f t="shared" si="17"/>
        <v>2700</v>
      </c>
      <c r="AN2258" s="9"/>
      <c r="AO2258" s="9"/>
      <c r="AP2258" s="9"/>
      <c r="AQ2258" s="15" t="s">
        <v>49</v>
      </c>
      <c r="AS2258" s="16" t="s">
        <v>11337</v>
      </c>
    </row>
    <row r="2259" spans="1:45" ht="14.5">
      <c r="A2259" s="9" t="s">
        <v>11338</v>
      </c>
      <c r="B2259" s="9" t="s">
        <v>11339</v>
      </c>
      <c r="C2259" s="9" t="s">
        <v>934</v>
      </c>
      <c r="D2259" s="9" t="s">
        <v>870</v>
      </c>
      <c r="E2259" s="9" t="s">
        <v>49</v>
      </c>
      <c r="F2259" s="9" t="s">
        <v>69</v>
      </c>
      <c r="G2259" s="9" t="s">
        <v>70</v>
      </c>
      <c r="H2259" s="9" t="s">
        <v>7452</v>
      </c>
      <c r="I2259" s="9" t="s">
        <v>72</v>
      </c>
      <c r="J2259" s="10"/>
      <c r="K2259" s="10"/>
      <c r="L2259" s="10">
        <v>45250</v>
      </c>
      <c r="M2259" s="10"/>
      <c r="N2259" s="9">
        <v>2023</v>
      </c>
      <c r="O2259" s="9" t="s">
        <v>11233</v>
      </c>
      <c r="P2259" s="9" t="s">
        <v>53</v>
      </c>
      <c r="Q2259" s="9" t="s">
        <v>53</v>
      </c>
      <c r="R2259" s="9" t="s">
        <v>9250</v>
      </c>
      <c r="S2259" s="9"/>
      <c r="T2259" s="9"/>
      <c r="V2259" s="9"/>
      <c r="AH2259" s="18">
        <v>1200</v>
      </c>
      <c r="AI2259" s="9" t="s">
        <v>875</v>
      </c>
      <c r="AJ2259" s="9" t="s">
        <v>301</v>
      </c>
      <c r="AK2259" s="23" t="str">
        <f t="shared" si="16"/>
        <v>2023GBP</v>
      </c>
      <c r="AL2259" s="23">
        <f>VLOOKUP(AK2259, Exchange_rates!$C:$D, 2, FALSE)</f>
        <v>1</v>
      </c>
      <c r="AM2259" s="26">
        <f t="shared" si="17"/>
        <v>1440</v>
      </c>
      <c r="AN2259" s="9"/>
      <c r="AO2259" s="9"/>
      <c r="AP2259" s="9"/>
      <c r="AQ2259" s="15" t="s">
        <v>49</v>
      </c>
      <c r="AS2259" s="16" t="s">
        <v>937</v>
      </c>
    </row>
    <row r="2260" spans="1:45" ht="14.5">
      <c r="A2260" s="9" t="s">
        <v>11340</v>
      </c>
      <c r="B2260" s="9" t="s">
        <v>11341</v>
      </c>
      <c r="C2260" s="9" t="s">
        <v>9224</v>
      </c>
      <c r="D2260" s="9" t="s">
        <v>870</v>
      </c>
      <c r="E2260" s="9" t="s">
        <v>49</v>
      </c>
      <c r="F2260" s="9" t="s">
        <v>69</v>
      </c>
      <c r="G2260" s="9" t="s">
        <v>70</v>
      </c>
      <c r="H2260" s="9" t="s">
        <v>7452</v>
      </c>
      <c r="I2260" s="9" t="s">
        <v>72</v>
      </c>
      <c r="J2260" s="10"/>
      <c r="K2260" s="10"/>
      <c r="L2260" s="10">
        <v>45215</v>
      </c>
      <c r="M2260" s="10"/>
      <c r="N2260" s="9">
        <v>2023</v>
      </c>
      <c r="O2260" s="9" t="s">
        <v>11233</v>
      </c>
      <c r="P2260" s="9" t="s">
        <v>53</v>
      </c>
      <c r="Q2260" s="9" t="s">
        <v>53</v>
      </c>
      <c r="R2260" s="18">
        <v>2.0230008081520001E+21</v>
      </c>
      <c r="S2260" s="9"/>
      <c r="T2260" s="9"/>
      <c r="V2260" s="9"/>
      <c r="AH2260" s="18">
        <v>2290</v>
      </c>
      <c r="AI2260" s="9" t="s">
        <v>875</v>
      </c>
      <c r="AJ2260" s="9" t="s">
        <v>301</v>
      </c>
      <c r="AK2260" s="23" t="str">
        <f t="shared" si="16"/>
        <v>2023GBP</v>
      </c>
      <c r="AL2260" s="23">
        <f>VLOOKUP(AK2260, Exchange_rates!$C:$D, 2, FALSE)</f>
        <v>1</v>
      </c>
      <c r="AM2260" s="26">
        <f t="shared" si="17"/>
        <v>2748</v>
      </c>
      <c r="AN2260" s="9"/>
      <c r="AO2260" s="9"/>
      <c r="AP2260" s="9"/>
      <c r="AQ2260" s="15" t="s">
        <v>49</v>
      </c>
      <c r="AS2260" s="16" t="s">
        <v>9226</v>
      </c>
    </row>
    <row r="2261" spans="1:45" ht="14.5">
      <c r="A2261" s="9" t="s">
        <v>11342</v>
      </c>
      <c r="B2261" s="9" t="s">
        <v>11343</v>
      </c>
      <c r="C2261" s="9" t="s">
        <v>7488</v>
      </c>
      <c r="D2261" s="9" t="s">
        <v>870</v>
      </c>
      <c r="E2261" s="9" t="s">
        <v>49</v>
      </c>
      <c r="F2261" s="9" t="s">
        <v>69</v>
      </c>
      <c r="G2261" s="9" t="s">
        <v>70</v>
      </c>
      <c r="H2261" s="9" t="s">
        <v>7452</v>
      </c>
      <c r="I2261" s="9" t="s">
        <v>72</v>
      </c>
      <c r="J2261" s="10"/>
      <c r="K2261" s="10"/>
      <c r="L2261" s="10">
        <v>45208</v>
      </c>
      <c r="M2261" s="10"/>
      <c r="N2261" s="9">
        <v>2023</v>
      </c>
      <c r="O2261" s="9" t="s">
        <v>11233</v>
      </c>
      <c r="P2261" s="9" t="s">
        <v>83</v>
      </c>
      <c r="Q2261" s="9" t="s">
        <v>53</v>
      </c>
      <c r="R2261" s="9" t="s">
        <v>11344</v>
      </c>
      <c r="S2261" s="9"/>
      <c r="T2261" s="9"/>
      <c r="V2261" s="9"/>
      <c r="AH2261" s="18">
        <v>4070</v>
      </c>
      <c r="AI2261" s="9" t="s">
        <v>875</v>
      </c>
      <c r="AJ2261" s="9" t="s">
        <v>301</v>
      </c>
      <c r="AK2261" s="23" t="str">
        <f t="shared" si="16"/>
        <v>2023GBP</v>
      </c>
      <c r="AL2261" s="23">
        <f>VLOOKUP(AK2261, Exchange_rates!$C:$D, 2, FALSE)</f>
        <v>1</v>
      </c>
      <c r="AM2261" s="26">
        <f t="shared" si="17"/>
        <v>4884</v>
      </c>
      <c r="AN2261" s="9"/>
      <c r="AO2261" s="9"/>
      <c r="AP2261" s="9"/>
      <c r="AQ2261" s="15" t="s">
        <v>49</v>
      </c>
      <c r="AS2261" s="16" t="s">
        <v>7491</v>
      </c>
    </row>
    <row r="2262" spans="1:45" ht="14.5">
      <c r="A2262" s="9" t="s">
        <v>11345</v>
      </c>
      <c r="B2262" s="9" t="s">
        <v>11346</v>
      </c>
      <c r="C2262" s="9" t="s">
        <v>11347</v>
      </c>
      <c r="D2262" s="9" t="s">
        <v>870</v>
      </c>
      <c r="E2262" s="9" t="s">
        <v>49</v>
      </c>
      <c r="F2262" s="9" t="s">
        <v>69</v>
      </c>
      <c r="G2262" s="9" t="s">
        <v>70</v>
      </c>
      <c r="H2262" s="9" t="s">
        <v>7452</v>
      </c>
      <c r="I2262" s="9" t="s">
        <v>72</v>
      </c>
      <c r="J2262" s="10"/>
      <c r="K2262" s="10"/>
      <c r="L2262" s="10">
        <v>45210</v>
      </c>
      <c r="M2262" s="10"/>
      <c r="N2262" s="9">
        <v>2023</v>
      </c>
      <c r="O2262" s="9" t="s">
        <v>11233</v>
      </c>
      <c r="P2262" s="9" t="s">
        <v>83</v>
      </c>
      <c r="Q2262" s="9" t="s">
        <v>53</v>
      </c>
      <c r="R2262" s="9" t="s">
        <v>11348</v>
      </c>
      <c r="S2262" s="9"/>
      <c r="T2262" s="9"/>
      <c r="V2262" s="9"/>
      <c r="AH2262" s="18">
        <v>1970</v>
      </c>
      <c r="AI2262" s="9" t="s">
        <v>875</v>
      </c>
      <c r="AJ2262" s="9" t="s">
        <v>301</v>
      </c>
      <c r="AK2262" s="23" t="str">
        <f t="shared" si="16"/>
        <v>2023GBP</v>
      </c>
      <c r="AL2262" s="23">
        <f>VLOOKUP(AK2262, Exchange_rates!$C:$D, 2, FALSE)</f>
        <v>1</v>
      </c>
      <c r="AM2262" s="26">
        <f t="shared" si="17"/>
        <v>2364</v>
      </c>
      <c r="AN2262" s="9"/>
      <c r="AO2262" s="9"/>
      <c r="AP2262" s="9"/>
      <c r="AQ2262" s="15" t="s">
        <v>49</v>
      </c>
      <c r="AS2262" s="16" t="s">
        <v>11349</v>
      </c>
    </row>
    <row r="2263" spans="1:45" ht="14.5">
      <c r="A2263" s="9" t="s">
        <v>11350</v>
      </c>
      <c r="B2263" s="9" t="s">
        <v>11351</v>
      </c>
      <c r="C2263" s="9" t="s">
        <v>11352</v>
      </c>
      <c r="D2263" s="9" t="s">
        <v>870</v>
      </c>
      <c r="E2263" s="9" t="s">
        <v>49</v>
      </c>
      <c r="F2263" s="9" t="s">
        <v>69</v>
      </c>
      <c r="G2263" s="9" t="s">
        <v>70</v>
      </c>
      <c r="H2263" s="9" t="s">
        <v>7452</v>
      </c>
      <c r="I2263" s="9" t="s">
        <v>72</v>
      </c>
      <c r="J2263" s="10"/>
      <c r="K2263" s="10"/>
      <c r="L2263" s="10">
        <v>45210</v>
      </c>
      <c r="M2263" s="10"/>
      <c r="N2263" s="9">
        <v>2023</v>
      </c>
      <c r="O2263" s="9" t="s">
        <v>11233</v>
      </c>
      <c r="P2263" s="9" t="s">
        <v>83</v>
      </c>
      <c r="Q2263" s="9" t="s">
        <v>83</v>
      </c>
      <c r="R2263" s="9" t="s">
        <v>11353</v>
      </c>
      <c r="S2263" s="9"/>
      <c r="T2263" s="9"/>
      <c r="V2263" s="9"/>
      <c r="AH2263" s="18">
        <v>3310</v>
      </c>
      <c r="AI2263" s="9" t="s">
        <v>875</v>
      </c>
      <c r="AJ2263" s="9" t="s">
        <v>301</v>
      </c>
      <c r="AK2263" s="23" t="str">
        <f t="shared" si="16"/>
        <v>2023GBP</v>
      </c>
      <c r="AL2263" s="23">
        <f>VLOOKUP(AK2263, Exchange_rates!$C:$D, 2, FALSE)</f>
        <v>1</v>
      </c>
      <c r="AM2263" s="26">
        <f t="shared" si="17"/>
        <v>3972</v>
      </c>
      <c r="AN2263" s="9"/>
      <c r="AO2263" s="9"/>
      <c r="AP2263" s="9"/>
      <c r="AQ2263" s="15" t="s">
        <v>49</v>
      </c>
      <c r="AS2263" s="16" t="s">
        <v>11354</v>
      </c>
    </row>
    <row r="2264" spans="1:45" ht="14.5">
      <c r="A2264" s="9" t="s">
        <v>11355</v>
      </c>
      <c r="B2264" s="9" t="s">
        <v>11356</v>
      </c>
      <c r="C2264" s="9" t="s">
        <v>934</v>
      </c>
      <c r="D2264" s="9" t="s">
        <v>870</v>
      </c>
      <c r="E2264" s="9" t="s">
        <v>49</v>
      </c>
      <c r="F2264" s="9" t="s">
        <v>69</v>
      </c>
      <c r="G2264" s="9" t="s">
        <v>70</v>
      </c>
      <c r="H2264" s="9" t="s">
        <v>7452</v>
      </c>
      <c r="I2264" s="9" t="s">
        <v>72</v>
      </c>
      <c r="J2264" s="10"/>
      <c r="K2264" s="10"/>
      <c r="L2264" s="10">
        <v>45257</v>
      </c>
      <c r="M2264" s="10"/>
      <c r="N2264" s="9">
        <v>2023</v>
      </c>
      <c r="O2264" s="9" t="s">
        <v>11233</v>
      </c>
      <c r="P2264" s="9" t="s">
        <v>83</v>
      </c>
      <c r="Q2264" s="9" t="s">
        <v>53</v>
      </c>
      <c r="R2264" s="9" t="s">
        <v>935</v>
      </c>
      <c r="S2264" s="9"/>
      <c r="T2264" s="9"/>
      <c r="V2264" s="9"/>
      <c r="AH2264" s="18">
        <v>1200</v>
      </c>
      <c r="AI2264" s="9" t="s">
        <v>875</v>
      </c>
      <c r="AJ2264" s="9" t="s">
        <v>301</v>
      </c>
      <c r="AK2264" s="23" t="str">
        <f t="shared" si="16"/>
        <v>2023GBP</v>
      </c>
      <c r="AL2264" s="23">
        <f>VLOOKUP(AK2264, Exchange_rates!$C:$D, 2, FALSE)</f>
        <v>1</v>
      </c>
      <c r="AM2264" s="26">
        <f t="shared" si="17"/>
        <v>1440</v>
      </c>
      <c r="AN2264" s="9"/>
      <c r="AO2264" s="9"/>
      <c r="AP2264" s="9"/>
      <c r="AQ2264" s="15" t="s">
        <v>49</v>
      </c>
      <c r="AS2264" s="16" t="s">
        <v>937</v>
      </c>
    </row>
    <row r="2265" spans="1:45" ht="14.5">
      <c r="A2265" s="9" t="s">
        <v>11357</v>
      </c>
      <c r="B2265" s="9" t="s">
        <v>11358</v>
      </c>
      <c r="C2265" s="9" t="s">
        <v>9173</v>
      </c>
      <c r="D2265" s="9" t="s">
        <v>870</v>
      </c>
      <c r="E2265" s="9" t="s">
        <v>49</v>
      </c>
      <c r="F2265" s="9" t="s">
        <v>69</v>
      </c>
      <c r="G2265" s="9" t="s">
        <v>70</v>
      </c>
      <c r="H2265" s="9" t="s">
        <v>7452</v>
      </c>
      <c r="I2265" s="9" t="s">
        <v>72</v>
      </c>
      <c r="J2265" s="10"/>
      <c r="K2265" s="10"/>
      <c r="L2265" s="10">
        <v>45217</v>
      </c>
      <c r="M2265" s="10"/>
      <c r="N2265" s="9">
        <v>2023</v>
      </c>
      <c r="O2265" s="9" t="s">
        <v>11233</v>
      </c>
      <c r="P2265" s="9" t="s">
        <v>53</v>
      </c>
      <c r="Q2265" s="9" t="s">
        <v>53</v>
      </c>
      <c r="R2265" s="9" t="s">
        <v>11359</v>
      </c>
      <c r="S2265" s="9"/>
      <c r="T2265" s="9"/>
      <c r="V2265" s="9"/>
      <c r="AH2265" s="18">
        <v>2560</v>
      </c>
      <c r="AI2265" s="9" t="s">
        <v>875</v>
      </c>
      <c r="AJ2265" s="9" t="s">
        <v>301</v>
      </c>
      <c r="AK2265" s="23" t="str">
        <f t="shared" si="16"/>
        <v>2023GBP</v>
      </c>
      <c r="AL2265" s="23">
        <f>VLOOKUP(AK2265, Exchange_rates!$C:$D, 2, FALSE)</f>
        <v>1</v>
      </c>
      <c r="AM2265" s="26">
        <f t="shared" si="17"/>
        <v>3072</v>
      </c>
      <c r="AN2265" s="9"/>
      <c r="AO2265" s="9"/>
      <c r="AP2265" s="9"/>
      <c r="AQ2265" s="15" t="s">
        <v>49</v>
      </c>
      <c r="AR2265" t="s">
        <v>9176</v>
      </c>
      <c r="AS2265" s="16" t="s">
        <v>9177</v>
      </c>
    </row>
    <row r="2266" spans="1:45" ht="14.5">
      <c r="A2266" s="9" t="s">
        <v>11360</v>
      </c>
      <c r="B2266" s="9" t="s">
        <v>11361</v>
      </c>
      <c r="C2266" s="9" t="s">
        <v>934</v>
      </c>
      <c r="D2266" s="9" t="s">
        <v>870</v>
      </c>
      <c r="E2266" s="9" t="s">
        <v>49</v>
      </c>
      <c r="F2266" s="9" t="s">
        <v>69</v>
      </c>
      <c r="G2266" s="9" t="s">
        <v>70</v>
      </c>
      <c r="H2266" s="9" t="s">
        <v>7452</v>
      </c>
      <c r="I2266" s="9" t="s">
        <v>72</v>
      </c>
      <c r="J2266" s="10"/>
      <c r="K2266" s="10"/>
      <c r="L2266" s="10">
        <v>45271</v>
      </c>
      <c r="M2266" s="10"/>
      <c r="N2266" s="9">
        <v>2023</v>
      </c>
      <c r="O2266" s="9" t="s">
        <v>11233</v>
      </c>
      <c r="P2266" s="9" t="s">
        <v>83</v>
      </c>
      <c r="Q2266" s="9" t="s">
        <v>53</v>
      </c>
      <c r="R2266" s="9" t="s">
        <v>11362</v>
      </c>
      <c r="S2266" s="9"/>
      <c r="T2266" s="9"/>
      <c r="V2266" s="9"/>
      <c r="AH2266" s="18">
        <v>1200</v>
      </c>
      <c r="AI2266" s="9" t="s">
        <v>875</v>
      </c>
      <c r="AJ2266" s="9" t="s">
        <v>301</v>
      </c>
      <c r="AK2266" s="23" t="str">
        <f t="shared" si="16"/>
        <v>2023GBP</v>
      </c>
      <c r="AL2266" s="23">
        <f>VLOOKUP(AK2266, Exchange_rates!$C:$D, 2, FALSE)</f>
        <v>1</v>
      </c>
      <c r="AM2266" s="26">
        <f t="shared" si="17"/>
        <v>1440</v>
      </c>
      <c r="AN2266" s="9"/>
      <c r="AO2266" s="9"/>
      <c r="AP2266" s="9"/>
      <c r="AQ2266" s="15" t="s">
        <v>49</v>
      </c>
      <c r="AS2266" s="16" t="s">
        <v>937</v>
      </c>
    </row>
    <row r="2267" spans="1:45" ht="14.5">
      <c r="A2267" s="9" t="s">
        <v>11363</v>
      </c>
      <c r="B2267" s="9" t="s">
        <v>11364</v>
      </c>
      <c r="C2267" s="9" t="s">
        <v>11365</v>
      </c>
      <c r="D2267" s="9" t="s">
        <v>870</v>
      </c>
      <c r="E2267" s="9" t="s">
        <v>49</v>
      </c>
      <c r="F2267" s="9" t="s">
        <v>69</v>
      </c>
      <c r="G2267" s="9" t="s">
        <v>70</v>
      </c>
      <c r="H2267" s="9" t="s">
        <v>7452</v>
      </c>
      <c r="I2267" s="9" t="s">
        <v>72</v>
      </c>
      <c r="J2267" s="10"/>
      <c r="K2267" s="10"/>
      <c r="L2267" s="10">
        <v>45251</v>
      </c>
      <c r="M2267" s="10"/>
      <c r="N2267" s="9">
        <v>2023</v>
      </c>
      <c r="O2267" s="9" t="s">
        <v>11233</v>
      </c>
      <c r="P2267" s="9" t="s">
        <v>83</v>
      </c>
      <c r="Q2267" s="9" t="s">
        <v>53</v>
      </c>
      <c r="R2267" s="9" t="s">
        <v>11366</v>
      </c>
      <c r="S2267" s="9"/>
      <c r="T2267" s="9"/>
      <c r="V2267" s="9"/>
      <c r="AH2267" s="18">
        <v>2340</v>
      </c>
      <c r="AI2267" s="9" t="s">
        <v>875</v>
      </c>
      <c r="AJ2267" s="9" t="s">
        <v>301</v>
      </c>
      <c r="AK2267" s="23" t="str">
        <f t="shared" si="16"/>
        <v>2023GBP</v>
      </c>
      <c r="AL2267" s="23">
        <f>VLOOKUP(AK2267, Exchange_rates!$C:$D, 2, FALSE)</f>
        <v>1</v>
      </c>
      <c r="AM2267" s="26">
        <f t="shared" si="17"/>
        <v>2808</v>
      </c>
      <c r="AN2267" s="9"/>
      <c r="AO2267" s="9"/>
      <c r="AP2267" s="9"/>
      <c r="AQ2267" s="15" t="s">
        <v>49</v>
      </c>
      <c r="AS2267" s="16" t="s">
        <v>11367</v>
      </c>
    </row>
    <row r="2268" spans="1:45" ht="14.5">
      <c r="A2268" s="9" t="s">
        <v>11368</v>
      </c>
      <c r="B2268" s="9" t="s">
        <v>11369</v>
      </c>
      <c r="C2268" s="9" t="s">
        <v>11370</v>
      </c>
      <c r="D2268" s="9" t="s">
        <v>870</v>
      </c>
      <c r="E2268" s="9" t="s">
        <v>125</v>
      </c>
      <c r="F2268" s="9" t="s">
        <v>69</v>
      </c>
      <c r="G2268" s="9" t="s">
        <v>51</v>
      </c>
      <c r="H2268" s="9"/>
      <c r="I2268" s="9" t="s">
        <v>72</v>
      </c>
      <c r="J2268" s="10"/>
      <c r="K2268" s="10"/>
      <c r="L2268" s="10">
        <v>45250</v>
      </c>
      <c r="M2268" s="10"/>
      <c r="N2268" s="9">
        <v>2023</v>
      </c>
      <c r="O2268" s="9" t="s">
        <v>11233</v>
      </c>
      <c r="P2268" s="9" t="s">
        <v>53</v>
      </c>
      <c r="Q2268" s="9" t="s">
        <v>53</v>
      </c>
      <c r="R2268" s="9" t="s">
        <v>11371</v>
      </c>
      <c r="S2268" s="9"/>
      <c r="T2268" s="9" t="s">
        <v>279</v>
      </c>
      <c r="U2268" s="9" t="s">
        <v>11241</v>
      </c>
      <c r="V2268" s="9"/>
      <c r="AH2268" s="30">
        <v>3030</v>
      </c>
      <c r="AI2268" s="9" t="s">
        <v>77</v>
      </c>
      <c r="AJ2268" s="9" t="s">
        <v>301</v>
      </c>
      <c r="AK2268" s="23" t="str">
        <f t="shared" si="16"/>
        <v>2023GBP</v>
      </c>
      <c r="AL2268" s="23">
        <f>VLOOKUP(AK2268, Exchange_rates!$C:$D, 2, FALSE)</f>
        <v>1</v>
      </c>
      <c r="AM2268" s="26">
        <f t="shared" si="17"/>
        <v>3636</v>
      </c>
      <c r="AN2268" s="9"/>
      <c r="AO2268" s="9"/>
      <c r="AP2268" s="9"/>
      <c r="AQ2268" s="15" t="s">
        <v>125</v>
      </c>
      <c r="AS2268" s="16" t="s">
        <v>11372</v>
      </c>
    </row>
    <row r="2269" spans="1:45" ht="14.5">
      <c r="A2269" s="9" t="s">
        <v>11373</v>
      </c>
      <c r="B2269" s="9" t="s">
        <v>11374</v>
      </c>
      <c r="C2269" s="9" t="s">
        <v>11375</v>
      </c>
      <c r="D2269" s="9" t="s">
        <v>870</v>
      </c>
      <c r="E2269" s="9" t="s">
        <v>49</v>
      </c>
      <c r="F2269" s="9" t="s">
        <v>69</v>
      </c>
      <c r="G2269" s="9" t="s">
        <v>70</v>
      </c>
      <c r="H2269" s="9" t="s">
        <v>7452</v>
      </c>
      <c r="I2269" s="9" t="s">
        <v>72</v>
      </c>
      <c r="J2269" s="10"/>
      <c r="K2269" s="10"/>
      <c r="L2269" s="10">
        <v>45264</v>
      </c>
      <c r="M2269" s="10"/>
      <c r="N2269" s="9">
        <v>2023</v>
      </c>
      <c r="O2269" s="9" t="s">
        <v>11233</v>
      </c>
      <c r="P2269" s="9" t="s">
        <v>53</v>
      </c>
      <c r="Q2269" s="9" t="s">
        <v>83</v>
      </c>
      <c r="R2269" s="9" t="s">
        <v>11376</v>
      </c>
      <c r="S2269" s="9"/>
      <c r="T2269" s="9"/>
      <c r="V2269" s="9"/>
      <c r="AH2269" s="18">
        <v>2000</v>
      </c>
      <c r="AI2269" s="9" t="s">
        <v>875</v>
      </c>
      <c r="AJ2269" s="9" t="s">
        <v>301</v>
      </c>
      <c r="AK2269" s="23" t="str">
        <f t="shared" si="16"/>
        <v>2023GBP</v>
      </c>
      <c r="AL2269" s="23">
        <f>VLOOKUP(AK2269, Exchange_rates!$C:$D, 2, FALSE)</f>
        <v>1</v>
      </c>
      <c r="AM2269" s="26">
        <f t="shared" si="17"/>
        <v>2400</v>
      </c>
      <c r="AN2269" s="9"/>
      <c r="AO2269" s="9"/>
      <c r="AP2269" s="9"/>
      <c r="AQ2269" s="15" t="s">
        <v>49</v>
      </c>
      <c r="AR2269" t="s">
        <v>11377</v>
      </c>
      <c r="AS2269" s="16" t="s">
        <v>11378</v>
      </c>
    </row>
    <row r="2270" spans="1:45" ht="14.5">
      <c r="A2270" s="9" t="s">
        <v>11379</v>
      </c>
      <c r="B2270" s="9" t="s">
        <v>11380</v>
      </c>
      <c r="C2270" s="9" t="s">
        <v>11381</v>
      </c>
      <c r="D2270" s="9" t="s">
        <v>870</v>
      </c>
      <c r="E2270" s="9" t="s">
        <v>49</v>
      </c>
      <c r="F2270" s="9" t="s">
        <v>69</v>
      </c>
      <c r="G2270" s="9" t="s">
        <v>70</v>
      </c>
      <c r="H2270" s="9" t="s">
        <v>7452</v>
      </c>
      <c r="I2270" s="9" t="s">
        <v>72</v>
      </c>
      <c r="J2270" s="10"/>
      <c r="K2270" s="10"/>
      <c r="L2270" s="10">
        <v>45264</v>
      </c>
      <c r="M2270" s="10"/>
      <c r="N2270" s="9">
        <v>2023</v>
      </c>
      <c r="O2270" s="9" t="s">
        <v>11233</v>
      </c>
      <c r="P2270" s="9" t="s">
        <v>53</v>
      </c>
      <c r="Q2270" s="9" t="s">
        <v>53</v>
      </c>
      <c r="S2270" s="9"/>
      <c r="T2270" s="9"/>
      <c r="V2270" s="9"/>
      <c r="AH2270" s="18">
        <v>2770</v>
      </c>
      <c r="AI2270" s="9" t="s">
        <v>875</v>
      </c>
      <c r="AJ2270" s="9" t="s">
        <v>301</v>
      </c>
      <c r="AK2270" s="23" t="str">
        <f t="shared" si="16"/>
        <v>2023GBP</v>
      </c>
      <c r="AL2270" s="23">
        <f>VLOOKUP(AK2270, Exchange_rates!$C:$D, 2, FALSE)</f>
        <v>1</v>
      </c>
      <c r="AM2270" s="26">
        <f t="shared" si="17"/>
        <v>3324</v>
      </c>
      <c r="AN2270" s="9"/>
      <c r="AO2270" s="9"/>
      <c r="AP2270" s="9"/>
      <c r="AQ2270" s="15" t="s">
        <v>49</v>
      </c>
      <c r="AS2270" s="16" t="s">
        <v>11382</v>
      </c>
    </row>
    <row r="2271" spans="1:45" ht="14.5">
      <c r="A2271" s="9" t="s">
        <v>11383</v>
      </c>
      <c r="B2271" s="9" t="s">
        <v>11384</v>
      </c>
      <c r="C2271" s="9" t="s">
        <v>11385</v>
      </c>
      <c r="D2271" s="9" t="s">
        <v>870</v>
      </c>
      <c r="E2271" s="9" t="s">
        <v>49</v>
      </c>
      <c r="F2271" s="9" t="s">
        <v>69</v>
      </c>
      <c r="G2271" s="9" t="s">
        <v>70</v>
      </c>
      <c r="H2271" s="9" t="s">
        <v>7452</v>
      </c>
      <c r="I2271" s="9" t="s">
        <v>72</v>
      </c>
      <c r="J2271" s="10"/>
      <c r="K2271" s="10"/>
      <c r="L2271" s="10">
        <v>45264</v>
      </c>
      <c r="M2271" s="10"/>
      <c r="N2271" s="9">
        <v>2023</v>
      </c>
      <c r="O2271" s="9" t="s">
        <v>11233</v>
      </c>
      <c r="P2271" s="9" t="s">
        <v>83</v>
      </c>
      <c r="Q2271" s="9" t="s">
        <v>53</v>
      </c>
      <c r="R2271" s="9" t="s">
        <v>11386</v>
      </c>
      <c r="S2271" s="9"/>
      <c r="T2271" s="9"/>
      <c r="V2271" s="9"/>
      <c r="AH2271" s="18">
        <v>1940</v>
      </c>
      <c r="AI2271" s="9" t="s">
        <v>875</v>
      </c>
      <c r="AJ2271" s="9" t="s">
        <v>301</v>
      </c>
      <c r="AK2271" s="23" t="str">
        <f t="shared" si="16"/>
        <v>2023GBP</v>
      </c>
      <c r="AL2271" s="23">
        <f>VLOOKUP(AK2271, Exchange_rates!$C:$D, 2, FALSE)</f>
        <v>1</v>
      </c>
      <c r="AM2271" s="26">
        <f t="shared" si="17"/>
        <v>2328</v>
      </c>
      <c r="AN2271" s="9"/>
      <c r="AO2271" s="9"/>
      <c r="AP2271" s="9"/>
      <c r="AQ2271" s="15" t="s">
        <v>49</v>
      </c>
      <c r="AS2271" s="16" t="s">
        <v>11387</v>
      </c>
    </row>
    <row r="2272" spans="1:45" ht="14.5">
      <c r="A2272" s="9" t="s">
        <v>11388</v>
      </c>
      <c r="B2272" s="9" t="s">
        <v>11389</v>
      </c>
      <c r="C2272" s="9" t="s">
        <v>1202</v>
      </c>
      <c r="D2272" s="9" t="s">
        <v>870</v>
      </c>
      <c r="E2272" s="9" t="s">
        <v>49</v>
      </c>
      <c r="F2272" s="9" t="s">
        <v>69</v>
      </c>
      <c r="G2272" s="9" t="s">
        <v>70</v>
      </c>
      <c r="H2272" s="9" t="s">
        <v>7452</v>
      </c>
      <c r="I2272" s="9" t="s">
        <v>72</v>
      </c>
      <c r="J2272" s="10"/>
      <c r="K2272" s="10"/>
      <c r="L2272" s="10">
        <v>45251</v>
      </c>
      <c r="M2272" s="10"/>
      <c r="N2272" s="9">
        <v>2023</v>
      </c>
      <c r="O2272" s="9" t="s">
        <v>11233</v>
      </c>
      <c r="P2272" s="9" t="s">
        <v>83</v>
      </c>
      <c r="Q2272" s="9" t="s">
        <v>53</v>
      </c>
      <c r="R2272" s="9" t="s">
        <v>11390</v>
      </c>
      <c r="S2272" s="9"/>
      <c r="T2272" s="9"/>
      <c r="V2272" s="9"/>
      <c r="AH2272" s="18">
        <v>3400</v>
      </c>
      <c r="AI2272" s="9" t="s">
        <v>875</v>
      </c>
      <c r="AJ2272" s="9" t="s">
        <v>301</v>
      </c>
      <c r="AK2272" s="23" t="str">
        <f t="shared" si="16"/>
        <v>2023GBP</v>
      </c>
      <c r="AL2272" s="23">
        <f>VLOOKUP(AK2272, Exchange_rates!$C:$D, 2, FALSE)</f>
        <v>1</v>
      </c>
      <c r="AM2272" s="26">
        <f t="shared" si="17"/>
        <v>4080</v>
      </c>
      <c r="AN2272" s="9"/>
      <c r="AO2272" s="9"/>
      <c r="AP2272" s="9"/>
      <c r="AQ2272" s="15" t="s">
        <v>49</v>
      </c>
      <c r="AS2272" s="16" t="s">
        <v>1205</v>
      </c>
    </row>
    <row r="2273" spans="1:60" ht="14.5">
      <c r="A2273" s="9" t="s">
        <v>11391</v>
      </c>
      <c r="B2273" s="9" t="s">
        <v>11392</v>
      </c>
      <c r="C2273" s="9" t="s">
        <v>11260</v>
      </c>
      <c r="D2273" s="9" t="s">
        <v>870</v>
      </c>
      <c r="E2273" s="9" t="s">
        <v>49</v>
      </c>
      <c r="F2273" s="9" t="s">
        <v>69</v>
      </c>
      <c r="G2273" s="9" t="s">
        <v>70</v>
      </c>
      <c r="H2273" s="9" t="s">
        <v>7452</v>
      </c>
      <c r="I2273" s="9" t="s">
        <v>72</v>
      </c>
      <c r="J2273" s="10"/>
      <c r="K2273" s="10"/>
      <c r="L2273" s="10">
        <v>45257</v>
      </c>
      <c r="M2273" s="10"/>
      <c r="N2273" s="9">
        <v>2023</v>
      </c>
      <c r="O2273" s="9" t="s">
        <v>11233</v>
      </c>
      <c r="P2273" s="9" t="s">
        <v>53</v>
      </c>
      <c r="Q2273" s="9" t="s">
        <v>53</v>
      </c>
      <c r="R2273" s="9" t="s">
        <v>11393</v>
      </c>
      <c r="S2273" s="9"/>
      <c r="T2273" s="9"/>
      <c r="V2273" s="9"/>
      <c r="AH2273" s="18">
        <v>3140</v>
      </c>
      <c r="AI2273" s="9" t="s">
        <v>875</v>
      </c>
      <c r="AJ2273" s="9" t="s">
        <v>301</v>
      </c>
      <c r="AK2273" s="23" t="str">
        <f t="shared" si="16"/>
        <v>2023GBP</v>
      </c>
      <c r="AL2273" s="23">
        <f>VLOOKUP(AK2273, Exchange_rates!$C:$D, 2, FALSE)</f>
        <v>1</v>
      </c>
      <c r="AM2273" s="26">
        <f t="shared" si="17"/>
        <v>3768</v>
      </c>
      <c r="AN2273" s="9"/>
      <c r="AO2273" s="9"/>
      <c r="AP2273" s="9"/>
      <c r="AQ2273" s="15" t="s">
        <v>49</v>
      </c>
      <c r="AS2273" s="16" t="s">
        <v>11262</v>
      </c>
    </row>
    <row r="2274" spans="1:60" ht="14.5">
      <c r="A2274" s="9" t="s">
        <v>11394</v>
      </c>
      <c r="B2274" s="9" t="s">
        <v>11395</v>
      </c>
      <c r="C2274" s="9" t="s">
        <v>934</v>
      </c>
      <c r="D2274" s="9" t="s">
        <v>870</v>
      </c>
      <c r="E2274" s="9" t="s">
        <v>49</v>
      </c>
      <c r="F2274" s="9" t="s">
        <v>69</v>
      </c>
      <c r="G2274" s="9" t="s">
        <v>70</v>
      </c>
      <c r="H2274" s="9" t="s">
        <v>7452</v>
      </c>
      <c r="I2274" s="9" t="s">
        <v>72</v>
      </c>
      <c r="J2274" s="10"/>
      <c r="K2274" s="10"/>
      <c r="L2274" s="10">
        <v>45271</v>
      </c>
      <c r="M2274" s="10"/>
      <c r="N2274" s="9">
        <v>2023</v>
      </c>
      <c r="O2274" s="9" t="s">
        <v>11233</v>
      </c>
      <c r="P2274" s="9" t="s">
        <v>83</v>
      </c>
      <c r="Q2274" s="9" t="s">
        <v>53</v>
      </c>
      <c r="R2274" s="9" t="s">
        <v>11396</v>
      </c>
      <c r="S2274" s="9"/>
      <c r="T2274" s="9"/>
      <c r="V2274" s="9"/>
      <c r="AH2274" s="18">
        <v>1200</v>
      </c>
      <c r="AI2274" s="9" t="s">
        <v>875</v>
      </c>
      <c r="AJ2274" s="9" t="s">
        <v>301</v>
      </c>
      <c r="AK2274" s="23" t="str">
        <f t="shared" si="16"/>
        <v>2023GBP</v>
      </c>
      <c r="AL2274" s="23">
        <f>VLOOKUP(AK2274, Exchange_rates!$C:$D, 2, FALSE)</f>
        <v>1</v>
      </c>
      <c r="AM2274" s="26">
        <f t="shared" si="17"/>
        <v>1440</v>
      </c>
      <c r="AN2274" s="9"/>
      <c r="AO2274" s="9"/>
      <c r="AP2274" s="9"/>
      <c r="AQ2274" s="15" t="s">
        <v>49</v>
      </c>
      <c r="AS2274" s="16" t="s">
        <v>937</v>
      </c>
    </row>
    <row r="2275" spans="1:60" ht="14.5">
      <c r="A2275" s="9" t="s">
        <v>11397</v>
      </c>
      <c r="B2275" s="9" t="s">
        <v>11398</v>
      </c>
      <c r="C2275" s="9" t="s">
        <v>1047</v>
      </c>
      <c r="D2275" s="9" t="s">
        <v>870</v>
      </c>
      <c r="E2275" s="9" t="s">
        <v>49</v>
      </c>
      <c r="F2275" s="9" t="s">
        <v>69</v>
      </c>
      <c r="G2275" s="9" t="s">
        <v>70</v>
      </c>
      <c r="H2275" s="9" t="s">
        <v>7452</v>
      </c>
      <c r="I2275" s="9" t="s">
        <v>72</v>
      </c>
      <c r="J2275" s="10"/>
      <c r="K2275" s="10"/>
      <c r="L2275" s="10">
        <v>45259</v>
      </c>
      <c r="M2275" s="10"/>
      <c r="N2275" s="9">
        <v>2023</v>
      </c>
      <c r="O2275" s="9" t="s">
        <v>11233</v>
      </c>
      <c r="P2275" s="9" t="s">
        <v>83</v>
      </c>
      <c r="Q2275" s="9" t="s">
        <v>53</v>
      </c>
      <c r="R2275" s="9" t="s">
        <v>11399</v>
      </c>
      <c r="S2275" s="9"/>
      <c r="T2275" s="9"/>
      <c r="V2275" s="9"/>
      <c r="AH2275" s="18">
        <v>2790</v>
      </c>
      <c r="AI2275" s="9" t="s">
        <v>875</v>
      </c>
      <c r="AJ2275" s="9" t="s">
        <v>301</v>
      </c>
      <c r="AK2275" s="23" t="str">
        <f t="shared" si="16"/>
        <v>2023GBP</v>
      </c>
      <c r="AL2275" s="23">
        <f>VLOOKUP(AK2275, Exchange_rates!$C:$D, 2, FALSE)</f>
        <v>1</v>
      </c>
      <c r="AM2275" s="26">
        <f t="shared" si="17"/>
        <v>3348</v>
      </c>
      <c r="AN2275" s="9"/>
      <c r="AO2275" s="9"/>
      <c r="AP2275" s="9"/>
      <c r="AQ2275" s="15" t="s">
        <v>49</v>
      </c>
      <c r="AS2275" s="16" t="s">
        <v>1051</v>
      </c>
    </row>
    <row r="2276" spans="1:60" ht="14.5">
      <c r="A2276" s="9" t="s">
        <v>11400</v>
      </c>
      <c r="B2276" s="9" t="s">
        <v>11401</v>
      </c>
      <c r="C2276" s="9" t="s">
        <v>11402</v>
      </c>
      <c r="D2276" s="9" t="s">
        <v>870</v>
      </c>
      <c r="E2276" s="9" t="s">
        <v>49</v>
      </c>
      <c r="F2276" s="9" t="s">
        <v>69</v>
      </c>
      <c r="G2276" s="9" t="s">
        <v>70</v>
      </c>
      <c r="H2276" s="9" t="s">
        <v>7452</v>
      </c>
      <c r="I2276" s="9" t="s">
        <v>72</v>
      </c>
      <c r="J2276" s="10"/>
      <c r="K2276" s="10"/>
      <c r="L2276" s="10">
        <v>45264</v>
      </c>
      <c r="M2276" s="10"/>
      <c r="N2276" s="9">
        <v>2023</v>
      </c>
      <c r="O2276" s="9" t="s">
        <v>11233</v>
      </c>
      <c r="P2276" s="9" t="s">
        <v>53</v>
      </c>
      <c r="Q2276" s="9" t="s">
        <v>83</v>
      </c>
      <c r="R2276" s="9" t="s">
        <v>11403</v>
      </c>
      <c r="S2276" s="9"/>
      <c r="T2276" s="9"/>
      <c r="V2276" s="9"/>
      <c r="AH2276" s="18">
        <v>3250</v>
      </c>
      <c r="AI2276" s="9" t="s">
        <v>875</v>
      </c>
      <c r="AJ2276" s="9" t="s">
        <v>301</v>
      </c>
      <c r="AK2276" s="23" t="str">
        <f t="shared" si="16"/>
        <v>2023GBP</v>
      </c>
      <c r="AL2276" s="23">
        <f>VLOOKUP(AK2276, Exchange_rates!$C:$D, 2, FALSE)</f>
        <v>1</v>
      </c>
      <c r="AM2276" s="26">
        <f t="shared" si="17"/>
        <v>3900</v>
      </c>
      <c r="AN2276" s="9"/>
      <c r="AO2276" s="9"/>
      <c r="AP2276" s="9"/>
      <c r="AQ2276" s="15" t="s">
        <v>49</v>
      </c>
      <c r="AR2276" t="s">
        <v>11404</v>
      </c>
      <c r="AS2276" s="16" t="s">
        <v>11404</v>
      </c>
    </row>
    <row r="2277" spans="1:60" ht="14.5">
      <c r="A2277" s="9" t="s">
        <v>11405</v>
      </c>
      <c r="B2277" s="9" t="s">
        <v>11406</v>
      </c>
      <c r="C2277" s="9" t="s">
        <v>7468</v>
      </c>
      <c r="D2277" s="9" t="s">
        <v>870</v>
      </c>
      <c r="E2277" s="9" t="s">
        <v>49</v>
      </c>
      <c r="F2277" s="9" t="s">
        <v>69</v>
      </c>
      <c r="G2277" s="9" t="s">
        <v>70</v>
      </c>
      <c r="H2277" s="9" t="s">
        <v>7452</v>
      </c>
      <c r="I2277" s="9" t="s">
        <v>72</v>
      </c>
      <c r="J2277" s="10"/>
      <c r="K2277" s="10"/>
      <c r="L2277" s="10">
        <v>45264</v>
      </c>
      <c r="M2277" s="10"/>
      <c r="N2277" s="9">
        <v>2023</v>
      </c>
      <c r="O2277" s="9" t="s">
        <v>11233</v>
      </c>
      <c r="P2277" s="9" t="s">
        <v>53</v>
      </c>
      <c r="Q2277" s="9" t="s">
        <v>53</v>
      </c>
      <c r="S2277" s="9"/>
      <c r="T2277" s="9"/>
      <c r="V2277" s="9"/>
      <c r="AH2277" s="18">
        <v>1860</v>
      </c>
      <c r="AI2277" s="9" t="s">
        <v>875</v>
      </c>
      <c r="AJ2277" s="9" t="s">
        <v>301</v>
      </c>
      <c r="AK2277" s="23" t="str">
        <f t="shared" si="16"/>
        <v>2023GBP</v>
      </c>
      <c r="AL2277" s="23">
        <f>VLOOKUP(AK2277, Exchange_rates!$C:$D, 2, FALSE)</f>
        <v>1</v>
      </c>
      <c r="AM2277" s="26">
        <f t="shared" si="17"/>
        <v>2232</v>
      </c>
      <c r="AN2277" s="9"/>
      <c r="AO2277" s="9"/>
      <c r="AP2277" s="9"/>
      <c r="AQ2277" s="15" t="s">
        <v>49</v>
      </c>
      <c r="AS2277" s="16" t="s">
        <v>7470</v>
      </c>
    </row>
    <row r="2278" spans="1:60" ht="14.5">
      <c r="A2278" s="9" t="s">
        <v>11407</v>
      </c>
      <c r="B2278" s="9" t="s">
        <v>11408</v>
      </c>
      <c r="C2278" s="9" t="s">
        <v>11409</v>
      </c>
      <c r="D2278" s="9" t="s">
        <v>870</v>
      </c>
      <c r="E2278" s="9" t="s">
        <v>49</v>
      </c>
      <c r="F2278" s="9" t="s">
        <v>69</v>
      </c>
      <c r="G2278" s="9" t="s">
        <v>70</v>
      </c>
      <c r="H2278" s="9" t="s">
        <v>7452</v>
      </c>
      <c r="I2278" s="9" t="s">
        <v>72</v>
      </c>
      <c r="J2278" s="10"/>
      <c r="K2278" s="10"/>
      <c r="L2278" s="10">
        <v>45266</v>
      </c>
      <c r="M2278" s="10"/>
      <c r="N2278" s="9">
        <v>2023</v>
      </c>
      <c r="O2278" s="9" t="s">
        <v>11233</v>
      </c>
      <c r="P2278" s="9" t="s">
        <v>53</v>
      </c>
      <c r="Q2278" s="9" t="s">
        <v>53</v>
      </c>
      <c r="S2278" s="9"/>
      <c r="T2278" s="9"/>
      <c r="V2278" s="9"/>
      <c r="AH2278" s="18">
        <v>2170</v>
      </c>
      <c r="AI2278" s="9" t="s">
        <v>875</v>
      </c>
      <c r="AJ2278" s="9" t="s">
        <v>301</v>
      </c>
      <c r="AK2278" s="23" t="str">
        <f t="shared" si="16"/>
        <v>2023GBP</v>
      </c>
      <c r="AL2278" s="23">
        <f>VLOOKUP(AK2278, Exchange_rates!$C:$D, 2, FALSE)</f>
        <v>1</v>
      </c>
      <c r="AM2278" s="26">
        <f t="shared" si="17"/>
        <v>2604</v>
      </c>
      <c r="AN2278" s="9"/>
      <c r="AO2278" s="9"/>
      <c r="AP2278" s="9"/>
      <c r="AQ2278" s="15" t="s">
        <v>49</v>
      </c>
      <c r="AS2278" s="16" t="s">
        <v>11410</v>
      </c>
    </row>
    <row r="2279" spans="1:60" ht="14.5">
      <c r="A2279" s="9" t="s">
        <v>11411</v>
      </c>
      <c r="B2279" s="9" t="s">
        <v>11412</v>
      </c>
      <c r="C2279" s="9" t="s">
        <v>11413</v>
      </c>
      <c r="D2279" s="9" t="s">
        <v>870</v>
      </c>
      <c r="E2279" s="9" t="s">
        <v>125</v>
      </c>
      <c r="F2279" s="9" t="s">
        <v>69</v>
      </c>
      <c r="G2279" s="9" t="s">
        <v>51</v>
      </c>
      <c r="H2279" s="9"/>
      <c r="I2279" s="9" t="s">
        <v>72</v>
      </c>
      <c r="J2279" s="10"/>
      <c r="K2279" s="10"/>
      <c r="L2279" s="10">
        <v>45160</v>
      </c>
      <c r="M2279" s="10"/>
      <c r="N2279" s="9">
        <v>2023</v>
      </c>
      <c r="O2279" s="9" t="s">
        <v>11233</v>
      </c>
      <c r="P2279" s="9" t="s">
        <v>53</v>
      </c>
      <c r="Q2279" s="9" t="s">
        <v>53</v>
      </c>
      <c r="R2279" s="9" t="s">
        <v>11414</v>
      </c>
      <c r="S2279" s="9"/>
      <c r="T2279" s="9" t="s">
        <v>279</v>
      </c>
      <c r="U2279" s="9" t="s">
        <v>11241</v>
      </c>
      <c r="V2279" s="9"/>
      <c r="AH2279" s="9">
        <v>450</v>
      </c>
      <c r="AI2279" s="9" t="s">
        <v>77</v>
      </c>
      <c r="AJ2279" s="9" t="s">
        <v>301</v>
      </c>
      <c r="AK2279" s="23" t="str">
        <f t="shared" ref="AK2279:AK2533" si="18">CONCATENATE(N2279,AJ2279)</f>
        <v>2023GBP</v>
      </c>
      <c r="AL2279" s="23">
        <f>VLOOKUP(AK2279, Exchange_rates!$C:$D, 2, FALSE)</f>
        <v>1</v>
      </c>
      <c r="AM2279" s="26">
        <f t="shared" ref="AM2279:AM2533" si="19">IFERROR(((AH2279*AL2279)*1.2), "")</f>
        <v>540</v>
      </c>
      <c r="AN2279" s="9"/>
      <c r="AO2279" s="9"/>
      <c r="AP2279" s="9"/>
      <c r="AQ2279" s="15" t="s">
        <v>125</v>
      </c>
      <c r="AR2279" t="s">
        <v>11415</v>
      </c>
      <c r="AS2279" s="16"/>
    </row>
    <row r="2280" spans="1:60" ht="14.5">
      <c r="A2280" s="9" t="s">
        <v>11416</v>
      </c>
      <c r="B2280" s="9" t="s">
        <v>11417</v>
      </c>
      <c r="C2280" s="9" t="s">
        <v>11418</v>
      </c>
      <c r="D2280" s="9" t="s">
        <v>870</v>
      </c>
      <c r="E2280" s="9" t="s">
        <v>125</v>
      </c>
      <c r="F2280" s="9" t="s">
        <v>69</v>
      </c>
      <c r="G2280" s="9" t="s">
        <v>51</v>
      </c>
      <c r="H2280" s="9"/>
      <c r="I2280" s="9" t="s">
        <v>291</v>
      </c>
      <c r="J2280" s="10"/>
      <c r="K2280" s="10"/>
      <c r="L2280" s="10">
        <v>45084</v>
      </c>
      <c r="M2280" s="10"/>
      <c r="N2280" s="9">
        <v>2023</v>
      </c>
      <c r="O2280" s="9" t="s">
        <v>11233</v>
      </c>
      <c r="P2280" s="9" t="s">
        <v>53</v>
      </c>
      <c r="Q2280" s="9" t="s">
        <v>53</v>
      </c>
      <c r="S2280" s="9"/>
      <c r="T2280" s="9" t="s">
        <v>279</v>
      </c>
      <c r="U2280" s="9" t="s">
        <v>11241</v>
      </c>
      <c r="V2280" s="9"/>
      <c r="AH2280" s="30">
        <v>2000</v>
      </c>
      <c r="AI2280" s="9" t="s">
        <v>77</v>
      </c>
      <c r="AJ2280" s="9" t="s">
        <v>301</v>
      </c>
      <c r="AK2280" s="23" t="str">
        <f t="shared" si="18"/>
        <v>2023GBP</v>
      </c>
      <c r="AL2280" s="23">
        <f>VLOOKUP(AK2280, Exchange_rates!$C:$D, 2, FALSE)</f>
        <v>1</v>
      </c>
      <c r="AM2280" s="26">
        <f t="shared" si="19"/>
        <v>2400</v>
      </c>
      <c r="AN2280" s="9"/>
      <c r="AO2280" s="9"/>
      <c r="AP2280" s="9"/>
      <c r="AQ2280" s="15" t="s">
        <v>125</v>
      </c>
      <c r="AR2280" t="s">
        <v>11419</v>
      </c>
      <c r="AS2280" s="16"/>
    </row>
    <row r="2281" spans="1:60" ht="14.5">
      <c r="A2281" s="9" t="s">
        <v>11420</v>
      </c>
      <c r="B2281" s="9" t="s">
        <v>11421</v>
      </c>
      <c r="C2281" s="9" t="s">
        <v>9173</v>
      </c>
      <c r="D2281" s="9" t="s">
        <v>870</v>
      </c>
      <c r="E2281" s="9" t="s">
        <v>49</v>
      </c>
      <c r="F2281" s="9" t="s">
        <v>50</v>
      </c>
      <c r="G2281" s="9" t="s">
        <v>51</v>
      </c>
      <c r="H2281" s="9"/>
      <c r="I2281" s="9"/>
      <c r="J2281" s="10"/>
      <c r="K2281" s="10"/>
      <c r="L2281" s="10">
        <v>45118</v>
      </c>
      <c r="M2281" s="10"/>
      <c r="N2281" s="9">
        <v>2023</v>
      </c>
      <c r="O2281" s="9" t="s">
        <v>11233</v>
      </c>
      <c r="P2281" s="9" t="s">
        <v>53</v>
      </c>
      <c r="Q2281" s="9" t="s">
        <v>53</v>
      </c>
      <c r="R2281" s="9" t="s">
        <v>11422</v>
      </c>
      <c r="S2281" s="9"/>
      <c r="T2281" s="9" t="s">
        <v>55</v>
      </c>
      <c r="U2281" s="9" t="s">
        <v>11423</v>
      </c>
      <c r="V2281" s="9"/>
      <c r="AH2281" s="18">
        <v>2560</v>
      </c>
      <c r="AI2281" s="9" t="s">
        <v>875</v>
      </c>
      <c r="AJ2281" s="9" t="s">
        <v>301</v>
      </c>
      <c r="AK2281" s="23" t="str">
        <f t="shared" si="18"/>
        <v>2023GBP</v>
      </c>
      <c r="AL2281" s="23">
        <f>VLOOKUP(AK2281, Exchange_rates!$C:$D, 2, FALSE)</f>
        <v>1</v>
      </c>
      <c r="AM2281" s="26">
        <f t="shared" si="19"/>
        <v>3072</v>
      </c>
      <c r="AN2281" s="9"/>
      <c r="AO2281" s="9"/>
      <c r="AP2281" s="9"/>
      <c r="AQ2281" s="15" t="s">
        <v>49</v>
      </c>
      <c r="AR2281" t="s">
        <v>9176</v>
      </c>
      <c r="AS2281" s="16" t="s">
        <v>9177</v>
      </c>
    </row>
    <row r="2282" spans="1:60" ht="14.5">
      <c r="A2282" s="20" t="s">
        <v>11424</v>
      </c>
      <c r="B2282" s="20" t="s">
        <v>11425</v>
      </c>
      <c r="C2282" s="20" t="s">
        <v>11426</v>
      </c>
      <c r="D2282" s="20" t="s">
        <v>870</v>
      </c>
      <c r="E2282" s="20" t="s">
        <v>49</v>
      </c>
      <c r="F2282" s="20" t="s">
        <v>69</v>
      </c>
      <c r="G2282" s="20" t="s">
        <v>51</v>
      </c>
      <c r="H2282" s="20"/>
      <c r="I2282" s="20" t="s">
        <v>72</v>
      </c>
      <c r="J2282" s="22"/>
      <c r="K2282" s="22"/>
      <c r="L2282" s="22">
        <v>45196</v>
      </c>
      <c r="M2282" s="22"/>
      <c r="N2282" s="20">
        <v>2023</v>
      </c>
      <c r="O2282" s="20" t="s">
        <v>11233</v>
      </c>
      <c r="P2282" s="20" t="s">
        <v>53</v>
      </c>
      <c r="Q2282" s="20" t="s">
        <v>53</v>
      </c>
      <c r="R2282" s="20"/>
      <c r="S2282" s="20"/>
      <c r="T2282" s="20" t="s">
        <v>55</v>
      </c>
      <c r="U2282" s="20" t="s">
        <v>11427</v>
      </c>
      <c r="V2282" s="20"/>
      <c r="W2282" s="20"/>
      <c r="X2282" s="20"/>
      <c r="Y2282" s="20"/>
      <c r="Z2282" s="20"/>
      <c r="AA2282" s="20"/>
      <c r="AB2282" s="20"/>
      <c r="AC2282" s="20"/>
      <c r="AD2282" s="20"/>
      <c r="AE2282" s="20"/>
      <c r="AF2282" s="20"/>
      <c r="AG2282" s="20"/>
      <c r="AH2282" s="49">
        <v>3270</v>
      </c>
      <c r="AI2282" s="20" t="s">
        <v>875</v>
      </c>
      <c r="AJ2282" s="20" t="s">
        <v>301</v>
      </c>
      <c r="AK2282" s="23" t="str">
        <f t="shared" si="18"/>
        <v>2023GBP</v>
      </c>
      <c r="AL2282" s="23">
        <f>VLOOKUP(AK2282, Exchange_rates!$C:$D, 2, FALSE)</f>
        <v>1</v>
      </c>
      <c r="AM2282" s="26">
        <f t="shared" si="19"/>
        <v>3924</v>
      </c>
      <c r="AN2282" s="20"/>
      <c r="AO2282" s="20"/>
      <c r="AP2282" s="20"/>
      <c r="AQ2282" s="27" t="s">
        <v>49</v>
      </c>
      <c r="AS2282" s="16" t="s">
        <v>11428</v>
      </c>
      <c r="AT2282" s="20"/>
      <c r="AU2282" s="20"/>
      <c r="AV2282" s="20"/>
      <c r="AW2282" s="20"/>
      <c r="AX2282" s="20"/>
      <c r="AY2282" s="20"/>
      <c r="AZ2282" s="20"/>
      <c r="BA2282" s="20"/>
      <c r="BB2282" s="20"/>
      <c r="BC2282" s="20"/>
      <c r="BD2282" s="20"/>
      <c r="BE2282" s="20"/>
      <c r="BF2282" s="20"/>
      <c r="BG2282" s="20"/>
      <c r="BH2282" s="20"/>
    </row>
    <row r="2283" spans="1:60" ht="14.5">
      <c r="A2283" s="9" t="s">
        <v>11429</v>
      </c>
      <c r="B2283" s="9" t="s">
        <v>11430</v>
      </c>
      <c r="C2283" s="9" t="s">
        <v>5414</v>
      </c>
      <c r="D2283" s="9" t="s">
        <v>4371</v>
      </c>
      <c r="E2283" s="20" t="s">
        <v>49</v>
      </c>
      <c r="F2283" s="9" t="s">
        <v>69</v>
      </c>
      <c r="G2283" s="9" t="s">
        <v>70</v>
      </c>
      <c r="H2283" s="9" t="s">
        <v>7152</v>
      </c>
      <c r="I2283" s="9" t="s">
        <v>11431</v>
      </c>
      <c r="J2283" s="10">
        <v>45180</v>
      </c>
      <c r="K2283" s="10">
        <v>45270</v>
      </c>
      <c r="L2283" s="10">
        <v>45278</v>
      </c>
      <c r="M2283" s="10"/>
      <c r="N2283" s="9">
        <v>2023</v>
      </c>
      <c r="O2283" s="9" t="s">
        <v>11432</v>
      </c>
      <c r="P2283" s="9" t="s">
        <v>53</v>
      </c>
      <c r="Q2283" s="9" t="s">
        <v>53</v>
      </c>
      <c r="R2283" s="9" t="s">
        <v>9145</v>
      </c>
      <c r="S2283" s="9"/>
      <c r="T2283" s="9"/>
      <c r="V2283" s="9"/>
      <c r="AC2283" s="9" t="s">
        <v>11433</v>
      </c>
      <c r="AD2283" s="9" t="s">
        <v>11434</v>
      </c>
      <c r="AE2283" s="9" t="s">
        <v>9145</v>
      </c>
      <c r="AH2283" s="9">
        <v>2640</v>
      </c>
      <c r="AI2283" s="9" t="s">
        <v>77</v>
      </c>
      <c r="AJ2283" s="9" t="s">
        <v>301</v>
      </c>
      <c r="AK2283" s="23" t="str">
        <f t="shared" si="18"/>
        <v>2023GBP</v>
      </c>
      <c r="AL2283" s="23">
        <f>VLOOKUP(AK2283, Exchange_rates!$C:$D, 2, FALSE)</f>
        <v>1</v>
      </c>
      <c r="AM2283" s="26">
        <f t="shared" si="19"/>
        <v>3168</v>
      </c>
      <c r="AN2283" s="9"/>
      <c r="AO2283" s="9"/>
      <c r="AP2283" s="20"/>
      <c r="AQ2283" s="27" t="s">
        <v>49</v>
      </c>
      <c r="AR2283" t="s">
        <v>5415</v>
      </c>
      <c r="AS2283" s="16" t="s">
        <v>5416</v>
      </c>
    </row>
    <row r="2284" spans="1:60" ht="14.5">
      <c r="A2284" s="9" t="s">
        <v>11435</v>
      </c>
      <c r="B2284" s="9" t="s">
        <v>11436</v>
      </c>
      <c r="C2284" s="9" t="s">
        <v>5177</v>
      </c>
      <c r="D2284" s="9" t="s">
        <v>4371</v>
      </c>
      <c r="E2284" s="20" t="s">
        <v>49</v>
      </c>
      <c r="F2284" s="9" t="s">
        <v>69</v>
      </c>
      <c r="G2284" s="9" t="s">
        <v>70</v>
      </c>
      <c r="H2284" s="9" t="s">
        <v>7152</v>
      </c>
      <c r="I2284" s="9" t="s">
        <v>11431</v>
      </c>
      <c r="J2284" s="10">
        <v>45198</v>
      </c>
      <c r="K2284" s="10">
        <v>45267</v>
      </c>
      <c r="L2284" s="10">
        <v>45274</v>
      </c>
      <c r="M2284" s="10"/>
      <c r="N2284" s="9">
        <v>2023</v>
      </c>
      <c r="O2284" s="9" t="s">
        <v>11432</v>
      </c>
      <c r="P2284" s="9" t="s">
        <v>83</v>
      </c>
      <c r="Q2284" s="9" t="s">
        <v>53</v>
      </c>
      <c r="R2284" s="9" t="s">
        <v>11437</v>
      </c>
      <c r="S2284" s="9"/>
      <c r="T2284" s="9"/>
      <c r="V2284" s="9"/>
      <c r="AC2284" s="9" t="s">
        <v>11438</v>
      </c>
      <c r="AD2284" s="9" t="s">
        <v>11439</v>
      </c>
      <c r="AE2284" s="9" t="s">
        <v>11440</v>
      </c>
      <c r="AH2284" s="9">
        <v>3200</v>
      </c>
      <c r="AI2284" s="9" t="s">
        <v>77</v>
      </c>
      <c r="AJ2284" s="9" t="s">
        <v>301</v>
      </c>
      <c r="AK2284" s="23" t="str">
        <f t="shared" si="18"/>
        <v>2023GBP</v>
      </c>
      <c r="AL2284" s="23">
        <f>VLOOKUP(AK2284, Exchange_rates!$C:$D, 2, FALSE)</f>
        <v>1</v>
      </c>
      <c r="AM2284" s="26">
        <f t="shared" si="19"/>
        <v>3840</v>
      </c>
      <c r="AN2284" s="9"/>
      <c r="AO2284" s="9"/>
      <c r="AP2284" s="20"/>
      <c r="AQ2284" s="27" t="s">
        <v>49</v>
      </c>
      <c r="AR2284" t="s">
        <v>5180</v>
      </c>
      <c r="AS2284" s="16" t="s">
        <v>5181</v>
      </c>
    </row>
    <row r="2285" spans="1:60" ht="14.5">
      <c r="A2285" s="9" t="s">
        <v>11441</v>
      </c>
      <c r="B2285" s="9" t="s">
        <v>11442</v>
      </c>
      <c r="C2285" s="9" t="s">
        <v>11443</v>
      </c>
      <c r="D2285" s="9" t="s">
        <v>4371</v>
      </c>
      <c r="E2285" s="20" t="s">
        <v>49</v>
      </c>
      <c r="F2285" s="9" t="s">
        <v>69</v>
      </c>
      <c r="G2285" s="9" t="s">
        <v>70</v>
      </c>
      <c r="H2285" s="9" t="s">
        <v>7152</v>
      </c>
      <c r="I2285" s="9" t="s">
        <v>291</v>
      </c>
      <c r="J2285" s="10">
        <v>44994</v>
      </c>
      <c r="K2285" s="10">
        <v>45264</v>
      </c>
      <c r="L2285" s="10">
        <v>45267</v>
      </c>
      <c r="M2285" s="10"/>
      <c r="N2285" s="9">
        <v>2023</v>
      </c>
      <c r="O2285" s="9" t="s">
        <v>11432</v>
      </c>
      <c r="P2285" s="9" t="s">
        <v>53</v>
      </c>
      <c r="Q2285" s="9" t="s">
        <v>53</v>
      </c>
      <c r="R2285" s="9" t="s">
        <v>9145</v>
      </c>
      <c r="S2285" s="9"/>
      <c r="T2285" s="9"/>
      <c r="V2285" s="9"/>
      <c r="AC2285" s="9" t="s">
        <v>11444</v>
      </c>
      <c r="AD2285" s="9" t="s">
        <v>11445</v>
      </c>
      <c r="AE2285" s="9" t="s">
        <v>9145</v>
      </c>
      <c r="AH2285" s="9">
        <v>2920</v>
      </c>
      <c r="AI2285" s="9" t="s">
        <v>77</v>
      </c>
      <c r="AJ2285" s="9" t="s">
        <v>301</v>
      </c>
      <c r="AK2285" s="23" t="str">
        <f t="shared" si="18"/>
        <v>2023GBP</v>
      </c>
      <c r="AL2285" s="23">
        <f>VLOOKUP(AK2285, Exchange_rates!$C:$D, 2, FALSE)</f>
        <v>1</v>
      </c>
      <c r="AM2285" s="26">
        <f t="shared" si="19"/>
        <v>3504</v>
      </c>
      <c r="AN2285" s="9"/>
      <c r="AO2285" s="9"/>
      <c r="AP2285" s="20"/>
      <c r="AQ2285" s="27" t="s">
        <v>49</v>
      </c>
      <c r="AR2285" t="s">
        <v>11446</v>
      </c>
      <c r="AS2285" s="16" t="s">
        <v>11447</v>
      </c>
    </row>
    <row r="2286" spans="1:60" ht="14.5">
      <c r="A2286" s="9" t="s">
        <v>11448</v>
      </c>
      <c r="B2286" s="9" t="s">
        <v>11449</v>
      </c>
      <c r="C2286" s="9" t="s">
        <v>9500</v>
      </c>
      <c r="D2286" s="9" t="s">
        <v>4371</v>
      </c>
      <c r="E2286" s="20" t="s">
        <v>49</v>
      </c>
      <c r="F2286" s="9" t="s">
        <v>69</v>
      </c>
      <c r="G2286" s="9" t="s">
        <v>70</v>
      </c>
      <c r="H2286" s="9" t="s">
        <v>7152</v>
      </c>
      <c r="I2286" s="9" t="s">
        <v>11431</v>
      </c>
      <c r="J2286" s="10">
        <v>45133</v>
      </c>
      <c r="K2286" s="10">
        <v>45264</v>
      </c>
      <c r="L2286" s="10">
        <v>45266</v>
      </c>
      <c r="M2286" s="10"/>
      <c r="N2286" s="9">
        <v>2023</v>
      </c>
      <c r="O2286" s="9" t="s">
        <v>11432</v>
      </c>
      <c r="P2286" s="9" t="s">
        <v>53</v>
      </c>
      <c r="Q2286" s="9" t="s">
        <v>53</v>
      </c>
      <c r="R2286" s="9" t="s">
        <v>9145</v>
      </c>
      <c r="S2286" s="9"/>
      <c r="T2286" s="9"/>
      <c r="V2286" s="9"/>
      <c r="AC2286" s="9" t="s">
        <v>11450</v>
      </c>
      <c r="AD2286" s="9" t="s">
        <v>11451</v>
      </c>
      <c r="AE2286" s="9" t="s">
        <v>9145</v>
      </c>
      <c r="AH2286" s="9">
        <v>3200</v>
      </c>
      <c r="AI2286" s="9" t="s">
        <v>77</v>
      </c>
      <c r="AJ2286" s="9" t="s">
        <v>301</v>
      </c>
      <c r="AK2286" s="23" t="str">
        <f t="shared" si="18"/>
        <v>2023GBP</v>
      </c>
      <c r="AL2286" s="23">
        <f>VLOOKUP(AK2286, Exchange_rates!$C:$D, 2, FALSE)</f>
        <v>1</v>
      </c>
      <c r="AM2286" s="26">
        <f t="shared" si="19"/>
        <v>3840</v>
      </c>
      <c r="AN2286" s="9"/>
      <c r="AO2286" s="9"/>
      <c r="AP2286" s="20"/>
      <c r="AQ2286" s="27" t="s">
        <v>49</v>
      </c>
      <c r="AR2286" t="s">
        <v>9504</v>
      </c>
      <c r="AS2286" s="16" t="s">
        <v>9505</v>
      </c>
    </row>
    <row r="2287" spans="1:60" ht="14.5">
      <c r="A2287" s="9" t="s">
        <v>11452</v>
      </c>
      <c r="B2287" s="9" t="s">
        <v>11453</v>
      </c>
      <c r="C2287" s="9" t="s">
        <v>9650</v>
      </c>
      <c r="D2287" s="9" t="s">
        <v>4371</v>
      </c>
      <c r="E2287" s="20" t="s">
        <v>49</v>
      </c>
      <c r="F2287" s="9" t="s">
        <v>69</v>
      </c>
      <c r="G2287" s="9" t="s">
        <v>70</v>
      </c>
      <c r="H2287" s="9" t="s">
        <v>7152</v>
      </c>
      <c r="I2287" s="9" t="s">
        <v>72</v>
      </c>
      <c r="J2287" s="10">
        <v>45017</v>
      </c>
      <c r="K2287" s="10">
        <v>45245</v>
      </c>
      <c r="L2287" s="10">
        <v>45259</v>
      </c>
      <c r="M2287" s="10"/>
      <c r="N2287" s="9">
        <v>2023</v>
      </c>
      <c r="O2287" s="9" t="s">
        <v>11432</v>
      </c>
      <c r="P2287" s="9" t="s">
        <v>83</v>
      </c>
      <c r="Q2287" s="9" t="s">
        <v>53</v>
      </c>
      <c r="R2287" s="9" t="s">
        <v>11454</v>
      </c>
      <c r="S2287" s="9"/>
      <c r="T2287" s="9"/>
      <c r="V2287" s="9"/>
      <c r="AC2287" s="9" t="s">
        <v>11455</v>
      </c>
      <c r="AD2287" s="9" t="s">
        <v>11456</v>
      </c>
      <c r="AE2287" s="9" t="s">
        <v>9145</v>
      </c>
      <c r="AH2287" s="9">
        <v>2335</v>
      </c>
      <c r="AI2287" s="9" t="s">
        <v>77</v>
      </c>
      <c r="AJ2287" s="9" t="s">
        <v>301</v>
      </c>
      <c r="AK2287" s="23" t="str">
        <f t="shared" si="18"/>
        <v>2023GBP</v>
      </c>
      <c r="AL2287" s="23">
        <f>VLOOKUP(AK2287, Exchange_rates!$C:$D, 2, FALSE)</f>
        <v>1</v>
      </c>
      <c r="AM2287" s="26">
        <f t="shared" si="19"/>
        <v>2802</v>
      </c>
      <c r="AN2287" s="9"/>
      <c r="AO2287" s="9"/>
      <c r="AP2287" s="20"/>
      <c r="AQ2287" s="27" t="s">
        <v>49</v>
      </c>
      <c r="AR2287" t="s">
        <v>9654</v>
      </c>
      <c r="AS2287" s="16" t="s">
        <v>9655</v>
      </c>
    </row>
    <row r="2288" spans="1:60" ht="14.5">
      <c r="A2288" s="9" t="s">
        <v>11457</v>
      </c>
      <c r="B2288" s="9" t="s">
        <v>11458</v>
      </c>
      <c r="C2288" s="9" t="s">
        <v>5109</v>
      </c>
      <c r="D2288" s="9" t="s">
        <v>4371</v>
      </c>
      <c r="E2288" s="20" t="s">
        <v>49</v>
      </c>
      <c r="F2288" s="9" t="s">
        <v>69</v>
      </c>
      <c r="G2288" s="9" t="s">
        <v>70</v>
      </c>
      <c r="H2288" s="9" t="s">
        <v>7152</v>
      </c>
      <c r="I2288" s="9" t="s">
        <v>291</v>
      </c>
      <c r="J2288" s="10">
        <v>45227</v>
      </c>
      <c r="K2288" s="10">
        <v>45257</v>
      </c>
      <c r="L2288" s="10">
        <v>45259</v>
      </c>
      <c r="M2288" s="10"/>
      <c r="N2288" s="9">
        <v>2023</v>
      </c>
      <c r="O2288" s="9" t="s">
        <v>11432</v>
      </c>
      <c r="P2288" s="9" t="s">
        <v>53</v>
      </c>
      <c r="Q2288" s="9" t="s">
        <v>53</v>
      </c>
      <c r="R2288" s="9" t="s">
        <v>11459</v>
      </c>
      <c r="S2288" s="9"/>
      <c r="T2288" s="9"/>
      <c r="V2288" s="9"/>
      <c r="AC2288" s="9" t="s">
        <v>11455</v>
      </c>
      <c r="AD2288" s="9" t="s">
        <v>11460</v>
      </c>
      <c r="AE2288" s="9" t="s">
        <v>9145</v>
      </c>
      <c r="AH2288" s="9">
        <v>2495</v>
      </c>
      <c r="AI2288" s="9" t="s">
        <v>77</v>
      </c>
      <c r="AJ2288" s="9" t="s">
        <v>301</v>
      </c>
      <c r="AK2288" s="23" t="str">
        <f t="shared" si="18"/>
        <v>2023GBP</v>
      </c>
      <c r="AL2288" s="23">
        <f>VLOOKUP(AK2288, Exchange_rates!$C:$D, 2, FALSE)</f>
        <v>1</v>
      </c>
      <c r="AM2288" s="26">
        <f t="shared" si="19"/>
        <v>2994</v>
      </c>
      <c r="AN2288" s="9"/>
      <c r="AO2288" s="9"/>
      <c r="AP2288" s="20"/>
      <c r="AQ2288" s="27" t="s">
        <v>49</v>
      </c>
      <c r="AR2288" t="s">
        <v>5112</v>
      </c>
      <c r="AS2288" s="16" t="s">
        <v>5113</v>
      </c>
    </row>
    <row r="2289" spans="1:45" ht="14.5">
      <c r="A2289" s="9" t="s">
        <v>11461</v>
      </c>
      <c r="B2289" s="9" t="s">
        <v>11462</v>
      </c>
      <c r="C2289" s="9" t="s">
        <v>11463</v>
      </c>
      <c r="D2289" s="9" t="s">
        <v>4371</v>
      </c>
      <c r="E2289" s="20" t="s">
        <v>49</v>
      </c>
      <c r="F2289" s="9" t="s">
        <v>69</v>
      </c>
      <c r="G2289" s="9" t="s">
        <v>70</v>
      </c>
      <c r="H2289" s="9" t="s">
        <v>7152</v>
      </c>
      <c r="I2289" s="9" t="s">
        <v>72</v>
      </c>
      <c r="J2289" s="10">
        <v>44888</v>
      </c>
      <c r="K2289" s="10">
        <v>45251</v>
      </c>
      <c r="L2289" s="10">
        <v>45257</v>
      </c>
      <c r="M2289" s="10"/>
      <c r="N2289" s="9">
        <v>2023</v>
      </c>
      <c r="O2289" s="9" t="s">
        <v>11432</v>
      </c>
      <c r="P2289" s="9" t="s">
        <v>53</v>
      </c>
      <c r="Q2289" s="9" t="s">
        <v>53</v>
      </c>
      <c r="R2289" s="9" t="s">
        <v>9145</v>
      </c>
      <c r="S2289" s="9"/>
      <c r="T2289" s="9"/>
      <c r="V2289" s="9"/>
      <c r="AC2289" s="9" t="s">
        <v>11464</v>
      </c>
      <c r="AD2289" s="9" t="s">
        <v>11465</v>
      </c>
      <c r="AE2289" s="9" t="s">
        <v>11466</v>
      </c>
      <c r="AH2289" s="9">
        <v>2750</v>
      </c>
      <c r="AI2289" s="9" t="s">
        <v>77</v>
      </c>
      <c r="AJ2289" s="9" t="s">
        <v>301</v>
      </c>
      <c r="AK2289" s="23" t="str">
        <f t="shared" si="18"/>
        <v>2023GBP</v>
      </c>
      <c r="AL2289" s="23">
        <f>VLOOKUP(AK2289, Exchange_rates!$C:$D, 2, FALSE)</f>
        <v>1</v>
      </c>
      <c r="AM2289" s="26">
        <f t="shared" si="19"/>
        <v>3300</v>
      </c>
      <c r="AN2289" s="9"/>
      <c r="AO2289" s="9"/>
      <c r="AP2289" s="20"/>
      <c r="AQ2289" s="27" t="s">
        <v>49</v>
      </c>
      <c r="AR2289" t="s">
        <v>11467</v>
      </c>
      <c r="AS2289" s="16" t="s">
        <v>11468</v>
      </c>
    </row>
    <row r="2290" spans="1:45" ht="14.5">
      <c r="A2290" s="9" t="s">
        <v>11469</v>
      </c>
      <c r="B2290" s="9" t="s">
        <v>11470</v>
      </c>
      <c r="C2290" s="9" t="s">
        <v>11471</v>
      </c>
      <c r="D2290" s="9" t="s">
        <v>4371</v>
      </c>
      <c r="E2290" s="20" t="s">
        <v>49</v>
      </c>
      <c r="F2290" s="9" t="s">
        <v>69</v>
      </c>
      <c r="G2290" s="9" t="s">
        <v>70</v>
      </c>
      <c r="H2290" s="9" t="s">
        <v>7152</v>
      </c>
      <c r="I2290" s="9" t="s">
        <v>291</v>
      </c>
      <c r="J2290" s="10">
        <v>45160</v>
      </c>
      <c r="K2290" s="10">
        <v>45192</v>
      </c>
      <c r="L2290" s="10">
        <v>45257</v>
      </c>
      <c r="M2290" s="10"/>
      <c r="N2290" s="9">
        <v>2023</v>
      </c>
      <c r="O2290" s="9" t="s">
        <v>11432</v>
      </c>
      <c r="P2290" s="9" t="s">
        <v>53</v>
      </c>
      <c r="Q2290" s="9" t="s">
        <v>53</v>
      </c>
      <c r="R2290" s="9" t="s">
        <v>9145</v>
      </c>
      <c r="S2290" s="9"/>
      <c r="T2290" s="9"/>
      <c r="V2290" s="9"/>
      <c r="AC2290" s="9" t="s">
        <v>11472</v>
      </c>
      <c r="AD2290" s="9" t="s">
        <v>11473</v>
      </c>
      <c r="AE2290" s="9" t="s">
        <v>9145</v>
      </c>
      <c r="AH2290" s="9">
        <v>2495</v>
      </c>
      <c r="AI2290" s="9" t="s">
        <v>77</v>
      </c>
      <c r="AJ2290" s="9" t="s">
        <v>301</v>
      </c>
      <c r="AK2290" s="23" t="str">
        <f t="shared" si="18"/>
        <v>2023GBP</v>
      </c>
      <c r="AL2290" s="23">
        <f>VLOOKUP(AK2290, Exchange_rates!$C:$D, 2, FALSE)</f>
        <v>1</v>
      </c>
      <c r="AM2290" s="26">
        <f t="shared" si="19"/>
        <v>2994</v>
      </c>
      <c r="AN2290" s="9"/>
      <c r="AO2290" s="9"/>
      <c r="AP2290" s="20"/>
      <c r="AQ2290" s="27" t="s">
        <v>49</v>
      </c>
      <c r="AR2290" t="s">
        <v>11474</v>
      </c>
      <c r="AS2290" s="16" t="s">
        <v>11475</v>
      </c>
    </row>
    <row r="2291" spans="1:45" ht="14.5">
      <c r="A2291" s="9" t="s">
        <v>11476</v>
      </c>
      <c r="B2291" s="9" t="s">
        <v>11477</v>
      </c>
      <c r="C2291" s="9" t="s">
        <v>11478</v>
      </c>
      <c r="D2291" s="9" t="s">
        <v>4371</v>
      </c>
      <c r="E2291" s="20" t="s">
        <v>49</v>
      </c>
      <c r="F2291" s="9" t="s">
        <v>69</v>
      </c>
      <c r="G2291" s="9" t="s">
        <v>70</v>
      </c>
      <c r="H2291" s="9" t="s">
        <v>7152</v>
      </c>
      <c r="I2291" s="9" t="s">
        <v>72</v>
      </c>
      <c r="J2291" s="10">
        <v>45016</v>
      </c>
      <c r="K2291" s="10">
        <v>45243</v>
      </c>
      <c r="L2291" s="10">
        <v>45250</v>
      </c>
      <c r="M2291" s="10"/>
      <c r="N2291" s="9">
        <v>2023</v>
      </c>
      <c r="O2291" s="9" t="s">
        <v>11432</v>
      </c>
      <c r="P2291" s="9" t="s">
        <v>53</v>
      </c>
      <c r="Q2291" s="9" t="s">
        <v>53</v>
      </c>
      <c r="R2291" s="9" t="s">
        <v>9145</v>
      </c>
      <c r="S2291" s="9"/>
      <c r="T2291" s="9"/>
      <c r="V2291" s="9"/>
      <c r="AC2291" s="9" t="s">
        <v>11464</v>
      </c>
      <c r="AD2291" s="9" t="s">
        <v>11465</v>
      </c>
      <c r="AE2291" s="9" t="s">
        <v>11466</v>
      </c>
      <c r="AH2291" s="9">
        <v>2495</v>
      </c>
      <c r="AI2291" s="9" t="s">
        <v>77</v>
      </c>
      <c r="AJ2291" s="9" t="s">
        <v>301</v>
      </c>
      <c r="AK2291" s="23" t="str">
        <f t="shared" si="18"/>
        <v>2023GBP</v>
      </c>
      <c r="AL2291" s="23">
        <f>VLOOKUP(AK2291, Exchange_rates!$C:$D, 2, FALSE)</f>
        <v>1</v>
      </c>
      <c r="AM2291" s="26">
        <f t="shared" si="19"/>
        <v>2994</v>
      </c>
      <c r="AN2291" s="9"/>
      <c r="AO2291" s="9"/>
      <c r="AP2291" s="20"/>
      <c r="AQ2291" s="27" t="s">
        <v>49</v>
      </c>
      <c r="AR2291" t="s">
        <v>11479</v>
      </c>
      <c r="AS2291" s="16" t="s">
        <v>11480</v>
      </c>
    </row>
    <row r="2292" spans="1:45" ht="14.5">
      <c r="A2292" s="9" t="s">
        <v>11481</v>
      </c>
      <c r="B2292" s="9" t="s">
        <v>11482</v>
      </c>
      <c r="C2292" s="9" t="s">
        <v>11483</v>
      </c>
      <c r="D2292" s="9" t="s">
        <v>4371</v>
      </c>
      <c r="E2292" s="20" t="s">
        <v>49</v>
      </c>
      <c r="F2292" s="9" t="s">
        <v>69</v>
      </c>
      <c r="G2292" s="9" t="s">
        <v>70</v>
      </c>
      <c r="H2292" s="9" t="s">
        <v>7152</v>
      </c>
      <c r="I2292" s="9" t="s">
        <v>11431</v>
      </c>
      <c r="J2292" s="10"/>
      <c r="K2292" s="10"/>
      <c r="L2292" s="10">
        <v>45246</v>
      </c>
      <c r="M2292" s="10"/>
      <c r="N2292" s="9">
        <v>2023</v>
      </c>
      <c r="O2292" s="9" t="s">
        <v>11432</v>
      </c>
      <c r="P2292" s="9" t="s">
        <v>53</v>
      </c>
      <c r="Q2292" s="9" t="s">
        <v>53</v>
      </c>
      <c r="R2292" s="9" t="s">
        <v>9145</v>
      </c>
      <c r="S2292" s="9"/>
      <c r="T2292" s="9"/>
      <c r="V2292" s="9"/>
      <c r="AC2292" s="9" t="s">
        <v>9557</v>
      </c>
      <c r="AD2292" s="9" t="s">
        <v>9558</v>
      </c>
      <c r="AE2292" s="9" t="s">
        <v>11484</v>
      </c>
      <c r="AH2292" s="9">
        <v>2495</v>
      </c>
      <c r="AI2292" s="9" t="s">
        <v>77</v>
      </c>
      <c r="AJ2292" s="9" t="s">
        <v>301</v>
      </c>
      <c r="AK2292" s="23" t="str">
        <f t="shared" si="18"/>
        <v>2023GBP</v>
      </c>
      <c r="AL2292" s="23">
        <f>VLOOKUP(AK2292, Exchange_rates!$C:$D, 2, FALSE)</f>
        <v>1</v>
      </c>
      <c r="AM2292" s="26">
        <f t="shared" si="19"/>
        <v>2994</v>
      </c>
      <c r="AN2292" s="9"/>
      <c r="AO2292" s="9"/>
      <c r="AP2292" s="20"/>
      <c r="AQ2292" s="27" t="s">
        <v>49</v>
      </c>
      <c r="AR2292" t="s">
        <v>11485</v>
      </c>
      <c r="AS2292" s="16" t="s">
        <v>11486</v>
      </c>
    </row>
    <row r="2293" spans="1:45" ht="14.5">
      <c r="A2293" s="9" t="s">
        <v>11487</v>
      </c>
      <c r="B2293" s="9" t="s">
        <v>11488</v>
      </c>
      <c r="C2293" s="9" t="s">
        <v>11483</v>
      </c>
      <c r="D2293" s="9" t="s">
        <v>4371</v>
      </c>
      <c r="E2293" s="20" t="s">
        <v>49</v>
      </c>
      <c r="F2293" s="9" t="s">
        <v>69</v>
      </c>
      <c r="G2293" s="9" t="s">
        <v>70</v>
      </c>
      <c r="H2293" s="9" t="s">
        <v>7152</v>
      </c>
      <c r="I2293" s="9" t="s">
        <v>11431</v>
      </c>
      <c r="J2293" s="10"/>
      <c r="K2293" s="10"/>
      <c r="L2293" s="10">
        <v>45246</v>
      </c>
      <c r="M2293" s="10"/>
      <c r="N2293" s="9">
        <v>2023</v>
      </c>
      <c r="O2293" s="9" t="s">
        <v>11432</v>
      </c>
      <c r="P2293" s="9" t="s">
        <v>53</v>
      </c>
      <c r="Q2293" s="9" t="s">
        <v>53</v>
      </c>
      <c r="R2293" s="9" t="s">
        <v>9145</v>
      </c>
      <c r="S2293" s="9"/>
      <c r="T2293" s="9"/>
      <c r="V2293" s="9"/>
      <c r="AC2293" s="9" t="s">
        <v>9557</v>
      </c>
      <c r="AD2293" s="9" t="s">
        <v>9558</v>
      </c>
      <c r="AE2293" s="9" t="s">
        <v>11484</v>
      </c>
      <c r="AH2293" s="9">
        <v>2495</v>
      </c>
      <c r="AI2293" s="9" t="s">
        <v>77</v>
      </c>
      <c r="AJ2293" s="9" t="s">
        <v>301</v>
      </c>
      <c r="AK2293" s="23" t="str">
        <f t="shared" si="18"/>
        <v>2023GBP</v>
      </c>
      <c r="AL2293" s="23">
        <f>VLOOKUP(AK2293, Exchange_rates!$C:$D, 2, FALSE)</f>
        <v>1</v>
      </c>
      <c r="AM2293" s="26">
        <f t="shared" si="19"/>
        <v>2994</v>
      </c>
      <c r="AN2293" s="9"/>
      <c r="AO2293" s="9"/>
      <c r="AP2293" s="20"/>
      <c r="AQ2293" s="27" t="s">
        <v>49</v>
      </c>
      <c r="AR2293" t="s">
        <v>11485</v>
      </c>
      <c r="AS2293" s="16" t="s">
        <v>11486</v>
      </c>
    </row>
    <row r="2294" spans="1:45" ht="14.5">
      <c r="A2294" s="9" t="s">
        <v>11489</v>
      </c>
      <c r="B2294" s="9" t="s">
        <v>11490</v>
      </c>
      <c r="C2294" s="9" t="s">
        <v>4856</v>
      </c>
      <c r="D2294" s="9" t="s">
        <v>4371</v>
      </c>
      <c r="E2294" s="20" t="s">
        <v>49</v>
      </c>
      <c r="F2294" s="9" t="s">
        <v>69</v>
      </c>
      <c r="G2294" s="9" t="s">
        <v>70</v>
      </c>
      <c r="H2294" s="9" t="s">
        <v>7152</v>
      </c>
      <c r="I2294" s="9" t="s">
        <v>291</v>
      </c>
      <c r="J2294" s="10">
        <v>45050</v>
      </c>
      <c r="K2294" s="10">
        <v>45239</v>
      </c>
      <c r="L2294" s="10">
        <v>45244</v>
      </c>
      <c r="M2294" s="10"/>
      <c r="N2294" s="9">
        <v>2023</v>
      </c>
      <c r="O2294" s="9" t="s">
        <v>11432</v>
      </c>
      <c r="P2294" s="9" t="s">
        <v>83</v>
      </c>
      <c r="Q2294" s="9" t="s">
        <v>53</v>
      </c>
      <c r="R2294" s="9" t="s">
        <v>11491</v>
      </c>
      <c r="S2294" s="9" t="s">
        <v>11492</v>
      </c>
      <c r="T2294" s="9"/>
      <c r="V2294" s="9"/>
      <c r="AC2294" s="9" t="s">
        <v>11493</v>
      </c>
      <c r="AD2294" s="9" t="s">
        <v>11494</v>
      </c>
      <c r="AE2294" s="9" t="s">
        <v>9145</v>
      </c>
      <c r="AH2294" s="9">
        <v>2915</v>
      </c>
      <c r="AI2294" s="9" t="s">
        <v>77</v>
      </c>
      <c r="AJ2294" s="9" t="s">
        <v>301</v>
      </c>
      <c r="AK2294" s="23" t="str">
        <f t="shared" si="18"/>
        <v>2023GBP</v>
      </c>
      <c r="AL2294" s="23">
        <f>VLOOKUP(AK2294, Exchange_rates!$C:$D, 2, FALSE)</f>
        <v>1</v>
      </c>
      <c r="AM2294" s="26">
        <f t="shared" si="19"/>
        <v>3498</v>
      </c>
      <c r="AN2294" s="9"/>
      <c r="AO2294" s="9"/>
      <c r="AP2294" s="20"/>
      <c r="AQ2294" s="27" t="s">
        <v>49</v>
      </c>
      <c r="AR2294" t="s">
        <v>4859</v>
      </c>
      <c r="AS2294" s="16" t="s">
        <v>4860</v>
      </c>
    </row>
    <row r="2295" spans="1:45" ht="14.5">
      <c r="A2295" s="9" t="s">
        <v>11495</v>
      </c>
      <c r="B2295" s="9" t="s">
        <v>11496</v>
      </c>
      <c r="C2295" s="9" t="s">
        <v>11497</v>
      </c>
      <c r="D2295" s="9" t="s">
        <v>4371</v>
      </c>
      <c r="E2295" s="20" t="s">
        <v>49</v>
      </c>
      <c r="F2295" s="9" t="s">
        <v>69</v>
      </c>
      <c r="G2295" s="9" t="s">
        <v>70</v>
      </c>
      <c r="H2295" s="9" t="s">
        <v>7152</v>
      </c>
      <c r="I2295" s="9" t="s">
        <v>291</v>
      </c>
      <c r="J2295" s="10">
        <v>44769</v>
      </c>
      <c r="K2295" s="10">
        <v>45241</v>
      </c>
      <c r="L2295" s="10">
        <v>45244</v>
      </c>
      <c r="M2295" s="10"/>
      <c r="N2295" s="9">
        <v>2023</v>
      </c>
      <c r="O2295" s="9" t="s">
        <v>11432</v>
      </c>
      <c r="P2295" s="9" t="s">
        <v>53</v>
      </c>
      <c r="Q2295" s="9" t="s">
        <v>53</v>
      </c>
      <c r="R2295" s="9" t="s">
        <v>11498</v>
      </c>
      <c r="S2295" s="9"/>
      <c r="T2295" s="9"/>
      <c r="V2295" s="9"/>
      <c r="AC2295" s="9" t="s">
        <v>11499</v>
      </c>
      <c r="AD2295" s="9" t="s">
        <v>11500</v>
      </c>
      <c r="AE2295" s="9" t="s">
        <v>11501</v>
      </c>
      <c r="AH2295" s="9">
        <v>2495</v>
      </c>
      <c r="AI2295" s="9" t="s">
        <v>77</v>
      </c>
      <c r="AJ2295" s="9" t="s">
        <v>301</v>
      </c>
      <c r="AK2295" s="23" t="str">
        <f t="shared" si="18"/>
        <v>2023GBP</v>
      </c>
      <c r="AL2295" s="23">
        <f>VLOOKUP(AK2295, Exchange_rates!$C:$D, 2, FALSE)</f>
        <v>1</v>
      </c>
      <c r="AM2295" s="26">
        <f t="shared" si="19"/>
        <v>2994</v>
      </c>
      <c r="AN2295" s="9"/>
      <c r="AO2295" s="9"/>
      <c r="AP2295" s="20"/>
      <c r="AQ2295" s="27" t="s">
        <v>49</v>
      </c>
      <c r="AR2295" t="s">
        <v>11502</v>
      </c>
      <c r="AS2295" s="16" t="s">
        <v>11503</v>
      </c>
    </row>
    <row r="2296" spans="1:45" ht="14.5">
      <c r="A2296" s="9" t="s">
        <v>11504</v>
      </c>
      <c r="B2296" s="9" t="s">
        <v>11505</v>
      </c>
      <c r="C2296" s="9" t="s">
        <v>11506</v>
      </c>
      <c r="D2296" s="9" t="s">
        <v>4371</v>
      </c>
      <c r="E2296" s="20" t="s">
        <v>49</v>
      </c>
      <c r="F2296" s="9" t="s">
        <v>69</v>
      </c>
      <c r="G2296" s="9" t="s">
        <v>70</v>
      </c>
      <c r="H2296" s="9" t="s">
        <v>7152</v>
      </c>
      <c r="I2296" s="9" t="s">
        <v>72</v>
      </c>
      <c r="J2296" s="10">
        <v>45093</v>
      </c>
      <c r="K2296" s="10">
        <v>45188</v>
      </c>
      <c r="L2296" s="10">
        <v>45230</v>
      </c>
      <c r="M2296" s="10"/>
      <c r="N2296" s="9">
        <v>2023</v>
      </c>
      <c r="O2296" s="9" t="s">
        <v>11432</v>
      </c>
      <c r="P2296" s="9" t="s">
        <v>53</v>
      </c>
      <c r="Q2296" s="9" t="s">
        <v>53</v>
      </c>
      <c r="R2296" s="9" t="s">
        <v>9145</v>
      </c>
      <c r="S2296" s="9"/>
      <c r="T2296" s="9"/>
      <c r="V2296" s="9"/>
      <c r="AC2296" s="9" t="s">
        <v>11507</v>
      </c>
      <c r="AD2296" s="9" t="s">
        <v>11508</v>
      </c>
      <c r="AE2296" s="9" t="s">
        <v>9145</v>
      </c>
      <c r="AH2296" s="9">
        <v>2495</v>
      </c>
      <c r="AI2296" s="9" t="s">
        <v>77</v>
      </c>
      <c r="AJ2296" s="9" t="s">
        <v>301</v>
      </c>
      <c r="AK2296" s="23" t="str">
        <f t="shared" si="18"/>
        <v>2023GBP</v>
      </c>
      <c r="AL2296" s="23">
        <f>VLOOKUP(AK2296, Exchange_rates!$C:$D, 2, FALSE)</f>
        <v>1</v>
      </c>
      <c r="AM2296" s="26">
        <f t="shared" si="19"/>
        <v>2994</v>
      </c>
      <c r="AN2296" s="9"/>
      <c r="AO2296" s="9"/>
      <c r="AP2296" s="20"/>
      <c r="AQ2296" s="27" t="s">
        <v>49</v>
      </c>
      <c r="AR2296" t="s">
        <v>11509</v>
      </c>
      <c r="AS2296" s="16" t="s">
        <v>11510</v>
      </c>
    </row>
    <row r="2297" spans="1:45" ht="14.5">
      <c r="A2297" s="9" t="s">
        <v>11511</v>
      </c>
      <c r="B2297" s="9" t="s">
        <v>11512</v>
      </c>
      <c r="C2297" s="9" t="s">
        <v>11513</v>
      </c>
      <c r="D2297" s="9" t="s">
        <v>4371</v>
      </c>
      <c r="E2297" s="20" t="s">
        <v>49</v>
      </c>
      <c r="F2297" s="9" t="s">
        <v>69</v>
      </c>
      <c r="G2297" s="9" t="s">
        <v>70</v>
      </c>
      <c r="H2297" s="9" t="s">
        <v>7152</v>
      </c>
      <c r="I2297" s="9" t="s">
        <v>291</v>
      </c>
      <c r="J2297" s="10">
        <v>44773</v>
      </c>
      <c r="K2297" s="10">
        <v>45222</v>
      </c>
      <c r="L2297" s="10">
        <v>45225</v>
      </c>
      <c r="M2297" s="10">
        <v>45229</v>
      </c>
      <c r="N2297" s="9">
        <v>2023</v>
      </c>
      <c r="O2297" s="9" t="s">
        <v>11432</v>
      </c>
      <c r="P2297" s="9" t="s">
        <v>53</v>
      </c>
      <c r="Q2297" s="9" t="s">
        <v>53</v>
      </c>
      <c r="R2297" s="9" t="s">
        <v>9145</v>
      </c>
      <c r="S2297" s="9"/>
      <c r="T2297" s="9"/>
      <c r="V2297" s="9"/>
      <c r="AC2297" s="9" t="s">
        <v>11514</v>
      </c>
      <c r="AD2297" s="9" t="s">
        <v>11515</v>
      </c>
      <c r="AE2297" s="9" t="s">
        <v>11516</v>
      </c>
      <c r="AH2297" s="9">
        <v>2750</v>
      </c>
      <c r="AI2297" s="9" t="s">
        <v>77</v>
      </c>
      <c r="AJ2297" s="9" t="s">
        <v>301</v>
      </c>
      <c r="AK2297" s="23" t="str">
        <f t="shared" si="18"/>
        <v>2023GBP</v>
      </c>
      <c r="AL2297" s="23">
        <f>VLOOKUP(AK2297, Exchange_rates!$C:$D, 2, FALSE)</f>
        <v>1</v>
      </c>
      <c r="AM2297" s="26">
        <f t="shared" si="19"/>
        <v>3300</v>
      </c>
      <c r="AN2297" s="9"/>
      <c r="AO2297" s="9"/>
      <c r="AP2297" s="20"/>
      <c r="AQ2297" s="27" t="s">
        <v>49</v>
      </c>
      <c r="AR2297" t="s">
        <v>11517</v>
      </c>
      <c r="AS2297" s="16" t="s">
        <v>11518</v>
      </c>
    </row>
    <row r="2298" spans="1:45" ht="14.5">
      <c r="A2298" s="9" t="s">
        <v>11519</v>
      </c>
      <c r="B2298" s="9" t="s">
        <v>11520</v>
      </c>
      <c r="C2298" s="9" t="s">
        <v>5414</v>
      </c>
      <c r="D2298" s="9" t="s">
        <v>4371</v>
      </c>
      <c r="E2298" s="20" t="s">
        <v>49</v>
      </c>
      <c r="F2298" s="9" t="s">
        <v>69</v>
      </c>
      <c r="G2298" s="9" t="s">
        <v>70</v>
      </c>
      <c r="H2298" s="9" t="s">
        <v>7152</v>
      </c>
      <c r="I2298" s="9" t="s">
        <v>72</v>
      </c>
      <c r="J2298" s="10">
        <v>45017</v>
      </c>
      <c r="K2298" s="10">
        <v>45217</v>
      </c>
      <c r="L2298" s="10">
        <v>45223</v>
      </c>
      <c r="M2298" s="10"/>
      <c r="N2298" s="9">
        <v>2023</v>
      </c>
      <c r="O2298" s="9" t="s">
        <v>11432</v>
      </c>
      <c r="P2298" s="9" t="s">
        <v>83</v>
      </c>
      <c r="Q2298" s="9" t="s">
        <v>53</v>
      </c>
      <c r="R2298" s="9" t="s">
        <v>11491</v>
      </c>
      <c r="S2298" s="9"/>
      <c r="T2298" s="9"/>
      <c r="V2298" s="9"/>
      <c r="AC2298" s="9" t="s">
        <v>11521</v>
      </c>
      <c r="AD2298" s="9" t="s">
        <v>9461</v>
      </c>
      <c r="AE2298" s="9" t="s">
        <v>9145</v>
      </c>
      <c r="AH2298" s="9">
        <v>2495</v>
      </c>
      <c r="AI2298" s="9" t="s">
        <v>77</v>
      </c>
      <c r="AJ2298" s="9" t="s">
        <v>301</v>
      </c>
      <c r="AK2298" s="23" t="str">
        <f t="shared" si="18"/>
        <v>2023GBP</v>
      </c>
      <c r="AL2298" s="23">
        <f>VLOOKUP(AK2298, Exchange_rates!$C:$D, 2, FALSE)</f>
        <v>1</v>
      </c>
      <c r="AM2298" s="26">
        <f t="shared" si="19"/>
        <v>2994</v>
      </c>
      <c r="AN2298" s="9"/>
      <c r="AO2298" s="9"/>
      <c r="AP2298" s="20"/>
      <c r="AQ2298" s="27" t="s">
        <v>49</v>
      </c>
      <c r="AR2298" t="s">
        <v>5415</v>
      </c>
      <c r="AS2298" s="16" t="s">
        <v>5416</v>
      </c>
    </row>
    <row r="2299" spans="1:45" ht="14.5">
      <c r="A2299" s="9" t="s">
        <v>11522</v>
      </c>
      <c r="B2299" s="9" t="s">
        <v>11523</v>
      </c>
      <c r="C2299" s="9" t="s">
        <v>11524</v>
      </c>
      <c r="D2299" s="9" t="s">
        <v>4371</v>
      </c>
      <c r="E2299" s="20" t="s">
        <v>49</v>
      </c>
      <c r="F2299" s="9" t="s">
        <v>69</v>
      </c>
      <c r="G2299" s="9" t="s">
        <v>70</v>
      </c>
      <c r="H2299" s="9" t="s">
        <v>7152</v>
      </c>
      <c r="I2299" s="9" t="s">
        <v>291</v>
      </c>
      <c r="J2299" s="10"/>
      <c r="K2299" s="10"/>
      <c r="L2299" s="10">
        <v>45216</v>
      </c>
      <c r="M2299" s="10"/>
      <c r="N2299" s="9">
        <v>2023</v>
      </c>
      <c r="O2299" s="9" t="s">
        <v>11432</v>
      </c>
      <c r="P2299" s="9" t="s">
        <v>53</v>
      </c>
      <c r="Q2299" s="9" t="s">
        <v>53</v>
      </c>
      <c r="R2299" s="9" t="s">
        <v>11525</v>
      </c>
      <c r="S2299" s="9"/>
      <c r="T2299" s="9"/>
      <c r="V2299" s="9"/>
      <c r="AC2299" s="9" t="s">
        <v>11526</v>
      </c>
      <c r="AD2299" s="9" t="s">
        <v>11527</v>
      </c>
      <c r="AE2299" s="9" t="s">
        <v>9145</v>
      </c>
      <c r="AH2299" s="9">
        <v>2495</v>
      </c>
      <c r="AI2299" s="9" t="s">
        <v>77</v>
      </c>
      <c r="AJ2299" s="9" t="s">
        <v>301</v>
      </c>
      <c r="AK2299" s="23" t="str">
        <f t="shared" si="18"/>
        <v>2023GBP</v>
      </c>
      <c r="AL2299" s="23">
        <f>VLOOKUP(AK2299, Exchange_rates!$C:$D, 2, FALSE)</f>
        <v>1</v>
      </c>
      <c r="AM2299" s="26">
        <f t="shared" si="19"/>
        <v>2994</v>
      </c>
      <c r="AN2299" s="9"/>
      <c r="AO2299" s="9"/>
      <c r="AP2299" s="20"/>
      <c r="AQ2299" s="27" t="s">
        <v>49</v>
      </c>
      <c r="AR2299" t="s">
        <v>11528</v>
      </c>
      <c r="AS2299" s="16" t="s">
        <v>11529</v>
      </c>
    </row>
    <row r="2300" spans="1:45" ht="14.5">
      <c r="A2300" s="9" t="s">
        <v>11530</v>
      </c>
      <c r="B2300" s="9" t="s">
        <v>11531</v>
      </c>
      <c r="C2300" s="9" t="s">
        <v>11532</v>
      </c>
      <c r="D2300" s="9" t="s">
        <v>4371</v>
      </c>
      <c r="E2300" s="20" t="s">
        <v>49</v>
      </c>
      <c r="F2300" s="9" t="s">
        <v>69</v>
      </c>
      <c r="G2300" s="9" t="s">
        <v>70</v>
      </c>
      <c r="H2300" s="9" t="s">
        <v>7152</v>
      </c>
      <c r="I2300" s="9" t="s">
        <v>72</v>
      </c>
      <c r="J2300" s="10"/>
      <c r="K2300" s="10"/>
      <c r="L2300" s="10">
        <v>45215</v>
      </c>
      <c r="M2300" s="10"/>
      <c r="N2300" s="9">
        <v>2023</v>
      </c>
      <c r="O2300" s="9" t="s">
        <v>11432</v>
      </c>
      <c r="P2300" s="9" t="s">
        <v>53</v>
      </c>
      <c r="Q2300" s="9" t="s">
        <v>53</v>
      </c>
      <c r="R2300" s="9" t="s">
        <v>9145</v>
      </c>
      <c r="S2300" s="9"/>
      <c r="T2300" s="9"/>
      <c r="V2300" s="9"/>
      <c r="AC2300" s="9" t="s">
        <v>11533</v>
      </c>
      <c r="AD2300" s="9" t="s">
        <v>11534</v>
      </c>
      <c r="AE2300" s="9" t="s">
        <v>11535</v>
      </c>
      <c r="AH2300" s="9">
        <v>2495</v>
      </c>
      <c r="AI2300" s="9" t="s">
        <v>77</v>
      </c>
      <c r="AJ2300" s="9" t="s">
        <v>301</v>
      </c>
      <c r="AK2300" s="23" t="str">
        <f t="shared" si="18"/>
        <v>2023GBP</v>
      </c>
      <c r="AL2300" s="23">
        <f>VLOOKUP(AK2300, Exchange_rates!$C:$D, 2, FALSE)</f>
        <v>1</v>
      </c>
      <c r="AM2300" s="26">
        <f t="shared" si="19"/>
        <v>2994</v>
      </c>
      <c r="AN2300" s="9"/>
      <c r="AO2300" s="9"/>
      <c r="AP2300" s="20"/>
      <c r="AQ2300" s="27" t="s">
        <v>49</v>
      </c>
      <c r="AR2300" t="s">
        <v>11536</v>
      </c>
      <c r="AS2300" s="16" t="s">
        <v>11537</v>
      </c>
    </row>
    <row r="2301" spans="1:45" ht="14.5">
      <c r="A2301" s="9" t="s">
        <v>11538</v>
      </c>
      <c r="B2301" s="9" t="s">
        <v>11539</v>
      </c>
      <c r="C2301" s="9" t="s">
        <v>11540</v>
      </c>
      <c r="D2301" s="9" t="s">
        <v>4371</v>
      </c>
      <c r="E2301" s="20" t="s">
        <v>49</v>
      </c>
      <c r="F2301" s="9" t="s">
        <v>69</v>
      </c>
      <c r="G2301" s="9" t="s">
        <v>70</v>
      </c>
      <c r="H2301" s="9" t="s">
        <v>7152</v>
      </c>
      <c r="I2301" s="9" t="s">
        <v>291</v>
      </c>
      <c r="J2301" s="10">
        <v>45073</v>
      </c>
      <c r="K2301" s="10">
        <v>45203</v>
      </c>
      <c r="L2301" s="10">
        <v>45215</v>
      </c>
      <c r="M2301" s="10"/>
      <c r="N2301" s="9">
        <v>2023</v>
      </c>
      <c r="O2301" s="9" t="s">
        <v>11432</v>
      </c>
      <c r="P2301" s="9" t="s">
        <v>53</v>
      </c>
      <c r="Q2301" s="9" t="s">
        <v>53</v>
      </c>
      <c r="R2301" s="9" t="s">
        <v>9145</v>
      </c>
      <c r="S2301" s="9"/>
      <c r="T2301" s="9"/>
      <c r="V2301" s="9"/>
      <c r="AC2301" s="9" t="s">
        <v>9455</v>
      </c>
      <c r="AD2301" s="9" t="s">
        <v>9456</v>
      </c>
      <c r="AE2301" s="9" t="s">
        <v>9145</v>
      </c>
      <c r="AH2301" s="9">
        <v>2495</v>
      </c>
      <c r="AI2301" s="9" t="s">
        <v>77</v>
      </c>
      <c r="AJ2301" s="9" t="s">
        <v>301</v>
      </c>
      <c r="AK2301" s="23" t="str">
        <f t="shared" si="18"/>
        <v>2023GBP</v>
      </c>
      <c r="AL2301" s="23">
        <f>VLOOKUP(AK2301, Exchange_rates!$C:$D, 2, FALSE)</f>
        <v>1</v>
      </c>
      <c r="AM2301" s="26">
        <f t="shared" si="19"/>
        <v>2994</v>
      </c>
      <c r="AN2301" s="9"/>
      <c r="AO2301" s="9"/>
      <c r="AP2301" s="20"/>
      <c r="AQ2301" s="27" t="s">
        <v>49</v>
      </c>
      <c r="AR2301" t="s">
        <v>11541</v>
      </c>
      <c r="AS2301" s="16" t="s">
        <v>11542</v>
      </c>
    </row>
    <row r="2302" spans="1:45" ht="14.5">
      <c r="A2302" s="9" t="s">
        <v>11543</v>
      </c>
      <c r="B2302" s="9" t="s">
        <v>11544</v>
      </c>
      <c r="C2302" s="9" t="s">
        <v>11545</v>
      </c>
      <c r="D2302" s="9" t="s">
        <v>4371</v>
      </c>
      <c r="E2302" s="20" t="s">
        <v>49</v>
      </c>
      <c r="F2302" s="9" t="s">
        <v>69</v>
      </c>
      <c r="G2302" s="9" t="s">
        <v>70</v>
      </c>
      <c r="H2302" s="9" t="s">
        <v>7152</v>
      </c>
      <c r="I2302" s="9" t="s">
        <v>72</v>
      </c>
      <c r="J2302" s="10">
        <v>44978</v>
      </c>
      <c r="K2302" s="10">
        <v>45204</v>
      </c>
      <c r="L2302" s="10">
        <v>45210</v>
      </c>
      <c r="M2302" s="10"/>
      <c r="N2302" s="9">
        <v>2023</v>
      </c>
      <c r="O2302" s="9" t="s">
        <v>11432</v>
      </c>
      <c r="P2302" s="9" t="s">
        <v>83</v>
      </c>
      <c r="Q2302" s="9" t="s">
        <v>53</v>
      </c>
      <c r="R2302" s="9" t="s">
        <v>11546</v>
      </c>
      <c r="S2302" s="9"/>
      <c r="T2302" s="9"/>
      <c r="V2302" s="9"/>
      <c r="AC2302" s="9" t="s">
        <v>11547</v>
      </c>
      <c r="AD2302" s="9" t="s">
        <v>11548</v>
      </c>
      <c r="AE2302" s="9" t="s">
        <v>11549</v>
      </c>
      <c r="AH2302" s="9">
        <v>2750</v>
      </c>
      <c r="AI2302" s="9" t="s">
        <v>77</v>
      </c>
      <c r="AJ2302" s="9" t="s">
        <v>301</v>
      </c>
      <c r="AK2302" s="23" t="str">
        <f t="shared" si="18"/>
        <v>2023GBP</v>
      </c>
      <c r="AL2302" s="23">
        <f>VLOOKUP(AK2302, Exchange_rates!$C:$D, 2, FALSE)</f>
        <v>1</v>
      </c>
      <c r="AM2302" s="26">
        <f t="shared" si="19"/>
        <v>3300</v>
      </c>
      <c r="AN2302" s="9"/>
      <c r="AO2302" s="9"/>
      <c r="AP2302" s="20"/>
      <c r="AQ2302" s="27" t="s">
        <v>49</v>
      </c>
      <c r="AR2302" t="s">
        <v>11550</v>
      </c>
      <c r="AS2302" s="16" t="s">
        <v>11551</v>
      </c>
    </row>
    <row r="2303" spans="1:45" ht="14.5">
      <c r="A2303" s="9" t="s">
        <v>11552</v>
      </c>
      <c r="B2303" s="9" t="s">
        <v>11553</v>
      </c>
      <c r="C2303" s="9" t="s">
        <v>11554</v>
      </c>
      <c r="D2303" s="9" t="s">
        <v>4371</v>
      </c>
      <c r="E2303" s="20" t="s">
        <v>49</v>
      </c>
      <c r="F2303" s="9" t="s">
        <v>69</v>
      </c>
      <c r="G2303" s="9" t="s">
        <v>70</v>
      </c>
      <c r="H2303" s="9" t="s">
        <v>7152</v>
      </c>
      <c r="I2303" s="9" t="s">
        <v>291</v>
      </c>
      <c r="J2303" s="10"/>
      <c r="K2303" s="10"/>
      <c r="L2303" s="10">
        <v>45208</v>
      </c>
      <c r="M2303" s="10"/>
      <c r="N2303" s="9">
        <v>2023</v>
      </c>
      <c r="O2303" s="9" t="s">
        <v>11432</v>
      </c>
      <c r="P2303" s="9" t="s">
        <v>53</v>
      </c>
      <c r="Q2303" s="9" t="s">
        <v>53</v>
      </c>
      <c r="R2303" s="9" t="s">
        <v>9145</v>
      </c>
      <c r="S2303" s="9"/>
      <c r="T2303" s="9"/>
      <c r="V2303" s="9"/>
      <c r="AC2303" s="9" t="s">
        <v>11555</v>
      </c>
      <c r="AD2303" s="9" t="s">
        <v>11556</v>
      </c>
      <c r="AE2303" s="9" t="s">
        <v>11557</v>
      </c>
      <c r="AH2303" s="9">
        <v>2335</v>
      </c>
      <c r="AI2303" s="9" t="s">
        <v>77</v>
      </c>
      <c r="AJ2303" s="9" t="s">
        <v>301</v>
      </c>
      <c r="AK2303" s="23" t="str">
        <f t="shared" si="18"/>
        <v>2023GBP</v>
      </c>
      <c r="AL2303" s="23">
        <f>VLOOKUP(AK2303, Exchange_rates!$C:$D, 2, FALSE)</f>
        <v>1</v>
      </c>
      <c r="AM2303" s="26">
        <f t="shared" si="19"/>
        <v>2802</v>
      </c>
      <c r="AN2303" s="9"/>
      <c r="AO2303" s="9"/>
      <c r="AP2303" s="20"/>
      <c r="AQ2303" s="27" t="s">
        <v>49</v>
      </c>
      <c r="AR2303" t="s">
        <v>11558</v>
      </c>
      <c r="AS2303" s="16" t="s">
        <v>11559</v>
      </c>
    </row>
    <row r="2304" spans="1:45" ht="14.5">
      <c r="A2304" s="9" t="s">
        <v>11560</v>
      </c>
      <c r="B2304" s="9" t="s">
        <v>11561</v>
      </c>
      <c r="C2304" s="9" t="s">
        <v>7179</v>
      </c>
      <c r="D2304" s="9" t="s">
        <v>4371</v>
      </c>
      <c r="E2304" s="20" t="s">
        <v>49</v>
      </c>
      <c r="F2304" s="9" t="s">
        <v>69</v>
      </c>
      <c r="G2304" s="9" t="s">
        <v>70</v>
      </c>
      <c r="H2304" s="9" t="s">
        <v>7152</v>
      </c>
      <c r="I2304" s="9" t="s">
        <v>291</v>
      </c>
      <c r="J2304" s="10">
        <v>45092</v>
      </c>
      <c r="K2304" s="10">
        <v>45189</v>
      </c>
      <c r="L2304" s="10">
        <v>45197</v>
      </c>
      <c r="M2304" s="10"/>
      <c r="N2304" s="9">
        <v>2023</v>
      </c>
      <c r="O2304" s="9" t="s">
        <v>11432</v>
      </c>
      <c r="P2304" s="9" t="s">
        <v>53</v>
      </c>
      <c r="Q2304" s="9" t="s">
        <v>53</v>
      </c>
      <c r="R2304" s="9" t="s">
        <v>11562</v>
      </c>
      <c r="S2304" s="9"/>
      <c r="T2304" s="9"/>
      <c r="V2304" s="9"/>
      <c r="AC2304" s="9" t="s">
        <v>11563</v>
      </c>
      <c r="AD2304" s="9" t="s">
        <v>11564</v>
      </c>
      <c r="AE2304" s="9" t="s">
        <v>9145</v>
      </c>
      <c r="AH2304" s="9">
        <v>2495</v>
      </c>
      <c r="AI2304" s="9" t="s">
        <v>77</v>
      </c>
      <c r="AJ2304" s="9" t="s">
        <v>301</v>
      </c>
      <c r="AK2304" s="23" t="str">
        <f t="shared" si="18"/>
        <v>2023GBP</v>
      </c>
      <c r="AL2304" s="23">
        <f>VLOOKUP(AK2304, Exchange_rates!$C:$D, 2, FALSE)</f>
        <v>1</v>
      </c>
      <c r="AM2304" s="26">
        <f t="shared" si="19"/>
        <v>2994</v>
      </c>
      <c r="AN2304" s="9"/>
      <c r="AO2304" s="9"/>
      <c r="AP2304" s="20"/>
      <c r="AQ2304" s="27" t="s">
        <v>49</v>
      </c>
      <c r="AR2304" t="s">
        <v>7184</v>
      </c>
      <c r="AS2304" s="16" t="s">
        <v>7185</v>
      </c>
    </row>
    <row r="2305" spans="1:45" ht="14.5">
      <c r="A2305" s="9" t="s">
        <v>11565</v>
      </c>
      <c r="B2305" s="9" t="s">
        <v>11566</v>
      </c>
      <c r="C2305" s="9" t="s">
        <v>11567</v>
      </c>
      <c r="D2305" s="9" t="s">
        <v>4371</v>
      </c>
      <c r="E2305" s="20" t="s">
        <v>49</v>
      </c>
      <c r="F2305" s="9" t="s">
        <v>69</v>
      </c>
      <c r="G2305" s="9" t="s">
        <v>70</v>
      </c>
      <c r="H2305" s="9" t="s">
        <v>7152</v>
      </c>
      <c r="I2305" s="9" t="s">
        <v>291</v>
      </c>
      <c r="J2305" s="10">
        <v>45066</v>
      </c>
      <c r="K2305" s="10">
        <v>45172</v>
      </c>
      <c r="L2305" s="10">
        <v>45194</v>
      </c>
      <c r="M2305" s="10"/>
      <c r="N2305" s="9">
        <v>2023</v>
      </c>
      <c r="O2305" s="9" t="s">
        <v>11432</v>
      </c>
      <c r="P2305" s="9" t="s">
        <v>53</v>
      </c>
      <c r="Q2305" s="9" t="s">
        <v>53</v>
      </c>
      <c r="R2305" s="9" t="s">
        <v>11568</v>
      </c>
      <c r="S2305" s="9"/>
      <c r="T2305" s="9"/>
      <c r="V2305" s="9"/>
      <c r="AC2305" s="9" t="s">
        <v>11569</v>
      </c>
      <c r="AD2305" s="9" t="s">
        <v>11570</v>
      </c>
      <c r="AE2305" s="9" t="s">
        <v>9145</v>
      </c>
      <c r="AH2305" s="9">
        <v>2495</v>
      </c>
      <c r="AI2305" s="9" t="s">
        <v>77</v>
      </c>
      <c r="AJ2305" s="9" t="s">
        <v>301</v>
      </c>
      <c r="AK2305" s="23" t="str">
        <f t="shared" si="18"/>
        <v>2023GBP</v>
      </c>
      <c r="AL2305" s="23">
        <f>VLOOKUP(AK2305, Exchange_rates!$C:$D, 2, FALSE)</f>
        <v>1</v>
      </c>
      <c r="AM2305" s="26">
        <f t="shared" si="19"/>
        <v>2994</v>
      </c>
      <c r="AN2305" s="9"/>
      <c r="AO2305" s="9"/>
      <c r="AP2305" s="20"/>
      <c r="AQ2305" s="27" t="s">
        <v>49</v>
      </c>
      <c r="AR2305" t="s">
        <v>11571</v>
      </c>
      <c r="AS2305" s="16" t="s">
        <v>11572</v>
      </c>
    </row>
    <row r="2306" spans="1:45" ht="14.5">
      <c r="A2306" s="9" t="s">
        <v>11573</v>
      </c>
      <c r="B2306" s="9" t="s">
        <v>11574</v>
      </c>
      <c r="C2306" s="9" t="s">
        <v>4856</v>
      </c>
      <c r="D2306" s="9" t="s">
        <v>4371</v>
      </c>
      <c r="E2306" s="20" t="s">
        <v>49</v>
      </c>
      <c r="F2306" s="9" t="s">
        <v>69</v>
      </c>
      <c r="G2306" s="9" t="s">
        <v>70</v>
      </c>
      <c r="H2306" s="9" t="s">
        <v>7152</v>
      </c>
      <c r="I2306" s="9" t="s">
        <v>291</v>
      </c>
      <c r="J2306" s="10">
        <v>44606</v>
      </c>
      <c r="K2306" s="10">
        <v>45186</v>
      </c>
      <c r="L2306" s="10">
        <v>45190</v>
      </c>
      <c r="M2306" s="10"/>
      <c r="N2306" s="9">
        <v>2023</v>
      </c>
      <c r="O2306" s="9" t="s">
        <v>11432</v>
      </c>
      <c r="P2306" s="9" t="s">
        <v>53</v>
      </c>
      <c r="Q2306" s="9" t="s">
        <v>53</v>
      </c>
      <c r="R2306" s="9" t="s">
        <v>11575</v>
      </c>
      <c r="S2306" s="9"/>
      <c r="T2306" s="9"/>
      <c r="V2306" s="9" t="s">
        <v>9440</v>
      </c>
      <c r="AC2306" s="9" t="s">
        <v>11526</v>
      </c>
      <c r="AD2306" s="9" t="s">
        <v>11576</v>
      </c>
      <c r="AE2306" s="9" t="s">
        <v>9145</v>
      </c>
      <c r="AH2306" s="9">
        <v>2915</v>
      </c>
      <c r="AI2306" s="9" t="s">
        <v>77</v>
      </c>
      <c r="AJ2306" s="9" t="s">
        <v>301</v>
      </c>
      <c r="AK2306" s="23" t="str">
        <f t="shared" si="18"/>
        <v>2023GBP</v>
      </c>
      <c r="AL2306" s="23">
        <f>VLOOKUP(AK2306, Exchange_rates!$C:$D, 2, FALSE)</f>
        <v>1</v>
      </c>
      <c r="AM2306" s="26">
        <f t="shared" si="19"/>
        <v>3498</v>
      </c>
      <c r="AN2306" s="9"/>
      <c r="AO2306" s="9"/>
      <c r="AP2306" s="20"/>
      <c r="AQ2306" s="27" t="s">
        <v>49</v>
      </c>
      <c r="AR2306" t="s">
        <v>4859</v>
      </c>
      <c r="AS2306" s="16" t="s">
        <v>4860</v>
      </c>
    </row>
    <row r="2307" spans="1:45" ht="14.5">
      <c r="A2307" s="9" t="s">
        <v>11577</v>
      </c>
      <c r="B2307" s="9" t="s">
        <v>11578</v>
      </c>
      <c r="C2307" s="9" t="s">
        <v>4938</v>
      </c>
      <c r="D2307" s="9" t="s">
        <v>4371</v>
      </c>
      <c r="E2307" s="20" t="s">
        <v>49</v>
      </c>
      <c r="F2307" s="9" t="s">
        <v>69</v>
      </c>
      <c r="G2307" s="9" t="s">
        <v>70</v>
      </c>
      <c r="H2307" s="9" t="s">
        <v>7152</v>
      </c>
      <c r="I2307" s="9" t="s">
        <v>291</v>
      </c>
      <c r="J2307" s="10">
        <v>44905</v>
      </c>
      <c r="K2307" s="10">
        <v>45148</v>
      </c>
      <c r="L2307" s="10">
        <v>45188</v>
      </c>
      <c r="M2307" s="10"/>
      <c r="N2307" s="9">
        <v>2023</v>
      </c>
      <c r="O2307" s="9" t="s">
        <v>11432</v>
      </c>
      <c r="P2307" s="9" t="s">
        <v>53</v>
      </c>
      <c r="Q2307" s="9" t="s">
        <v>53</v>
      </c>
      <c r="R2307" s="9" t="s">
        <v>11579</v>
      </c>
      <c r="S2307" s="9"/>
      <c r="T2307" s="9"/>
      <c r="V2307" s="9" t="s">
        <v>9440</v>
      </c>
      <c r="AC2307" s="9" t="s">
        <v>11580</v>
      </c>
      <c r="AD2307" s="9" t="s">
        <v>11581</v>
      </c>
      <c r="AE2307" s="9" t="s">
        <v>11582</v>
      </c>
      <c r="AH2307" s="9">
        <v>2495</v>
      </c>
      <c r="AI2307" s="9" t="s">
        <v>77</v>
      </c>
      <c r="AJ2307" s="9" t="s">
        <v>301</v>
      </c>
      <c r="AK2307" s="23" t="str">
        <f t="shared" si="18"/>
        <v>2023GBP</v>
      </c>
      <c r="AL2307" s="23">
        <f>VLOOKUP(AK2307, Exchange_rates!$C:$D, 2, FALSE)</f>
        <v>1</v>
      </c>
      <c r="AM2307" s="26">
        <f t="shared" si="19"/>
        <v>2994</v>
      </c>
      <c r="AN2307" s="9"/>
      <c r="AO2307" s="9"/>
      <c r="AP2307" s="20"/>
      <c r="AQ2307" s="27" t="s">
        <v>49</v>
      </c>
      <c r="AR2307" t="s">
        <v>4940</v>
      </c>
      <c r="AS2307" s="16" t="s">
        <v>4941</v>
      </c>
    </row>
    <row r="2308" spans="1:45" ht="14.5">
      <c r="A2308" s="9" t="s">
        <v>11583</v>
      </c>
      <c r="B2308" s="9" t="s">
        <v>11584</v>
      </c>
      <c r="C2308" s="9" t="s">
        <v>4863</v>
      </c>
      <c r="D2308" s="9" t="s">
        <v>4371</v>
      </c>
      <c r="E2308" s="20" t="s">
        <v>49</v>
      </c>
      <c r="F2308" s="9" t="s">
        <v>69</v>
      </c>
      <c r="G2308" s="9" t="s">
        <v>70</v>
      </c>
      <c r="H2308" s="9" t="s">
        <v>7152</v>
      </c>
      <c r="I2308" s="9" t="s">
        <v>291</v>
      </c>
      <c r="J2308" s="10">
        <v>44904</v>
      </c>
      <c r="K2308" s="10">
        <v>45177</v>
      </c>
      <c r="L2308" s="10">
        <v>45187</v>
      </c>
      <c r="M2308" s="10"/>
      <c r="N2308" s="9">
        <v>2023</v>
      </c>
      <c r="O2308" s="9" t="s">
        <v>11432</v>
      </c>
      <c r="P2308" s="9" t="s">
        <v>53</v>
      </c>
      <c r="Q2308" s="9" t="s">
        <v>53</v>
      </c>
      <c r="R2308" s="9" t="s">
        <v>9145</v>
      </c>
      <c r="S2308" s="9"/>
      <c r="T2308" s="9"/>
      <c r="V2308" s="9" t="s">
        <v>9440</v>
      </c>
      <c r="AC2308" s="9" t="s">
        <v>11585</v>
      </c>
      <c r="AD2308" s="9" t="s">
        <v>11586</v>
      </c>
      <c r="AE2308" s="9" t="s">
        <v>11587</v>
      </c>
      <c r="AH2308" s="9">
        <v>2495</v>
      </c>
      <c r="AI2308" s="9" t="s">
        <v>77</v>
      </c>
      <c r="AJ2308" s="9" t="s">
        <v>301</v>
      </c>
      <c r="AK2308" s="23" t="str">
        <f t="shared" si="18"/>
        <v>2023GBP</v>
      </c>
      <c r="AL2308" s="23">
        <f>VLOOKUP(AK2308, Exchange_rates!$C:$D, 2, FALSE)</f>
        <v>1</v>
      </c>
      <c r="AM2308" s="26">
        <f t="shared" si="19"/>
        <v>2994</v>
      </c>
      <c r="AN2308" s="9"/>
      <c r="AO2308" s="9"/>
      <c r="AP2308" s="20"/>
      <c r="AQ2308" s="27" t="s">
        <v>49</v>
      </c>
      <c r="AR2308" t="s">
        <v>4865</v>
      </c>
      <c r="AS2308" s="16" t="s">
        <v>4866</v>
      </c>
    </row>
    <row r="2309" spans="1:45" ht="14.5">
      <c r="A2309" s="9" t="s">
        <v>11588</v>
      </c>
      <c r="B2309" s="9" t="s">
        <v>11589</v>
      </c>
      <c r="C2309" s="9" t="s">
        <v>11590</v>
      </c>
      <c r="D2309" s="9" t="s">
        <v>4371</v>
      </c>
      <c r="E2309" s="20" t="s">
        <v>49</v>
      </c>
      <c r="F2309" s="9" t="s">
        <v>69</v>
      </c>
      <c r="G2309" s="9" t="s">
        <v>70</v>
      </c>
      <c r="H2309" s="9" t="s">
        <v>7152</v>
      </c>
      <c r="I2309" s="9" t="s">
        <v>72</v>
      </c>
      <c r="J2309" s="10">
        <v>44837</v>
      </c>
      <c r="K2309" s="10">
        <v>45163</v>
      </c>
      <c r="L2309" s="10">
        <v>45187</v>
      </c>
      <c r="M2309" s="10"/>
      <c r="N2309" s="9">
        <v>2023</v>
      </c>
      <c r="O2309" s="9" t="s">
        <v>11432</v>
      </c>
      <c r="P2309" s="9" t="s">
        <v>53</v>
      </c>
      <c r="Q2309" s="9" t="s">
        <v>83</v>
      </c>
      <c r="R2309" s="9" t="s">
        <v>11591</v>
      </c>
      <c r="S2309" s="9"/>
      <c r="T2309" s="9"/>
      <c r="V2309" s="9" t="s">
        <v>9440</v>
      </c>
      <c r="AC2309" s="9" t="s">
        <v>11592</v>
      </c>
      <c r="AD2309" s="9" t="s">
        <v>11593</v>
      </c>
      <c r="AE2309" s="9" t="s">
        <v>11594</v>
      </c>
      <c r="AH2309" s="9">
        <v>2750</v>
      </c>
      <c r="AI2309" s="9" t="s">
        <v>77</v>
      </c>
      <c r="AJ2309" s="9" t="s">
        <v>301</v>
      </c>
      <c r="AK2309" s="23" t="str">
        <f t="shared" si="18"/>
        <v>2023GBP</v>
      </c>
      <c r="AL2309" s="23">
        <f>VLOOKUP(AK2309, Exchange_rates!$C:$D, 2, FALSE)</f>
        <v>1</v>
      </c>
      <c r="AM2309" s="26">
        <f t="shared" si="19"/>
        <v>3300</v>
      </c>
      <c r="AN2309" s="9"/>
      <c r="AO2309" s="9"/>
      <c r="AP2309" s="20"/>
      <c r="AQ2309" s="27" t="s">
        <v>49</v>
      </c>
      <c r="AR2309" t="s">
        <v>11595</v>
      </c>
      <c r="AS2309" s="16" t="s">
        <v>11596</v>
      </c>
    </row>
    <row r="2310" spans="1:45" ht="14.5">
      <c r="A2310" s="9" t="s">
        <v>11597</v>
      </c>
      <c r="B2310" s="9" t="s">
        <v>11598</v>
      </c>
      <c r="C2310" s="9" t="s">
        <v>4906</v>
      </c>
      <c r="D2310" s="9" t="s">
        <v>4371</v>
      </c>
      <c r="E2310" s="20" t="s">
        <v>49</v>
      </c>
      <c r="F2310" s="9" t="s">
        <v>69</v>
      </c>
      <c r="G2310" s="9" t="s">
        <v>70</v>
      </c>
      <c r="H2310" s="9" t="s">
        <v>7152</v>
      </c>
      <c r="I2310" s="9" t="s">
        <v>291</v>
      </c>
      <c r="J2310" s="10">
        <v>44988</v>
      </c>
      <c r="K2310" s="10">
        <v>45175</v>
      </c>
      <c r="L2310" s="10">
        <v>45183</v>
      </c>
      <c r="M2310" s="10"/>
      <c r="N2310" s="9">
        <v>2023</v>
      </c>
      <c r="O2310" s="9" t="s">
        <v>11432</v>
      </c>
      <c r="P2310" s="9" t="s">
        <v>53</v>
      </c>
      <c r="Q2310" s="9" t="s">
        <v>53</v>
      </c>
      <c r="R2310" s="9" t="s">
        <v>9145</v>
      </c>
      <c r="S2310" s="9"/>
      <c r="T2310" s="9"/>
      <c r="V2310" s="9" t="s">
        <v>9440</v>
      </c>
      <c r="AC2310" s="9" t="s">
        <v>11599</v>
      </c>
      <c r="AD2310" s="9" t="s">
        <v>11600</v>
      </c>
      <c r="AE2310" s="9" t="s">
        <v>11601</v>
      </c>
      <c r="AH2310" s="9">
        <v>2495</v>
      </c>
      <c r="AI2310" s="9" t="s">
        <v>77</v>
      </c>
      <c r="AJ2310" s="9" t="s">
        <v>301</v>
      </c>
      <c r="AK2310" s="23" t="str">
        <f t="shared" si="18"/>
        <v>2023GBP</v>
      </c>
      <c r="AL2310" s="23">
        <f>VLOOKUP(AK2310, Exchange_rates!$C:$D, 2, FALSE)</f>
        <v>1</v>
      </c>
      <c r="AM2310" s="26">
        <f t="shared" si="19"/>
        <v>2994</v>
      </c>
      <c r="AN2310" s="9"/>
      <c r="AO2310" s="9"/>
      <c r="AP2310" s="20"/>
      <c r="AQ2310" s="27" t="s">
        <v>49</v>
      </c>
      <c r="AR2310" t="s">
        <v>4908</v>
      </c>
      <c r="AS2310" s="16" t="s">
        <v>4909</v>
      </c>
    </row>
    <row r="2311" spans="1:45" ht="14.5">
      <c r="A2311" s="9" t="s">
        <v>11602</v>
      </c>
      <c r="B2311" s="9" t="s">
        <v>11603</v>
      </c>
      <c r="C2311" s="9" t="s">
        <v>11604</v>
      </c>
      <c r="D2311" s="9" t="s">
        <v>4371</v>
      </c>
      <c r="E2311" s="20" t="s">
        <v>49</v>
      </c>
      <c r="F2311" s="9" t="s">
        <v>69</v>
      </c>
      <c r="G2311" s="9" t="s">
        <v>70</v>
      </c>
      <c r="H2311" s="9" t="s">
        <v>7152</v>
      </c>
      <c r="I2311" s="9" t="s">
        <v>291</v>
      </c>
      <c r="J2311" s="10">
        <v>44955</v>
      </c>
      <c r="K2311" s="10">
        <v>45148</v>
      </c>
      <c r="L2311" s="10">
        <v>45167</v>
      </c>
      <c r="M2311" s="10"/>
      <c r="N2311" s="9">
        <v>2023</v>
      </c>
      <c r="O2311" s="9" t="s">
        <v>11432</v>
      </c>
      <c r="P2311" s="9" t="s">
        <v>53</v>
      </c>
      <c r="Q2311" s="9" t="s">
        <v>53</v>
      </c>
      <c r="R2311" s="9" t="s">
        <v>9145</v>
      </c>
      <c r="S2311" s="9"/>
      <c r="T2311" s="9"/>
      <c r="V2311" s="9" t="s">
        <v>9440</v>
      </c>
      <c r="AC2311" s="9" t="s">
        <v>11605</v>
      </c>
      <c r="AD2311" s="9" t="s">
        <v>11606</v>
      </c>
      <c r="AE2311" s="9" t="s">
        <v>9145</v>
      </c>
      <c r="AH2311" s="9">
        <v>2750</v>
      </c>
      <c r="AI2311" s="9" t="s">
        <v>77</v>
      </c>
      <c r="AJ2311" s="9" t="s">
        <v>301</v>
      </c>
      <c r="AK2311" s="23" t="str">
        <f t="shared" si="18"/>
        <v>2023GBP</v>
      </c>
      <c r="AL2311" s="23">
        <f>VLOOKUP(AK2311, Exchange_rates!$C:$D, 2, FALSE)</f>
        <v>1</v>
      </c>
      <c r="AM2311" s="26">
        <f t="shared" si="19"/>
        <v>3300</v>
      </c>
      <c r="AN2311" s="9"/>
      <c r="AO2311" s="9"/>
      <c r="AP2311" s="20"/>
      <c r="AQ2311" s="27" t="s">
        <v>49</v>
      </c>
      <c r="AR2311" t="s">
        <v>11607</v>
      </c>
      <c r="AS2311" s="16" t="s">
        <v>11608</v>
      </c>
    </row>
    <row r="2312" spans="1:45" ht="14.5">
      <c r="A2312" s="9" t="s">
        <v>11609</v>
      </c>
      <c r="B2312" s="9" t="s">
        <v>11610</v>
      </c>
      <c r="C2312" s="9" t="s">
        <v>11611</v>
      </c>
      <c r="D2312" s="9" t="s">
        <v>4371</v>
      </c>
      <c r="E2312" s="20" t="s">
        <v>49</v>
      </c>
      <c r="F2312" s="9" t="s">
        <v>69</v>
      </c>
      <c r="G2312" s="9" t="s">
        <v>70</v>
      </c>
      <c r="H2312" s="9" t="s">
        <v>7152</v>
      </c>
      <c r="I2312" s="9" t="s">
        <v>291</v>
      </c>
      <c r="J2312" s="10">
        <v>44736</v>
      </c>
      <c r="K2312" s="10">
        <v>45161</v>
      </c>
      <c r="L2312" s="10">
        <v>45167</v>
      </c>
      <c r="M2312" s="10"/>
      <c r="N2312" s="9">
        <v>2023</v>
      </c>
      <c r="O2312" s="9" t="s">
        <v>11432</v>
      </c>
      <c r="P2312" s="9" t="s">
        <v>53</v>
      </c>
      <c r="Q2312" s="9" t="s">
        <v>53</v>
      </c>
      <c r="R2312" s="9" t="s">
        <v>9145</v>
      </c>
      <c r="S2312" s="9"/>
      <c r="T2312" s="9"/>
      <c r="V2312" s="9" t="s">
        <v>9440</v>
      </c>
      <c r="AC2312" s="9" t="s">
        <v>11612</v>
      </c>
      <c r="AD2312" s="9" t="s">
        <v>11613</v>
      </c>
      <c r="AE2312" s="9" t="s">
        <v>11614</v>
      </c>
      <c r="AH2312" s="9">
        <v>2495</v>
      </c>
      <c r="AI2312" s="9" t="s">
        <v>77</v>
      </c>
      <c r="AJ2312" s="9" t="s">
        <v>301</v>
      </c>
      <c r="AK2312" s="23" t="str">
        <f t="shared" si="18"/>
        <v>2023GBP</v>
      </c>
      <c r="AL2312" s="23">
        <f>VLOOKUP(AK2312, Exchange_rates!$C:$D, 2, FALSE)</f>
        <v>1</v>
      </c>
      <c r="AM2312" s="26">
        <f t="shared" si="19"/>
        <v>2994</v>
      </c>
      <c r="AN2312" s="9"/>
      <c r="AO2312" s="9"/>
      <c r="AP2312" s="20"/>
      <c r="AQ2312" s="27" t="s">
        <v>49</v>
      </c>
      <c r="AR2312" t="s">
        <v>11615</v>
      </c>
      <c r="AS2312" s="16" t="s">
        <v>11616</v>
      </c>
    </row>
    <row r="2313" spans="1:45" ht="14.5">
      <c r="A2313" s="9" t="s">
        <v>11617</v>
      </c>
      <c r="B2313" s="9" t="s">
        <v>11618</v>
      </c>
      <c r="C2313" s="9" t="s">
        <v>4742</v>
      </c>
      <c r="D2313" s="9" t="s">
        <v>4371</v>
      </c>
      <c r="E2313" s="20" t="s">
        <v>49</v>
      </c>
      <c r="F2313" s="9" t="s">
        <v>69</v>
      </c>
      <c r="G2313" s="9" t="s">
        <v>70</v>
      </c>
      <c r="H2313" s="9" t="s">
        <v>7152</v>
      </c>
      <c r="I2313" s="9" t="s">
        <v>291</v>
      </c>
      <c r="J2313" s="10">
        <v>45106</v>
      </c>
      <c r="K2313" s="10">
        <v>45148</v>
      </c>
      <c r="L2313" s="10">
        <v>45167</v>
      </c>
      <c r="M2313" s="10"/>
      <c r="N2313" s="9">
        <v>2023</v>
      </c>
      <c r="O2313" s="9" t="s">
        <v>11432</v>
      </c>
      <c r="P2313" s="9" t="s">
        <v>53</v>
      </c>
      <c r="Q2313" s="9" t="s">
        <v>53</v>
      </c>
      <c r="R2313" s="9" t="s">
        <v>11619</v>
      </c>
      <c r="S2313" s="9"/>
      <c r="T2313" s="9"/>
      <c r="V2313" s="9" t="s">
        <v>9440</v>
      </c>
      <c r="AC2313" s="9" t="s">
        <v>11620</v>
      </c>
      <c r="AD2313" s="9" t="s">
        <v>11621</v>
      </c>
      <c r="AE2313" s="9" t="s">
        <v>11622</v>
      </c>
      <c r="AH2313" s="9">
        <v>2495</v>
      </c>
      <c r="AI2313" s="9" t="s">
        <v>77</v>
      </c>
      <c r="AJ2313" s="9" t="s">
        <v>301</v>
      </c>
      <c r="AK2313" s="23" t="str">
        <f t="shared" si="18"/>
        <v>2023GBP</v>
      </c>
      <c r="AL2313" s="23">
        <f>VLOOKUP(AK2313, Exchange_rates!$C:$D, 2, FALSE)</f>
        <v>1</v>
      </c>
      <c r="AM2313" s="26">
        <f t="shared" si="19"/>
        <v>2994</v>
      </c>
      <c r="AN2313" s="9"/>
      <c r="AO2313" s="9"/>
      <c r="AP2313" s="20"/>
      <c r="AQ2313" s="27" t="s">
        <v>49</v>
      </c>
      <c r="AR2313" t="s">
        <v>4745</v>
      </c>
      <c r="AS2313" s="16" t="s">
        <v>4746</v>
      </c>
    </row>
    <row r="2314" spans="1:45" ht="14.5">
      <c r="A2314" s="9" t="s">
        <v>11623</v>
      </c>
      <c r="B2314" s="9" t="s">
        <v>11624</v>
      </c>
      <c r="C2314" s="9" t="s">
        <v>11625</v>
      </c>
      <c r="D2314" s="9" t="s">
        <v>4371</v>
      </c>
      <c r="E2314" s="20" t="s">
        <v>49</v>
      </c>
      <c r="F2314" s="9" t="s">
        <v>69</v>
      </c>
      <c r="G2314" s="9" t="s">
        <v>70</v>
      </c>
      <c r="H2314" s="9" t="s">
        <v>7152</v>
      </c>
      <c r="I2314" s="9" t="s">
        <v>291</v>
      </c>
      <c r="J2314" s="10">
        <v>45065</v>
      </c>
      <c r="K2314" s="10">
        <v>45151</v>
      </c>
      <c r="L2314" s="10">
        <v>45155</v>
      </c>
      <c r="M2314" s="10"/>
      <c r="N2314" s="9">
        <v>2023</v>
      </c>
      <c r="O2314" s="9" t="s">
        <v>11432</v>
      </c>
      <c r="P2314" s="9" t="s">
        <v>53</v>
      </c>
      <c r="Q2314" s="9" t="s">
        <v>53</v>
      </c>
      <c r="R2314" s="9" t="s">
        <v>11626</v>
      </c>
      <c r="S2314" s="9"/>
      <c r="T2314" s="9"/>
      <c r="V2314" s="9" t="s">
        <v>9440</v>
      </c>
      <c r="AC2314" s="9" t="s">
        <v>11627</v>
      </c>
      <c r="AD2314" s="9" t="s">
        <v>11628</v>
      </c>
      <c r="AE2314" s="9" t="s">
        <v>11629</v>
      </c>
      <c r="AH2314" s="9">
        <v>2495</v>
      </c>
      <c r="AI2314" s="9" t="s">
        <v>77</v>
      </c>
      <c r="AJ2314" s="9" t="s">
        <v>301</v>
      </c>
      <c r="AK2314" s="23" t="str">
        <f t="shared" si="18"/>
        <v>2023GBP</v>
      </c>
      <c r="AL2314" s="23">
        <f>VLOOKUP(AK2314, Exchange_rates!$C:$D, 2, FALSE)</f>
        <v>1</v>
      </c>
      <c r="AM2314" s="26">
        <f t="shared" si="19"/>
        <v>2994</v>
      </c>
      <c r="AN2314" s="9"/>
      <c r="AO2314" s="9"/>
      <c r="AP2314" s="20"/>
      <c r="AQ2314" s="27" t="s">
        <v>49</v>
      </c>
      <c r="AR2314" t="s">
        <v>11630</v>
      </c>
      <c r="AS2314" s="16" t="s">
        <v>11631</v>
      </c>
    </row>
    <row r="2315" spans="1:45" ht="14.5">
      <c r="A2315" s="9" t="s">
        <v>11632</v>
      </c>
      <c r="B2315" s="9" t="s">
        <v>11633</v>
      </c>
      <c r="C2315" s="9" t="s">
        <v>11634</v>
      </c>
      <c r="D2315" s="9" t="s">
        <v>4371</v>
      </c>
      <c r="E2315" s="20" t="s">
        <v>49</v>
      </c>
      <c r="F2315" s="9" t="s">
        <v>69</v>
      </c>
      <c r="G2315" s="9" t="s">
        <v>70</v>
      </c>
      <c r="H2315" s="9" t="s">
        <v>7152</v>
      </c>
      <c r="I2315" s="9" t="s">
        <v>72</v>
      </c>
      <c r="J2315" s="10">
        <v>44981</v>
      </c>
      <c r="K2315" s="10">
        <v>45145</v>
      </c>
      <c r="L2315" s="10">
        <v>45152</v>
      </c>
      <c r="M2315" s="10"/>
      <c r="N2315" s="9">
        <v>2023</v>
      </c>
      <c r="O2315" s="9" t="s">
        <v>11432</v>
      </c>
      <c r="P2315" s="9" t="s">
        <v>83</v>
      </c>
      <c r="Q2315" s="9" t="s">
        <v>53</v>
      </c>
      <c r="R2315" s="9" t="s">
        <v>11635</v>
      </c>
      <c r="S2315" s="9"/>
      <c r="T2315" s="9"/>
      <c r="V2315" s="9" t="s">
        <v>9440</v>
      </c>
      <c r="AC2315" s="9" t="s">
        <v>9448</v>
      </c>
      <c r="AD2315" s="9" t="s">
        <v>9449</v>
      </c>
      <c r="AE2315" s="9" t="s">
        <v>9145</v>
      </c>
      <c r="AH2315" s="9">
        <v>2750</v>
      </c>
      <c r="AI2315" s="9" t="s">
        <v>77</v>
      </c>
      <c r="AJ2315" s="9" t="s">
        <v>301</v>
      </c>
      <c r="AK2315" s="23" t="str">
        <f t="shared" si="18"/>
        <v>2023GBP</v>
      </c>
      <c r="AL2315" s="23">
        <f>VLOOKUP(AK2315, Exchange_rates!$C:$D, 2, FALSE)</f>
        <v>1</v>
      </c>
      <c r="AM2315" s="26">
        <f t="shared" si="19"/>
        <v>3300</v>
      </c>
      <c r="AN2315" s="9"/>
      <c r="AO2315" s="9"/>
      <c r="AP2315" s="20"/>
      <c r="AQ2315" s="27" t="s">
        <v>49</v>
      </c>
      <c r="AR2315" t="s">
        <v>11636</v>
      </c>
      <c r="AS2315" s="16" t="s">
        <v>11637</v>
      </c>
    </row>
    <row r="2316" spans="1:45" ht="14.5">
      <c r="A2316" s="9" t="s">
        <v>11638</v>
      </c>
      <c r="B2316" s="9" t="s">
        <v>11639</v>
      </c>
      <c r="C2316" s="9" t="s">
        <v>11640</v>
      </c>
      <c r="D2316" s="9" t="s">
        <v>4371</v>
      </c>
      <c r="E2316" s="20" t="s">
        <v>49</v>
      </c>
      <c r="F2316" s="9" t="s">
        <v>69</v>
      </c>
      <c r="G2316" s="9" t="s">
        <v>70</v>
      </c>
      <c r="H2316" s="9" t="s">
        <v>7152</v>
      </c>
      <c r="I2316" s="9" t="s">
        <v>291</v>
      </c>
      <c r="J2316" s="10">
        <v>44936</v>
      </c>
      <c r="K2316" s="10">
        <v>45145</v>
      </c>
      <c r="L2316" s="10">
        <v>45148</v>
      </c>
      <c r="M2316" s="10"/>
      <c r="N2316" s="9">
        <v>2023</v>
      </c>
      <c r="O2316" s="9" t="s">
        <v>11432</v>
      </c>
      <c r="P2316" s="9" t="s">
        <v>53</v>
      </c>
      <c r="Q2316" s="9" t="s">
        <v>53</v>
      </c>
      <c r="R2316" s="9" t="s">
        <v>9145</v>
      </c>
      <c r="S2316" s="9"/>
      <c r="T2316" s="9"/>
      <c r="V2316" s="9" t="s">
        <v>9440</v>
      </c>
      <c r="AC2316" s="9" t="s">
        <v>9487</v>
      </c>
      <c r="AD2316" s="9" t="s">
        <v>9488</v>
      </c>
      <c r="AE2316" s="9" t="s">
        <v>9489</v>
      </c>
      <c r="AH2316" s="9">
        <v>2495</v>
      </c>
      <c r="AI2316" s="9" t="s">
        <v>77</v>
      </c>
      <c r="AJ2316" s="9" t="s">
        <v>301</v>
      </c>
      <c r="AK2316" s="23" t="str">
        <f t="shared" si="18"/>
        <v>2023GBP</v>
      </c>
      <c r="AL2316" s="23">
        <f>VLOOKUP(AK2316, Exchange_rates!$C:$D, 2, FALSE)</f>
        <v>1</v>
      </c>
      <c r="AM2316" s="26">
        <f t="shared" si="19"/>
        <v>2994</v>
      </c>
      <c r="AN2316" s="9"/>
      <c r="AO2316" s="9"/>
      <c r="AP2316" s="20"/>
      <c r="AQ2316" s="27" t="s">
        <v>49</v>
      </c>
      <c r="AR2316" t="s">
        <v>11641</v>
      </c>
      <c r="AS2316" s="16" t="s">
        <v>11642</v>
      </c>
    </row>
    <row r="2317" spans="1:45" ht="14.5">
      <c r="A2317" s="9" t="s">
        <v>11643</v>
      </c>
      <c r="B2317" s="9" t="s">
        <v>11644</v>
      </c>
      <c r="C2317" s="9" t="s">
        <v>4416</v>
      </c>
      <c r="D2317" s="9" t="s">
        <v>4371</v>
      </c>
      <c r="E2317" s="20" t="s">
        <v>49</v>
      </c>
      <c r="F2317" s="9" t="s">
        <v>69</v>
      </c>
      <c r="G2317" s="9" t="s">
        <v>70</v>
      </c>
      <c r="H2317" s="9" t="s">
        <v>7152</v>
      </c>
      <c r="I2317" s="9" t="s">
        <v>72</v>
      </c>
      <c r="J2317" s="10">
        <v>45103</v>
      </c>
      <c r="K2317" s="10">
        <v>45141</v>
      </c>
      <c r="L2317" s="10">
        <v>45145</v>
      </c>
      <c r="M2317" s="10"/>
      <c r="N2317" s="9">
        <v>2023</v>
      </c>
      <c r="O2317" s="9" t="s">
        <v>11432</v>
      </c>
      <c r="P2317" s="9" t="s">
        <v>83</v>
      </c>
      <c r="Q2317" s="9" t="s">
        <v>53</v>
      </c>
      <c r="R2317" s="9" t="s">
        <v>11645</v>
      </c>
      <c r="S2317" s="9"/>
      <c r="T2317" s="9"/>
      <c r="V2317" s="9" t="s">
        <v>9440</v>
      </c>
      <c r="AC2317" s="9" t="s">
        <v>11646</v>
      </c>
      <c r="AD2317" s="9" t="s">
        <v>11647</v>
      </c>
      <c r="AE2317" s="9" t="s">
        <v>11648</v>
      </c>
      <c r="AH2317" s="9">
        <v>2915</v>
      </c>
      <c r="AI2317" s="9" t="s">
        <v>77</v>
      </c>
      <c r="AJ2317" s="9" t="s">
        <v>301</v>
      </c>
      <c r="AK2317" s="23" t="str">
        <f t="shared" si="18"/>
        <v>2023GBP</v>
      </c>
      <c r="AL2317" s="23">
        <f>VLOOKUP(AK2317, Exchange_rates!$C:$D, 2, FALSE)</f>
        <v>1</v>
      </c>
      <c r="AM2317" s="26">
        <f t="shared" si="19"/>
        <v>3498</v>
      </c>
      <c r="AN2317" s="9"/>
      <c r="AO2317" s="9"/>
      <c r="AP2317" s="20"/>
      <c r="AQ2317" s="27" t="s">
        <v>49</v>
      </c>
      <c r="AR2317" t="s">
        <v>4419</v>
      </c>
      <c r="AS2317" s="16" t="s">
        <v>4420</v>
      </c>
    </row>
    <row r="2318" spans="1:45" ht="14.5">
      <c r="A2318" s="9" t="s">
        <v>11649</v>
      </c>
      <c r="B2318" s="9" t="s">
        <v>11650</v>
      </c>
      <c r="C2318" s="9" t="s">
        <v>5123</v>
      </c>
      <c r="D2318" s="9" t="s">
        <v>4371</v>
      </c>
      <c r="E2318" s="20" t="s">
        <v>49</v>
      </c>
      <c r="F2318" s="9" t="s">
        <v>69</v>
      </c>
      <c r="G2318" s="9" t="s">
        <v>70</v>
      </c>
      <c r="H2318" s="9" t="s">
        <v>7152</v>
      </c>
      <c r="I2318" s="9" t="s">
        <v>291</v>
      </c>
      <c r="J2318" s="10"/>
      <c r="K2318" s="10"/>
      <c r="L2318" s="10">
        <v>45145</v>
      </c>
      <c r="M2318" s="10"/>
      <c r="N2318" s="9">
        <v>2023</v>
      </c>
      <c r="O2318" s="9" t="s">
        <v>11432</v>
      </c>
      <c r="P2318" s="9" t="s">
        <v>53</v>
      </c>
      <c r="Q2318" s="9" t="s">
        <v>53</v>
      </c>
      <c r="R2318" s="9" t="s">
        <v>11459</v>
      </c>
      <c r="S2318" s="9"/>
      <c r="T2318" s="9"/>
      <c r="V2318" s="9" t="s">
        <v>9440</v>
      </c>
      <c r="AC2318" s="9" t="s">
        <v>9455</v>
      </c>
      <c r="AD2318" s="9" t="s">
        <v>9456</v>
      </c>
      <c r="AE2318" s="9" t="s">
        <v>9145</v>
      </c>
      <c r="AH2318" s="9">
        <v>2640</v>
      </c>
      <c r="AI2318" s="9" t="s">
        <v>875</v>
      </c>
      <c r="AJ2318" s="9" t="s">
        <v>301</v>
      </c>
      <c r="AK2318" s="23" t="str">
        <f t="shared" si="18"/>
        <v>2023GBP</v>
      </c>
      <c r="AL2318" s="23">
        <f>VLOOKUP(AK2318, Exchange_rates!$C:$D, 2, FALSE)</f>
        <v>1</v>
      </c>
      <c r="AM2318" s="26">
        <f t="shared" si="19"/>
        <v>3168</v>
      </c>
      <c r="AN2318" s="9"/>
      <c r="AO2318" s="9"/>
      <c r="AP2318" s="20"/>
      <c r="AQ2318" s="27" t="s">
        <v>49</v>
      </c>
      <c r="AR2318" t="s">
        <v>5125</v>
      </c>
      <c r="AS2318" s="16" t="s">
        <v>5126</v>
      </c>
    </row>
    <row r="2319" spans="1:45" ht="14.5">
      <c r="A2319" s="9" t="s">
        <v>11651</v>
      </c>
      <c r="B2319" s="9" t="s">
        <v>11652</v>
      </c>
      <c r="C2319" s="9" t="s">
        <v>5134</v>
      </c>
      <c r="D2319" s="9" t="s">
        <v>4371</v>
      </c>
      <c r="E2319" s="20" t="s">
        <v>49</v>
      </c>
      <c r="F2319" s="9" t="s">
        <v>69</v>
      </c>
      <c r="G2319" s="9" t="s">
        <v>70</v>
      </c>
      <c r="H2319" s="9" t="s">
        <v>7152</v>
      </c>
      <c r="I2319" s="9" t="s">
        <v>291</v>
      </c>
      <c r="J2319" s="10"/>
      <c r="K2319" s="10">
        <v>45127</v>
      </c>
      <c r="L2319" s="10">
        <v>45141</v>
      </c>
      <c r="M2319" s="10"/>
      <c r="N2319" s="9">
        <v>2023</v>
      </c>
      <c r="O2319" s="9" t="s">
        <v>11432</v>
      </c>
      <c r="P2319" s="9" t="s">
        <v>53</v>
      </c>
      <c r="Q2319" s="9" t="s">
        <v>53</v>
      </c>
      <c r="R2319" s="9" t="s">
        <v>11653</v>
      </c>
      <c r="S2319" s="9"/>
      <c r="T2319" s="9"/>
      <c r="V2319" s="9" t="s">
        <v>9440</v>
      </c>
      <c r="AC2319" s="9" t="s">
        <v>11654</v>
      </c>
      <c r="AD2319" s="9" t="s">
        <v>11655</v>
      </c>
      <c r="AE2319" s="9" t="s">
        <v>9145</v>
      </c>
      <c r="AH2319" s="9">
        <v>2750</v>
      </c>
      <c r="AI2319" s="9" t="s">
        <v>77</v>
      </c>
      <c r="AJ2319" s="9" t="s">
        <v>301</v>
      </c>
      <c r="AK2319" s="23" t="str">
        <f t="shared" si="18"/>
        <v>2023GBP</v>
      </c>
      <c r="AL2319" s="23">
        <f>VLOOKUP(AK2319, Exchange_rates!$C:$D, 2, FALSE)</f>
        <v>1</v>
      </c>
      <c r="AM2319" s="26">
        <f t="shared" si="19"/>
        <v>3300</v>
      </c>
      <c r="AN2319" s="9"/>
      <c r="AO2319" s="9"/>
      <c r="AP2319" s="20"/>
      <c r="AQ2319" s="27" t="s">
        <v>49</v>
      </c>
      <c r="AR2319" t="s">
        <v>5136</v>
      </c>
      <c r="AS2319" s="16" t="s">
        <v>5137</v>
      </c>
    </row>
    <row r="2320" spans="1:45" ht="14.5">
      <c r="A2320" s="9" t="s">
        <v>11656</v>
      </c>
      <c r="B2320" s="9" t="s">
        <v>11657</v>
      </c>
      <c r="C2320" s="9" t="s">
        <v>9577</v>
      </c>
      <c r="D2320" s="9" t="s">
        <v>4371</v>
      </c>
      <c r="E2320" s="20" t="s">
        <v>49</v>
      </c>
      <c r="F2320" s="9" t="s">
        <v>69</v>
      </c>
      <c r="G2320" s="9" t="s">
        <v>70</v>
      </c>
      <c r="H2320" s="9" t="s">
        <v>7152</v>
      </c>
      <c r="I2320" s="9" t="s">
        <v>72</v>
      </c>
      <c r="J2320" s="10">
        <v>44927</v>
      </c>
      <c r="K2320" s="10">
        <v>45134</v>
      </c>
      <c r="L2320" s="10">
        <v>45141</v>
      </c>
      <c r="M2320" s="10"/>
      <c r="N2320" s="9">
        <v>2023</v>
      </c>
      <c r="O2320" s="9" t="s">
        <v>11432</v>
      </c>
      <c r="P2320" s="9" t="s">
        <v>83</v>
      </c>
      <c r="Q2320" s="9" t="s">
        <v>53</v>
      </c>
      <c r="R2320" s="9" t="s">
        <v>11454</v>
      </c>
      <c r="S2320" s="9"/>
      <c r="T2320" s="9"/>
      <c r="V2320" s="9" t="s">
        <v>9440</v>
      </c>
      <c r="AC2320" s="9" t="s">
        <v>11658</v>
      </c>
      <c r="AD2320" s="9" t="s">
        <v>11659</v>
      </c>
      <c r="AE2320" s="9" t="s">
        <v>9145</v>
      </c>
      <c r="AH2320" s="9">
        <v>2915</v>
      </c>
      <c r="AI2320" s="9" t="s">
        <v>77</v>
      </c>
      <c r="AJ2320" s="9" t="s">
        <v>301</v>
      </c>
      <c r="AK2320" s="23" t="str">
        <f t="shared" si="18"/>
        <v>2023GBP</v>
      </c>
      <c r="AL2320" s="23">
        <f>VLOOKUP(AK2320, Exchange_rates!$C:$D, 2, FALSE)</f>
        <v>1</v>
      </c>
      <c r="AM2320" s="26">
        <f t="shared" si="19"/>
        <v>3498</v>
      </c>
      <c r="AN2320" s="9"/>
      <c r="AO2320" s="9"/>
      <c r="AP2320" s="20"/>
      <c r="AQ2320" s="27" t="s">
        <v>49</v>
      </c>
      <c r="AR2320" t="s">
        <v>9580</v>
      </c>
      <c r="AS2320" s="16" t="s">
        <v>9581</v>
      </c>
    </row>
    <row r="2321" spans="1:60" ht="14.5">
      <c r="A2321" s="9" t="s">
        <v>11660</v>
      </c>
      <c r="B2321" s="9" t="s">
        <v>11661</v>
      </c>
      <c r="C2321" s="9" t="s">
        <v>11662</v>
      </c>
      <c r="D2321" s="9" t="s">
        <v>4371</v>
      </c>
      <c r="E2321" s="20" t="s">
        <v>49</v>
      </c>
      <c r="F2321" s="9" t="s">
        <v>69</v>
      </c>
      <c r="G2321" s="9" t="s">
        <v>70</v>
      </c>
      <c r="H2321" s="9" t="s">
        <v>7152</v>
      </c>
      <c r="I2321" s="9" t="s">
        <v>291</v>
      </c>
      <c r="J2321" s="10">
        <v>45056</v>
      </c>
      <c r="K2321" s="10">
        <v>45132</v>
      </c>
      <c r="L2321" s="10">
        <v>45138</v>
      </c>
      <c r="M2321" s="10"/>
      <c r="N2321" s="9">
        <v>2023</v>
      </c>
      <c r="O2321" s="9" t="s">
        <v>11432</v>
      </c>
      <c r="P2321" s="9" t="s">
        <v>53</v>
      </c>
      <c r="Q2321" s="9" t="s">
        <v>53</v>
      </c>
      <c r="R2321" s="9" t="s">
        <v>11663</v>
      </c>
      <c r="S2321" s="9"/>
      <c r="T2321" s="9"/>
      <c r="V2321" s="9" t="s">
        <v>9440</v>
      </c>
      <c r="AC2321" s="9" t="s">
        <v>11664</v>
      </c>
      <c r="AD2321" s="9" t="s">
        <v>11665</v>
      </c>
      <c r="AE2321" s="9" t="s">
        <v>11666</v>
      </c>
      <c r="AH2321" s="9">
        <v>2750</v>
      </c>
      <c r="AI2321" s="9" t="s">
        <v>77</v>
      </c>
      <c r="AJ2321" s="9" t="s">
        <v>301</v>
      </c>
      <c r="AK2321" s="23" t="str">
        <f t="shared" si="18"/>
        <v>2023GBP</v>
      </c>
      <c r="AL2321" s="23">
        <f>VLOOKUP(AK2321, Exchange_rates!$C:$D, 2, FALSE)</f>
        <v>1</v>
      </c>
      <c r="AM2321" s="26">
        <f t="shared" si="19"/>
        <v>3300</v>
      </c>
      <c r="AN2321" s="9"/>
      <c r="AO2321" s="9"/>
      <c r="AP2321" s="20"/>
      <c r="AQ2321" s="27" t="s">
        <v>49</v>
      </c>
      <c r="AR2321" t="s">
        <v>11667</v>
      </c>
      <c r="AS2321" s="16" t="s">
        <v>11668</v>
      </c>
    </row>
    <row r="2322" spans="1:60" ht="14.5">
      <c r="A2322" s="9" t="s">
        <v>11669</v>
      </c>
      <c r="B2322" s="9" t="s">
        <v>11670</v>
      </c>
      <c r="C2322" s="9" t="s">
        <v>4506</v>
      </c>
      <c r="D2322" s="9" t="s">
        <v>4371</v>
      </c>
      <c r="E2322" s="20" t="s">
        <v>49</v>
      </c>
      <c r="F2322" s="9" t="s">
        <v>69</v>
      </c>
      <c r="G2322" s="9" t="s">
        <v>70</v>
      </c>
      <c r="H2322" s="9" t="s">
        <v>7152</v>
      </c>
      <c r="I2322" s="9" t="s">
        <v>72</v>
      </c>
      <c r="J2322" s="10">
        <v>44690</v>
      </c>
      <c r="K2322" s="10">
        <v>45127</v>
      </c>
      <c r="L2322" s="10">
        <v>45135</v>
      </c>
      <c r="M2322" s="10"/>
      <c r="N2322" s="9">
        <v>2023</v>
      </c>
      <c r="O2322" s="9" t="s">
        <v>11432</v>
      </c>
      <c r="P2322" s="9" t="s">
        <v>83</v>
      </c>
      <c r="Q2322" s="9" t="s">
        <v>53</v>
      </c>
      <c r="R2322" s="9" t="s">
        <v>11491</v>
      </c>
      <c r="S2322" s="9"/>
      <c r="T2322" s="9"/>
      <c r="V2322" s="9" t="s">
        <v>9440</v>
      </c>
      <c r="AC2322" s="9" t="s">
        <v>11671</v>
      </c>
      <c r="AD2322" s="9" t="s">
        <v>11672</v>
      </c>
      <c r="AE2322" s="9" t="s">
        <v>11673</v>
      </c>
      <c r="AH2322" s="9">
        <v>2750</v>
      </c>
      <c r="AI2322" s="9" t="s">
        <v>77</v>
      </c>
      <c r="AJ2322" s="9" t="s">
        <v>301</v>
      </c>
      <c r="AK2322" s="23" t="str">
        <f t="shared" si="18"/>
        <v>2023GBP</v>
      </c>
      <c r="AL2322" s="23">
        <f>VLOOKUP(AK2322, Exchange_rates!$C:$D, 2, FALSE)</f>
        <v>1</v>
      </c>
      <c r="AM2322" s="26">
        <f t="shared" si="19"/>
        <v>3300</v>
      </c>
      <c r="AN2322" s="9"/>
      <c r="AO2322" s="9"/>
      <c r="AP2322" s="20"/>
      <c r="AQ2322" s="27" t="s">
        <v>49</v>
      </c>
      <c r="AR2322" t="s">
        <v>4509</v>
      </c>
      <c r="AS2322" s="16" t="s">
        <v>4510</v>
      </c>
    </row>
    <row r="2323" spans="1:60" ht="14.5">
      <c r="A2323" s="9" t="s">
        <v>11674</v>
      </c>
      <c r="B2323" s="9" t="s">
        <v>11675</v>
      </c>
      <c r="C2323" s="9" t="s">
        <v>11676</v>
      </c>
      <c r="D2323" s="9" t="s">
        <v>4371</v>
      </c>
      <c r="E2323" s="20" t="s">
        <v>49</v>
      </c>
      <c r="F2323" s="9" t="s">
        <v>69</v>
      </c>
      <c r="G2323" s="9" t="s">
        <v>70</v>
      </c>
      <c r="H2323" s="9" t="s">
        <v>7152</v>
      </c>
      <c r="I2323" s="9" t="s">
        <v>291</v>
      </c>
      <c r="J2323" s="10">
        <v>44878</v>
      </c>
      <c r="K2323" s="10">
        <v>45125</v>
      </c>
      <c r="L2323" s="10">
        <v>45134</v>
      </c>
      <c r="M2323" s="10"/>
      <c r="N2323" s="9">
        <v>2023</v>
      </c>
      <c r="O2323" s="9" t="s">
        <v>11432</v>
      </c>
      <c r="P2323" s="9" t="s">
        <v>53</v>
      </c>
      <c r="Q2323" s="9" t="s">
        <v>53</v>
      </c>
      <c r="R2323" s="9" t="s">
        <v>9145</v>
      </c>
      <c r="S2323" s="9"/>
      <c r="T2323" s="9"/>
      <c r="V2323" s="9" t="s">
        <v>9440</v>
      </c>
      <c r="AC2323" s="9" t="s">
        <v>11677</v>
      </c>
      <c r="AD2323" s="9" t="s">
        <v>11678</v>
      </c>
      <c r="AE2323" s="9" t="s">
        <v>9145</v>
      </c>
      <c r="AH2323" s="9">
        <v>2495</v>
      </c>
      <c r="AI2323" s="9" t="s">
        <v>77</v>
      </c>
      <c r="AJ2323" s="9" t="s">
        <v>301</v>
      </c>
      <c r="AK2323" s="23" t="str">
        <f t="shared" si="18"/>
        <v>2023GBP</v>
      </c>
      <c r="AL2323" s="23">
        <f>VLOOKUP(AK2323, Exchange_rates!$C:$D, 2, FALSE)</f>
        <v>1</v>
      </c>
      <c r="AM2323" s="26">
        <f t="shared" si="19"/>
        <v>2994</v>
      </c>
      <c r="AN2323" s="9"/>
      <c r="AO2323" s="9"/>
      <c r="AP2323" s="20"/>
      <c r="AQ2323" s="27" t="s">
        <v>49</v>
      </c>
      <c r="AR2323" t="s">
        <v>11679</v>
      </c>
      <c r="AS2323" s="16" t="s">
        <v>11680</v>
      </c>
    </row>
    <row r="2324" spans="1:60" ht="14.5">
      <c r="A2324" s="9" t="s">
        <v>11681</v>
      </c>
      <c r="B2324" s="9" t="s">
        <v>11682</v>
      </c>
      <c r="C2324" s="9" t="s">
        <v>11683</v>
      </c>
      <c r="D2324" s="9" t="s">
        <v>4371</v>
      </c>
      <c r="E2324" s="20" t="s">
        <v>49</v>
      </c>
      <c r="F2324" s="9" t="s">
        <v>69</v>
      </c>
      <c r="G2324" s="9" t="s">
        <v>70</v>
      </c>
      <c r="H2324" s="9" t="s">
        <v>7152</v>
      </c>
      <c r="I2324" s="9" t="s">
        <v>291</v>
      </c>
      <c r="J2324" s="10">
        <v>44769</v>
      </c>
      <c r="K2324" s="10">
        <v>45125</v>
      </c>
      <c r="L2324" s="10">
        <v>45134</v>
      </c>
      <c r="M2324" s="10"/>
      <c r="N2324" s="9">
        <v>2023</v>
      </c>
      <c r="O2324" s="9" t="s">
        <v>11432</v>
      </c>
      <c r="P2324" s="9" t="s">
        <v>83</v>
      </c>
      <c r="Q2324" s="9" t="s">
        <v>53</v>
      </c>
      <c r="R2324" s="9" t="s">
        <v>11684</v>
      </c>
      <c r="S2324" s="9" t="s">
        <v>11492</v>
      </c>
      <c r="T2324" s="9"/>
      <c r="V2324" s="9" t="s">
        <v>9440</v>
      </c>
      <c r="AC2324" s="9" t="s">
        <v>11685</v>
      </c>
      <c r="AD2324" s="9" t="s">
        <v>9544</v>
      </c>
      <c r="AE2324" s="9" t="s">
        <v>9145</v>
      </c>
      <c r="AH2324" s="9">
        <v>2495</v>
      </c>
      <c r="AI2324" s="9" t="s">
        <v>77</v>
      </c>
      <c r="AJ2324" s="9" t="s">
        <v>301</v>
      </c>
      <c r="AK2324" s="23" t="str">
        <f t="shared" si="18"/>
        <v>2023GBP</v>
      </c>
      <c r="AL2324" s="23">
        <f>VLOOKUP(AK2324, Exchange_rates!$C:$D, 2, FALSE)</f>
        <v>1</v>
      </c>
      <c r="AM2324" s="26">
        <f t="shared" si="19"/>
        <v>2994</v>
      </c>
      <c r="AN2324" s="9"/>
      <c r="AO2324" s="9"/>
      <c r="AP2324" s="20"/>
      <c r="AQ2324" s="27" t="s">
        <v>49</v>
      </c>
      <c r="AR2324" t="s">
        <v>11686</v>
      </c>
      <c r="AS2324" s="16" t="s">
        <v>11687</v>
      </c>
    </row>
    <row r="2325" spans="1:60" ht="14.5">
      <c r="A2325" s="20" t="s">
        <v>11688</v>
      </c>
      <c r="B2325" s="20" t="s">
        <v>11689</v>
      </c>
      <c r="C2325" s="20" t="s">
        <v>11690</v>
      </c>
      <c r="D2325" s="20" t="s">
        <v>4371</v>
      </c>
      <c r="E2325" s="20" t="s">
        <v>49</v>
      </c>
      <c r="F2325" s="20" t="s">
        <v>69</v>
      </c>
      <c r="G2325" s="20" t="s">
        <v>70</v>
      </c>
      <c r="H2325" s="20" t="s">
        <v>7152</v>
      </c>
      <c r="I2325" s="20" t="s">
        <v>72</v>
      </c>
      <c r="J2325" s="22">
        <v>44683</v>
      </c>
      <c r="K2325" s="22">
        <v>44985</v>
      </c>
      <c r="L2325" s="22">
        <v>45127</v>
      </c>
      <c r="M2325" s="22"/>
      <c r="N2325" s="20">
        <v>2023</v>
      </c>
      <c r="O2325" s="20" t="s">
        <v>11432</v>
      </c>
      <c r="P2325" s="20" t="s">
        <v>53</v>
      </c>
      <c r="Q2325" s="20" t="s">
        <v>53</v>
      </c>
      <c r="R2325" s="20" t="s">
        <v>9145</v>
      </c>
      <c r="S2325" s="20"/>
      <c r="T2325" s="20"/>
      <c r="U2325" s="20"/>
      <c r="V2325" s="20" t="s">
        <v>9440</v>
      </c>
      <c r="W2325" s="20"/>
      <c r="X2325" s="20"/>
      <c r="Y2325" s="20"/>
      <c r="Z2325" s="20"/>
      <c r="AA2325" s="20"/>
      <c r="AB2325" s="20"/>
      <c r="AC2325" s="20" t="s">
        <v>11691</v>
      </c>
      <c r="AD2325" s="20" t="s">
        <v>11692</v>
      </c>
      <c r="AE2325" s="20" t="s">
        <v>11693</v>
      </c>
      <c r="AF2325" s="20"/>
      <c r="AG2325" s="20"/>
      <c r="AH2325" s="20">
        <v>2495</v>
      </c>
      <c r="AI2325" s="20" t="s">
        <v>77</v>
      </c>
      <c r="AJ2325" s="20" t="s">
        <v>301</v>
      </c>
      <c r="AK2325" s="23" t="str">
        <f t="shared" si="18"/>
        <v>2023GBP</v>
      </c>
      <c r="AL2325" s="23">
        <f>VLOOKUP(AK2325, Exchange_rates!$C:$D, 2, FALSE)</f>
        <v>1</v>
      </c>
      <c r="AM2325" s="26">
        <f t="shared" si="19"/>
        <v>2994</v>
      </c>
      <c r="AN2325" s="20"/>
      <c r="AO2325" s="20"/>
      <c r="AP2325" s="20"/>
      <c r="AQ2325" s="27" t="s">
        <v>49</v>
      </c>
      <c r="AR2325" t="s">
        <v>11694</v>
      </c>
      <c r="AS2325" s="16" t="s">
        <v>11695</v>
      </c>
      <c r="AT2325" s="20"/>
      <c r="AU2325" s="20"/>
      <c r="AV2325" s="20"/>
      <c r="AW2325" s="20"/>
      <c r="AX2325" s="20"/>
      <c r="AY2325" s="20"/>
      <c r="AZ2325" s="20"/>
      <c r="BA2325" s="20"/>
      <c r="BB2325" s="20"/>
      <c r="BC2325" s="20"/>
      <c r="BD2325" s="20"/>
      <c r="BE2325" s="20"/>
      <c r="BF2325" s="20"/>
      <c r="BG2325" s="20"/>
      <c r="BH2325" s="20"/>
    </row>
    <row r="2326" spans="1:60" ht="14.5">
      <c r="A2326" s="9" t="s">
        <v>11696</v>
      </c>
      <c r="B2326" s="9" t="s">
        <v>11697</v>
      </c>
      <c r="C2326" s="9" t="s">
        <v>408</v>
      </c>
      <c r="D2326" s="9" t="s">
        <v>361</v>
      </c>
      <c r="E2326" s="9" t="s">
        <v>49</v>
      </c>
      <c r="F2326" s="9" t="s">
        <v>69</v>
      </c>
      <c r="G2326" s="9" t="s">
        <v>70</v>
      </c>
      <c r="H2326" s="9" t="s">
        <v>7424</v>
      </c>
      <c r="I2326" s="9" t="s">
        <v>72</v>
      </c>
      <c r="J2326" s="10"/>
      <c r="K2326" s="10"/>
      <c r="L2326" s="10"/>
      <c r="M2326" s="10">
        <v>45258</v>
      </c>
      <c r="N2326" s="9">
        <v>2023</v>
      </c>
      <c r="O2326" s="9" t="s">
        <v>11698</v>
      </c>
      <c r="P2326" s="9" t="s">
        <v>53</v>
      </c>
      <c r="Q2326" s="9" t="s">
        <v>53</v>
      </c>
      <c r="R2326" s="9" t="s">
        <v>11699</v>
      </c>
      <c r="S2326" s="9"/>
      <c r="T2326" s="9"/>
      <c r="V2326" s="9"/>
      <c r="AC2326" s="9" t="s">
        <v>10831</v>
      </c>
      <c r="AH2326" s="9">
        <v>2110</v>
      </c>
      <c r="AI2326" s="9" t="s">
        <v>77</v>
      </c>
      <c r="AJ2326" s="9" t="s">
        <v>301</v>
      </c>
      <c r="AK2326" s="23" t="str">
        <f t="shared" si="18"/>
        <v>2023GBP</v>
      </c>
      <c r="AL2326" s="23">
        <f>VLOOKUP(AK2326, Exchange_rates!$C:$D, 2, FALSE)</f>
        <v>1</v>
      </c>
      <c r="AM2326" s="26">
        <f t="shared" si="19"/>
        <v>2532</v>
      </c>
      <c r="AN2326" s="9"/>
      <c r="AO2326" s="9"/>
      <c r="AP2326" s="9"/>
      <c r="AQ2326" s="15" t="s">
        <v>49</v>
      </c>
      <c r="AR2326" t="s">
        <v>412</v>
      </c>
      <c r="AS2326" s="16" t="s">
        <v>413</v>
      </c>
    </row>
    <row r="2327" spans="1:60" ht="14.5">
      <c r="A2327" s="9" t="s">
        <v>11700</v>
      </c>
      <c r="B2327" s="9" t="s">
        <v>11701</v>
      </c>
      <c r="C2327" s="9" t="s">
        <v>11702</v>
      </c>
      <c r="D2327" s="9" t="s">
        <v>361</v>
      </c>
      <c r="E2327" s="9" t="s">
        <v>125</v>
      </c>
      <c r="F2327" s="9" t="s">
        <v>69</v>
      </c>
      <c r="G2327" s="9" t="s">
        <v>70</v>
      </c>
      <c r="H2327" s="9" t="s">
        <v>7424</v>
      </c>
      <c r="I2327" s="9" t="s">
        <v>72</v>
      </c>
      <c r="J2327" s="10"/>
      <c r="K2327" s="10"/>
      <c r="L2327" s="10"/>
      <c r="M2327" s="10">
        <v>45251</v>
      </c>
      <c r="N2327" s="9">
        <v>2023</v>
      </c>
      <c r="O2327" s="9" t="s">
        <v>11698</v>
      </c>
      <c r="P2327" s="9" t="s">
        <v>53</v>
      </c>
      <c r="Q2327" s="9" t="s">
        <v>53</v>
      </c>
      <c r="R2327" s="9" t="s">
        <v>11703</v>
      </c>
      <c r="S2327" s="9"/>
      <c r="T2327" s="9"/>
      <c r="V2327" s="9"/>
      <c r="AC2327" s="9" t="s">
        <v>11704</v>
      </c>
      <c r="AH2327" s="9">
        <v>1500</v>
      </c>
      <c r="AI2327" s="9" t="s">
        <v>77</v>
      </c>
      <c r="AJ2327" s="9" t="s">
        <v>301</v>
      </c>
      <c r="AK2327" s="23" t="str">
        <f t="shared" si="18"/>
        <v>2023GBP</v>
      </c>
      <c r="AL2327" s="23">
        <f>VLOOKUP(AK2327, Exchange_rates!$C:$D, 2, FALSE)</f>
        <v>1</v>
      </c>
      <c r="AM2327" s="26">
        <f t="shared" si="19"/>
        <v>1800</v>
      </c>
      <c r="AN2327" s="9"/>
      <c r="AO2327" s="9"/>
      <c r="AP2327" s="9"/>
      <c r="AQ2327" s="15" t="s">
        <v>125</v>
      </c>
      <c r="AR2327" t="s">
        <v>11705</v>
      </c>
      <c r="AS2327" s="16" t="s">
        <v>11705</v>
      </c>
    </row>
    <row r="2328" spans="1:60" ht="14.5">
      <c r="A2328" s="9" t="s">
        <v>11706</v>
      </c>
      <c r="B2328" s="9" t="s">
        <v>11707</v>
      </c>
      <c r="C2328" s="9" t="s">
        <v>11708</v>
      </c>
      <c r="D2328" s="9" t="s">
        <v>361</v>
      </c>
      <c r="E2328" s="9" t="s">
        <v>49</v>
      </c>
      <c r="F2328" s="9" t="s">
        <v>69</v>
      </c>
      <c r="G2328" s="9" t="s">
        <v>70</v>
      </c>
      <c r="H2328" s="9" t="s">
        <v>7424</v>
      </c>
      <c r="I2328" s="9" t="s">
        <v>72</v>
      </c>
      <c r="J2328" s="10"/>
      <c r="K2328" s="10"/>
      <c r="L2328" s="10"/>
      <c r="M2328" s="10">
        <v>45247</v>
      </c>
      <c r="N2328" s="9">
        <v>2023</v>
      </c>
      <c r="O2328" s="9" t="s">
        <v>11698</v>
      </c>
      <c r="P2328" s="9" t="s">
        <v>53</v>
      </c>
      <c r="Q2328" s="9" t="s">
        <v>53</v>
      </c>
      <c r="R2328" s="9" t="s">
        <v>11699</v>
      </c>
      <c r="S2328" s="9"/>
      <c r="T2328" s="9"/>
      <c r="V2328" s="9"/>
      <c r="AC2328" s="9" t="s">
        <v>11709</v>
      </c>
      <c r="AH2328" s="9">
        <v>2110</v>
      </c>
      <c r="AI2328" s="9" t="s">
        <v>77</v>
      </c>
      <c r="AJ2328" s="9" t="s">
        <v>301</v>
      </c>
      <c r="AK2328" s="23" t="str">
        <f t="shared" si="18"/>
        <v>2023GBP</v>
      </c>
      <c r="AL2328" s="23">
        <f>VLOOKUP(AK2328, Exchange_rates!$C:$D, 2, FALSE)</f>
        <v>1</v>
      </c>
      <c r="AM2328" s="26">
        <f t="shared" si="19"/>
        <v>2532</v>
      </c>
      <c r="AN2328" s="9"/>
      <c r="AO2328" s="9"/>
      <c r="AP2328" s="9"/>
      <c r="AQ2328" s="15" t="s">
        <v>49</v>
      </c>
      <c r="AR2328" t="s">
        <v>11710</v>
      </c>
      <c r="AS2328" s="16" t="s">
        <v>11711</v>
      </c>
    </row>
    <row r="2329" spans="1:60" ht="14.5">
      <c r="A2329" s="20" t="s">
        <v>11712</v>
      </c>
      <c r="B2329" s="20" t="s">
        <v>11713</v>
      </c>
      <c r="C2329" s="20" t="s">
        <v>536</v>
      </c>
      <c r="D2329" s="20" t="s">
        <v>361</v>
      </c>
      <c r="E2329" s="20" t="s">
        <v>125</v>
      </c>
      <c r="F2329" s="20" t="s">
        <v>69</v>
      </c>
      <c r="G2329" s="20" t="s">
        <v>70</v>
      </c>
      <c r="H2329" s="20" t="s">
        <v>7424</v>
      </c>
      <c r="I2329" s="20" t="s">
        <v>72</v>
      </c>
      <c r="J2329" s="22"/>
      <c r="K2329" s="22"/>
      <c r="L2329" s="22"/>
      <c r="M2329" s="22">
        <v>45243</v>
      </c>
      <c r="N2329" s="20">
        <v>2023</v>
      </c>
      <c r="O2329" s="20" t="s">
        <v>11698</v>
      </c>
      <c r="P2329" s="20" t="s">
        <v>53</v>
      </c>
      <c r="Q2329" s="20" t="s">
        <v>53</v>
      </c>
      <c r="R2329" s="20" t="s">
        <v>11714</v>
      </c>
      <c r="S2329" s="20"/>
      <c r="T2329" s="20"/>
      <c r="U2329" s="20"/>
      <c r="V2329" s="20"/>
      <c r="W2329" s="20"/>
      <c r="X2329" s="20"/>
      <c r="Y2329" s="20"/>
      <c r="Z2329" s="20"/>
      <c r="AA2329" s="20"/>
      <c r="AB2329" s="20"/>
      <c r="AC2329" s="20" t="s">
        <v>11715</v>
      </c>
      <c r="AD2329" s="20"/>
      <c r="AE2329" s="20"/>
      <c r="AF2329" s="20"/>
      <c r="AG2329" s="20"/>
      <c r="AH2329" s="20">
        <v>2110</v>
      </c>
      <c r="AI2329" s="20" t="s">
        <v>77</v>
      </c>
      <c r="AJ2329" s="20" t="s">
        <v>301</v>
      </c>
      <c r="AK2329" s="23" t="str">
        <f t="shared" si="18"/>
        <v>2023GBP</v>
      </c>
      <c r="AL2329" s="23">
        <f>VLOOKUP(AK2329, Exchange_rates!$C:$D, 2, FALSE)</f>
        <v>1</v>
      </c>
      <c r="AM2329" s="26">
        <f t="shared" si="19"/>
        <v>2532</v>
      </c>
      <c r="AN2329" s="20"/>
      <c r="AO2329" s="20"/>
      <c r="AP2329" s="20"/>
      <c r="AQ2329" s="27" t="s">
        <v>125</v>
      </c>
      <c r="AR2329" t="s">
        <v>542</v>
      </c>
      <c r="AS2329" s="16"/>
      <c r="AT2329" s="20"/>
      <c r="AU2329" s="20"/>
      <c r="AV2329" s="20"/>
      <c r="AW2329" s="20"/>
      <c r="AX2329" s="20"/>
      <c r="AY2329" s="20"/>
      <c r="AZ2329" s="20"/>
      <c r="BA2329" s="20"/>
      <c r="BB2329" s="20"/>
      <c r="BC2329" s="20"/>
      <c r="BD2329" s="20"/>
      <c r="BE2329" s="20"/>
      <c r="BF2329" s="20"/>
      <c r="BG2329" s="20"/>
      <c r="BH2329" s="20"/>
    </row>
    <row r="2330" spans="1:60" ht="14.5">
      <c r="A2330" s="9" t="s">
        <v>11716</v>
      </c>
      <c r="B2330" s="9" t="s">
        <v>11717</v>
      </c>
      <c r="C2330" s="9" t="s">
        <v>8313</v>
      </c>
      <c r="D2330" s="9" t="s">
        <v>2479</v>
      </c>
      <c r="E2330" s="9" t="s">
        <v>49</v>
      </c>
      <c r="F2330" s="9" t="s">
        <v>69</v>
      </c>
      <c r="G2330" s="9" t="s">
        <v>70</v>
      </c>
      <c r="H2330" s="9" t="s">
        <v>8594</v>
      </c>
      <c r="I2330" s="9" t="s">
        <v>72</v>
      </c>
      <c r="J2330" s="10">
        <v>44600</v>
      </c>
      <c r="K2330" s="10">
        <v>45080</v>
      </c>
      <c r="L2330" s="10"/>
      <c r="M2330" s="10"/>
      <c r="N2330" s="9">
        <v>2023</v>
      </c>
      <c r="O2330" s="9" t="s">
        <v>11718</v>
      </c>
      <c r="P2330" s="9" t="s">
        <v>53</v>
      </c>
      <c r="Q2330" s="9" t="s">
        <v>53</v>
      </c>
      <c r="R2330" s="9" t="s">
        <v>11719</v>
      </c>
      <c r="S2330" s="9"/>
      <c r="T2330" s="9"/>
      <c r="V2330" s="9"/>
      <c r="AC2330" s="9" t="s">
        <v>638</v>
      </c>
      <c r="AD2330" s="9" t="s">
        <v>11720</v>
      </c>
      <c r="AE2330" s="9" t="s">
        <v>11721</v>
      </c>
      <c r="AH2330" s="9">
        <v>2383.23</v>
      </c>
      <c r="AI2330" s="9" t="s">
        <v>77</v>
      </c>
      <c r="AJ2330" s="9" t="s">
        <v>301</v>
      </c>
      <c r="AK2330" s="23" t="str">
        <f t="shared" si="18"/>
        <v>2023GBP</v>
      </c>
      <c r="AL2330" s="23">
        <f>VLOOKUP(AK2330, Exchange_rates!$C:$D, 2, FALSE)</f>
        <v>1</v>
      </c>
      <c r="AM2330" s="26">
        <f t="shared" si="19"/>
        <v>2859.8759999999997</v>
      </c>
      <c r="AN2330" s="9"/>
      <c r="AO2330" s="9"/>
      <c r="AP2330" s="9"/>
      <c r="AQ2330" s="15" t="s">
        <v>49</v>
      </c>
      <c r="AR2330" t="s">
        <v>8317</v>
      </c>
      <c r="AS2330" s="16" t="s">
        <v>8318</v>
      </c>
    </row>
    <row r="2331" spans="1:60" ht="14.5">
      <c r="A2331" s="9" t="s">
        <v>11722</v>
      </c>
      <c r="B2331" s="9" t="s">
        <v>11723</v>
      </c>
      <c r="C2331" s="9" t="s">
        <v>2497</v>
      </c>
      <c r="D2331" s="9" t="s">
        <v>2479</v>
      </c>
      <c r="E2331" s="9" t="s">
        <v>49</v>
      </c>
      <c r="F2331" s="9" t="s">
        <v>69</v>
      </c>
      <c r="G2331" s="9" t="s">
        <v>70</v>
      </c>
      <c r="H2331" s="9" t="s">
        <v>8594</v>
      </c>
      <c r="I2331" s="9" t="s">
        <v>72</v>
      </c>
      <c r="J2331" s="10">
        <v>44960</v>
      </c>
      <c r="K2331" s="28">
        <v>45242</v>
      </c>
      <c r="L2331" s="10"/>
      <c r="M2331" s="10"/>
      <c r="N2331" s="9">
        <v>2023</v>
      </c>
      <c r="O2331" s="9" t="s">
        <v>11718</v>
      </c>
      <c r="P2331" s="9" t="s">
        <v>53</v>
      </c>
      <c r="Q2331" s="9" t="s">
        <v>83</v>
      </c>
      <c r="R2331" s="9" t="s">
        <v>11724</v>
      </c>
      <c r="S2331" s="9"/>
      <c r="T2331" s="9"/>
      <c r="V2331" s="9"/>
      <c r="AC2331" s="9" t="s">
        <v>11725</v>
      </c>
      <c r="AD2331" s="9" t="s">
        <v>11726</v>
      </c>
      <c r="AF2331" s="9" t="s">
        <v>11727</v>
      </c>
      <c r="AH2331" s="9">
        <v>2566.5500000000002</v>
      </c>
      <c r="AI2331" s="9" t="s">
        <v>77</v>
      </c>
      <c r="AJ2331" s="9" t="s">
        <v>301</v>
      </c>
      <c r="AK2331" s="23" t="str">
        <f t="shared" si="18"/>
        <v>2023GBP</v>
      </c>
      <c r="AL2331" s="23">
        <f>VLOOKUP(AK2331, Exchange_rates!$C:$D, 2, FALSE)</f>
        <v>1</v>
      </c>
      <c r="AM2331" s="26">
        <f t="shared" si="19"/>
        <v>3079.86</v>
      </c>
      <c r="AN2331" s="9"/>
      <c r="AO2331" s="9"/>
      <c r="AP2331" s="9"/>
      <c r="AQ2331" s="15" t="s">
        <v>49</v>
      </c>
      <c r="AR2331" t="s">
        <v>2499</v>
      </c>
      <c r="AS2331" s="16"/>
    </row>
    <row r="2332" spans="1:60" ht="14.5">
      <c r="A2332" s="9" t="s">
        <v>11728</v>
      </c>
      <c r="B2332" s="9" t="s">
        <v>11729</v>
      </c>
      <c r="C2332" s="9" t="s">
        <v>11730</v>
      </c>
      <c r="D2332" s="9" t="s">
        <v>2479</v>
      </c>
      <c r="E2332" s="9" t="s">
        <v>49</v>
      </c>
      <c r="F2332" s="9" t="s">
        <v>69</v>
      </c>
      <c r="G2332" s="9" t="s">
        <v>70</v>
      </c>
      <c r="H2332" s="9" t="s">
        <v>8594</v>
      </c>
      <c r="I2332" s="9" t="s">
        <v>72</v>
      </c>
      <c r="J2332" s="28">
        <v>44851</v>
      </c>
      <c r="K2332" s="28">
        <v>45258</v>
      </c>
      <c r="L2332" s="10"/>
      <c r="M2332" s="10"/>
      <c r="N2332" s="9">
        <v>2023</v>
      </c>
      <c r="O2332" s="9" t="s">
        <v>11718</v>
      </c>
      <c r="P2332" s="9" t="s">
        <v>53</v>
      </c>
      <c r="Q2332" s="9" t="s">
        <v>53</v>
      </c>
      <c r="S2332" s="9"/>
      <c r="T2332" s="9"/>
      <c r="V2332" s="9"/>
      <c r="AC2332" s="9" t="s">
        <v>11731</v>
      </c>
      <c r="AD2332" s="9" t="s">
        <v>11732</v>
      </c>
      <c r="AE2332" s="9" t="s">
        <v>11733</v>
      </c>
      <c r="AF2332" s="9" t="s">
        <v>11734</v>
      </c>
      <c r="AH2332" s="9">
        <v>2566.5500000000002</v>
      </c>
      <c r="AI2332" s="9" t="s">
        <v>77</v>
      </c>
      <c r="AJ2332" s="9" t="s">
        <v>301</v>
      </c>
      <c r="AK2332" s="23" t="str">
        <f t="shared" si="18"/>
        <v>2023GBP</v>
      </c>
      <c r="AL2332" s="23">
        <f>VLOOKUP(AK2332, Exchange_rates!$C:$D, 2, FALSE)</f>
        <v>1</v>
      </c>
      <c r="AM2332" s="26">
        <f t="shared" si="19"/>
        <v>3079.86</v>
      </c>
      <c r="AN2332" s="9"/>
      <c r="AO2332" s="9"/>
      <c r="AP2332" s="9"/>
      <c r="AQ2332" s="15" t="s">
        <v>49</v>
      </c>
      <c r="AR2332" t="s">
        <v>2774</v>
      </c>
      <c r="AS2332" s="16" t="s">
        <v>2775</v>
      </c>
    </row>
    <row r="2333" spans="1:60" ht="14.5">
      <c r="A2333" s="9" t="s">
        <v>11735</v>
      </c>
      <c r="B2333" s="9" t="s">
        <v>11736</v>
      </c>
      <c r="C2333" s="9" t="s">
        <v>11737</v>
      </c>
      <c r="D2333" s="9" t="s">
        <v>2479</v>
      </c>
      <c r="E2333" s="9" t="s">
        <v>49</v>
      </c>
      <c r="F2333" s="9" t="s">
        <v>69</v>
      </c>
      <c r="G2333" s="9" t="s">
        <v>70</v>
      </c>
      <c r="H2333" s="9" t="s">
        <v>8594</v>
      </c>
      <c r="I2333" s="9" t="s">
        <v>72</v>
      </c>
      <c r="J2333" s="10">
        <v>45236</v>
      </c>
      <c r="K2333" s="10">
        <v>45265</v>
      </c>
      <c r="L2333" s="10"/>
      <c r="M2333" s="10"/>
      <c r="N2333" s="9">
        <v>2023</v>
      </c>
      <c r="O2333" s="9" t="s">
        <v>11718</v>
      </c>
      <c r="P2333" s="9" t="s">
        <v>53</v>
      </c>
      <c r="Q2333" s="9" t="s">
        <v>53</v>
      </c>
      <c r="S2333" s="9"/>
      <c r="T2333" s="9"/>
      <c r="V2333" s="9"/>
      <c r="AC2333" s="9" t="s">
        <v>11738</v>
      </c>
      <c r="AD2333" s="9" t="s">
        <v>11739</v>
      </c>
      <c r="AE2333" s="9" t="s">
        <v>11740</v>
      </c>
      <c r="AF2333" s="9" t="s">
        <v>11738</v>
      </c>
      <c r="AH2333" s="9">
        <v>2566.5500000000002</v>
      </c>
      <c r="AI2333" s="9" t="s">
        <v>77</v>
      </c>
      <c r="AJ2333" s="9" t="s">
        <v>301</v>
      </c>
      <c r="AK2333" s="23" t="str">
        <f t="shared" si="18"/>
        <v>2023GBP</v>
      </c>
      <c r="AL2333" s="23">
        <f>VLOOKUP(AK2333, Exchange_rates!$C:$D, 2, FALSE)</f>
        <v>1</v>
      </c>
      <c r="AM2333" s="26">
        <f t="shared" si="19"/>
        <v>3079.86</v>
      </c>
      <c r="AN2333" s="9"/>
      <c r="AO2333" s="9"/>
      <c r="AP2333" s="9"/>
      <c r="AQ2333" s="15" t="s">
        <v>49</v>
      </c>
      <c r="AR2333" t="s">
        <v>11741</v>
      </c>
      <c r="AS2333" s="16" t="s">
        <v>11742</v>
      </c>
    </row>
    <row r="2334" spans="1:60" ht="14.5">
      <c r="A2334" s="9" t="s">
        <v>11743</v>
      </c>
      <c r="B2334" s="9" t="s">
        <v>11744</v>
      </c>
      <c r="C2334" s="9" t="s">
        <v>8436</v>
      </c>
      <c r="D2334" s="9" t="s">
        <v>2479</v>
      </c>
      <c r="E2334" s="9" t="s">
        <v>49</v>
      </c>
      <c r="F2334" s="9" t="s">
        <v>69</v>
      </c>
      <c r="G2334" s="9" t="s">
        <v>70</v>
      </c>
      <c r="H2334" s="9" t="s">
        <v>8594</v>
      </c>
      <c r="I2334" s="9" t="s">
        <v>72</v>
      </c>
      <c r="J2334" s="28">
        <v>44876</v>
      </c>
      <c r="K2334" s="28">
        <v>45281</v>
      </c>
      <c r="L2334" s="10"/>
      <c r="M2334" s="10"/>
      <c r="N2334" s="9">
        <v>2023</v>
      </c>
      <c r="O2334" s="9" t="s">
        <v>11718</v>
      </c>
      <c r="P2334" s="9" t="s">
        <v>83</v>
      </c>
      <c r="Q2334" s="9" t="s">
        <v>53</v>
      </c>
      <c r="R2334" s="9" t="s">
        <v>10680</v>
      </c>
      <c r="S2334" s="9"/>
      <c r="T2334" s="9"/>
      <c r="V2334" s="9"/>
      <c r="AC2334" s="9" t="s">
        <v>11745</v>
      </c>
      <c r="AD2334" s="9" t="s">
        <v>5318</v>
      </c>
      <c r="AE2334" s="9" t="s">
        <v>9869</v>
      </c>
      <c r="AH2334" s="9">
        <v>2383.23</v>
      </c>
      <c r="AI2334" s="9" t="s">
        <v>77</v>
      </c>
      <c r="AJ2334" s="9" t="s">
        <v>301</v>
      </c>
      <c r="AK2334" s="23" t="str">
        <f t="shared" si="18"/>
        <v>2023GBP</v>
      </c>
      <c r="AL2334" s="23">
        <f>VLOOKUP(AK2334, Exchange_rates!$C:$D, 2, FALSE)</f>
        <v>1</v>
      </c>
      <c r="AM2334" s="26">
        <f t="shared" si="19"/>
        <v>2859.8759999999997</v>
      </c>
      <c r="AN2334" s="9"/>
      <c r="AO2334" s="9"/>
      <c r="AP2334" s="9"/>
      <c r="AQ2334" s="15" t="s">
        <v>49</v>
      </c>
      <c r="AR2334" t="s">
        <v>8439</v>
      </c>
      <c r="AS2334" s="16" t="s">
        <v>8440</v>
      </c>
    </row>
    <row r="2335" spans="1:60" ht="14.5">
      <c r="A2335" s="9" t="s">
        <v>11746</v>
      </c>
      <c r="B2335" s="9" t="s">
        <v>11747</v>
      </c>
      <c r="C2335" s="9" t="s">
        <v>2497</v>
      </c>
      <c r="D2335" s="9" t="s">
        <v>2479</v>
      </c>
      <c r="E2335" s="9" t="s">
        <v>49</v>
      </c>
      <c r="F2335" s="9" t="s">
        <v>69</v>
      </c>
      <c r="G2335" s="9" t="s">
        <v>70</v>
      </c>
      <c r="H2335" s="9" t="s">
        <v>8594</v>
      </c>
      <c r="I2335" s="9" t="s">
        <v>72</v>
      </c>
      <c r="J2335" s="10">
        <v>44987</v>
      </c>
      <c r="K2335" s="10">
        <v>45268</v>
      </c>
      <c r="L2335" s="10"/>
      <c r="M2335" s="10"/>
      <c r="N2335" s="9">
        <v>2023</v>
      </c>
      <c r="O2335" s="9" t="s">
        <v>11718</v>
      </c>
      <c r="P2335" s="9" t="s">
        <v>53</v>
      </c>
      <c r="Q2335" s="9" t="s">
        <v>53</v>
      </c>
      <c r="S2335" s="9"/>
      <c r="T2335" s="9"/>
      <c r="V2335" s="9"/>
      <c r="AC2335" s="9" t="s">
        <v>9123</v>
      </c>
      <c r="AD2335" s="9" t="s">
        <v>11748</v>
      </c>
      <c r="AH2335" s="9">
        <v>2566.5500000000002</v>
      </c>
      <c r="AI2335" s="9" t="s">
        <v>77</v>
      </c>
      <c r="AJ2335" s="9" t="s">
        <v>301</v>
      </c>
      <c r="AK2335" s="23" t="str">
        <f t="shared" si="18"/>
        <v>2023GBP</v>
      </c>
      <c r="AL2335" s="23">
        <f>VLOOKUP(AK2335, Exchange_rates!$C:$D, 2, FALSE)</f>
        <v>1</v>
      </c>
      <c r="AM2335" s="26">
        <f t="shared" si="19"/>
        <v>3079.86</v>
      </c>
      <c r="AN2335" s="9"/>
      <c r="AO2335" s="9"/>
      <c r="AP2335" s="9"/>
      <c r="AQ2335" s="15" t="s">
        <v>49</v>
      </c>
      <c r="AR2335" t="s">
        <v>2499</v>
      </c>
      <c r="AS2335" s="16"/>
    </row>
    <row r="2336" spans="1:60" ht="14.5">
      <c r="A2336" s="9" t="s">
        <v>11749</v>
      </c>
      <c r="B2336" s="9" t="s">
        <v>11750</v>
      </c>
      <c r="C2336" s="9" t="s">
        <v>11061</v>
      </c>
      <c r="D2336" s="9" t="s">
        <v>2479</v>
      </c>
      <c r="E2336" s="9" t="s">
        <v>49</v>
      </c>
      <c r="F2336" s="9" t="s">
        <v>69</v>
      </c>
      <c r="G2336" s="9" t="s">
        <v>70</v>
      </c>
      <c r="H2336" s="9" t="s">
        <v>8594</v>
      </c>
      <c r="I2336" s="9" t="s">
        <v>72</v>
      </c>
      <c r="J2336" s="28">
        <v>45287</v>
      </c>
      <c r="K2336" s="28">
        <v>45287</v>
      </c>
      <c r="L2336" s="10"/>
      <c r="M2336" s="10"/>
      <c r="N2336" s="9">
        <v>2023</v>
      </c>
      <c r="O2336" s="9" t="s">
        <v>11718</v>
      </c>
      <c r="P2336" s="9" t="s">
        <v>53</v>
      </c>
      <c r="Q2336" s="9" t="s">
        <v>53</v>
      </c>
      <c r="R2336" s="9" t="s">
        <v>11719</v>
      </c>
      <c r="S2336" s="9"/>
      <c r="T2336" s="9"/>
      <c r="V2336" s="9"/>
      <c r="AC2336" s="9" t="s">
        <v>5154</v>
      </c>
      <c r="AD2336" s="9" t="s">
        <v>5155</v>
      </c>
      <c r="AF2336" s="9" t="s">
        <v>11751</v>
      </c>
      <c r="AH2336" s="9">
        <v>2199.9</v>
      </c>
      <c r="AI2336" s="9" t="s">
        <v>77</v>
      </c>
      <c r="AJ2336" s="9" t="s">
        <v>301</v>
      </c>
      <c r="AK2336" s="23" t="str">
        <f t="shared" si="18"/>
        <v>2023GBP</v>
      </c>
      <c r="AL2336" s="23">
        <f>VLOOKUP(AK2336, Exchange_rates!$C:$D, 2, FALSE)</f>
        <v>1</v>
      </c>
      <c r="AM2336" s="26">
        <f t="shared" si="19"/>
        <v>2639.88</v>
      </c>
      <c r="AN2336" s="9"/>
      <c r="AO2336" s="9"/>
      <c r="AP2336" s="9"/>
      <c r="AQ2336" s="15" t="s">
        <v>49</v>
      </c>
      <c r="AR2336" t="s">
        <v>11068</v>
      </c>
      <c r="AS2336" s="16" t="s">
        <v>11069</v>
      </c>
    </row>
    <row r="2337" spans="1:60" ht="14.5">
      <c r="A2337" s="20" t="s">
        <v>11752</v>
      </c>
      <c r="B2337" s="20" t="s">
        <v>11753</v>
      </c>
      <c r="C2337" s="20" t="s">
        <v>11754</v>
      </c>
      <c r="D2337" s="20" t="s">
        <v>2479</v>
      </c>
      <c r="E2337" s="20" t="s">
        <v>49</v>
      </c>
      <c r="F2337" s="20" t="s">
        <v>69</v>
      </c>
      <c r="G2337" s="20" t="s">
        <v>70</v>
      </c>
      <c r="H2337" s="20" t="s">
        <v>8594</v>
      </c>
      <c r="I2337" s="20" t="s">
        <v>238</v>
      </c>
      <c r="J2337" s="22">
        <v>45134</v>
      </c>
      <c r="K2337" s="42">
        <v>45277</v>
      </c>
      <c r="L2337" s="22"/>
      <c r="M2337" s="22"/>
      <c r="N2337" s="20">
        <v>2023</v>
      </c>
      <c r="O2337" s="20" t="s">
        <v>11718</v>
      </c>
      <c r="P2337" s="20" t="s">
        <v>53</v>
      </c>
      <c r="Q2337" s="20" t="s">
        <v>53</v>
      </c>
      <c r="R2337" s="20" t="s">
        <v>11719</v>
      </c>
      <c r="S2337" s="20"/>
      <c r="T2337" s="20"/>
      <c r="U2337" s="20"/>
      <c r="V2337" s="20"/>
      <c r="W2337" s="20"/>
      <c r="X2337" s="20"/>
      <c r="Y2337" s="20"/>
      <c r="Z2337" s="20"/>
      <c r="AA2337" s="20"/>
      <c r="AB2337" s="20"/>
      <c r="AC2337" s="20" t="s">
        <v>11755</v>
      </c>
      <c r="AD2337" s="20" t="s">
        <v>11756</v>
      </c>
      <c r="AE2337" s="20" t="s">
        <v>11757</v>
      </c>
      <c r="AF2337" s="20" t="s">
        <v>11758</v>
      </c>
      <c r="AG2337" s="20"/>
      <c r="AH2337" s="20">
        <v>2383.23</v>
      </c>
      <c r="AI2337" s="20" t="s">
        <v>77</v>
      </c>
      <c r="AJ2337" s="20" t="s">
        <v>301</v>
      </c>
      <c r="AK2337" s="23" t="str">
        <f t="shared" si="18"/>
        <v>2023GBP</v>
      </c>
      <c r="AL2337" s="23">
        <f>VLOOKUP(AK2337, Exchange_rates!$C:$D, 2, FALSE)</f>
        <v>1</v>
      </c>
      <c r="AM2337" s="26">
        <f t="shared" si="19"/>
        <v>2859.8759999999997</v>
      </c>
      <c r="AN2337" s="20"/>
      <c r="AO2337" s="20"/>
      <c r="AP2337" s="20"/>
      <c r="AQ2337" s="27" t="s">
        <v>49</v>
      </c>
      <c r="AR2337" t="s">
        <v>11759</v>
      </c>
      <c r="AS2337" s="16" t="s">
        <v>11760</v>
      </c>
      <c r="AT2337" s="20"/>
      <c r="AU2337" s="20"/>
      <c r="AV2337" s="20"/>
      <c r="AW2337" s="20"/>
      <c r="AX2337" s="20"/>
      <c r="AY2337" s="20"/>
      <c r="AZ2337" s="20"/>
      <c r="BA2337" s="20"/>
      <c r="BB2337" s="20"/>
      <c r="BC2337" s="20"/>
      <c r="BD2337" s="20"/>
      <c r="BE2337" s="20"/>
      <c r="BF2337" s="20"/>
      <c r="BG2337" s="20"/>
      <c r="BH2337" s="20"/>
    </row>
    <row r="2338" spans="1:60" ht="14.5">
      <c r="A2338" s="9" t="s">
        <v>11761</v>
      </c>
      <c r="B2338" s="9" t="s">
        <v>11762</v>
      </c>
      <c r="C2338" s="9" t="s">
        <v>11763</v>
      </c>
      <c r="D2338" s="9" t="s">
        <v>11764</v>
      </c>
      <c r="E2338" s="9" t="s">
        <v>49</v>
      </c>
      <c r="F2338" s="20" t="s">
        <v>69</v>
      </c>
      <c r="G2338" s="20" t="s">
        <v>70</v>
      </c>
      <c r="H2338" s="9" t="s">
        <v>11765</v>
      </c>
      <c r="I2338" s="9" t="s">
        <v>72</v>
      </c>
      <c r="J2338" s="10">
        <v>45163</v>
      </c>
      <c r="K2338" s="10">
        <v>45232</v>
      </c>
      <c r="L2338" s="10"/>
      <c r="M2338" s="10">
        <v>45275</v>
      </c>
      <c r="N2338" s="9">
        <v>2023</v>
      </c>
      <c r="O2338" s="9" t="s">
        <v>11766</v>
      </c>
      <c r="P2338" s="9" t="s">
        <v>83</v>
      </c>
      <c r="Q2338" s="9" t="s">
        <v>53</v>
      </c>
      <c r="R2338" s="9" t="s">
        <v>11767</v>
      </c>
      <c r="S2338" s="9"/>
      <c r="T2338" s="9"/>
      <c r="V2338" s="9"/>
      <c r="AC2338" s="9" t="s">
        <v>11768</v>
      </c>
      <c r="AE2338" s="9" t="s">
        <v>11769</v>
      </c>
      <c r="AH2338" s="9">
        <v>2755</v>
      </c>
      <c r="AI2338" s="9" t="s">
        <v>875</v>
      </c>
      <c r="AJ2338" s="9" t="s">
        <v>57</v>
      </c>
      <c r="AK2338" s="23" t="str">
        <f t="shared" si="18"/>
        <v>2023USD</v>
      </c>
      <c r="AL2338" s="23">
        <f>VLOOKUP(AK2338, Exchange_rates!$C:$D, 2, FALSE)</f>
        <v>0.80430000000000001</v>
      </c>
      <c r="AM2338" s="26">
        <f t="shared" si="19"/>
        <v>2659.0158000000001</v>
      </c>
      <c r="AN2338" s="9"/>
      <c r="AO2338" s="9"/>
      <c r="AP2338" s="9"/>
      <c r="AQ2338" s="15" t="s">
        <v>49</v>
      </c>
      <c r="AR2338" t="s">
        <v>11770</v>
      </c>
      <c r="AS2338" s="16"/>
    </row>
    <row r="2339" spans="1:60" ht="14.5">
      <c r="A2339" s="9" t="s">
        <v>11771</v>
      </c>
      <c r="B2339" s="9" t="s">
        <v>11772</v>
      </c>
      <c r="C2339" s="9" t="s">
        <v>11773</v>
      </c>
      <c r="D2339" s="9" t="s">
        <v>11764</v>
      </c>
      <c r="E2339" s="9" t="s">
        <v>49</v>
      </c>
      <c r="F2339" s="20" t="s">
        <v>69</v>
      </c>
      <c r="G2339" s="20" t="s">
        <v>70</v>
      </c>
      <c r="H2339" s="9" t="s">
        <v>11765</v>
      </c>
      <c r="I2339" s="9" t="s">
        <v>72</v>
      </c>
      <c r="J2339" s="10">
        <v>44946</v>
      </c>
      <c r="K2339" s="10">
        <v>45180</v>
      </c>
      <c r="L2339" s="10"/>
      <c r="M2339" s="10">
        <v>45197</v>
      </c>
      <c r="N2339" s="9">
        <v>2023</v>
      </c>
      <c r="O2339" s="9" t="s">
        <v>11766</v>
      </c>
      <c r="P2339" s="9" t="s">
        <v>53</v>
      </c>
      <c r="Q2339" s="9" t="s">
        <v>53</v>
      </c>
      <c r="S2339" s="9"/>
      <c r="T2339" s="9"/>
      <c r="V2339" s="9"/>
      <c r="AC2339" s="9" t="s">
        <v>11774</v>
      </c>
      <c r="AE2339" s="9" t="s">
        <v>11775</v>
      </c>
      <c r="AH2339" s="9">
        <v>2755</v>
      </c>
      <c r="AI2339" s="9" t="s">
        <v>875</v>
      </c>
      <c r="AJ2339" s="9" t="s">
        <v>57</v>
      </c>
      <c r="AK2339" s="23" t="str">
        <f t="shared" si="18"/>
        <v>2023USD</v>
      </c>
      <c r="AL2339" s="23">
        <f>VLOOKUP(AK2339, Exchange_rates!$C:$D, 2, FALSE)</f>
        <v>0.80430000000000001</v>
      </c>
      <c r="AM2339" s="26">
        <f t="shared" si="19"/>
        <v>2659.0158000000001</v>
      </c>
      <c r="AN2339" s="9"/>
      <c r="AO2339" s="9"/>
      <c r="AP2339" s="9"/>
      <c r="AQ2339" s="15" t="s">
        <v>49</v>
      </c>
      <c r="AR2339" t="s">
        <v>11776</v>
      </c>
      <c r="AS2339" s="16"/>
    </row>
    <row r="2340" spans="1:60" ht="14.5">
      <c r="A2340" s="9" t="s">
        <v>11777</v>
      </c>
      <c r="B2340" s="9" t="s">
        <v>11778</v>
      </c>
      <c r="C2340" s="9" t="s">
        <v>11779</v>
      </c>
      <c r="D2340" s="9" t="s">
        <v>11764</v>
      </c>
      <c r="E2340" s="9" t="s">
        <v>49</v>
      </c>
      <c r="F2340" s="20" t="s">
        <v>69</v>
      </c>
      <c r="G2340" s="20" t="s">
        <v>70</v>
      </c>
      <c r="H2340" s="9" t="s">
        <v>11765</v>
      </c>
      <c r="I2340" s="9" t="s">
        <v>72</v>
      </c>
      <c r="J2340" s="10">
        <v>44889</v>
      </c>
      <c r="K2340" s="10">
        <v>45030</v>
      </c>
      <c r="L2340" s="10"/>
      <c r="M2340" s="10">
        <v>45051</v>
      </c>
      <c r="N2340" s="9">
        <v>2023</v>
      </c>
      <c r="O2340" s="9" t="s">
        <v>11766</v>
      </c>
      <c r="P2340" s="9" t="s">
        <v>83</v>
      </c>
      <c r="Q2340" s="9" t="s">
        <v>53</v>
      </c>
      <c r="R2340" s="9" t="s">
        <v>117</v>
      </c>
      <c r="S2340" s="9"/>
      <c r="T2340" s="9"/>
      <c r="V2340" s="9"/>
      <c r="AC2340" s="9" t="s">
        <v>11780</v>
      </c>
      <c r="AE2340" s="9" t="s">
        <v>11781</v>
      </c>
      <c r="AH2340" s="9">
        <v>2755</v>
      </c>
      <c r="AI2340" s="9" t="s">
        <v>875</v>
      </c>
      <c r="AJ2340" s="9" t="s">
        <v>57</v>
      </c>
      <c r="AK2340" s="23" t="str">
        <f t="shared" si="18"/>
        <v>2023USD</v>
      </c>
      <c r="AL2340" s="23">
        <f>VLOOKUP(AK2340, Exchange_rates!$C:$D, 2, FALSE)</f>
        <v>0.80430000000000001</v>
      </c>
      <c r="AM2340" s="26">
        <f t="shared" si="19"/>
        <v>2659.0158000000001</v>
      </c>
      <c r="AN2340" s="9"/>
      <c r="AO2340" s="9"/>
      <c r="AP2340" s="9"/>
      <c r="AQ2340" s="15" t="s">
        <v>49</v>
      </c>
      <c r="AR2340" t="s">
        <v>11782</v>
      </c>
      <c r="AS2340" s="16"/>
    </row>
    <row r="2341" spans="1:60" ht="14.5">
      <c r="A2341" s="9" t="s">
        <v>11783</v>
      </c>
      <c r="B2341" s="9" t="s">
        <v>11784</v>
      </c>
      <c r="C2341" s="9" t="s">
        <v>11785</v>
      </c>
      <c r="D2341" s="9" t="s">
        <v>11764</v>
      </c>
      <c r="E2341" s="9" t="s">
        <v>49</v>
      </c>
      <c r="F2341" s="20" t="s">
        <v>69</v>
      </c>
      <c r="G2341" s="20" t="s">
        <v>70</v>
      </c>
      <c r="H2341" s="9" t="s">
        <v>11765</v>
      </c>
      <c r="I2341" s="9" t="s">
        <v>72</v>
      </c>
      <c r="J2341" s="10">
        <v>44792</v>
      </c>
      <c r="K2341" s="10">
        <v>45006</v>
      </c>
      <c r="L2341" s="10"/>
      <c r="M2341" s="10">
        <v>45055</v>
      </c>
      <c r="N2341" s="9">
        <v>2023</v>
      </c>
      <c r="O2341" s="9" t="s">
        <v>11766</v>
      </c>
      <c r="P2341" s="9" t="s">
        <v>53</v>
      </c>
      <c r="Q2341" s="9" t="s">
        <v>53</v>
      </c>
      <c r="R2341" s="9" t="s">
        <v>11786</v>
      </c>
      <c r="S2341" s="9"/>
      <c r="T2341" s="9"/>
      <c r="V2341" s="9"/>
      <c r="AC2341" s="9" t="s">
        <v>11787</v>
      </c>
      <c r="AE2341" s="9" t="s">
        <v>11788</v>
      </c>
      <c r="AH2341" s="9">
        <v>2755</v>
      </c>
      <c r="AI2341" s="9" t="s">
        <v>875</v>
      </c>
      <c r="AJ2341" s="9" t="s">
        <v>57</v>
      </c>
      <c r="AK2341" s="23" t="str">
        <f t="shared" si="18"/>
        <v>2023USD</v>
      </c>
      <c r="AL2341" s="23">
        <f>VLOOKUP(AK2341, Exchange_rates!$C:$D, 2, FALSE)</f>
        <v>0.80430000000000001</v>
      </c>
      <c r="AM2341" s="26">
        <f t="shared" si="19"/>
        <v>2659.0158000000001</v>
      </c>
      <c r="AN2341" s="9"/>
      <c r="AO2341" s="9"/>
      <c r="AP2341" s="9"/>
      <c r="AQ2341" s="15" t="s">
        <v>49</v>
      </c>
      <c r="AR2341" t="s">
        <v>11789</v>
      </c>
      <c r="AS2341" s="16"/>
    </row>
    <row r="2342" spans="1:60" ht="14.5">
      <c r="A2342" s="9" t="s">
        <v>11790</v>
      </c>
      <c r="B2342" s="9" t="s">
        <v>11791</v>
      </c>
      <c r="C2342" s="9" t="s">
        <v>11785</v>
      </c>
      <c r="D2342" s="9" t="s">
        <v>11764</v>
      </c>
      <c r="E2342" s="9" t="s">
        <v>49</v>
      </c>
      <c r="F2342" s="20" t="s">
        <v>69</v>
      </c>
      <c r="G2342" s="20" t="s">
        <v>70</v>
      </c>
      <c r="H2342" s="9" t="s">
        <v>11765</v>
      </c>
      <c r="I2342" s="9" t="s">
        <v>72</v>
      </c>
      <c r="J2342" s="10">
        <v>44762</v>
      </c>
      <c r="K2342" s="10">
        <v>45019</v>
      </c>
      <c r="L2342" s="10"/>
      <c r="M2342" s="10">
        <v>45055</v>
      </c>
      <c r="N2342" s="9">
        <v>2023</v>
      </c>
      <c r="O2342" s="9" t="s">
        <v>11766</v>
      </c>
      <c r="P2342" s="9" t="s">
        <v>53</v>
      </c>
      <c r="Q2342" s="9" t="s">
        <v>53</v>
      </c>
      <c r="R2342" s="9" t="s">
        <v>11786</v>
      </c>
      <c r="S2342" s="9"/>
      <c r="T2342" s="9"/>
      <c r="V2342" s="9"/>
      <c r="AC2342" s="9" t="s">
        <v>11787</v>
      </c>
      <c r="AE2342" s="9" t="s">
        <v>11788</v>
      </c>
      <c r="AH2342" s="9">
        <v>2755</v>
      </c>
      <c r="AI2342" s="9" t="s">
        <v>875</v>
      </c>
      <c r="AJ2342" s="9" t="s">
        <v>57</v>
      </c>
      <c r="AK2342" s="23" t="str">
        <f t="shared" si="18"/>
        <v>2023USD</v>
      </c>
      <c r="AL2342" s="23">
        <f>VLOOKUP(AK2342, Exchange_rates!$C:$D, 2, FALSE)</f>
        <v>0.80430000000000001</v>
      </c>
      <c r="AM2342" s="26">
        <f t="shared" si="19"/>
        <v>2659.0158000000001</v>
      </c>
      <c r="AN2342" s="9"/>
      <c r="AO2342" s="9"/>
      <c r="AP2342" s="9"/>
      <c r="AQ2342" s="15" t="s">
        <v>49</v>
      </c>
      <c r="AR2342" t="s">
        <v>11789</v>
      </c>
      <c r="AS2342" s="16"/>
    </row>
    <row r="2343" spans="1:60" ht="14.5">
      <c r="A2343" s="20" t="s">
        <v>11792</v>
      </c>
      <c r="B2343" s="20" t="s">
        <v>11793</v>
      </c>
      <c r="C2343" s="20" t="s">
        <v>11794</v>
      </c>
      <c r="D2343" s="20" t="s">
        <v>11764</v>
      </c>
      <c r="E2343" s="20" t="s">
        <v>49</v>
      </c>
      <c r="F2343" s="20" t="s">
        <v>69</v>
      </c>
      <c r="G2343" s="20" t="s">
        <v>70</v>
      </c>
      <c r="H2343" s="20" t="s">
        <v>11765</v>
      </c>
      <c r="I2343" s="20" t="s">
        <v>72</v>
      </c>
      <c r="J2343" s="22">
        <v>44701</v>
      </c>
      <c r="K2343" s="22">
        <v>45063</v>
      </c>
      <c r="L2343" s="22"/>
      <c r="M2343" s="22">
        <v>45113</v>
      </c>
      <c r="N2343" s="20">
        <v>2023</v>
      </c>
      <c r="O2343" s="20" t="s">
        <v>11766</v>
      </c>
      <c r="P2343" s="20" t="s">
        <v>83</v>
      </c>
      <c r="Q2343" s="20" t="s">
        <v>53</v>
      </c>
      <c r="R2343" s="20" t="s">
        <v>11795</v>
      </c>
      <c r="S2343" s="20"/>
      <c r="T2343" s="20"/>
      <c r="U2343" s="20"/>
      <c r="V2343" s="20"/>
      <c r="W2343" s="20"/>
      <c r="X2343" s="20"/>
      <c r="Y2343" s="20"/>
      <c r="Z2343" s="20"/>
      <c r="AA2343" s="20"/>
      <c r="AB2343" s="20"/>
      <c r="AC2343" s="20" t="s">
        <v>11796</v>
      </c>
      <c r="AD2343" s="20"/>
      <c r="AE2343" s="20" t="s">
        <v>11797</v>
      </c>
      <c r="AF2343" s="20"/>
      <c r="AG2343" s="20"/>
      <c r="AH2343" s="20">
        <v>3865</v>
      </c>
      <c r="AI2343" s="20" t="s">
        <v>875</v>
      </c>
      <c r="AJ2343" s="20" t="s">
        <v>57</v>
      </c>
      <c r="AK2343" s="23" t="str">
        <f t="shared" si="18"/>
        <v>2023USD</v>
      </c>
      <c r="AL2343" s="23">
        <f>VLOOKUP(AK2343, Exchange_rates!$C:$D, 2, FALSE)</f>
        <v>0.80430000000000001</v>
      </c>
      <c r="AM2343" s="26">
        <f t="shared" si="19"/>
        <v>3730.3434000000002</v>
      </c>
      <c r="AN2343" s="20"/>
      <c r="AO2343" s="20"/>
      <c r="AP2343" s="20"/>
      <c r="AQ2343" s="27" t="s">
        <v>49</v>
      </c>
      <c r="AR2343" t="s">
        <v>11798</v>
      </c>
      <c r="AS2343" s="16" t="s">
        <v>11799</v>
      </c>
      <c r="AT2343" s="20"/>
      <c r="AU2343" s="20"/>
      <c r="AV2343" s="20"/>
      <c r="AW2343" s="20"/>
      <c r="AX2343" s="20"/>
      <c r="AY2343" s="20"/>
      <c r="AZ2343" s="20"/>
      <c r="BA2343" s="20"/>
      <c r="BB2343" s="20"/>
      <c r="BC2343" s="20"/>
      <c r="BD2343" s="20"/>
      <c r="BE2343" s="20"/>
      <c r="BF2343" s="20"/>
      <c r="BG2343" s="20"/>
      <c r="BH2343" s="20"/>
    </row>
    <row r="2344" spans="1:60" ht="14.5">
      <c r="A2344" s="9" t="s">
        <v>11800</v>
      </c>
      <c r="B2344" s="9" t="s">
        <v>11801</v>
      </c>
      <c r="C2344" s="9" t="s">
        <v>7007</v>
      </c>
      <c r="D2344" s="9" t="s">
        <v>5539</v>
      </c>
      <c r="E2344" s="9" t="s">
        <v>49</v>
      </c>
      <c r="F2344" s="20" t="s">
        <v>69</v>
      </c>
      <c r="G2344" s="9" t="s">
        <v>70</v>
      </c>
      <c r="H2344" s="9" t="s">
        <v>9873</v>
      </c>
      <c r="I2344" s="9" t="s">
        <v>72</v>
      </c>
      <c r="J2344" s="10"/>
      <c r="K2344" s="10">
        <v>45258</v>
      </c>
      <c r="L2344" s="10">
        <v>45293</v>
      </c>
      <c r="M2344" s="10"/>
      <c r="N2344" s="9">
        <v>2023</v>
      </c>
      <c r="O2344" s="9" t="s">
        <v>11802</v>
      </c>
      <c r="P2344" s="9" t="s">
        <v>83</v>
      </c>
      <c r="Q2344" s="9" t="s">
        <v>53</v>
      </c>
      <c r="R2344" s="9" t="s">
        <v>11803</v>
      </c>
      <c r="S2344" s="9"/>
      <c r="T2344" s="9"/>
      <c r="V2344" s="9"/>
      <c r="AC2344" s="9" t="s">
        <v>7009</v>
      </c>
      <c r="AD2344" s="9" t="s">
        <v>7010</v>
      </c>
      <c r="AE2344" s="46" t="s">
        <v>11804</v>
      </c>
      <c r="AH2344" s="9">
        <v>3860</v>
      </c>
      <c r="AI2344" s="9" t="s">
        <v>77</v>
      </c>
      <c r="AJ2344" s="9" t="s">
        <v>301</v>
      </c>
      <c r="AK2344" s="23" t="str">
        <f t="shared" si="18"/>
        <v>2023GBP</v>
      </c>
      <c r="AL2344" s="23">
        <f>VLOOKUP(AK2344, Exchange_rates!$C:$D, 2, FALSE)</f>
        <v>1</v>
      </c>
      <c r="AM2344" s="26">
        <f t="shared" si="19"/>
        <v>4632</v>
      </c>
      <c r="AN2344" s="9"/>
      <c r="AO2344" s="9"/>
      <c r="AP2344" s="9"/>
      <c r="AQ2344" s="15" t="s">
        <v>49</v>
      </c>
      <c r="AR2344" t="s">
        <v>5581</v>
      </c>
      <c r="AS2344" s="16"/>
    </row>
    <row r="2345" spans="1:60" ht="14.5">
      <c r="A2345" s="9" t="s">
        <v>11805</v>
      </c>
      <c r="B2345" s="9" t="s">
        <v>11806</v>
      </c>
      <c r="C2345" s="9" t="s">
        <v>11807</v>
      </c>
      <c r="D2345" s="9" t="s">
        <v>5539</v>
      </c>
      <c r="E2345" s="9" t="s">
        <v>49</v>
      </c>
      <c r="F2345" s="20" t="s">
        <v>69</v>
      </c>
      <c r="G2345" s="9" t="s">
        <v>70</v>
      </c>
      <c r="H2345" s="9" t="s">
        <v>9873</v>
      </c>
      <c r="I2345" s="9" t="s">
        <v>72</v>
      </c>
      <c r="J2345" s="10"/>
      <c r="K2345" s="10">
        <v>45252</v>
      </c>
      <c r="L2345" s="10">
        <v>45293</v>
      </c>
      <c r="M2345" s="10">
        <v>45287</v>
      </c>
      <c r="N2345" s="9">
        <v>2023</v>
      </c>
      <c r="O2345" s="9" t="s">
        <v>11802</v>
      </c>
      <c r="P2345" s="9" t="s">
        <v>53</v>
      </c>
      <c r="Q2345" s="9" t="s">
        <v>53</v>
      </c>
      <c r="R2345" s="9" t="s">
        <v>11808</v>
      </c>
      <c r="S2345" s="9"/>
      <c r="T2345" s="9"/>
      <c r="V2345" s="9"/>
      <c r="AC2345" s="9" t="s">
        <v>11809</v>
      </c>
      <c r="AD2345" s="9" t="s">
        <v>11810</v>
      </c>
      <c r="AH2345" s="9">
        <v>2520</v>
      </c>
      <c r="AI2345" s="9" t="s">
        <v>77</v>
      </c>
      <c r="AJ2345" s="9" t="s">
        <v>301</v>
      </c>
      <c r="AK2345" s="23" t="str">
        <f t="shared" si="18"/>
        <v>2023GBP</v>
      </c>
      <c r="AL2345" s="23">
        <f>VLOOKUP(AK2345, Exchange_rates!$C:$D, 2, FALSE)</f>
        <v>1</v>
      </c>
      <c r="AM2345" s="26">
        <f t="shared" si="19"/>
        <v>3024</v>
      </c>
      <c r="AN2345" s="9"/>
      <c r="AO2345" s="9"/>
      <c r="AP2345" s="9"/>
      <c r="AQ2345" s="15" t="s">
        <v>49</v>
      </c>
      <c r="AR2345" t="s">
        <v>11811</v>
      </c>
      <c r="AS2345" s="16"/>
    </row>
    <row r="2346" spans="1:60" ht="14.5">
      <c r="A2346" s="9" t="s">
        <v>11812</v>
      </c>
      <c r="B2346" s="9" t="s">
        <v>11813</v>
      </c>
      <c r="C2346" s="9" t="s">
        <v>6182</v>
      </c>
      <c r="D2346" s="9" t="s">
        <v>5539</v>
      </c>
      <c r="E2346" s="9" t="s">
        <v>49</v>
      </c>
      <c r="F2346" s="20" t="s">
        <v>69</v>
      </c>
      <c r="G2346" s="9" t="s">
        <v>70</v>
      </c>
      <c r="H2346" s="9" t="s">
        <v>9873</v>
      </c>
      <c r="I2346" s="9" t="s">
        <v>238</v>
      </c>
      <c r="J2346" s="10"/>
      <c r="K2346" s="10">
        <v>45281</v>
      </c>
      <c r="L2346" s="28">
        <v>45282</v>
      </c>
      <c r="M2346" s="10"/>
      <c r="N2346" s="9">
        <v>2023</v>
      </c>
      <c r="O2346" s="9" t="s">
        <v>11802</v>
      </c>
      <c r="P2346" s="9" t="s">
        <v>53</v>
      </c>
      <c r="Q2346" s="9" t="s">
        <v>53</v>
      </c>
      <c r="S2346" s="9"/>
      <c r="T2346" s="9"/>
      <c r="V2346" s="9"/>
      <c r="AC2346" s="9" t="s">
        <v>11814</v>
      </c>
      <c r="AD2346" s="9" t="s">
        <v>11815</v>
      </c>
      <c r="AE2346" s="46" t="s">
        <v>11816</v>
      </c>
      <c r="AH2346" s="9">
        <v>2920</v>
      </c>
      <c r="AI2346" s="9" t="s">
        <v>77</v>
      </c>
      <c r="AJ2346" s="9" t="s">
        <v>301</v>
      </c>
      <c r="AK2346" s="23" t="str">
        <f t="shared" si="18"/>
        <v>2023GBP</v>
      </c>
      <c r="AL2346" s="23">
        <f>VLOOKUP(AK2346, Exchange_rates!$C:$D, 2, FALSE)</f>
        <v>1</v>
      </c>
      <c r="AM2346" s="26">
        <f t="shared" si="19"/>
        <v>3504</v>
      </c>
      <c r="AN2346" s="9"/>
      <c r="AO2346" s="9"/>
      <c r="AP2346" s="9"/>
      <c r="AQ2346" s="15" t="s">
        <v>49</v>
      </c>
      <c r="AR2346" t="s">
        <v>6187</v>
      </c>
      <c r="AS2346" s="16"/>
    </row>
    <row r="2347" spans="1:60" ht="14.5">
      <c r="A2347" s="9" t="s">
        <v>11817</v>
      </c>
      <c r="B2347" s="9" t="s">
        <v>11818</v>
      </c>
      <c r="C2347" s="9" t="s">
        <v>5949</v>
      </c>
      <c r="D2347" s="9" t="s">
        <v>5539</v>
      </c>
      <c r="E2347" s="9" t="s">
        <v>49</v>
      </c>
      <c r="F2347" s="20" t="s">
        <v>69</v>
      </c>
      <c r="G2347" s="9" t="s">
        <v>70</v>
      </c>
      <c r="H2347" s="9" t="s">
        <v>9873</v>
      </c>
      <c r="I2347" s="9" t="s">
        <v>291</v>
      </c>
      <c r="J2347" s="10"/>
      <c r="K2347" s="10">
        <v>45278</v>
      </c>
      <c r="L2347" s="28">
        <v>45282</v>
      </c>
      <c r="M2347" s="10"/>
      <c r="N2347" s="9">
        <v>2023</v>
      </c>
      <c r="O2347" s="9" t="s">
        <v>11802</v>
      </c>
      <c r="P2347" s="9" t="s">
        <v>53</v>
      </c>
      <c r="Q2347" s="9" t="s">
        <v>53</v>
      </c>
      <c r="S2347" s="9"/>
      <c r="T2347" s="9"/>
      <c r="V2347" s="9"/>
      <c r="AC2347" s="9" t="s">
        <v>11819</v>
      </c>
      <c r="AD2347" s="9" t="s">
        <v>11820</v>
      </c>
      <c r="AE2347" s="46" t="s">
        <v>11821</v>
      </c>
      <c r="AH2347" s="9">
        <v>2940</v>
      </c>
      <c r="AI2347" s="9" t="s">
        <v>77</v>
      </c>
      <c r="AJ2347" s="9" t="s">
        <v>301</v>
      </c>
      <c r="AK2347" s="23" t="str">
        <f t="shared" si="18"/>
        <v>2023GBP</v>
      </c>
      <c r="AL2347" s="23">
        <f>VLOOKUP(AK2347, Exchange_rates!$C:$D, 2, FALSE)</f>
        <v>1</v>
      </c>
      <c r="AM2347" s="26">
        <f t="shared" si="19"/>
        <v>3528</v>
      </c>
      <c r="AN2347" s="9"/>
      <c r="AO2347" s="9"/>
      <c r="AP2347" s="9"/>
      <c r="AQ2347" s="15" t="s">
        <v>49</v>
      </c>
      <c r="AR2347" t="s">
        <v>5953</v>
      </c>
      <c r="AS2347" s="16"/>
    </row>
    <row r="2348" spans="1:60" ht="14.5">
      <c r="A2348" s="9" t="s">
        <v>11822</v>
      </c>
      <c r="B2348" s="9" t="s">
        <v>11823</v>
      </c>
      <c r="C2348" s="9" t="s">
        <v>6094</v>
      </c>
      <c r="D2348" s="9" t="s">
        <v>5539</v>
      </c>
      <c r="E2348" s="9" t="s">
        <v>125</v>
      </c>
      <c r="F2348" s="20" t="s">
        <v>69</v>
      </c>
      <c r="G2348" s="20" t="s">
        <v>70</v>
      </c>
      <c r="H2348" s="9" t="s">
        <v>9873</v>
      </c>
      <c r="I2348" s="20" t="s">
        <v>72</v>
      </c>
      <c r="J2348" s="10"/>
      <c r="K2348" s="22">
        <v>45343</v>
      </c>
      <c r="L2348" s="28">
        <v>45281</v>
      </c>
      <c r="M2348" s="10">
        <v>45365</v>
      </c>
      <c r="N2348" s="9">
        <v>2023</v>
      </c>
      <c r="O2348" s="9" t="s">
        <v>11802</v>
      </c>
      <c r="P2348" s="9" t="s">
        <v>53</v>
      </c>
      <c r="Q2348" s="9" t="s">
        <v>53</v>
      </c>
      <c r="R2348" s="9" t="s">
        <v>11824</v>
      </c>
      <c r="S2348" s="9"/>
      <c r="T2348" s="9"/>
      <c r="V2348" s="9"/>
      <c r="AC2348" s="9" t="s">
        <v>7822</v>
      </c>
      <c r="AD2348" s="9" t="s">
        <v>5302</v>
      </c>
      <c r="AH2348" s="9">
        <v>2420</v>
      </c>
      <c r="AI2348" s="9" t="s">
        <v>77</v>
      </c>
      <c r="AJ2348" s="9" t="s">
        <v>301</v>
      </c>
      <c r="AK2348" s="23" t="str">
        <f t="shared" si="18"/>
        <v>2023GBP</v>
      </c>
      <c r="AL2348" s="23">
        <f>VLOOKUP(AK2348, Exchange_rates!$C:$D, 2, FALSE)</f>
        <v>1</v>
      </c>
      <c r="AM2348" s="26">
        <f t="shared" si="19"/>
        <v>2904</v>
      </c>
      <c r="AN2348" s="9"/>
      <c r="AO2348" s="9"/>
      <c r="AP2348" s="9"/>
      <c r="AQ2348" s="15" t="s">
        <v>125</v>
      </c>
      <c r="AR2348" t="s">
        <v>6096</v>
      </c>
      <c r="AS2348" s="16"/>
    </row>
    <row r="2349" spans="1:60" ht="14.5">
      <c r="A2349" s="9" t="s">
        <v>11825</v>
      </c>
      <c r="B2349" s="9" t="s">
        <v>11826</v>
      </c>
      <c r="C2349" s="9" t="s">
        <v>5741</v>
      </c>
      <c r="D2349" s="9" t="s">
        <v>5539</v>
      </c>
      <c r="E2349" s="9" t="s">
        <v>49</v>
      </c>
      <c r="F2349" s="20" t="s">
        <v>69</v>
      </c>
      <c r="G2349" s="9" t="s">
        <v>70</v>
      </c>
      <c r="H2349" s="9" t="s">
        <v>9873</v>
      </c>
      <c r="I2349" s="9" t="s">
        <v>72</v>
      </c>
      <c r="J2349" s="10"/>
      <c r="K2349" s="10">
        <v>45264</v>
      </c>
      <c r="L2349" s="28">
        <v>45280</v>
      </c>
      <c r="M2349" s="10">
        <v>45287</v>
      </c>
      <c r="N2349" s="9">
        <v>2023</v>
      </c>
      <c r="O2349" s="9" t="s">
        <v>11802</v>
      </c>
      <c r="P2349" s="9" t="s">
        <v>53</v>
      </c>
      <c r="Q2349" s="9" t="s">
        <v>53</v>
      </c>
      <c r="R2349" s="9" t="s">
        <v>74</v>
      </c>
      <c r="S2349" s="9"/>
      <c r="T2349" s="9"/>
      <c r="V2349" s="9"/>
      <c r="AC2349" s="9" t="s">
        <v>11827</v>
      </c>
      <c r="AD2349" s="9" t="s">
        <v>11828</v>
      </c>
      <c r="AE2349" s="46" t="s">
        <v>11829</v>
      </c>
      <c r="AH2349" s="9">
        <v>2590</v>
      </c>
      <c r="AI2349" s="9" t="s">
        <v>77</v>
      </c>
      <c r="AJ2349" s="9" t="s">
        <v>301</v>
      </c>
      <c r="AK2349" s="23" t="str">
        <f t="shared" si="18"/>
        <v>2023GBP</v>
      </c>
      <c r="AL2349" s="23">
        <f>VLOOKUP(AK2349, Exchange_rates!$C:$D, 2, FALSE)</f>
        <v>1</v>
      </c>
      <c r="AM2349" s="26">
        <f t="shared" si="19"/>
        <v>3108</v>
      </c>
      <c r="AN2349" s="9"/>
      <c r="AO2349" s="9"/>
      <c r="AP2349" s="9"/>
      <c r="AQ2349" s="15" t="s">
        <v>49</v>
      </c>
      <c r="AR2349" t="s">
        <v>5566</v>
      </c>
      <c r="AS2349" s="16"/>
    </row>
    <row r="2350" spans="1:60" ht="14.5">
      <c r="A2350" s="9" t="s">
        <v>11830</v>
      </c>
      <c r="B2350" s="9" t="s">
        <v>11831</v>
      </c>
      <c r="C2350" s="9" t="s">
        <v>5649</v>
      </c>
      <c r="D2350" s="9" t="s">
        <v>5539</v>
      </c>
      <c r="E2350" s="9" t="s">
        <v>49</v>
      </c>
      <c r="F2350" s="20" t="s">
        <v>69</v>
      </c>
      <c r="G2350" s="9" t="s">
        <v>70</v>
      </c>
      <c r="H2350" s="9" t="s">
        <v>9873</v>
      </c>
      <c r="I2350" s="9" t="s">
        <v>72</v>
      </c>
      <c r="J2350" s="10"/>
      <c r="K2350" s="10">
        <v>45264</v>
      </c>
      <c r="L2350" s="28">
        <v>45279</v>
      </c>
      <c r="M2350" s="10"/>
      <c r="N2350" s="9">
        <v>2023</v>
      </c>
      <c r="O2350" s="9" t="s">
        <v>11802</v>
      </c>
      <c r="P2350" s="9" t="s">
        <v>53</v>
      </c>
      <c r="Q2350" s="9" t="s">
        <v>53</v>
      </c>
      <c r="R2350" s="9" t="s">
        <v>10484</v>
      </c>
      <c r="S2350" s="9"/>
      <c r="T2350" s="9"/>
      <c r="V2350" s="9"/>
      <c r="AC2350" s="9" t="s">
        <v>11832</v>
      </c>
      <c r="AD2350" s="9" t="s">
        <v>11833</v>
      </c>
      <c r="AE2350" s="46" t="s">
        <v>11834</v>
      </c>
      <c r="AH2350" s="9">
        <v>2220</v>
      </c>
      <c r="AI2350" s="9" t="s">
        <v>77</v>
      </c>
      <c r="AJ2350" s="9" t="s">
        <v>301</v>
      </c>
      <c r="AK2350" s="23" t="str">
        <f t="shared" si="18"/>
        <v>2023GBP</v>
      </c>
      <c r="AL2350" s="23">
        <f>VLOOKUP(AK2350, Exchange_rates!$C:$D, 2, FALSE)</f>
        <v>1</v>
      </c>
      <c r="AM2350" s="26">
        <f t="shared" si="19"/>
        <v>2664</v>
      </c>
      <c r="AN2350" s="9"/>
      <c r="AO2350" s="9"/>
      <c r="AP2350" s="9"/>
      <c r="AQ2350" s="15" t="s">
        <v>49</v>
      </c>
      <c r="AR2350" t="s">
        <v>5654</v>
      </c>
      <c r="AS2350" s="16"/>
    </row>
    <row r="2351" spans="1:60" ht="14.5">
      <c r="A2351" s="9" t="s">
        <v>11835</v>
      </c>
      <c r="B2351" s="9" t="s">
        <v>11836</v>
      </c>
      <c r="C2351" s="9" t="s">
        <v>6700</v>
      </c>
      <c r="D2351" s="9" t="s">
        <v>5539</v>
      </c>
      <c r="E2351" s="9" t="s">
        <v>49</v>
      </c>
      <c r="F2351" s="20" t="s">
        <v>69</v>
      </c>
      <c r="G2351" s="9" t="s">
        <v>70</v>
      </c>
      <c r="H2351" s="9" t="s">
        <v>9873</v>
      </c>
      <c r="I2351" s="9" t="s">
        <v>11837</v>
      </c>
      <c r="J2351" s="10"/>
      <c r="K2351" s="10">
        <v>45262</v>
      </c>
      <c r="L2351" s="28">
        <v>45279</v>
      </c>
      <c r="M2351" s="10"/>
      <c r="N2351" s="9">
        <v>2023</v>
      </c>
      <c r="O2351" s="9" t="s">
        <v>11802</v>
      </c>
      <c r="P2351" s="9" t="s">
        <v>53</v>
      </c>
      <c r="Q2351" s="9" t="s">
        <v>53</v>
      </c>
      <c r="S2351" s="9"/>
      <c r="T2351" s="9"/>
      <c r="V2351" s="9"/>
      <c r="AC2351" s="9" t="s">
        <v>11838</v>
      </c>
      <c r="AD2351" s="9" t="s">
        <v>11839</v>
      </c>
      <c r="AH2351" s="9">
        <v>1840</v>
      </c>
      <c r="AI2351" s="9" t="s">
        <v>77</v>
      </c>
      <c r="AJ2351" s="9" t="s">
        <v>301</v>
      </c>
      <c r="AK2351" s="23" t="str">
        <f t="shared" si="18"/>
        <v>2023GBP</v>
      </c>
      <c r="AL2351" s="23">
        <f>VLOOKUP(AK2351, Exchange_rates!$C:$D, 2, FALSE)</f>
        <v>1</v>
      </c>
      <c r="AM2351" s="26">
        <f t="shared" si="19"/>
        <v>2208</v>
      </c>
      <c r="AN2351" s="9"/>
      <c r="AO2351" s="9"/>
      <c r="AP2351" s="9"/>
      <c r="AQ2351" s="15" t="s">
        <v>49</v>
      </c>
      <c r="AR2351" t="s">
        <v>6704</v>
      </c>
      <c r="AS2351" s="16"/>
    </row>
    <row r="2352" spans="1:60" ht="14.5">
      <c r="A2352" s="9" t="s">
        <v>11840</v>
      </c>
      <c r="B2352" s="9" t="s">
        <v>11841</v>
      </c>
      <c r="C2352" s="9" t="s">
        <v>11842</v>
      </c>
      <c r="D2352" s="9" t="s">
        <v>5539</v>
      </c>
      <c r="E2352" s="9" t="s">
        <v>49</v>
      </c>
      <c r="F2352" s="20" t="s">
        <v>69</v>
      </c>
      <c r="G2352" s="9" t="s">
        <v>70</v>
      </c>
      <c r="H2352" s="9" t="s">
        <v>9873</v>
      </c>
      <c r="I2352" s="9" t="s">
        <v>72</v>
      </c>
      <c r="J2352" s="10"/>
      <c r="K2352" s="10">
        <v>45275</v>
      </c>
      <c r="L2352" s="28">
        <v>45278</v>
      </c>
      <c r="M2352" s="10"/>
      <c r="N2352" s="9">
        <v>2023</v>
      </c>
      <c r="O2352" s="9" t="s">
        <v>11802</v>
      </c>
      <c r="P2352" s="9" t="s">
        <v>53</v>
      </c>
      <c r="Q2352" s="9" t="s">
        <v>53</v>
      </c>
      <c r="R2352" s="9" t="s">
        <v>5015</v>
      </c>
      <c r="S2352" s="9"/>
      <c r="T2352" s="9"/>
      <c r="V2352" s="9"/>
      <c r="AC2352" s="9" t="s">
        <v>11843</v>
      </c>
      <c r="AD2352" s="9" t="s">
        <v>11844</v>
      </c>
      <c r="AH2352" s="9">
        <v>2160</v>
      </c>
      <c r="AI2352" s="9" t="s">
        <v>77</v>
      </c>
      <c r="AJ2352" s="9" t="s">
        <v>301</v>
      </c>
      <c r="AK2352" s="23" t="str">
        <f t="shared" si="18"/>
        <v>2023GBP</v>
      </c>
      <c r="AL2352" s="23">
        <f>VLOOKUP(AK2352, Exchange_rates!$C:$D, 2, FALSE)</f>
        <v>1</v>
      </c>
      <c r="AM2352" s="26">
        <f t="shared" si="19"/>
        <v>2592</v>
      </c>
      <c r="AN2352" s="9"/>
      <c r="AO2352" s="9"/>
      <c r="AP2352" s="9"/>
      <c r="AQ2352" s="15" t="s">
        <v>49</v>
      </c>
      <c r="AR2352" t="s">
        <v>11845</v>
      </c>
      <c r="AS2352" s="16"/>
    </row>
    <row r="2353" spans="1:60" ht="14.5">
      <c r="A2353" s="9" t="s">
        <v>11846</v>
      </c>
      <c r="B2353" s="9" t="s">
        <v>11847</v>
      </c>
      <c r="C2353" s="9" t="s">
        <v>5756</v>
      </c>
      <c r="D2353" s="9" t="s">
        <v>5539</v>
      </c>
      <c r="E2353" s="9" t="s">
        <v>49</v>
      </c>
      <c r="F2353" s="20" t="s">
        <v>69</v>
      </c>
      <c r="G2353" s="9" t="s">
        <v>70</v>
      </c>
      <c r="H2353" s="9" t="s">
        <v>9873</v>
      </c>
      <c r="I2353" s="9" t="s">
        <v>72</v>
      </c>
      <c r="J2353" s="10"/>
      <c r="K2353" s="10">
        <v>45269</v>
      </c>
      <c r="L2353" s="28">
        <v>45274</v>
      </c>
      <c r="M2353" s="10"/>
      <c r="N2353" s="9">
        <v>2023</v>
      </c>
      <c r="O2353" s="9" t="s">
        <v>11802</v>
      </c>
      <c r="P2353" s="9" t="s">
        <v>53</v>
      </c>
      <c r="Q2353" s="9" t="s">
        <v>53</v>
      </c>
      <c r="R2353" s="9" t="s">
        <v>11848</v>
      </c>
      <c r="S2353" s="9"/>
      <c r="T2353" s="9"/>
      <c r="V2353" s="9"/>
      <c r="AC2353" s="9" t="s">
        <v>5757</v>
      </c>
      <c r="AD2353" s="9" t="s">
        <v>5758</v>
      </c>
      <c r="AE2353" s="46" t="s">
        <v>11849</v>
      </c>
      <c r="AH2353" s="9">
        <v>2870</v>
      </c>
      <c r="AI2353" s="9" t="s">
        <v>77</v>
      </c>
      <c r="AJ2353" s="9" t="s">
        <v>301</v>
      </c>
      <c r="AK2353" s="23" t="str">
        <f t="shared" si="18"/>
        <v>2023GBP</v>
      </c>
      <c r="AL2353" s="23">
        <f>VLOOKUP(AK2353, Exchange_rates!$C:$D, 2, FALSE)</f>
        <v>1</v>
      </c>
      <c r="AM2353" s="26">
        <f t="shared" si="19"/>
        <v>3444</v>
      </c>
      <c r="AN2353" s="9"/>
      <c r="AO2353" s="9"/>
      <c r="AP2353" s="9"/>
      <c r="AQ2353" s="15" t="s">
        <v>49</v>
      </c>
      <c r="AR2353" t="s">
        <v>5761</v>
      </c>
      <c r="AS2353" s="16"/>
    </row>
    <row r="2354" spans="1:60" ht="14.5" hidden="1">
      <c r="A2354" s="20" t="s">
        <v>11850</v>
      </c>
      <c r="B2354" s="20"/>
      <c r="C2354" s="20" t="s">
        <v>9841</v>
      </c>
      <c r="D2354" s="20" t="s">
        <v>5539</v>
      </c>
      <c r="E2354" s="20" t="s">
        <v>125</v>
      </c>
      <c r="F2354" s="20" t="s">
        <v>11431</v>
      </c>
      <c r="G2354" s="20" t="s">
        <v>11851</v>
      </c>
      <c r="H2354" s="20"/>
      <c r="I2354" s="20" t="s">
        <v>11851</v>
      </c>
      <c r="J2354" s="22"/>
      <c r="K2354" s="20" t="s">
        <v>11851</v>
      </c>
      <c r="L2354" s="42">
        <v>45271</v>
      </c>
      <c r="M2354" s="22"/>
      <c r="N2354" s="20">
        <v>2023</v>
      </c>
      <c r="O2354" s="20" t="s">
        <v>11802</v>
      </c>
      <c r="P2354" s="20" t="s">
        <v>53</v>
      </c>
      <c r="Q2354" s="20" t="s">
        <v>53</v>
      </c>
      <c r="R2354" s="20"/>
      <c r="S2354" s="20" t="s">
        <v>11852</v>
      </c>
      <c r="T2354" s="20"/>
      <c r="U2354" s="20"/>
      <c r="V2354" s="20"/>
      <c r="W2354" s="20"/>
      <c r="X2354" s="20"/>
      <c r="Y2354" s="20"/>
      <c r="Z2354" s="20"/>
      <c r="AA2354" s="20"/>
      <c r="AB2354" s="20"/>
      <c r="AC2354" s="20" t="s">
        <v>11853</v>
      </c>
      <c r="AD2354" s="20" t="s">
        <v>11854</v>
      </c>
      <c r="AE2354" s="20"/>
      <c r="AF2354" s="20"/>
      <c r="AG2354" s="20"/>
      <c r="AH2354" s="20">
        <v>3140</v>
      </c>
      <c r="AI2354" s="20" t="s">
        <v>77</v>
      </c>
      <c r="AJ2354" s="20" t="s">
        <v>301</v>
      </c>
      <c r="AK2354" s="23" t="str">
        <f t="shared" si="18"/>
        <v>2023GBP</v>
      </c>
      <c r="AL2354" s="23">
        <f>VLOOKUP(AK2354, Exchange_rates!$C:$D, 2, FALSE)</f>
        <v>1</v>
      </c>
      <c r="AM2354" s="26">
        <f t="shared" si="19"/>
        <v>3768</v>
      </c>
      <c r="AN2354" s="20" t="s">
        <v>83</v>
      </c>
      <c r="AO2354" s="20" t="s">
        <v>11851</v>
      </c>
      <c r="AP2354" s="20"/>
      <c r="AQ2354" s="27" t="s">
        <v>125</v>
      </c>
      <c r="AR2354" t="s">
        <v>9843</v>
      </c>
      <c r="AS2354" s="16"/>
      <c r="AT2354" s="20"/>
      <c r="AU2354" s="20"/>
      <c r="AV2354" s="20"/>
      <c r="AW2354" s="20"/>
      <c r="AX2354" s="20"/>
      <c r="AY2354" s="20"/>
      <c r="AZ2354" s="20"/>
      <c r="BA2354" s="20"/>
      <c r="BB2354" s="20"/>
      <c r="BC2354" s="20"/>
      <c r="BD2354" s="20"/>
      <c r="BE2354" s="20"/>
      <c r="BF2354" s="20"/>
      <c r="BG2354" s="20"/>
      <c r="BH2354" s="20"/>
    </row>
    <row r="2355" spans="1:60" ht="14.5" hidden="1">
      <c r="A2355" s="9" t="s">
        <v>11855</v>
      </c>
      <c r="B2355" s="9"/>
      <c r="C2355" s="9" t="s">
        <v>5834</v>
      </c>
      <c r="D2355" s="20" t="s">
        <v>5539</v>
      </c>
      <c r="E2355" s="20" t="s">
        <v>125</v>
      </c>
      <c r="F2355" s="20" t="s">
        <v>11431</v>
      </c>
      <c r="G2355" s="20" t="s">
        <v>11851</v>
      </c>
      <c r="H2355" s="9"/>
      <c r="I2355" s="20" t="s">
        <v>11851</v>
      </c>
      <c r="J2355" s="10"/>
      <c r="K2355" s="20" t="s">
        <v>11851</v>
      </c>
      <c r="L2355" s="28">
        <v>45253</v>
      </c>
      <c r="M2355" s="10"/>
      <c r="N2355" s="9">
        <v>2023</v>
      </c>
      <c r="O2355" s="9" t="s">
        <v>11856</v>
      </c>
      <c r="P2355" s="9" t="s">
        <v>53</v>
      </c>
      <c r="Q2355" s="9" t="s">
        <v>53</v>
      </c>
      <c r="S2355" s="9" t="s">
        <v>11857</v>
      </c>
      <c r="T2355" s="9"/>
      <c r="V2355" s="9"/>
      <c r="AC2355" s="9" t="s">
        <v>11858</v>
      </c>
      <c r="AD2355" s="9" t="s">
        <v>11859</v>
      </c>
      <c r="AH2355" s="9">
        <v>1750.5</v>
      </c>
      <c r="AI2355" s="9" t="s">
        <v>77</v>
      </c>
      <c r="AJ2355" s="9" t="s">
        <v>301</v>
      </c>
      <c r="AK2355" s="23" t="str">
        <f t="shared" si="18"/>
        <v>2023GBP</v>
      </c>
      <c r="AL2355" s="23">
        <f>VLOOKUP(AK2355, Exchange_rates!$C:$D, 2, FALSE)</f>
        <v>1</v>
      </c>
      <c r="AM2355" s="26">
        <f t="shared" si="19"/>
        <v>2100.6</v>
      </c>
      <c r="AN2355" s="9" t="s">
        <v>83</v>
      </c>
      <c r="AO2355" s="9" t="s">
        <v>11851</v>
      </c>
      <c r="AP2355" s="20"/>
      <c r="AQ2355" s="27" t="s">
        <v>125</v>
      </c>
      <c r="AR2355" t="s">
        <v>5839</v>
      </c>
      <c r="AS2355" s="16"/>
    </row>
    <row r="2356" spans="1:60" ht="14.5">
      <c r="A2356" s="9" t="s">
        <v>11860</v>
      </c>
      <c r="B2356" s="9" t="s">
        <v>11861</v>
      </c>
      <c r="C2356" s="9" t="s">
        <v>6094</v>
      </c>
      <c r="D2356" s="20" t="s">
        <v>5539</v>
      </c>
      <c r="E2356" s="20" t="s">
        <v>125</v>
      </c>
      <c r="F2356" s="20" t="s">
        <v>69</v>
      </c>
      <c r="G2356" s="20" t="s">
        <v>70</v>
      </c>
      <c r="H2356" s="9" t="s">
        <v>9873</v>
      </c>
      <c r="I2356" s="20" t="s">
        <v>72</v>
      </c>
      <c r="J2356" s="10"/>
      <c r="K2356" s="20"/>
      <c r="L2356" s="28">
        <v>45253</v>
      </c>
      <c r="M2356" s="10">
        <v>45395</v>
      </c>
      <c r="N2356" s="9">
        <v>2023</v>
      </c>
      <c r="O2356" s="9" t="s">
        <v>11856</v>
      </c>
      <c r="P2356" s="9" t="s">
        <v>53</v>
      </c>
      <c r="Q2356" s="9" t="s">
        <v>53</v>
      </c>
      <c r="R2356" s="9" t="s">
        <v>11862</v>
      </c>
      <c r="S2356" s="9" t="s">
        <v>11857</v>
      </c>
      <c r="T2356" s="9"/>
      <c r="V2356" s="9"/>
      <c r="AC2356" s="9" t="s">
        <v>11863</v>
      </c>
      <c r="AD2356" s="9" t="s">
        <v>11864</v>
      </c>
      <c r="AH2356" s="9">
        <v>2420</v>
      </c>
      <c r="AI2356" s="9" t="s">
        <v>77</v>
      </c>
      <c r="AJ2356" s="9" t="s">
        <v>301</v>
      </c>
      <c r="AK2356" s="23" t="str">
        <f t="shared" si="18"/>
        <v>2023GBP</v>
      </c>
      <c r="AL2356" s="23">
        <f>VLOOKUP(AK2356, Exchange_rates!$C:$D, 2, FALSE)</f>
        <v>1</v>
      </c>
      <c r="AM2356" s="26">
        <f t="shared" si="19"/>
        <v>2904</v>
      </c>
      <c r="AN2356" s="9"/>
      <c r="AO2356" s="9"/>
      <c r="AP2356" s="20"/>
      <c r="AQ2356" s="27" t="s">
        <v>125</v>
      </c>
      <c r="AR2356" t="s">
        <v>6096</v>
      </c>
      <c r="AS2356" s="16"/>
    </row>
    <row r="2357" spans="1:60" ht="14.5" hidden="1">
      <c r="A2357" s="9" t="s">
        <v>11865</v>
      </c>
      <c r="B2357" s="9"/>
      <c r="C2357" s="9" t="s">
        <v>11210</v>
      </c>
      <c r="D2357" s="20" t="s">
        <v>5539</v>
      </c>
      <c r="E2357" s="20" t="s">
        <v>125</v>
      </c>
      <c r="F2357" s="20" t="s">
        <v>11851</v>
      </c>
      <c r="G2357" s="20" t="s">
        <v>11851</v>
      </c>
      <c r="H2357" s="9"/>
      <c r="I2357" s="20" t="s">
        <v>11851</v>
      </c>
      <c r="J2357" s="10"/>
      <c r="K2357" s="20" t="s">
        <v>11851</v>
      </c>
      <c r="L2357" s="28">
        <v>45250</v>
      </c>
      <c r="M2357" s="10"/>
      <c r="N2357" s="9">
        <v>2023</v>
      </c>
      <c r="O2357" s="9" t="s">
        <v>11856</v>
      </c>
      <c r="P2357" s="9" t="s">
        <v>53</v>
      </c>
      <c r="Q2357" s="9" t="s">
        <v>53</v>
      </c>
      <c r="S2357" s="9" t="s">
        <v>11866</v>
      </c>
      <c r="T2357" s="9"/>
      <c r="V2357" s="9"/>
      <c r="AC2357" s="9" t="s">
        <v>11867</v>
      </c>
      <c r="AD2357" s="9" t="s">
        <v>11868</v>
      </c>
      <c r="AH2357" s="9">
        <v>1838.75</v>
      </c>
      <c r="AI2357" s="9" t="s">
        <v>77</v>
      </c>
      <c r="AJ2357" s="9" t="s">
        <v>301</v>
      </c>
      <c r="AK2357" s="23" t="str">
        <f t="shared" si="18"/>
        <v>2023GBP</v>
      </c>
      <c r="AL2357" s="23">
        <f>VLOOKUP(AK2357, Exchange_rates!$C:$D, 2, FALSE)</f>
        <v>1</v>
      </c>
      <c r="AM2357" s="26">
        <f t="shared" si="19"/>
        <v>2206.5</v>
      </c>
      <c r="AN2357" s="9" t="s">
        <v>83</v>
      </c>
      <c r="AO2357" s="9" t="s">
        <v>11851</v>
      </c>
      <c r="AP2357" s="20"/>
      <c r="AQ2357" s="27" t="s">
        <v>125</v>
      </c>
      <c r="AR2357" t="s">
        <v>5806</v>
      </c>
      <c r="AS2357" s="16"/>
    </row>
    <row r="2358" spans="1:60" ht="14.5">
      <c r="A2358" s="9" t="s">
        <v>11869</v>
      </c>
      <c r="B2358" s="9" t="s">
        <v>11870</v>
      </c>
      <c r="C2358" s="9" t="s">
        <v>6094</v>
      </c>
      <c r="D2358" s="20" t="s">
        <v>5539</v>
      </c>
      <c r="E2358" s="20" t="s">
        <v>125</v>
      </c>
      <c r="F2358" s="20" t="s">
        <v>69</v>
      </c>
      <c r="G2358" s="20" t="s">
        <v>70</v>
      </c>
      <c r="H2358" s="9" t="s">
        <v>9873</v>
      </c>
      <c r="I2358" s="20" t="s">
        <v>72</v>
      </c>
      <c r="J2358" s="10"/>
      <c r="K2358" s="22">
        <v>45314</v>
      </c>
      <c r="L2358" s="28">
        <v>45243</v>
      </c>
      <c r="M2358" s="10">
        <v>45329</v>
      </c>
      <c r="N2358" s="9">
        <v>2023</v>
      </c>
      <c r="O2358" s="9" t="s">
        <v>11856</v>
      </c>
      <c r="P2358" s="9" t="s">
        <v>53</v>
      </c>
      <c r="Q2358" s="9" t="s">
        <v>53</v>
      </c>
      <c r="R2358" s="9" t="s">
        <v>11871</v>
      </c>
      <c r="S2358" s="9" t="s">
        <v>11857</v>
      </c>
      <c r="T2358" s="9"/>
      <c r="V2358" s="9"/>
      <c r="AC2358" s="9" t="s">
        <v>11872</v>
      </c>
      <c r="AD2358" s="9" t="s">
        <v>11873</v>
      </c>
      <c r="AH2358" s="9">
        <v>2420</v>
      </c>
      <c r="AI2358" s="9" t="s">
        <v>77</v>
      </c>
      <c r="AJ2358" s="9" t="s">
        <v>301</v>
      </c>
      <c r="AK2358" s="23" t="str">
        <f t="shared" si="18"/>
        <v>2023GBP</v>
      </c>
      <c r="AL2358" s="23">
        <f>VLOOKUP(AK2358, Exchange_rates!$C:$D, 2, FALSE)</f>
        <v>1</v>
      </c>
      <c r="AM2358" s="26">
        <f t="shared" si="19"/>
        <v>2904</v>
      </c>
      <c r="AN2358" s="9"/>
      <c r="AO2358" s="9"/>
      <c r="AP2358" s="20"/>
      <c r="AQ2358" s="27" t="s">
        <v>125</v>
      </c>
      <c r="AR2358" t="s">
        <v>6096</v>
      </c>
      <c r="AS2358" s="16"/>
    </row>
    <row r="2359" spans="1:60" ht="14.5">
      <c r="A2359" s="9" t="s">
        <v>11874</v>
      </c>
      <c r="B2359" s="9" t="s">
        <v>11875</v>
      </c>
      <c r="C2359" s="9" t="s">
        <v>9841</v>
      </c>
      <c r="D2359" s="20" t="s">
        <v>5539</v>
      </c>
      <c r="E2359" s="20" t="s">
        <v>125</v>
      </c>
      <c r="F2359" s="20" t="s">
        <v>69</v>
      </c>
      <c r="G2359" s="20" t="s">
        <v>70</v>
      </c>
      <c r="H2359" s="9" t="s">
        <v>9873</v>
      </c>
      <c r="I2359" s="20" t="s">
        <v>72</v>
      </c>
      <c r="J2359" s="10"/>
      <c r="K2359" s="22">
        <v>45327</v>
      </c>
      <c r="L2359" s="10">
        <v>45231</v>
      </c>
      <c r="M2359" s="10">
        <v>45342</v>
      </c>
      <c r="N2359" s="9">
        <v>2023</v>
      </c>
      <c r="O2359" s="9" t="s">
        <v>11856</v>
      </c>
      <c r="P2359" s="9" t="s">
        <v>53</v>
      </c>
      <c r="Q2359" s="9" t="s">
        <v>53</v>
      </c>
      <c r="R2359" s="9" t="s">
        <v>11876</v>
      </c>
      <c r="S2359" s="9" t="s">
        <v>11857</v>
      </c>
      <c r="T2359" s="9"/>
      <c r="V2359" s="9"/>
      <c r="AC2359" s="9" t="s">
        <v>2026</v>
      </c>
      <c r="AD2359" s="9" t="s">
        <v>2027</v>
      </c>
      <c r="AH2359" s="9">
        <v>3140</v>
      </c>
      <c r="AI2359" s="9" t="s">
        <v>77</v>
      </c>
      <c r="AJ2359" s="9" t="s">
        <v>301</v>
      </c>
      <c r="AK2359" s="23" t="str">
        <f t="shared" si="18"/>
        <v>2023GBP</v>
      </c>
      <c r="AL2359" s="23">
        <f>VLOOKUP(AK2359, Exchange_rates!$C:$D, 2, FALSE)</f>
        <v>1</v>
      </c>
      <c r="AM2359" s="26">
        <f t="shared" si="19"/>
        <v>3768</v>
      </c>
      <c r="AN2359" s="9"/>
      <c r="AO2359" s="9"/>
      <c r="AP2359" s="20"/>
      <c r="AQ2359" s="27" t="s">
        <v>125</v>
      </c>
      <c r="AR2359" t="s">
        <v>9843</v>
      </c>
      <c r="AS2359" s="16"/>
    </row>
    <row r="2360" spans="1:60" ht="14.5">
      <c r="A2360" s="9" t="s">
        <v>11877</v>
      </c>
      <c r="B2360" s="9" t="s">
        <v>11878</v>
      </c>
      <c r="C2360" s="9" t="s">
        <v>11194</v>
      </c>
      <c r="D2360" s="20" t="s">
        <v>5539</v>
      </c>
      <c r="E2360" s="20" t="s">
        <v>125</v>
      </c>
      <c r="F2360" s="20" t="s">
        <v>69</v>
      </c>
      <c r="G2360" s="20" t="s">
        <v>70</v>
      </c>
      <c r="H2360" s="9" t="s">
        <v>9873</v>
      </c>
      <c r="I2360" s="20" t="s">
        <v>72</v>
      </c>
      <c r="J2360" s="10"/>
      <c r="K2360" s="22">
        <v>45311</v>
      </c>
      <c r="L2360" s="28">
        <v>45210</v>
      </c>
      <c r="M2360" s="10">
        <v>45335</v>
      </c>
      <c r="N2360" s="9">
        <v>2023</v>
      </c>
      <c r="O2360" s="9" t="s">
        <v>11856</v>
      </c>
      <c r="P2360" s="9" t="s">
        <v>53</v>
      </c>
      <c r="Q2360" s="9" t="s">
        <v>53</v>
      </c>
      <c r="R2360" s="9" t="s">
        <v>11879</v>
      </c>
      <c r="S2360" s="9" t="s">
        <v>11857</v>
      </c>
      <c r="T2360" s="9"/>
      <c r="V2360" s="9"/>
      <c r="AC2360" s="9" t="s">
        <v>2129</v>
      </c>
      <c r="AD2360" s="9" t="s">
        <v>2130</v>
      </c>
      <c r="AH2360" s="9">
        <v>1692</v>
      </c>
      <c r="AI2360" s="9" t="s">
        <v>77</v>
      </c>
      <c r="AJ2360" s="9" t="s">
        <v>301</v>
      </c>
      <c r="AK2360" s="23" t="str">
        <f t="shared" si="18"/>
        <v>2023GBP</v>
      </c>
      <c r="AL2360" s="23">
        <f>VLOOKUP(AK2360, Exchange_rates!$C:$D, 2, FALSE)</f>
        <v>1</v>
      </c>
      <c r="AM2360" s="26">
        <f t="shared" si="19"/>
        <v>2030.3999999999999</v>
      </c>
      <c r="AN2360" s="9"/>
      <c r="AO2360" s="9"/>
      <c r="AP2360" s="20"/>
      <c r="AQ2360" s="27" t="s">
        <v>125</v>
      </c>
      <c r="AR2360" t="s">
        <v>11196</v>
      </c>
      <c r="AS2360" s="16"/>
    </row>
    <row r="2361" spans="1:60" ht="14.5">
      <c r="A2361" s="9" t="s">
        <v>11880</v>
      </c>
      <c r="B2361" s="9" t="s">
        <v>11881</v>
      </c>
      <c r="C2361" s="9" t="s">
        <v>9841</v>
      </c>
      <c r="D2361" s="20" t="s">
        <v>5539</v>
      </c>
      <c r="E2361" s="20" t="s">
        <v>125</v>
      </c>
      <c r="F2361" s="20" t="s">
        <v>69</v>
      </c>
      <c r="G2361" s="20" t="s">
        <v>70</v>
      </c>
      <c r="H2361" s="9" t="s">
        <v>9873</v>
      </c>
      <c r="I2361" s="20" t="s">
        <v>72</v>
      </c>
      <c r="J2361" s="10"/>
      <c r="K2361" s="22">
        <v>45399</v>
      </c>
      <c r="L2361" s="28">
        <v>45210</v>
      </c>
      <c r="M2361" s="10">
        <v>45420</v>
      </c>
      <c r="N2361" s="9">
        <v>2023</v>
      </c>
      <c r="O2361" s="9" t="s">
        <v>11856</v>
      </c>
      <c r="P2361" s="9" t="s">
        <v>53</v>
      </c>
      <c r="Q2361" s="9" t="s">
        <v>53</v>
      </c>
      <c r="R2361" s="9" t="s">
        <v>11882</v>
      </c>
      <c r="S2361" s="9" t="s">
        <v>11857</v>
      </c>
      <c r="T2361" s="9"/>
      <c r="V2361" s="9"/>
      <c r="AC2361" s="9" t="s">
        <v>11883</v>
      </c>
      <c r="AD2361" s="9" t="s">
        <v>11884</v>
      </c>
      <c r="AH2361" s="9">
        <v>3140</v>
      </c>
      <c r="AI2361" s="9" t="s">
        <v>77</v>
      </c>
      <c r="AJ2361" s="9" t="s">
        <v>301</v>
      </c>
      <c r="AK2361" s="23" t="str">
        <f t="shared" si="18"/>
        <v>2023GBP</v>
      </c>
      <c r="AL2361" s="23">
        <f>VLOOKUP(AK2361, Exchange_rates!$C:$D, 2, FALSE)</f>
        <v>1</v>
      </c>
      <c r="AM2361" s="26">
        <f t="shared" si="19"/>
        <v>3768</v>
      </c>
      <c r="AN2361" s="9"/>
      <c r="AO2361" s="9"/>
      <c r="AP2361" s="20"/>
      <c r="AQ2361" s="27" t="s">
        <v>125</v>
      </c>
      <c r="AR2361" t="s">
        <v>9843</v>
      </c>
      <c r="AS2361" s="16"/>
    </row>
    <row r="2362" spans="1:60" ht="14.5">
      <c r="A2362" s="9" t="s">
        <v>11885</v>
      </c>
      <c r="B2362" s="9" t="s">
        <v>11886</v>
      </c>
      <c r="C2362" s="9" t="s">
        <v>6094</v>
      </c>
      <c r="D2362" s="20" t="s">
        <v>5539</v>
      </c>
      <c r="E2362" s="20" t="s">
        <v>125</v>
      </c>
      <c r="F2362" s="20" t="s">
        <v>69</v>
      </c>
      <c r="G2362" s="20" t="s">
        <v>70</v>
      </c>
      <c r="H2362" s="9" t="s">
        <v>9873</v>
      </c>
      <c r="I2362" s="20" t="s">
        <v>72</v>
      </c>
      <c r="J2362" s="10"/>
      <c r="K2362" s="22">
        <v>45332</v>
      </c>
      <c r="L2362" s="10">
        <v>45203</v>
      </c>
      <c r="M2362" s="10">
        <v>45345</v>
      </c>
      <c r="N2362" s="9">
        <v>2023</v>
      </c>
      <c r="O2362" s="9" t="s">
        <v>11856</v>
      </c>
      <c r="P2362" s="9" t="s">
        <v>53</v>
      </c>
      <c r="Q2362" s="9" t="s">
        <v>53</v>
      </c>
      <c r="R2362" s="9" t="s">
        <v>11887</v>
      </c>
      <c r="S2362" s="9" t="s">
        <v>11888</v>
      </c>
      <c r="T2362" s="9"/>
      <c r="V2362" s="9"/>
      <c r="AC2362" s="9" t="s">
        <v>11889</v>
      </c>
      <c r="AD2362" s="9" t="s">
        <v>11890</v>
      </c>
      <c r="AH2362" s="9">
        <v>2420</v>
      </c>
      <c r="AI2362" s="9" t="s">
        <v>77</v>
      </c>
      <c r="AJ2362" s="9" t="s">
        <v>301</v>
      </c>
      <c r="AK2362" s="23" t="str">
        <f t="shared" si="18"/>
        <v>2023GBP</v>
      </c>
      <c r="AL2362" s="23">
        <f>VLOOKUP(AK2362, Exchange_rates!$C:$D, 2, FALSE)</f>
        <v>1</v>
      </c>
      <c r="AM2362" s="26">
        <f t="shared" si="19"/>
        <v>2904</v>
      </c>
      <c r="AN2362" s="9"/>
      <c r="AO2362" s="9"/>
      <c r="AP2362" s="20"/>
      <c r="AQ2362" s="27" t="s">
        <v>125</v>
      </c>
      <c r="AR2362" t="s">
        <v>6096</v>
      </c>
      <c r="AS2362" s="16"/>
    </row>
    <row r="2363" spans="1:60" ht="14.5" hidden="1">
      <c r="A2363" s="9" t="s">
        <v>11891</v>
      </c>
      <c r="B2363" s="9"/>
      <c r="C2363" s="9" t="s">
        <v>9705</v>
      </c>
      <c r="D2363" s="20" t="s">
        <v>5539</v>
      </c>
      <c r="E2363" s="20" t="s">
        <v>125</v>
      </c>
      <c r="F2363" s="20" t="s">
        <v>11851</v>
      </c>
      <c r="G2363" s="20" t="s">
        <v>11851</v>
      </c>
      <c r="H2363" s="9"/>
      <c r="I2363" s="20" t="s">
        <v>11851</v>
      </c>
      <c r="J2363" s="10"/>
      <c r="K2363" s="20" t="s">
        <v>11851</v>
      </c>
      <c r="L2363" s="10"/>
      <c r="M2363" s="10"/>
      <c r="N2363" s="9">
        <v>2023</v>
      </c>
      <c r="O2363" s="9" t="s">
        <v>11856</v>
      </c>
      <c r="P2363" s="9" t="s">
        <v>83</v>
      </c>
      <c r="Q2363" s="9" t="s">
        <v>53</v>
      </c>
      <c r="R2363" s="9" t="s">
        <v>11892</v>
      </c>
      <c r="S2363" s="9" t="s">
        <v>11893</v>
      </c>
      <c r="T2363" s="9"/>
      <c r="V2363" s="9"/>
      <c r="AC2363" s="9" t="s">
        <v>11894</v>
      </c>
      <c r="AD2363" s="9" t="s">
        <v>11895</v>
      </c>
      <c r="AH2363" s="9">
        <v>2200</v>
      </c>
      <c r="AI2363" s="9" t="s">
        <v>77</v>
      </c>
      <c r="AJ2363" s="9" t="s">
        <v>301</v>
      </c>
      <c r="AK2363" s="23" t="str">
        <f t="shared" si="18"/>
        <v>2023GBP</v>
      </c>
      <c r="AL2363" s="23">
        <f>VLOOKUP(AK2363, Exchange_rates!$C:$D, 2, FALSE)</f>
        <v>1</v>
      </c>
      <c r="AM2363" s="26">
        <f t="shared" si="19"/>
        <v>2640</v>
      </c>
      <c r="AN2363" s="9" t="s">
        <v>83</v>
      </c>
      <c r="AO2363" s="9" t="s">
        <v>11851</v>
      </c>
      <c r="AP2363" s="20"/>
      <c r="AQ2363" s="27" t="s">
        <v>125</v>
      </c>
      <c r="AR2363" t="s">
        <v>9706</v>
      </c>
      <c r="AS2363" s="16"/>
    </row>
    <row r="2364" spans="1:60" ht="14.5" hidden="1">
      <c r="A2364" s="9" t="s">
        <v>11896</v>
      </c>
      <c r="B2364" s="9"/>
      <c r="C2364" s="9" t="s">
        <v>6026</v>
      </c>
      <c r="D2364" s="20" t="s">
        <v>5539</v>
      </c>
      <c r="E2364" s="20" t="s">
        <v>125</v>
      </c>
      <c r="F2364" s="20" t="s">
        <v>11851</v>
      </c>
      <c r="G2364" s="20" t="s">
        <v>11851</v>
      </c>
      <c r="H2364" s="9"/>
      <c r="I2364" s="20" t="s">
        <v>11851</v>
      </c>
      <c r="J2364" s="10"/>
      <c r="K2364" s="20" t="s">
        <v>11851</v>
      </c>
      <c r="L2364" s="10"/>
      <c r="M2364" s="10"/>
      <c r="N2364" s="9">
        <v>2023</v>
      </c>
      <c r="O2364" s="9" t="s">
        <v>11856</v>
      </c>
      <c r="P2364" s="9" t="s">
        <v>53</v>
      </c>
      <c r="Q2364" s="9" t="s">
        <v>53</v>
      </c>
      <c r="S2364" s="9" t="s">
        <v>11893</v>
      </c>
      <c r="T2364" s="9"/>
      <c r="V2364" s="9"/>
      <c r="AC2364" s="9" t="s">
        <v>11897</v>
      </c>
      <c r="AD2364" s="9" t="s">
        <v>11898</v>
      </c>
      <c r="AH2364" s="9">
        <v>1680.43</v>
      </c>
      <c r="AI2364" s="9" t="s">
        <v>77</v>
      </c>
      <c r="AJ2364" s="9" t="s">
        <v>301</v>
      </c>
      <c r="AK2364" s="23" t="str">
        <f t="shared" si="18"/>
        <v>2023GBP</v>
      </c>
      <c r="AL2364" s="23">
        <f>VLOOKUP(AK2364, Exchange_rates!$C:$D, 2, FALSE)</f>
        <v>1</v>
      </c>
      <c r="AM2364" s="26">
        <f t="shared" si="19"/>
        <v>2016.5160000000001</v>
      </c>
      <c r="AN2364" s="9" t="s">
        <v>83</v>
      </c>
      <c r="AO2364" s="9" t="s">
        <v>11851</v>
      </c>
      <c r="AP2364" s="20"/>
      <c r="AQ2364" s="27" t="s">
        <v>125</v>
      </c>
      <c r="AR2364" t="s">
        <v>6031</v>
      </c>
      <c r="AS2364" s="16"/>
    </row>
    <row r="2365" spans="1:60" ht="14.5" hidden="1">
      <c r="A2365" s="9" t="s">
        <v>11899</v>
      </c>
      <c r="B2365" s="9"/>
      <c r="C2365" s="9" t="s">
        <v>11900</v>
      </c>
      <c r="D2365" s="20" t="s">
        <v>5539</v>
      </c>
      <c r="E2365" s="20" t="s">
        <v>125</v>
      </c>
      <c r="F2365" s="20" t="s">
        <v>11851</v>
      </c>
      <c r="G2365" s="20" t="s">
        <v>11851</v>
      </c>
      <c r="H2365" s="9"/>
      <c r="I2365" s="20" t="s">
        <v>11851</v>
      </c>
      <c r="J2365" s="10"/>
      <c r="K2365" s="20" t="s">
        <v>11851</v>
      </c>
      <c r="L2365" s="10">
        <v>45111</v>
      </c>
      <c r="M2365" s="10"/>
      <c r="N2365" s="9">
        <v>2023</v>
      </c>
      <c r="O2365" s="9" t="s">
        <v>11856</v>
      </c>
      <c r="P2365" s="9" t="s">
        <v>53</v>
      </c>
      <c r="Q2365" s="9" t="s">
        <v>53</v>
      </c>
      <c r="R2365" s="9" t="s">
        <v>3705</v>
      </c>
      <c r="S2365" s="9" t="s">
        <v>11893</v>
      </c>
      <c r="T2365" s="9"/>
      <c r="V2365" s="9"/>
      <c r="AC2365" s="9" t="s">
        <v>11901</v>
      </c>
      <c r="AD2365" s="9" t="s">
        <v>11902</v>
      </c>
      <c r="AH2365" s="9">
        <v>534.5</v>
      </c>
      <c r="AI2365" s="9" t="s">
        <v>77</v>
      </c>
      <c r="AJ2365" s="9" t="s">
        <v>301</v>
      </c>
      <c r="AK2365" s="23" t="str">
        <f t="shared" si="18"/>
        <v>2023GBP</v>
      </c>
      <c r="AL2365" s="23">
        <f>VLOOKUP(AK2365, Exchange_rates!$C:$D, 2, FALSE)</f>
        <v>1</v>
      </c>
      <c r="AM2365" s="26">
        <f t="shared" si="19"/>
        <v>641.4</v>
      </c>
      <c r="AN2365" s="9" t="s">
        <v>83</v>
      </c>
      <c r="AO2365" s="9" t="s">
        <v>11851</v>
      </c>
      <c r="AP2365" s="20"/>
      <c r="AQ2365" s="27" t="s">
        <v>125</v>
      </c>
      <c r="AR2365" t="s">
        <v>11903</v>
      </c>
      <c r="AS2365" s="16"/>
    </row>
    <row r="2366" spans="1:60" ht="14.5">
      <c r="A2366" s="9" t="s">
        <v>11904</v>
      </c>
      <c r="B2366" s="9" t="s">
        <v>11905</v>
      </c>
      <c r="C2366" s="9" t="s">
        <v>9841</v>
      </c>
      <c r="D2366" s="20" t="s">
        <v>5539</v>
      </c>
      <c r="E2366" s="20" t="s">
        <v>125</v>
      </c>
      <c r="F2366" s="20" t="s">
        <v>69</v>
      </c>
      <c r="G2366" s="20" t="s">
        <v>70</v>
      </c>
      <c r="H2366" s="9" t="s">
        <v>9873</v>
      </c>
      <c r="I2366" s="20" t="s">
        <v>72</v>
      </c>
      <c r="J2366" s="10"/>
      <c r="K2366" s="22">
        <v>45337</v>
      </c>
      <c r="L2366" s="10">
        <v>45043</v>
      </c>
      <c r="M2366" s="10">
        <v>45324</v>
      </c>
      <c r="N2366" s="9">
        <v>2023</v>
      </c>
      <c r="O2366" s="9" t="s">
        <v>11856</v>
      </c>
      <c r="P2366" s="9" t="s">
        <v>53</v>
      </c>
      <c r="Q2366" s="9" t="s">
        <v>53</v>
      </c>
      <c r="R2366" s="9" t="s">
        <v>11906</v>
      </c>
      <c r="S2366" s="9" t="s">
        <v>11857</v>
      </c>
      <c r="T2366" s="9"/>
      <c r="V2366" s="9"/>
      <c r="AC2366" s="9" t="s">
        <v>11907</v>
      </c>
      <c r="AD2366" s="9" t="s">
        <v>11908</v>
      </c>
      <c r="AH2366" s="9">
        <v>3140</v>
      </c>
      <c r="AI2366" s="9" t="s">
        <v>77</v>
      </c>
      <c r="AJ2366" s="9" t="s">
        <v>301</v>
      </c>
      <c r="AK2366" s="23" t="str">
        <f t="shared" si="18"/>
        <v>2023GBP</v>
      </c>
      <c r="AL2366" s="23">
        <f>VLOOKUP(AK2366, Exchange_rates!$C:$D, 2, FALSE)</f>
        <v>1</v>
      </c>
      <c r="AM2366" s="26">
        <f t="shared" si="19"/>
        <v>3768</v>
      </c>
      <c r="AN2366" s="9"/>
      <c r="AO2366" s="9"/>
      <c r="AP2366" s="20"/>
      <c r="AQ2366" s="27" t="s">
        <v>125</v>
      </c>
      <c r="AR2366" t="s">
        <v>9843</v>
      </c>
      <c r="AS2366" s="16"/>
    </row>
    <row r="2367" spans="1:60" ht="14.5" hidden="1">
      <c r="A2367" s="20" t="s">
        <v>11909</v>
      </c>
      <c r="B2367" s="20"/>
      <c r="C2367" s="20" t="s">
        <v>11910</v>
      </c>
      <c r="D2367" s="20" t="s">
        <v>5539</v>
      </c>
      <c r="E2367" s="20" t="s">
        <v>125</v>
      </c>
      <c r="F2367" s="20" t="s">
        <v>11851</v>
      </c>
      <c r="G2367" s="20" t="s">
        <v>11851</v>
      </c>
      <c r="H2367" s="20"/>
      <c r="I2367" s="20" t="s">
        <v>11851</v>
      </c>
      <c r="J2367" s="22"/>
      <c r="K2367" s="20" t="s">
        <v>11851</v>
      </c>
      <c r="L2367" s="22"/>
      <c r="M2367" s="22"/>
      <c r="N2367" s="20">
        <v>2023</v>
      </c>
      <c r="O2367" s="20" t="s">
        <v>11856</v>
      </c>
      <c r="P2367" s="20" t="s">
        <v>53</v>
      </c>
      <c r="Q2367" s="20" t="s">
        <v>53</v>
      </c>
      <c r="R2367" s="20"/>
      <c r="S2367" s="20" t="s">
        <v>11893</v>
      </c>
      <c r="T2367" s="20"/>
      <c r="U2367" s="20"/>
      <c r="V2367" s="20"/>
      <c r="W2367" s="20"/>
      <c r="X2367" s="20"/>
      <c r="Y2367" s="20"/>
      <c r="Z2367" s="20"/>
      <c r="AA2367" s="20"/>
      <c r="AB2367" s="20"/>
      <c r="AC2367" s="20" t="s">
        <v>11911</v>
      </c>
      <c r="AD2367" s="20" t="s">
        <v>11912</v>
      </c>
      <c r="AE2367" s="20"/>
      <c r="AF2367" s="20"/>
      <c r="AG2367" s="20"/>
      <c r="AH2367" s="20">
        <v>2260</v>
      </c>
      <c r="AI2367" s="20" t="s">
        <v>77</v>
      </c>
      <c r="AJ2367" s="20" t="s">
        <v>301</v>
      </c>
      <c r="AK2367" s="23" t="str">
        <f t="shared" si="18"/>
        <v>2023GBP</v>
      </c>
      <c r="AL2367" s="23">
        <f>VLOOKUP(AK2367, Exchange_rates!$C:$D, 2, FALSE)</f>
        <v>1</v>
      </c>
      <c r="AM2367" s="26">
        <f t="shared" si="19"/>
        <v>2712</v>
      </c>
      <c r="AN2367" s="20" t="s">
        <v>83</v>
      </c>
      <c r="AO2367" s="20" t="s">
        <v>11851</v>
      </c>
      <c r="AP2367" s="20"/>
      <c r="AQ2367" s="27" t="s">
        <v>125</v>
      </c>
      <c r="AR2367" t="s">
        <v>11913</v>
      </c>
      <c r="AS2367" s="16"/>
      <c r="AT2367" s="20"/>
      <c r="AU2367" s="20"/>
      <c r="AV2367" s="20"/>
      <c r="AW2367" s="20"/>
      <c r="AX2367" s="20"/>
      <c r="AY2367" s="20"/>
      <c r="AZ2367" s="20"/>
      <c r="BA2367" s="20"/>
      <c r="BB2367" s="20"/>
      <c r="BC2367" s="20"/>
      <c r="BD2367" s="20"/>
      <c r="BE2367" s="20"/>
      <c r="BF2367" s="20"/>
      <c r="BG2367" s="20"/>
      <c r="BH2367" s="20"/>
    </row>
    <row r="2368" spans="1:60" ht="14.5">
      <c r="A2368" s="9" t="s">
        <v>11914</v>
      </c>
      <c r="B2368" s="9" t="s">
        <v>11915</v>
      </c>
      <c r="C2368" s="9" t="s">
        <v>11916</v>
      </c>
      <c r="D2368" s="9" t="s">
        <v>2830</v>
      </c>
      <c r="E2368" s="20" t="s">
        <v>125</v>
      </c>
      <c r="F2368" s="9" t="s">
        <v>69</v>
      </c>
      <c r="G2368" s="9" t="s">
        <v>51</v>
      </c>
      <c r="H2368" s="9"/>
      <c r="I2368" s="9" t="s">
        <v>72</v>
      </c>
      <c r="J2368" s="10">
        <v>45148</v>
      </c>
      <c r="K2368" s="10">
        <v>45246</v>
      </c>
      <c r="L2368" s="10">
        <v>45251</v>
      </c>
      <c r="M2368" s="10">
        <v>45252</v>
      </c>
      <c r="N2368" s="9">
        <v>2023</v>
      </c>
      <c r="O2368" s="9" t="s">
        <v>11917</v>
      </c>
      <c r="P2368" s="9" t="s">
        <v>83</v>
      </c>
      <c r="Q2368" s="9" t="s">
        <v>53</v>
      </c>
      <c r="R2368" s="9" t="s">
        <v>117</v>
      </c>
      <c r="S2368" s="9"/>
      <c r="T2368" s="9" t="s">
        <v>279</v>
      </c>
      <c r="U2368" s="9" t="s">
        <v>11918</v>
      </c>
      <c r="V2368" s="9"/>
      <c r="AC2368" s="9" t="s">
        <v>11919</v>
      </c>
      <c r="AE2368" s="9" t="s">
        <v>11920</v>
      </c>
      <c r="AH2368" s="9">
        <v>1690</v>
      </c>
      <c r="AI2368" s="9" t="s">
        <v>77</v>
      </c>
      <c r="AJ2368" s="9" t="s">
        <v>301</v>
      </c>
      <c r="AK2368" s="23" t="str">
        <f t="shared" si="18"/>
        <v>2023GBP</v>
      </c>
      <c r="AL2368" s="23">
        <f>VLOOKUP(AK2368, Exchange_rates!$C:$D, 2, FALSE)</f>
        <v>1</v>
      </c>
      <c r="AM2368" s="26">
        <f t="shared" si="19"/>
        <v>2028</v>
      </c>
      <c r="AN2368" s="9"/>
      <c r="AO2368" s="9"/>
      <c r="AP2368" s="20"/>
      <c r="AQ2368" s="27" t="s">
        <v>125</v>
      </c>
      <c r="AR2368" t="s">
        <v>11921</v>
      </c>
      <c r="AS2368" s="16"/>
    </row>
    <row r="2369" spans="1:45" ht="14.5">
      <c r="A2369" s="9" t="s">
        <v>11922</v>
      </c>
      <c r="B2369" s="9" t="s">
        <v>11923</v>
      </c>
      <c r="C2369" s="9" t="s">
        <v>3438</v>
      </c>
      <c r="D2369" s="9" t="s">
        <v>2830</v>
      </c>
      <c r="E2369" s="9" t="s">
        <v>49</v>
      </c>
      <c r="F2369" s="9" t="s">
        <v>69</v>
      </c>
      <c r="G2369" s="9" t="s">
        <v>70</v>
      </c>
      <c r="H2369" s="9" t="s">
        <v>7116</v>
      </c>
      <c r="I2369" s="9" t="s">
        <v>72</v>
      </c>
      <c r="J2369" s="10"/>
      <c r="K2369" s="10">
        <v>45229</v>
      </c>
      <c r="L2369" s="10">
        <v>45250</v>
      </c>
      <c r="M2369" s="10">
        <v>45282</v>
      </c>
      <c r="N2369" s="9">
        <v>2023</v>
      </c>
      <c r="O2369" s="9" t="s">
        <v>11917</v>
      </c>
      <c r="P2369" s="9" t="s">
        <v>53</v>
      </c>
      <c r="Q2369" s="9" t="s">
        <v>53</v>
      </c>
      <c r="R2369" s="9" t="s">
        <v>11924</v>
      </c>
      <c r="S2369" s="9"/>
      <c r="T2369" s="9"/>
      <c r="V2369" s="9"/>
      <c r="AC2369" s="9" t="s">
        <v>11925</v>
      </c>
      <c r="AD2369" s="46" t="s">
        <v>11926</v>
      </c>
      <c r="AE2369" s="9" t="s">
        <v>11927</v>
      </c>
      <c r="AH2369" s="9">
        <v>2303.79</v>
      </c>
      <c r="AI2369" s="9" t="s">
        <v>1999</v>
      </c>
      <c r="AJ2369" s="9" t="s">
        <v>301</v>
      </c>
      <c r="AK2369" s="23" t="str">
        <f t="shared" si="18"/>
        <v>2023GBP</v>
      </c>
      <c r="AL2369" s="23">
        <f>VLOOKUP(AK2369, Exchange_rates!$C:$D, 2, FALSE)</f>
        <v>1</v>
      </c>
      <c r="AM2369" s="26">
        <f t="shared" si="19"/>
        <v>2764.5479999999998</v>
      </c>
      <c r="AN2369" s="9"/>
      <c r="AO2369" s="9"/>
      <c r="AP2369" s="9"/>
      <c r="AQ2369" s="15" t="s">
        <v>49</v>
      </c>
      <c r="AR2369" t="s">
        <v>3439</v>
      </c>
      <c r="AS2369" s="16"/>
    </row>
    <row r="2370" spans="1:45" ht="14.5">
      <c r="A2370" s="9" t="s">
        <v>11928</v>
      </c>
      <c r="B2370" s="9" t="s">
        <v>11929</v>
      </c>
      <c r="C2370" s="9" t="s">
        <v>2877</v>
      </c>
      <c r="D2370" s="9" t="s">
        <v>2830</v>
      </c>
      <c r="E2370" s="9" t="s">
        <v>49</v>
      </c>
      <c r="F2370" s="9" t="s">
        <v>69</v>
      </c>
      <c r="G2370" s="9" t="s">
        <v>70</v>
      </c>
      <c r="H2370" s="9" t="s">
        <v>7116</v>
      </c>
      <c r="I2370" s="9" t="s">
        <v>72</v>
      </c>
      <c r="J2370" s="10">
        <v>44591</v>
      </c>
      <c r="K2370" s="10">
        <v>45144</v>
      </c>
      <c r="L2370" s="10">
        <v>45162</v>
      </c>
      <c r="M2370" s="10">
        <v>45164</v>
      </c>
      <c r="N2370" s="9">
        <v>2023</v>
      </c>
      <c r="O2370" s="9" t="s">
        <v>11917</v>
      </c>
      <c r="P2370" s="9" t="s">
        <v>53</v>
      </c>
      <c r="Q2370" s="9" t="s">
        <v>53</v>
      </c>
      <c r="R2370" s="9" t="s">
        <v>5015</v>
      </c>
      <c r="S2370" s="9"/>
      <c r="T2370" s="9"/>
      <c r="V2370" s="9"/>
      <c r="AC2370" s="9" t="s">
        <v>6564</v>
      </c>
      <c r="AD2370" s="46" t="s">
        <v>11930</v>
      </c>
      <c r="AE2370" s="9" t="s">
        <v>11931</v>
      </c>
      <c r="AH2370" s="9">
        <v>2303.79</v>
      </c>
      <c r="AI2370" s="9" t="s">
        <v>1999</v>
      </c>
      <c r="AJ2370" s="9" t="s">
        <v>301</v>
      </c>
      <c r="AK2370" s="23" t="str">
        <f t="shared" si="18"/>
        <v>2023GBP</v>
      </c>
      <c r="AL2370" s="23">
        <f>VLOOKUP(AK2370, Exchange_rates!$C:$D, 2, FALSE)</f>
        <v>1</v>
      </c>
      <c r="AM2370" s="26">
        <f t="shared" si="19"/>
        <v>2764.5479999999998</v>
      </c>
      <c r="AN2370" s="9"/>
      <c r="AO2370" s="9"/>
      <c r="AP2370" s="9"/>
      <c r="AQ2370" s="15" t="s">
        <v>49</v>
      </c>
      <c r="AR2370" t="s">
        <v>2879</v>
      </c>
      <c r="AS2370" s="16"/>
    </row>
    <row r="2371" spans="1:45" ht="14.5">
      <c r="A2371" s="9" t="s">
        <v>11932</v>
      </c>
      <c r="B2371" s="9" t="s">
        <v>11933</v>
      </c>
      <c r="C2371" s="9" t="s">
        <v>2969</v>
      </c>
      <c r="D2371" s="9" t="s">
        <v>2830</v>
      </c>
      <c r="E2371" s="9" t="s">
        <v>49</v>
      </c>
      <c r="F2371" s="9" t="s">
        <v>69</v>
      </c>
      <c r="G2371" s="9" t="s">
        <v>70</v>
      </c>
      <c r="H2371" s="9" t="s">
        <v>7116</v>
      </c>
      <c r="I2371" s="9" t="s">
        <v>72</v>
      </c>
      <c r="J2371" s="10">
        <v>44910</v>
      </c>
      <c r="K2371" s="10">
        <v>45236</v>
      </c>
      <c r="L2371" s="10">
        <v>45264</v>
      </c>
      <c r="M2371" s="10">
        <v>45272</v>
      </c>
      <c r="N2371" s="9">
        <v>2023</v>
      </c>
      <c r="O2371" s="9" t="s">
        <v>11917</v>
      </c>
      <c r="P2371" s="9" t="s">
        <v>53</v>
      </c>
      <c r="Q2371" s="9" t="s">
        <v>53</v>
      </c>
      <c r="S2371" s="9"/>
      <c r="T2371" s="9"/>
      <c r="V2371" s="9"/>
      <c r="AC2371" s="9" t="s">
        <v>11934</v>
      </c>
      <c r="AD2371" s="46" t="s">
        <v>11935</v>
      </c>
      <c r="AE2371" s="9" t="s">
        <v>11936</v>
      </c>
      <c r="AH2371" s="9">
        <v>2303.79</v>
      </c>
      <c r="AI2371" s="9" t="s">
        <v>1999</v>
      </c>
      <c r="AJ2371" s="9" t="s">
        <v>301</v>
      </c>
      <c r="AK2371" s="23" t="str">
        <f t="shared" si="18"/>
        <v>2023GBP</v>
      </c>
      <c r="AL2371" s="23">
        <f>VLOOKUP(AK2371, Exchange_rates!$C:$D, 2, FALSE)</f>
        <v>1</v>
      </c>
      <c r="AM2371" s="26">
        <f t="shared" si="19"/>
        <v>2764.5479999999998</v>
      </c>
      <c r="AN2371" s="9"/>
      <c r="AO2371" s="9"/>
      <c r="AP2371" s="9"/>
      <c r="AQ2371" s="15" t="s">
        <v>49</v>
      </c>
      <c r="AR2371" t="s">
        <v>2970</v>
      </c>
      <c r="AS2371" s="16"/>
    </row>
    <row r="2372" spans="1:45" ht="14.5">
      <c r="A2372" s="9" t="s">
        <v>11937</v>
      </c>
      <c r="B2372" s="9" t="s">
        <v>11938</v>
      </c>
      <c r="C2372" s="9" t="s">
        <v>11939</v>
      </c>
      <c r="D2372" s="9" t="s">
        <v>2830</v>
      </c>
      <c r="E2372" s="20" t="s">
        <v>125</v>
      </c>
      <c r="F2372" s="9" t="s">
        <v>69</v>
      </c>
      <c r="G2372" s="9" t="s">
        <v>51</v>
      </c>
      <c r="H2372" s="9"/>
      <c r="I2372" s="9" t="s">
        <v>72</v>
      </c>
      <c r="J2372" s="10">
        <v>44911</v>
      </c>
      <c r="K2372" s="10">
        <v>45154</v>
      </c>
      <c r="L2372" s="10">
        <v>45167</v>
      </c>
      <c r="M2372" s="10">
        <v>45203</v>
      </c>
      <c r="N2372" s="9">
        <v>2023</v>
      </c>
      <c r="O2372" s="9" t="s">
        <v>11917</v>
      </c>
      <c r="P2372" s="9" t="s">
        <v>53</v>
      </c>
      <c r="Q2372" s="9" t="s">
        <v>53</v>
      </c>
      <c r="S2372" s="9"/>
      <c r="T2372" s="9" t="s">
        <v>279</v>
      </c>
      <c r="U2372" s="9" t="s">
        <v>11918</v>
      </c>
      <c r="V2372" s="9"/>
      <c r="AC2372" s="9" t="s">
        <v>11940</v>
      </c>
      <c r="AE2372" s="9" t="s">
        <v>11941</v>
      </c>
      <c r="AH2372" s="9">
        <v>1890</v>
      </c>
      <c r="AI2372" s="9" t="s">
        <v>77</v>
      </c>
      <c r="AJ2372" s="9" t="s">
        <v>301</v>
      </c>
      <c r="AK2372" s="23" t="str">
        <f t="shared" si="18"/>
        <v>2023GBP</v>
      </c>
      <c r="AL2372" s="23">
        <f>VLOOKUP(AK2372, Exchange_rates!$C:$D, 2, FALSE)</f>
        <v>1</v>
      </c>
      <c r="AM2372" s="26">
        <f t="shared" si="19"/>
        <v>2268</v>
      </c>
      <c r="AN2372" s="9"/>
      <c r="AO2372" s="9"/>
      <c r="AP2372" s="20"/>
      <c r="AQ2372" s="27" t="s">
        <v>125</v>
      </c>
      <c r="AR2372" t="s">
        <v>11942</v>
      </c>
      <c r="AS2372" s="16"/>
    </row>
    <row r="2373" spans="1:45" ht="14.5">
      <c r="A2373" s="9" t="s">
        <v>11943</v>
      </c>
      <c r="B2373" s="9" t="s">
        <v>11944</v>
      </c>
      <c r="C2373" s="9" t="s">
        <v>11916</v>
      </c>
      <c r="D2373" s="9" t="s">
        <v>2830</v>
      </c>
      <c r="E2373" s="20" t="s">
        <v>125</v>
      </c>
      <c r="F2373" s="9" t="s">
        <v>69</v>
      </c>
      <c r="G2373" s="9" t="s">
        <v>51</v>
      </c>
      <c r="H2373" s="9"/>
      <c r="I2373" s="9" t="s">
        <v>72</v>
      </c>
      <c r="J2373" s="10">
        <v>45100</v>
      </c>
      <c r="K2373" s="10">
        <v>45197</v>
      </c>
      <c r="L2373" s="10">
        <v>45203</v>
      </c>
      <c r="M2373" s="10">
        <v>45204</v>
      </c>
      <c r="N2373" s="9">
        <v>2023</v>
      </c>
      <c r="O2373" s="9" t="s">
        <v>11917</v>
      </c>
      <c r="P2373" s="9" t="s">
        <v>53</v>
      </c>
      <c r="Q2373" s="9" t="s">
        <v>83</v>
      </c>
      <c r="R2373" s="9" t="s">
        <v>11945</v>
      </c>
      <c r="S2373" s="9"/>
      <c r="T2373" s="9" t="s">
        <v>279</v>
      </c>
      <c r="U2373" s="9" t="s">
        <v>11918</v>
      </c>
      <c r="V2373" s="9"/>
      <c r="AC2373" s="9" t="s">
        <v>826</v>
      </c>
      <c r="AD2373" s="46" t="s">
        <v>11946</v>
      </c>
      <c r="AE2373" s="9" t="s">
        <v>11947</v>
      </c>
      <c r="AH2373" s="9">
        <v>1690</v>
      </c>
      <c r="AI2373" s="9" t="s">
        <v>77</v>
      </c>
      <c r="AJ2373" s="9" t="s">
        <v>301</v>
      </c>
      <c r="AK2373" s="23" t="str">
        <f t="shared" si="18"/>
        <v>2023GBP</v>
      </c>
      <c r="AL2373" s="23">
        <f>VLOOKUP(AK2373, Exchange_rates!$C:$D, 2, FALSE)</f>
        <v>1</v>
      </c>
      <c r="AM2373" s="26">
        <f t="shared" si="19"/>
        <v>2028</v>
      </c>
      <c r="AN2373" s="9"/>
      <c r="AO2373" s="9"/>
      <c r="AP2373" s="20"/>
      <c r="AQ2373" s="27" t="s">
        <v>125</v>
      </c>
      <c r="AR2373" t="s">
        <v>11921</v>
      </c>
      <c r="AS2373" s="16"/>
    </row>
    <row r="2374" spans="1:45" ht="14.5">
      <c r="A2374" s="9" t="s">
        <v>11948</v>
      </c>
      <c r="B2374" s="9" t="s">
        <v>11949</v>
      </c>
      <c r="C2374" s="9" t="s">
        <v>11950</v>
      </c>
      <c r="D2374" s="9" t="s">
        <v>2830</v>
      </c>
      <c r="E2374" s="20" t="s">
        <v>125</v>
      </c>
      <c r="F2374" s="9" t="s">
        <v>69</v>
      </c>
      <c r="G2374" s="9" t="s">
        <v>51</v>
      </c>
      <c r="H2374" s="9"/>
      <c r="I2374" s="9" t="s">
        <v>72</v>
      </c>
      <c r="J2374" s="10">
        <v>45014</v>
      </c>
      <c r="K2374" s="10">
        <v>45176</v>
      </c>
      <c r="L2374" s="10">
        <v>45208</v>
      </c>
      <c r="M2374" s="10">
        <v>45209</v>
      </c>
      <c r="N2374" s="9">
        <v>2023</v>
      </c>
      <c r="O2374" s="9" t="s">
        <v>11917</v>
      </c>
      <c r="P2374" s="9" t="s">
        <v>53</v>
      </c>
      <c r="Q2374" s="9" t="s">
        <v>53</v>
      </c>
      <c r="R2374" s="9" t="s">
        <v>2842</v>
      </c>
      <c r="S2374" s="9"/>
      <c r="T2374" s="9" t="s">
        <v>279</v>
      </c>
      <c r="U2374" s="9" t="s">
        <v>11918</v>
      </c>
      <c r="V2374" s="9"/>
      <c r="AC2374" s="9" t="s">
        <v>11951</v>
      </c>
      <c r="AE2374" s="9" t="s">
        <v>11952</v>
      </c>
      <c r="AH2374" s="9">
        <v>2090</v>
      </c>
      <c r="AI2374" s="9" t="s">
        <v>77</v>
      </c>
      <c r="AJ2374" s="9" t="s">
        <v>301</v>
      </c>
      <c r="AK2374" s="23" t="str">
        <f t="shared" si="18"/>
        <v>2023GBP</v>
      </c>
      <c r="AL2374" s="23">
        <f>VLOOKUP(AK2374, Exchange_rates!$C:$D, 2, FALSE)</f>
        <v>1</v>
      </c>
      <c r="AM2374" s="26">
        <f t="shared" si="19"/>
        <v>2508</v>
      </c>
      <c r="AN2374" s="9"/>
      <c r="AO2374" s="9"/>
      <c r="AP2374" s="20"/>
      <c r="AQ2374" s="27" t="s">
        <v>125</v>
      </c>
      <c r="AR2374" t="s">
        <v>11953</v>
      </c>
      <c r="AS2374" s="16"/>
    </row>
    <row r="2375" spans="1:45" ht="14.5">
      <c r="A2375" s="9" t="s">
        <v>11954</v>
      </c>
      <c r="B2375" s="9" t="s">
        <v>11955</v>
      </c>
      <c r="C2375" s="9" t="s">
        <v>3935</v>
      </c>
      <c r="D2375" s="9" t="s">
        <v>2830</v>
      </c>
      <c r="E2375" s="9" t="s">
        <v>49</v>
      </c>
      <c r="F2375" s="9" t="s">
        <v>69</v>
      </c>
      <c r="G2375" s="9" t="s">
        <v>70</v>
      </c>
      <c r="H2375" s="9" t="s">
        <v>7116</v>
      </c>
      <c r="I2375" s="9" t="s">
        <v>72</v>
      </c>
      <c r="J2375" s="10"/>
      <c r="K2375" s="10">
        <v>45111</v>
      </c>
      <c r="L2375" s="10">
        <v>45271</v>
      </c>
      <c r="M2375" s="10">
        <v>45274</v>
      </c>
      <c r="N2375" s="9">
        <v>2023</v>
      </c>
      <c r="O2375" s="9" t="s">
        <v>11917</v>
      </c>
      <c r="P2375" s="9" t="s">
        <v>53</v>
      </c>
      <c r="Q2375" s="9" t="s">
        <v>53</v>
      </c>
      <c r="S2375" s="9"/>
      <c r="T2375" s="9"/>
      <c r="V2375" s="9"/>
      <c r="AC2375" s="9" t="s">
        <v>604</v>
      </c>
      <c r="AE2375" s="9" t="s">
        <v>604</v>
      </c>
      <c r="AH2375" s="9">
        <v>2303.79</v>
      </c>
      <c r="AI2375" s="9" t="s">
        <v>1999</v>
      </c>
      <c r="AJ2375" s="9" t="s">
        <v>301</v>
      </c>
      <c r="AK2375" s="23" t="str">
        <f t="shared" si="18"/>
        <v>2023GBP</v>
      </c>
      <c r="AL2375" s="23">
        <f>VLOOKUP(AK2375, Exchange_rates!$C:$D, 2, FALSE)</f>
        <v>1</v>
      </c>
      <c r="AM2375" s="26">
        <f t="shared" si="19"/>
        <v>2764.5479999999998</v>
      </c>
      <c r="AN2375" s="9"/>
      <c r="AO2375" s="9"/>
      <c r="AP2375" s="9"/>
      <c r="AQ2375" s="15" t="s">
        <v>49</v>
      </c>
      <c r="AR2375" t="s">
        <v>3936</v>
      </c>
      <c r="AS2375" s="16"/>
    </row>
    <row r="2376" spans="1:45" ht="14.5">
      <c r="A2376" s="9" t="s">
        <v>11956</v>
      </c>
      <c r="B2376" s="9" t="s">
        <v>11957</v>
      </c>
      <c r="C2376" s="9" t="s">
        <v>4046</v>
      </c>
      <c r="D2376" s="9" t="s">
        <v>2830</v>
      </c>
      <c r="E2376" s="9" t="s">
        <v>49</v>
      </c>
      <c r="F2376" s="9" t="s">
        <v>69</v>
      </c>
      <c r="G2376" s="9" t="s">
        <v>70</v>
      </c>
      <c r="H2376" s="9" t="s">
        <v>7116</v>
      </c>
      <c r="I2376" s="9" t="s">
        <v>72</v>
      </c>
      <c r="J2376" s="10">
        <v>44614</v>
      </c>
      <c r="K2376" s="10">
        <v>45154</v>
      </c>
      <c r="L2376" s="10">
        <v>45173</v>
      </c>
      <c r="M2376" s="10">
        <v>45181</v>
      </c>
      <c r="N2376" s="9">
        <v>2023</v>
      </c>
      <c r="O2376" s="9" t="s">
        <v>11917</v>
      </c>
      <c r="P2376" s="9" t="s">
        <v>53</v>
      </c>
      <c r="Q2376" s="9" t="s">
        <v>53</v>
      </c>
      <c r="S2376" s="9"/>
      <c r="T2376" s="9"/>
      <c r="V2376" s="9"/>
      <c r="AC2376" s="9" t="s">
        <v>5160</v>
      </c>
      <c r="AD2376" s="46" t="s">
        <v>11958</v>
      </c>
      <c r="AE2376" s="9" t="s">
        <v>5160</v>
      </c>
      <c r="AH2376" s="9">
        <v>2303.79</v>
      </c>
      <c r="AI2376" s="9" t="s">
        <v>1999</v>
      </c>
      <c r="AJ2376" s="9" t="s">
        <v>301</v>
      </c>
      <c r="AK2376" s="23" t="str">
        <f t="shared" si="18"/>
        <v>2023GBP</v>
      </c>
      <c r="AL2376" s="23">
        <f>VLOOKUP(AK2376, Exchange_rates!$C:$D, 2, FALSE)</f>
        <v>1</v>
      </c>
      <c r="AM2376" s="26">
        <f t="shared" si="19"/>
        <v>2764.5479999999998</v>
      </c>
      <c r="AN2376" s="9"/>
      <c r="AO2376" s="9"/>
      <c r="AP2376" s="9"/>
      <c r="AQ2376" s="15" t="s">
        <v>49</v>
      </c>
      <c r="AR2376" t="s">
        <v>4047</v>
      </c>
      <c r="AS2376" s="16"/>
    </row>
    <row r="2377" spans="1:45" ht="14.5">
      <c r="A2377" s="9" t="s">
        <v>11959</v>
      </c>
      <c r="B2377" s="9" t="s">
        <v>11960</v>
      </c>
      <c r="C2377" s="9" t="s">
        <v>2864</v>
      </c>
      <c r="D2377" s="9" t="s">
        <v>2830</v>
      </c>
      <c r="E2377" s="9" t="s">
        <v>49</v>
      </c>
      <c r="F2377" s="9" t="s">
        <v>69</v>
      </c>
      <c r="G2377" s="9" t="s">
        <v>70</v>
      </c>
      <c r="H2377" s="9" t="s">
        <v>7116</v>
      </c>
      <c r="I2377" s="9" t="s">
        <v>72</v>
      </c>
      <c r="J2377" s="10">
        <v>44746</v>
      </c>
      <c r="K2377" s="10">
        <v>45231</v>
      </c>
      <c r="L2377" s="10">
        <v>45237</v>
      </c>
      <c r="M2377" s="10">
        <v>45261</v>
      </c>
      <c r="N2377" s="9">
        <v>2023</v>
      </c>
      <c r="O2377" s="9" t="s">
        <v>11917</v>
      </c>
      <c r="P2377" s="9" t="s">
        <v>83</v>
      </c>
      <c r="Q2377" s="9" t="s">
        <v>53</v>
      </c>
      <c r="R2377" s="9" t="s">
        <v>11961</v>
      </c>
      <c r="S2377" s="9"/>
      <c r="T2377" s="9"/>
      <c r="V2377" s="9"/>
      <c r="AC2377" s="9" t="s">
        <v>11962</v>
      </c>
      <c r="AD2377" s="46" t="s">
        <v>11963</v>
      </c>
      <c r="AE2377" s="9" t="s">
        <v>11964</v>
      </c>
      <c r="AH2377" s="9">
        <v>2303.79</v>
      </c>
      <c r="AI2377" s="9" t="s">
        <v>1999</v>
      </c>
      <c r="AJ2377" s="9" t="s">
        <v>301</v>
      </c>
      <c r="AK2377" s="23" t="str">
        <f t="shared" si="18"/>
        <v>2023GBP</v>
      </c>
      <c r="AL2377" s="23">
        <f>VLOOKUP(AK2377, Exchange_rates!$C:$D, 2, FALSE)</f>
        <v>1</v>
      </c>
      <c r="AM2377" s="26">
        <f t="shared" si="19"/>
        <v>2764.5479999999998</v>
      </c>
      <c r="AN2377" s="9"/>
      <c r="AO2377" s="9"/>
      <c r="AP2377" s="9"/>
      <c r="AQ2377" s="15" t="s">
        <v>49</v>
      </c>
      <c r="AR2377" t="s">
        <v>2865</v>
      </c>
      <c r="AS2377" s="16"/>
    </row>
    <row r="2378" spans="1:45" ht="14.5">
      <c r="A2378" s="9" t="s">
        <v>11965</v>
      </c>
      <c r="B2378" s="9" t="s">
        <v>11966</v>
      </c>
      <c r="C2378" s="9" t="s">
        <v>11967</v>
      </c>
      <c r="D2378" s="9" t="s">
        <v>2830</v>
      </c>
      <c r="E2378" s="20" t="s">
        <v>125</v>
      </c>
      <c r="F2378" s="9" t="s">
        <v>69</v>
      </c>
      <c r="G2378" s="9" t="s">
        <v>51</v>
      </c>
      <c r="H2378" s="9"/>
      <c r="I2378" s="9" t="s">
        <v>72</v>
      </c>
      <c r="J2378" s="10">
        <v>44977</v>
      </c>
      <c r="K2378" s="10">
        <v>45190</v>
      </c>
      <c r="L2378" s="10">
        <v>45203</v>
      </c>
      <c r="M2378" s="10">
        <v>45206</v>
      </c>
      <c r="N2378" s="9">
        <v>2023</v>
      </c>
      <c r="O2378" s="9" t="s">
        <v>11917</v>
      </c>
      <c r="P2378" s="9" t="s">
        <v>83</v>
      </c>
      <c r="Q2378" s="9" t="s">
        <v>53</v>
      </c>
      <c r="R2378" s="9" t="s">
        <v>11968</v>
      </c>
      <c r="S2378" s="9"/>
      <c r="T2378" s="9" t="s">
        <v>279</v>
      </c>
      <c r="U2378" s="9" t="s">
        <v>11918</v>
      </c>
      <c r="V2378" s="9"/>
      <c r="AC2378" s="9" t="s">
        <v>11969</v>
      </c>
      <c r="AD2378" s="46" t="s">
        <v>11970</v>
      </c>
      <c r="AE2378" s="9" t="s">
        <v>11971</v>
      </c>
      <c r="AH2378" s="9">
        <v>4290</v>
      </c>
      <c r="AI2378" s="9" t="s">
        <v>77</v>
      </c>
      <c r="AJ2378" s="9" t="s">
        <v>301</v>
      </c>
      <c r="AK2378" s="23" t="str">
        <f t="shared" si="18"/>
        <v>2023GBP</v>
      </c>
      <c r="AL2378" s="23">
        <f>VLOOKUP(AK2378, Exchange_rates!$C:$D, 2, FALSE)</f>
        <v>1</v>
      </c>
      <c r="AM2378" s="26">
        <f t="shared" si="19"/>
        <v>5148</v>
      </c>
      <c r="AN2378" s="9"/>
      <c r="AO2378" s="9"/>
      <c r="AP2378" s="20"/>
      <c r="AQ2378" s="27" t="s">
        <v>125</v>
      </c>
      <c r="AR2378" t="s">
        <v>11972</v>
      </c>
      <c r="AS2378" s="16"/>
    </row>
    <row r="2379" spans="1:45" ht="14.5">
      <c r="A2379" s="9" t="s">
        <v>11973</v>
      </c>
      <c r="B2379" s="9" t="s">
        <v>11974</v>
      </c>
      <c r="C2379" s="9" t="s">
        <v>11975</v>
      </c>
      <c r="D2379" s="9" t="s">
        <v>2830</v>
      </c>
      <c r="E2379" s="20" t="s">
        <v>125</v>
      </c>
      <c r="F2379" s="9" t="s">
        <v>69</v>
      </c>
      <c r="G2379" s="9" t="s">
        <v>51</v>
      </c>
      <c r="H2379" s="9"/>
      <c r="I2379" s="9" t="s">
        <v>72</v>
      </c>
      <c r="J2379" s="10">
        <v>44763</v>
      </c>
      <c r="K2379" s="10">
        <v>45195</v>
      </c>
      <c r="L2379" s="10">
        <v>45215</v>
      </c>
      <c r="M2379" s="10">
        <v>45216</v>
      </c>
      <c r="N2379" s="9">
        <v>2023</v>
      </c>
      <c r="O2379" s="9" t="s">
        <v>11917</v>
      </c>
      <c r="P2379" s="9" t="s">
        <v>83</v>
      </c>
      <c r="Q2379" s="9" t="s">
        <v>53</v>
      </c>
      <c r="R2379" s="9" t="s">
        <v>4005</v>
      </c>
      <c r="S2379" s="9"/>
      <c r="T2379" s="9" t="s">
        <v>279</v>
      </c>
      <c r="U2379" s="9" t="s">
        <v>11918</v>
      </c>
      <c r="V2379" s="9"/>
      <c r="AC2379" s="9" t="s">
        <v>11976</v>
      </c>
      <c r="AD2379" s="46" t="s">
        <v>11977</v>
      </c>
      <c r="AE2379" s="9" t="s">
        <v>11978</v>
      </c>
      <c r="AH2379" s="9">
        <v>1090</v>
      </c>
      <c r="AI2379" s="9" t="s">
        <v>77</v>
      </c>
      <c r="AJ2379" s="9" t="s">
        <v>301</v>
      </c>
      <c r="AK2379" s="23" t="str">
        <f t="shared" si="18"/>
        <v>2023GBP</v>
      </c>
      <c r="AL2379" s="23">
        <f>VLOOKUP(AK2379, Exchange_rates!$C:$D, 2, FALSE)</f>
        <v>1</v>
      </c>
      <c r="AM2379" s="26">
        <f t="shared" si="19"/>
        <v>1308</v>
      </c>
      <c r="AN2379" s="9"/>
      <c r="AO2379" s="9"/>
      <c r="AP2379" s="20"/>
      <c r="AQ2379" s="27" t="s">
        <v>125</v>
      </c>
      <c r="AR2379" t="s">
        <v>11979</v>
      </c>
      <c r="AS2379" s="16"/>
    </row>
    <row r="2380" spans="1:45" ht="14.5">
      <c r="A2380" s="9" t="s">
        <v>11980</v>
      </c>
      <c r="B2380" s="9" t="s">
        <v>11981</v>
      </c>
      <c r="C2380" s="9" t="s">
        <v>2949</v>
      </c>
      <c r="D2380" s="9" t="s">
        <v>2830</v>
      </c>
      <c r="E2380" s="9" t="s">
        <v>49</v>
      </c>
      <c r="F2380" s="9" t="s">
        <v>69</v>
      </c>
      <c r="G2380" s="9" t="s">
        <v>70</v>
      </c>
      <c r="H2380" s="9" t="s">
        <v>7116</v>
      </c>
      <c r="I2380" s="9" t="s">
        <v>72</v>
      </c>
      <c r="J2380" s="10"/>
      <c r="K2380" s="10">
        <v>45223</v>
      </c>
      <c r="L2380" s="10">
        <v>45237</v>
      </c>
      <c r="M2380" s="10">
        <v>45238</v>
      </c>
      <c r="N2380" s="9">
        <v>2023</v>
      </c>
      <c r="O2380" s="9" t="s">
        <v>11917</v>
      </c>
      <c r="P2380" s="9" t="s">
        <v>53</v>
      </c>
      <c r="Q2380" s="9" t="s">
        <v>53</v>
      </c>
      <c r="R2380" s="9" t="s">
        <v>11982</v>
      </c>
      <c r="S2380" s="9"/>
      <c r="T2380" s="9"/>
      <c r="V2380" s="9"/>
      <c r="AC2380" s="9" t="s">
        <v>11983</v>
      </c>
      <c r="AD2380" s="46" t="s">
        <v>11984</v>
      </c>
      <c r="AE2380" s="9" t="s">
        <v>11985</v>
      </c>
      <c r="AH2380" s="9">
        <v>2303.79</v>
      </c>
      <c r="AI2380" s="9" t="s">
        <v>1999</v>
      </c>
      <c r="AJ2380" s="9" t="s">
        <v>301</v>
      </c>
      <c r="AK2380" s="23" t="str">
        <f t="shared" si="18"/>
        <v>2023GBP</v>
      </c>
      <c r="AL2380" s="23">
        <f>VLOOKUP(AK2380, Exchange_rates!$C:$D, 2, FALSE)</f>
        <v>1</v>
      </c>
      <c r="AM2380" s="26">
        <f t="shared" si="19"/>
        <v>2764.5479999999998</v>
      </c>
      <c r="AN2380" s="9"/>
      <c r="AO2380" s="9"/>
      <c r="AP2380" s="9"/>
      <c r="AQ2380" s="15" t="s">
        <v>49</v>
      </c>
      <c r="AR2380" t="s">
        <v>2950</v>
      </c>
      <c r="AS2380" s="16"/>
    </row>
    <row r="2381" spans="1:45" ht="14.5">
      <c r="A2381" s="9" t="s">
        <v>11986</v>
      </c>
      <c r="B2381" s="9" t="s">
        <v>11987</v>
      </c>
      <c r="C2381" s="9" t="s">
        <v>11988</v>
      </c>
      <c r="D2381" s="9" t="s">
        <v>2830</v>
      </c>
      <c r="E2381" s="20" t="s">
        <v>125</v>
      </c>
      <c r="F2381" s="9" t="s">
        <v>69</v>
      </c>
      <c r="G2381" s="9" t="s">
        <v>51</v>
      </c>
      <c r="H2381" s="9"/>
      <c r="I2381" s="9" t="s">
        <v>72</v>
      </c>
      <c r="J2381" s="10">
        <v>45019</v>
      </c>
      <c r="K2381" s="10">
        <v>45258</v>
      </c>
      <c r="L2381" s="10">
        <v>45265</v>
      </c>
      <c r="M2381" s="10">
        <v>45276</v>
      </c>
      <c r="N2381" s="9">
        <v>2023</v>
      </c>
      <c r="O2381" s="9" t="s">
        <v>11917</v>
      </c>
      <c r="P2381" s="9" t="s">
        <v>53</v>
      </c>
      <c r="Q2381" s="9" t="s">
        <v>83</v>
      </c>
      <c r="R2381" s="9" t="s">
        <v>277</v>
      </c>
      <c r="S2381" s="9"/>
      <c r="T2381" s="9" t="s">
        <v>279</v>
      </c>
      <c r="U2381" s="9" t="s">
        <v>11918</v>
      </c>
      <c r="V2381" s="9"/>
      <c r="AC2381" s="9" t="s">
        <v>11989</v>
      </c>
      <c r="AD2381" s="46" t="s">
        <v>11990</v>
      </c>
      <c r="AE2381" s="9" t="s">
        <v>11991</v>
      </c>
      <c r="AH2381" s="9">
        <v>2090</v>
      </c>
      <c r="AI2381" s="9" t="s">
        <v>77</v>
      </c>
      <c r="AJ2381" s="9" t="s">
        <v>301</v>
      </c>
      <c r="AK2381" s="23" t="str">
        <f t="shared" si="18"/>
        <v>2023GBP</v>
      </c>
      <c r="AL2381" s="23">
        <f>VLOOKUP(AK2381, Exchange_rates!$C:$D, 2, FALSE)</f>
        <v>1</v>
      </c>
      <c r="AM2381" s="26">
        <f t="shared" si="19"/>
        <v>2508</v>
      </c>
      <c r="AN2381" s="9"/>
      <c r="AO2381" s="9"/>
      <c r="AP2381" s="20"/>
      <c r="AQ2381" s="27" t="s">
        <v>125</v>
      </c>
      <c r="AR2381" t="s">
        <v>11992</v>
      </c>
      <c r="AS2381" s="16"/>
    </row>
    <row r="2382" spans="1:45" ht="14.5">
      <c r="A2382" s="9" t="s">
        <v>11993</v>
      </c>
      <c r="B2382" s="9" t="s">
        <v>11994</v>
      </c>
      <c r="C2382" s="9" t="s">
        <v>3019</v>
      </c>
      <c r="D2382" s="9" t="s">
        <v>2830</v>
      </c>
      <c r="E2382" s="9" t="s">
        <v>49</v>
      </c>
      <c r="F2382" s="9" t="s">
        <v>69</v>
      </c>
      <c r="G2382" s="9" t="s">
        <v>70</v>
      </c>
      <c r="H2382" s="9" t="s">
        <v>7116</v>
      </c>
      <c r="I2382" s="9" t="s">
        <v>72</v>
      </c>
      <c r="J2382" s="10"/>
      <c r="K2382" s="10"/>
      <c r="L2382" s="10">
        <v>45278</v>
      </c>
      <c r="M2382" s="10"/>
      <c r="N2382" s="9">
        <v>2023</v>
      </c>
      <c r="O2382" s="9" t="s">
        <v>11917</v>
      </c>
      <c r="P2382" s="9" t="s">
        <v>53</v>
      </c>
      <c r="Q2382" s="9" t="s">
        <v>53</v>
      </c>
      <c r="S2382" s="9"/>
      <c r="T2382" s="9"/>
      <c r="V2382" s="9"/>
      <c r="AC2382" s="9" t="s">
        <v>11995</v>
      </c>
      <c r="AD2382" s="46" t="s">
        <v>11996</v>
      </c>
      <c r="AE2382" s="9" t="s">
        <v>11995</v>
      </c>
      <c r="AH2382" s="9">
        <v>2303.79</v>
      </c>
      <c r="AI2382" s="9" t="s">
        <v>1999</v>
      </c>
      <c r="AJ2382" s="9" t="s">
        <v>301</v>
      </c>
      <c r="AK2382" s="23" t="str">
        <f t="shared" si="18"/>
        <v>2023GBP</v>
      </c>
      <c r="AL2382" s="23">
        <f>VLOOKUP(AK2382, Exchange_rates!$C:$D, 2, FALSE)</f>
        <v>1</v>
      </c>
      <c r="AM2382" s="26">
        <f t="shared" si="19"/>
        <v>2764.5479999999998</v>
      </c>
      <c r="AN2382" s="9"/>
      <c r="AO2382" s="9"/>
      <c r="AP2382" s="9"/>
      <c r="AQ2382" s="15" t="s">
        <v>49</v>
      </c>
      <c r="AR2382" t="s">
        <v>3020</v>
      </c>
      <c r="AS2382" s="16"/>
    </row>
    <row r="2383" spans="1:45" ht="14.5">
      <c r="A2383" s="9" t="s">
        <v>11997</v>
      </c>
      <c r="B2383" s="9" t="s">
        <v>11998</v>
      </c>
      <c r="C2383" s="9" t="s">
        <v>2860</v>
      </c>
      <c r="D2383" s="9" t="s">
        <v>2830</v>
      </c>
      <c r="E2383" s="9" t="s">
        <v>49</v>
      </c>
      <c r="F2383" s="9" t="s">
        <v>69</v>
      </c>
      <c r="G2383" s="9" t="s">
        <v>70</v>
      </c>
      <c r="H2383" s="9" t="s">
        <v>7116</v>
      </c>
      <c r="I2383" s="9" t="s">
        <v>72</v>
      </c>
      <c r="J2383" s="10"/>
      <c r="K2383" s="10">
        <v>45143</v>
      </c>
      <c r="L2383" s="10">
        <v>45162</v>
      </c>
      <c r="M2383" s="10">
        <v>45245</v>
      </c>
      <c r="N2383" s="9">
        <v>2023</v>
      </c>
      <c r="O2383" s="9" t="s">
        <v>11917</v>
      </c>
      <c r="P2383" s="9" t="s">
        <v>53</v>
      </c>
      <c r="Q2383" s="9" t="s">
        <v>53</v>
      </c>
      <c r="S2383" s="9"/>
      <c r="T2383" s="9"/>
      <c r="V2383" s="9"/>
      <c r="AC2383" s="9" t="s">
        <v>11999</v>
      </c>
      <c r="AD2383" s="46" t="s">
        <v>12000</v>
      </c>
      <c r="AE2383" s="9" t="s">
        <v>11999</v>
      </c>
      <c r="AH2383" s="9">
        <v>2303.79</v>
      </c>
      <c r="AI2383" s="9" t="s">
        <v>1999</v>
      </c>
      <c r="AJ2383" s="9" t="s">
        <v>301</v>
      </c>
      <c r="AK2383" s="23" t="str">
        <f t="shared" si="18"/>
        <v>2023GBP</v>
      </c>
      <c r="AL2383" s="23">
        <f>VLOOKUP(AK2383, Exchange_rates!$C:$D, 2, FALSE)</f>
        <v>1</v>
      </c>
      <c r="AM2383" s="26">
        <f t="shared" si="19"/>
        <v>2764.5479999999998</v>
      </c>
      <c r="AN2383" s="9"/>
      <c r="AO2383" s="9"/>
      <c r="AP2383" s="9"/>
      <c r="AQ2383" s="15" t="s">
        <v>49</v>
      </c>
      <c r="AR2383" t="s">
        <v>2861</v>
      </c>
      <c r="AS2383" s="16"/>
    </row>
    <row r="2384" spans="1:45" ht="14.5">
      <c r="A2384" s="9" t="s">
        <v>12001</v>
      </c>
      <c r="B2384" s="9" t="s">
        <v>12002</v>
      </c>
      <c r="C2384" s="9" t="s">
        <v>12003</v>
      </c>
      <c r="D2384" s="9" t="s">
        <v>2830</v>
      </c>
      <c r="E2384" s="20" t="s">
        <v>125</v>
      </c>
      <c r="F2384" s="9" t="s">
        <v>69</v>
      </c>
      <c r="G2384" s="9" t="s">
        <v>51</v>
      </c>
      <c r="H2384" s="9"/>
      <c r="I2384" s="9" t="s">
        <v>72</v>
      </c>
      <c r="J2384" s="10">
        <v>44945</v>
      </c>
      <c r="K2384" s="10">
        <v>45185</v>
      </c>
      <c r="L2384" s="10">
        <v>45195</v>
      </c>
      <c r="M2384" s="10">
        <v>45195</v>
      </c>
      <c r="N2384" s="9">
        <v>2023</v>
      </c>
      <c r="O2384" s="9" t="s">
        <v>11917</v>
      </c>
      <c r="P2384" s="9" t="s">
        <v>83</v>
      </c>
      <c r="Q2384" s="9" t="s">
        <v>83</v>
      </c>
      <c r="R2384" s="9" t="s">
        <v>12004</v>
      </c>
      <c r="S2384" s="9"/>
      <c r="T2384" s="9" t="s">
        <v>279</v>
      </c>
      <c r="U2384" s="9" t="s">
        <v>11918</v>
      </c>
      <c r="V2384" s="9"/>
      <c r="AC2384" s="9" t="s">
        <v>12005</v>
      </c>
      <c r="AE2384" s="9" t="s">
        <v>12006</v>
      </c>
      <c r="AH2384" s="9">
        <v>1790</v>
      </c>
      <c r="AI2384" s="9" t="s">
        <v>77</v>
      </c>
      <c r="AJ2384" s="9" t="s">
        <v>301</v>
      </c>
      <c r="AK2384" s="23" t="str">
        <f t="shared" si="18"/>
        <v>2023GBP</v>
      </c>
      <c r="AL2384" s="23">
        <f>VLOOKUP(AK2384, Exchange_rates!$C:$D, 2, FALSE)</f>
        <v>1</v>
      </c>
      <c r="AM2384" s="26">
        <f t="shared" si="19"/>
        <v>2148</v>
      </c>
      <c r="AN2384" s="9"/>
      <c r="AO2384" s="9"/>
      <c r="AP2384" s="20"/>
      <c r="AQ2384" s="27" t="s">
        <v>125</v>
      </c>
      <c r="AR2384" t="s">
        <v>12007</v>
      </c>
      <c r="AS2384" s="16"/>
    </row>
    <row r="2385" spans="1:45" ht="14.5">
      <c r="A2385" s="9" t="s">
        <v>12008</v>
      </c>
      <c r="B2385" s="9" t="s">
        <v>12009</v>
      </c>
      <c r="C2385" s="9" t="s">
        <v>12010</v>
      </c>
      <c r="D2385" s="9" t="s">
        <v>2830</v>
      </c>
      <c r="E2385" s="20" t="s">
        <v>125</v>
      </c>
      <c r="F2385" s="9" t="s">
        <v>69</v>
      </c>
      <c r="G2385" s="9" t="s">
        <v>51</v>
      </c>
      <c r="H2385" s="9"/>
      <c r="I2385" s="9" t="s">
        <v>72</v>
      </c>
      <c r="J2385" s="10">
        <v>44536</v>
      </c>
      <c r="K2385" s="10">
        <v>45217</v>
      </c>
      <c r="L2385" s="10">
        <v>45229</v>
      </c>
      <c r="M2385" s="10">
        <v>45234</v>
      </c>
      <c r="N2385" s="9">
        <v>2023</v>
      </c>
      <c r="O2385" s="9" t="s">
        <v>11917</v>
      </c>
      <c r="P2385" s="9" t="s">
        <v>83</v>
      </c>
      <c r="Q2385" s="9" t="s">
        <v>53</v>
      </c>
      <c r="R2385" s="9" t="s">
        <v>12011</v>
      </c>
      <c r="S2385" s="9"/>
      <c r="T2385" s="9" t="s">
        <v>279</v>
      </c>
      <c r="U2385" s="9" t="s">
        <v>11918</v>
      </c>
      <c r="V2385" s="9"/>
      <c r="AC2385" s="9" t="s">
        <v>12012</v>
      </c>
      <c r="AD2385" s="46" t="s">
        <v>12013</v>
      </c>
      <c r="AE2385" s="9" t="s">
        <v>12014</v>
      </c>
      <c r="AH2385" s="9">
        <v>2990</v>
      </c>
      <c r="AI2385" s="9" t="s">
        <v>77</v>
      </c>
      <c r="AJ2385" s="9" t="s">
        <v>301</v>
      </c>
      <c r="AK2385" s="23" t="str">
        <f t="shared" si="18"/>
        <v>2023GBP</v>
      </c>
      <c r="AL2385" s="23">
        <f>VLOOKUP(AK2385, Exchange_rates!$C:$D, 2, FALSE)</f>
        <v>1</v>
      </c>
      <c r="AM2385" s="26">
        <f t="shared" si="19"/>
        <v>3588</v>
      </c>
      <c r="AN2385" s="9"/>
      <c r="AO2385" s="9"/>
      <c r="AP2385" s="20"/>
      <c r="AQ2385" s="27" t="s">
        <v>125</v>
      </c>
      <c r="AR2385" t="s">
        <v>12015</v>
      </c>
      <c r="AS2385" s="16"/>
    </row>
    <row r="2386" spans="1:45" ht="14.5">
      <c r="A2386" s="9" t="s">
        <v>12016</v>
      </c>
      <c r="B2386" s="9" t="s">
        <v>12017</v>
      </c>
      <c r="C2386" s="9" t="s">
        <v>12018</v>
      </c>
      <c r="D2386" s="9" t="s">
        <v>2830</v>
      </c>
      <c r="E2386" s="9" t="s">
        <v>49</v>
      </c>
      <c r="F2386" s="9" t="s">
        <v>69</v>
      </c>
      <c r="G2386" s="9" t="s">
        <v>70</v>
      </c>
      <c r="H2386" s="9" t="s">
        <v>7116</v>
      </c>
      <c r="I2386" s="9" t="s">
        <v>72</v>
      </c>
      <c r="J2386" s="10">
        <v>44729</v>
      </c>
      <c r="K2386" s="10">
        <v>45195</v>
      </c>
      <c r="L2386" s="10">
        <v>45246</v>
      </c>
      <c r="M2386" s="10">
        <v>45264</v>
      </c>
      <c r="N2386" s="9">
        <v>2023</v>
      </c>
      <c r="O2386" s="9" t="s">
        <v>11917</v>
      </c>
      <c r="P2386" s="9" t="s">
        <v>53</v>
      </c>
      <c r="Q2386" s="9" t="s">
        <v>53</v>
      </c>
      <c r="R2386" s="9" t="s">
        <v>12019</v>
      </c>
      <c r="S2386" s="9"/>
      <c r="T2386" s="9"/>
      <c r="V2386" s="9"/>
      <c r="AC2386" s="9" t="s">
        <v>12020</v>
      </c>
      <c r="AD2386" s="46" t="s">
        <v>12021</v>
      </c>
      <c r="AE2386" s="9" t="s">
        <v>12022</v>
      </c>
      <c r="AH2386" s="9">
        <v>2303.79</v>
      </c>
      <c r="AI2386" s="9" t="s">
        <v>1999</v>
      </c>
      <c r="AJ2386" s="9" t="s">
        <v>301</v>
      </c>
      <c r="AK2386" s="23" t="str">
        <f t="shared" si="18"/>
        <v>2023GBP</v>
      </c>
      <c r="AL2386" s="23">
        <f>VLOOKUP(AK2386, Exchange_rates!$C:$D, 2, FALSE)</f>
        <v>1</v>
      </c>
      <c r="AM2386" s="26">
        <f t="shared" si="19"/>
        <v>2764.5479999999998</v>
      </c>
      <c r="AN2386" s="9"/>
      <c r="AO2386" s="9"/>
      <c r="AP2386" s="9"/>
      <c r="AQ2386" s="15" t="s">
        <v>49</v>
      </c>
      <c r="AR2386" t="s">
        <v>12023</v>
      </c>
      <c r="AS2386" s="16"/>
    </row>
    <row r="2387" spans="1:45" ht="14.5">
      <c r="A2387" s="9" t="s">
        <v>12024</v>
      </c>
      <c r="B2387" s="9" t="s">
        <v>12025</v>
      </c>
      <c r="C2387" s="9" t="s">
        <v>12026</v>
      </c>
      <c r="D2387" s="9" t="s">
        <v>2830</v>
      </c>
      <c r="E2387" s="9" t="s">
        <v>49</v>
      </c>
      <c r="F2387" s="9" t="s">
        <v>69</v>
      </c>
      <c r="G2387" s="9" t="s">
        <v>70</v>
      </c>
      <c r="H2387" s="9" t="s">
        <v>7116</v>
      </c>
      <c r="I2387" s="9" t="s">
        <v>72</v>
      </c>
      <c r="J2387" s="10">
        <v>45065</v>
      </c>
      <c r="K2387" s="10">
        <v>45209</v>
      </c>
      <c r="L2387" s="10">
        <v>45229</v>
      </c>
      <c r="M2387" s="10">
        <v>45246</v>
      </c>
      <c r="N2387" s="9">
        <v>2023</v>
      </c>
      <c r="O2387" s="9" t="s">
        <v>11917</v>
      </c>
      <c r="P2387" s="9" t="s">
        <v>53</v>
      </c>
      <c r="Q2387" s="9" t="s">
        <v>83</v>
      </c>
      <c r="R2387" s="9" t="s">
        <v>12027</v>
      </c>
      <c r="S2387" s="9"/>
      <c r="T2387" s="9"/>
      <c r="V2387" s="9"/>
      <c r="AC2387" s="9" t="s">
        <v>12028</v>
      </c>
      <c r="AD2387" s="46" t="s">
        <v>12029</v>
      </c>
      <c r="AE2387" s="9" t="s">
        <v>12030</v>
      </c>
      <c r="AH2387" s="9">
        <v>2303.79</v>
      </c>
      <c r="AI2387" s="9" t="s">
        <v>1999</v>
      </c>
      <c r="AJ2387" s="9" t="s">
        <v>301</v>
      </c>
      <c r="AK2387" s="23" t="str">
        <f t="shared" si="18"/>
        <v>2023GBP</v>
      </c>
      <c r="AL2387" s="23">
        <f>VLOOKUP(AK2387, Exchange_rates!$C:$D, 2, FALSE)</f>
        <v>1</v>
      </c>
      <c r="AM2387" s="26">
        <f t="shared" si="19"/>
        <v>2764.5479999999998</v>
      </c>
      <c r="AN2387" s="9"/>
      <c r="AO2387" s="9"/>
      <c r="AP2387" s="9"/>
      <c r="AQ2387" s="15" t="s">
        <v>49</v>
      </c>
      <c r="AR2387" t="s">
        <v>12031</v>
      </c>
      <c r="AS2387" s="16"/>
    </row>
    <row r="2388" spans="1:45" ht="14.5">
      <c r="A2388" s="9" t="s">
        <v>12032</v>
      </c>
      <c r="B2388" s="9" t="s">
        <v>12033</v>
      </c>
      <c r="C2388" s="9" t="s">
        <v>3971</v>
      </c>
      <c r="D2388" s="9" t="s">
        <v>2830</v>
      </c>
      <c r="E2388" s="9" t="s">
        <v>49</v>
      </c>
      <c r="F2388" s="9" t="s">
        <v>69</v>
      </c>
      <c r="G2388" s="9" t="s">
        <v>70</v>
      </c>
      <c r="H2388" s="9" t="s">
        <v>7116</v>
      </c>
      <c r="I2388" s="9" t="s">
        <v>72</v>
      </c>
      <c r="J2388" s="10">
        <v>45143</v>
      </c>
      <c r="K2388" s="10">
        <v>45259</v>
      </c>
      <c r="L2388" s="10">
        <v>45293</v>
      </c>
      <c r="M2388" s="10">
        <v>45293</v>
      </c>
      <c r="N2388" s="9">
        <v>2023</v>
      </c>
      <c r="O2388" s="9" t="s">
        <v>11917</v>
      </c>
      <c r="P2388" s="9" t="s">
        <v>83</v>
      </c>
      <c r="Q2388" s="9" t="s">
        <v>53</v>
      </c>
      <c r="R2388" s="9" t="s">
        <v>12034</v>
      </c>
      <c r="S2388" s="9"/>
      <c r="T2388" s="9"/>
      <c r="V2388" s="9"/>
      <c r="AC2388" s="9" t="s">
        <v>12035</v>
      </c>
      <c r="AD2388" s="46" t="s">
        <v>12036</v>
      </c>
      <c r="AE2388" s="9" t="s">
        <v>12037</v>
      </c>
      <c r="AH2388" s="9">
        <v>2303.79</v>
      </c>
      <c r="AI2388" s="9" t="s">
        <v>1999</v>
      </c>
      <c r="AJ2388" s="9" t="s">
        <v>301</v>
      </c>
      <c r="AK2388" s="23" t="str">
        <f t="shared" si="18"/>
        <v>2023GBP</v>
      </c>
      <c r="AL2388" s="23">
        <f>VLOOKUP(AK2388, Exchange_rates!$C:$D, 2, FALSE)</f>
        <v>1</v>
      </c>
      <c r="AM2388" s="26">
        <f t="shared" si="19"/>
        <v>2764.5479999999998</v>
      </c>
      <c r="AN2388" s="9"/>
      <c r="AO2388" s="9"/>
      <c r="AP2388" s="9"/>
      <c r="AQ2388" s="15" t="s">
        <v>49</v>
      </c>
      <c r="AR2388" t="s">
        <v>3973</v>
      </c>
      <c r="AS2388" s="16"/>
    </row>
    <row r="2389" spans="1:45" ht="14.5">
      <c r="A2389" s="9" t="s">
        <v>12038</v>
      </c>
      <c r="B2389" s="9" t="s">
        <v>12039</v>
      </c>
      <c r="C2389" s="9" t="s">
        <v>12040</v>
      </c>
      <c r="D2389" s="9" t="s">
        <v>2830</v>
      </c>
      <c r="E2389" s="9" t="s">
        <v>49</v>
      </c>
      <c r="F2389" s="9" t="s">
        <v>69</v>
      </c>
      <c r="G2389" s="9" t="s">
        <v>70</v>
      </c>
      <c r="H2389" s="9" t="s">
        <v>7116</v>
      </c>
      <c r="I2389" s="9" t="s">
        <v>72</v>
      </c>
      <c r="J2389" s="10">
        <v>44875</v>
      </c>
      <c r="K2389" s="10">
        <v>45217</v>
      </c>
      <c r="L2389" s="10">
        <v>45229</v>
      </c>
      <c r="M2389" s="10">
        <v>45232</v>
      </c>
      <c r="N2389" s="9">
        <v>2023</v>
      </c>
      <c r="O2389" s="9" t="s">
        <v>11917</v>
      </c>
      <c r="P2389" s="9" t="s">
        <v>53</v>
      </c>
      <c r="Q2389" s="9" t="s">
        <v>53</v>
      </c>
      <c r="S2389" s="9"/>
      <c r="T2389" s="9"/>
      <c r="V2389" s="9"/>
      <c r="AC2389" s="9" t="s">
        <v>12041</v>
      </c>
      <c r="AD2389" s="46" t="s">
        <v>12042</v>
      </c>
      <c r="AE2389" s="9" t="s">
        <v>12041</v>
      </c>
      <c r="AH2389" s="9">
        <v>2303.79</v>
      </c>
      <c r="AI2389" s="9" t="s">
        <v>1999</v>
      </c>
      <c r="AJ2389" s="9" t="s">
        <v>301</v>
      </c>
      <c r="AK2389" s="23" t="str">
        <f t="shared" si="18"/>
        <v>2023GBP</v>
      </c>
      <c r="AL2389" s="23">
        <f>VLOOKUP(AK2389, Exchange_rates!$C:$D, 2, FALSE)</f>
        <v>1</v>
      </c>
      <c r="AM2389" s="26">
        <f t="shared" si="19"/>
        <v>2764.5479999999998</v>
      </c>
      <c r="AN2389" s="9"/>
      <c r="AO2389" s="9"/>
      <c r="AP2389" s="9"/>
      <c r="AQ2389" s="15" t="s">
        <v>49</v>
      </c>
      <c r="AR2389" t="s">
        <v>12043</v>
      </c>
      <c r="AS2389" s="16"/>
    </row>
    <row r="2390" spans="1:45" ht="14.5">
      <c r="A2390" s="9" t="s">
        <v>12044</v>
      </c>
      <c r="B2390" s="9" t="s">
        <v>12045</v>
      </c>
      <c r="C2390" s="9" t="s">
        <v>12046</v>
      </c>
      <c r="D2390" s="9" t="s">
        <v>2830</v>
      </c>
      <c r="E2390" s="9" t="s">
        <v>49</v>
      </c>
      <c r="F2390" s="9" t="s">
        <v>69</v>
      </c>
      <c r="G2390" s="9" t="s">
        <v>70</v>
      </c>
      <c r="H2390" s="9" t="s">
        <v>7116</v>
      </c>
      <c r="I2390" s="9" t="s">
        <v>72</v>
      </c>
      <c r="J2390" s="10">
        <v>45166</v>
      </c>
      <c r="K2390" s="10">
        <v>45276</v>
      </c>
      <c r="L2390" s="10">
        <v>45293</v>
      </c>
      <c r="M2390" s="10">
        <v>45296</v>
      </c>
      <c r="N2390" s="9">
        <v>2023</v>
      </c>
      <c r="O2390" s="9" t="s">
        <v>11917</v>
      </c>
      <c r="P2390" s="9" t="s">
        <v>53</v>
      </c>
      <c r="Q2390" s="9" t="s">
        <v>53</v>
      </c>
      <c r="S2390" s="9"/>
      <c r="T2390" s="9"/>
      <c r="V2390" s="9"/>
      <c r="AC2390" s="9" t="s">
        <v>12047</v>
      </c>
      <c r="AD2390" s="46" t="s">
        <v>12048</v>
      </c>
      <c r="AE2390" s="9" t="s">
        <v>12047</v>
      </c>
      <c r="AH2390" s="9">
        <v>2303.79</v>
      </c>
      <c r="AI2390" s="9" t="s">
        <v>1999</v>
      </c>
      <c r="AJ2390" s="9" t="s">
        <v>301</v>
      </c>
      <c r="AK2390" s="23" t="str">
        <f t="shared" si="18"/>
        <v>2023GBP</v>
      </c>
      <c r="AL2390" s="23">
        <f>VLOOKUP(AK2390, Exchange_rates!$C:$D, 2, FALSE)</f>
        <v>1</v>
      </c>
      <c r="AM2390" s="26">
        <f t="shared" si="19"/>
        <v>2764.5479999999998</v>
      </c>
      <c r="AN2390" s="9"/>
      <c r="AO2390" s="9"/>
      <c r="AP2390" s="9"/>
      <c r="AQ2390" s="15" t="s">
        <v>49</v>
      </c>
      <c r="AR2390" t="s">
        <v>12049</v>
      </c>
      <c r="AS2390" s="16"/>
    </row>
    <row r="2391" spans="1:45" ht="14.5">
      <c r="A2391" s="9" t="s">
        <v>12050</v>
      </c>
      <c r="B2391" s="9" t="s">
        <v>12051</v>
      </c>
      <c r="C2391" s="9" t="s">
        <v>3378</v>
      </c>
      <c r="D2391" s="9" t="s">
        <v>2830</v>
      </c>
      <c r="E2391" s="9" t="s">
        <v>49</v>
      </c>
      <c r="F2391" s="9" t="s">
        <v>69</v>
      </c>
      <c r="G2391" s="9" t="s">
        <v>70</v>
      </c>
      <c r="H2391" s="9" t="s">
        <v>7116</v>
      </c>
      <c r="I2391" s="9" t="s">
        <v>72</v>
      </c>
      <c r="J2391" s="10">
        <v>45057</v>
      </c>
      <c r="K2391" s="10">
        <v>45169</v>
      </c>
      <c r="L2391" s="10">
        <v>45190</v>
      </c>
      <c r="M2391" s="10">
        <v>45195</v>
      </c>
      <c r="N2391" s="9">
        <v>2023</v>
      </c>
      <c r="O2391" s="9" t="s">
        <v>11917</v>
      </c>
      <c r="P2391" s="9" t="s">
        <v>83</v>
      </c>
      <c r="Q2391" s="9" t="s">
        <v>53</v>
      </c>
      <c r="R2391" s="9" t="s">
        <v>12052</v>
      </c>
      <c r="S2391" s="9"/>
      <c r="T2391" s="9"/>
      <c r="V2391" s="9"/>
      <c r="AC2391" s="9" t="s">
        <v>12053</v>
      </c>
      <c r="AD2391" s="46" t="s">
        <v>12054</v>
      </c>
      <c r="AE2391" s="9" t="s">
        <v>12055</v>
      </c>
      <c r="AH2391" s="9">
        <v>2303.79</v>
      </c>
      <c r="AI2391" s="9" t="s">
        <v>1999</v>
      </c>
      <c r="AJ2391" s="9" t="s">
        <v>301</v>
      </c>
      <c r="AK2391" s="23" t="str">
        <f t="shared" si="18"/>
        <v>2023GBP</v>
      </c>
      <c r="AL2391" s="23">
        <f>VLOOKUP(AK2391, Exchange_rates!$C:$D, 2, FALSE)</f>
        <v>1</v>
      </c>
      <c r="AM2391" s="26">
        <f t="shared" si="19"/>
        <v>2764.5479999999998</v>
      </c>
      <c r="AN2391" s="9"/>
      <c r="AO2391" s="9"/>
      <c r="AP2391" s="9"/>
      <c r="AQ2391" s="15" t="s">
        <v>49</v>
      </c>
      <c r="AR2391" t="s">
        <v>3380</v>
      </c>
      <c r="AS2391" s="16"/>
    </row>
    <row r="2392" spans="1:45" ht="14.5">
      <c r="A2392" s="9" t="s">
        <v>12056</v>
      </c>
      <c r="B2392" s="9" t="s">
        <v>12057</v>
      </c>
      <c r="C2392" s="9" t="s">
        <v>12058</v>
      </c>
      <c r="D2392" s="9" t="s">
        <v>2830</v>
      </c>
      <c r="E2392" s="9" t="s">
        <v>49</v>
      </c>
      <c r="F2392" s="9" t="s">
        <v>69</v>
      </c>
      <c r="G2392" s="9" t="s">
        <v>70</v>
      </c>
      <c r="H2392" s="9" t="s">
        <v>7116</v>
      </c>
      <c r="I2392" s="9" t="s">
        <v>72</v>
      </c>
      <c r="J2392" s="10"/>
      <c r="K2392" s="10">
        <v>45175</v>
      </c>
      <c r="L2392" s="10">
        <v>45187</v>
      </c>
      <c r="M2392" s="10">
        <v>45194</v>
      </c>
      <c r="N2392" s="9">
        <v>2023</v>
      </c>
      <c r="O2392" s="9" t="s">
        <v>11917</v>
      </c>
      <c r="P2392" s="9" t="s">
        <v>53</v>
      </c>
      <c r="Q2392" s="9" t="s">
        <v>53</v>
      </c>
      <c r="S2392" s="9"/>
      <c r="T2392" s="9"/>
      <c r="V2392" s="9"/>
      <c r="AC2392" s="9" t="s">
        <v>12059</v>
      </c>
      <c r="AD2392" s="46" t="s">
        <v>12060</v>
      </c>
      <c r="AE2392" s="9" t="s">
        <v>12061</v>
      </c>
      <c r="AH2392" s="9">
        <v>2303.79</v>
      </c>
      <c r="AI2392" s="9" t="s">
        <v>1999</v>
      </c>
      <c r="AJ2392" s="9" t="s">
        <v>301</v>
      </c>
      <c r="AK2392" s="23" t="str">
        <f t="shared" si="18"/>
        <v>2023GBP</v>
      </c>
      <c r="AL2392" s="23">
        <f>VLOOKUP(AK2392, Exchange_rates!$C:$D, 2, FALSE)</f>
        <v>1</v>
      </c>
      <c r="AM2392" s="26">
        <f t="shared" si="19"/>
        <v>2764.5479999999998</v>
      </c>
      <c r="AN2392" s="9"/>
      <c r="AO2392" s="9"/>
      <c r="AP2392" s="9"/>
      <c r="AQ2392" s="15" t="s">
        <v>49</v>
      </c>
      <c r="AR2392" t="s">
        <v>12062</v>
      </c>
      <c r="AS2392" s="16"/>
    </row>
    <row r="2393" spans="1:45" ht="14.5">
      <c r="A2393" s="9" t="s">
        <v>12063</v>
      </c>
      <c r="B2393" s="9" t="s">
        <v>12064</v>
      </c>
      <c r="C2393" s="9" t="s">
        <v>12065</v>
      </c>
      <c r="D2393" s="9" t="s">
        <v>2830</v>
      </c>
      <c r="E2393" s="20" t="s">
        <v>125</v>
      </c>
      <c r="F2393" s="9" t="s">
        <v>69</v>
      </c>
      <c r="G2393" s="9" t="s">
        <v>51</v>
      </c>
      <c r="H2393" s="9"/>
      <c r="I2393" s="9" t="s">
        <v>72</v>
      </c>
      <c r="J2393" s="10"/>
      <c r="K2393" s="10"/>
      <c r="L2393" s="10">
        <v>45293</v>
      </c>
      <c r="M2393" s="10"/>
      <c r="N2393" s="9">
        <v>2023</v>
      </c>
      <c r="O2393" s="9" t="s">
        <v>11917</v>
      </c>
      <c r="P2393" s="9" t="s">
        <v>53</v>
      </c>
      <c r="Q2393" s="9" t="s">
        <v>53</v>
      </c>
      <c r="R2393" s="9" t="s">
        <v>12066</v>
      </c>
      <c r="S2393" s="9"/>
      <c r="T2393" s="9" t="s">
        <v>279</v>
      </c>
      <c r="U2393" s="9" t="s">
        <v>11918</v>
      </c>
      <c r="V2393" s="9"/>
      <c r="AC2393" s="9" t="s">
        <v>12067</v>
      </c>
      <c r="AD2393" s="46" t="s">
        <v>12068</v>
      </c>
      <c r="AE2393" s="9" t="s">
        <v>12069</v>
      </c>
      <c r="AH2393" s="9">
        <v>1490</v>
      </c>
      <c r="AI2393" s="9" t="s">
        <v>77</v>
      </c>
      <c r="AJ2393" s="9" t="s">
        <v>301</v>
      </c>
      <c r="AK2393" s="23" t="str">
        <f t="shared" si="18"/>
        <v>2023GBP</v>
      </c>
      <c r="AL2393" s="23">
        <f>VLOOKUP(AK2393, Exchange_rates!$C:$D, 2, FALSE)</f>
        <v>1</v>
      </c>
      <c r="AM2393" s="26">
        <f t="shared" si="19"/>
        <v>1788</v>
      </c>
      <c r="AN2393" s="9"/>
      <c r="AO2393" s="9"/>
      <c r="AP2393" s="20"/>
      <c r="AQ2393" s="27" t="s">
        <v>125</v>
      </c>
      <c r="AR2393" t="s">
        <v>12070</v>
      </c>
      <c r="AS2393" s="16"/>
    </row>
    <row r="2394" spans="1:45" ht="14.5">
      <c r="A2394" s="9" t="s">
        <v>12071</v>
      </c>
      <c r="B2394" s="9" t="s">
        <v>12072</v>
      </c>
      <c r="C2394" s="9" t="s">
        <v>12073</v>
      </c>
      <c r="D2394" s="9" t="s">
        <v>2830</v>
      </c>
      <c r="E2394" s="9" t="s">
        <v>49</v>
      </c>
      <c r="F2394" s="9" t="s">
        <v>69</v>
      </c>
      <c r="G2394" s="9" t="s">
        <v>70</v>
      </c>
      <c r="H2394" s="9" t="s">
        <v>7116</v>
      </c>
      <c r="I2394" s="9" t="s">
        <v>72</v>
      </c>
      <c r="J2394" s="10">
        <v>44943</v>
      </c>
      <c r="K2394" s="10">
        <v>45193</v>
      </c>
      <c r="L2394" s="10">
        <v>45201</v>
      </c>
      <c r="M2394" s="10">
        <v>45213</v>
      </c>
      <c r="N2394" s="9">
        <v>2023</v>
      </c>
      <c r="O2394" s="9" t="s">
        <v>11917</v>
      </c>
      <c r="P2394" s="9" t="s">
        <v>53</v>
      </c>
      <c r="Q2394" s="9" t="s">
        <v>53</v>
      </c>
      <c r="R2394" s="9" t="s">
        <v>12074</v>
      </c>
      <c r="S2394" s="9"/>
      <c r="T2394" s="9"/>
      <c r="V2394" s="9"/>
      <c r="AC2394" s="9" t="s">
        <v>12075</v>
      </c>
      <c r="AD2394" s="46" t="s">
        <v>12076</v>
      </c>
      <c r="AE2394" s="9" t="s">
        <v>12077</v>
      </c>
      <c r="AH2394" s="9">
        <v>2303.79</v>
      </c>
      <c r="AI2394" s="9" t="s">
        <v>1999</v>
      </c>
      <c r="AJ2394" s="9" t="s">
        <v>301</v>
      </c>
      <c r="AK2394" s="23" t="str">
        <f t="shared" si="18"/>
        <v>2023GBP</v>
      </c>
      <c r="AL2394" s="23">
        <f>VLOOKUP(AK2394, Exchange_rates!$C:$D, 2, FALSE)</f>
        <v>1</v>
      </c>
      <c r="AM2394" s="26">
        <f t="shared" si="19"/>
        <v>2764.5479999999998</v>
      </c>
      <c r="AN2394" s="9"/>
      <c r="AO2394" s="9"/>
      <c r="AP2394" s="9"/>
      <c r="AQ2394" s="15" t="s">
        <v>49</v>
      </c>
      <c r="AR2394" t="s">
        <v>12078</v>
      </c>
      <c r="AS2394" s="16"/>
    </row>
    <row r="2395" spans="1:45" ht="14.5">
      <c r="A2395" s="9" t="s">
        <v>12079</v>
      </c>
      <c r="B2395" s="9" t="s">
        <v>12080</v>
      </c>
      <c r="C2395" s="9" t="s">
        <v>12081</v>
      </c>
      <c r="D2395" s="9" t="s">
        <v>2830</v>
      </c>
      <c r="E2395" s="20" t="s">
        <v>125</v>
      </c>
      <c r="F2395" s="9" t="s">
        <v>69</v>
      </c>
      <c r="G2395" s="9" t="s">
        <v>51</v>
      </c>
      <c r="H2395" s="9"/>
      <c r="I2395" s="9" t="s">
        <v>72</v>
      </c>
      <c r="J2395" s="10">
        <v>44988</v>
      </c>
      <c r="K2395" s="10">
        <v>45215</v>
      </c>
      <c r="L2395" s="10">
        <v>45224</v>
      </c>
      <c r="M2395" s="10">
        <v>45225</v>
      </c>
      <c r="N2395" s="9">
        <v>2023</v>
      </c>
      <c r="O2395" s="9" t="s">
        <v>11917</v>
      </c>
      <c r="P2395" s="9" t="s">
        <v>53</v>
      </c>
      <c r="Q2395" s="9" t="s">
        <v>53</v>
      </c>
      <c r="S2395" s="9"/>
      <c r="T2395" s="9" t="s">
        <v>279</v>
      </c>
      <c r="U2395" s="9" t="s">
        <v>11918</v>
      </c>
      <c r="V2395" s="9"/>
      <c r="AC2395" s="9" t="s">
        <v>12082</v>
      </c>
      <c r="AD2395" s="46" t="s">
        <v>12083</v>
      </c>
      <c r="AE2395" s="9" t="s">
        <v>12084</v>
      </c>
      <c r="AH2395" s="9">
        <v>1790</v>
      </c>
      <c r="AI2395" s="9" t="s">
        <v>77</v>
      </c>
      <c r="AJ2395" s="9" t="s">
        <v>301</v>
      </c>
      <c r="AK2395" s="23" t="str">
        <f t="shared" si="18"/>
        <v>2023GBP</v>
      </c>
      <c r="AL2395" s="23">
        <f>VLOOKUP(AK2395, Exchange_rates!$C:$D, 2, FALSE)</f>
        <v>1</v>
      </c>
      <c r="AM2395" s="26">
        <f t="shared" si="19"/>
        <v>2148</v>
      </c>
      <c r="AN2395" s="9"/>
      <c r="AO2395" s="9"/>
      <c r="AP2395" s="20"/>
      <c r="AQ2395" s="27" t="s">
        <v>125</v>
      </c>
      <c r="AR2395" t="s">
        <v>12085</v>
      </c>
      <c r="AS2395" s="16"/>
    </row>
    <row r="2396" spans="1:45" ht="14.5">
      <c r="A2396" s="9" t="s">
        <v>12086</v>
      </c>
      <c r="B2396" s="9" t="s">
        <v>12087</v>
      </c>
      <c r="C2396" s="9" t="s">
        <v>12088</v>
      </c>
      <c r="D2396" s="9" t="s">
        <v>2830</v>
      </c>
      <c r="E2396" s="9" t="s">
        <v>49</v>
      </c>
      <c r="F2396" s="9" t="s">
        <v>69</v>
      </c>
      <c r="G2396" s="9" t="s">
        <v>70</v>
      </c>
      <c r="H2396" s="9" t="s">
        <v>7116</v>
      </c>
      <c r="I2396" s="9" t="s">
        <v>72</v>
      </c>
      <c r="J2396" s="10"/>
      <c r="K2396" s="10">
        <v>45196</v>
      </c>
      <c r="L2396" s="10">
        <v>45211</v>
      </c>
      <c r="M2396" s="10">
        <v>45232</v>
      </c>
      <c r="N2396" s="9">
        <v>2023</v>
      </c>
      <c r="O2396" s="9" t="s">
        <v>11917</v>
      </c>
      <c r="P2396" s="9" t="s">
        <v>83</v>
      </c>
      <c r="Q2396" s="9" t="s">
        <v>53</v>
      </c>
      <c r="R2396" s="9" t="s">
        <v>117</v>
      </c>
      <c r="S2396" s="9"/>
      <c r="T2396" s="9"/>
      <c r="V2396" s="9"/>
      <c r="AC2396" s="9" t="s">
        <v>12089</v>
      </c>
      <c r="AD2396" s="46" t="s">
        <v>12090</v>
      </c>
      <c r="AE2396" s="9" t="s">
        <v>12091</v>
      </c>
      <c r="AH2396" s="9">
        <v>2303.79</v>
      </c>
      <c r="AI2396" s="9" t="s">
        <v>1999</v>
      </c>
      <c r="AJ2396" s="9" t="s">
        <v>301</v>
      </c>
      <c r="AK2396" s="23" t="str">
        <f t="shared" si="18"/>
        <v>2023GBP</v>
      </c>
      <c r="AL2396" s="23">
        <f>VLOOKUP(AK2396, Exchange_rates!$C:$D, 2, FALSE)</f>
        <v>1</v>
      </c>
      <c r="AM2396" s="26">
        <f t="shared" si="19"/>
        <v>2764.5479999999998</v>
      </c>
      <c r="AN2396" s="9"/>
      <c r="AO2396" s="9"/>
      <c r="AP2396" s="9"/>
      <c r="AQ2396" s="15" t="s">
        <v>49</v>
      </c>
      <c r="AR2396" t="s">
        <v>12092</v>
      </c>
      <c r="AS2396" s="16"/>
    </row>
    <row r="2397" spans="1:45" ht="14.5">
      <c r="A2397" s="9" t="s">
        <v>12093</v>
      </c>
      <c r="B2397" s="9" t="s">
        <v>12094</v>
      </c>
      <c r="C2397" s="9" t="s">
        <v>11916</v>
      </c>
      <c r="D2397" s="9" t="s">
        <v>2830</v>
      </c>
      <c r="E2397" s="20" t="s">
        <v>125</v>
      </c>
      <c r="F2397" s="9" t="s">
        <v>69</v>
      </c>
      <c r="G2397" s="9" t="s">
        <v>51</v>
      </c>
      <c r="H2397" s="9"/>
      <c r="I2397" s="9" t="s">
        <v>72</v>
      </c>
      <c r="J2397" s="10">
        <v>45175</v>
      </c>
      <c r="K2397" s="10">
        <v>45248</v>
      </c>
      <c r="L2397" s="10">
        <v>45250</v>
      </c>
      <c r="M2397" s="10">
        <v>45251</v>
      </c>
      <c r="N2397" s="9">
        <v>2023</v>
      </c>
      <c r="O2397" s="9" t="s">
        <v>11917</v>
      </c>
      <c r="P2397" s="9" t="s">
        <v>83</v>
      </c>
      <c r="Q2397" s="9" t="s">
        <v>83</v>
      </c>
      <c r="R2397" s="9" t="s">
        <v>12095</v>
      </c>
      <c r="S2397" s="9"/>
      <c r="T2397" s="9" t="s">
        <v>279</v>
      </c>
      <c r="U2397" s="9" t="s">
        <v>11918</v>
      </c>
      <c r="V2397" s="9"/>
      <c r="AC2397" s="9" t="s">
        <v>12096</v>
      </c>
      <c r="AE2397" s="9" t="s">
        <v>12097</v>
      </c>
      <c r="AH2397" s="9">
        <v>1690</v>
      </c>
      <c r="AI2397" s="9" t="s">
        <v>77</v>
      </c>
      <c r="AJ2397" s="9" t="s">
        <v>301</v>
      </c>
      <c r="AK2397" s="23" t="str">
        <f t="shared" si="18"/>
        <v>2023GBP</v>
      </c>
      <c r="AL2397" s="23">
        <f>VLOOKUP(AK2397, Exchange_rates!$C:$D, 2, FALSE)</f>
        <v>1</v>
      </c>
      <c r="AM2397" s="26">
        <f t="shared" si="19"/>
        <v>2028</v>
      </c>
      <c r="AN2397" s="9"/>
      <c r="AO2397" s="9"/>
      <c r="AP2397" s="20"/>
      <c r="AQ2397" s="27" t="s">
        <v>125</v>
      </c>
      <c r="AR2397" t="s">
        <v>11921</v>
      </c>
      <c r="AS2397" s="16"/>
    </row>
    <row r="2398" spans="1:45" ht="14.5">
      <c r="A2398" s="9" t="s">
        <v>12098</v>
      </c>
      <c r="B2398" s="9" t="s">
        <v>12099</v>
      </c>
      <c r="C2398" s="9" t="s">
        <v>12100</v>
      </c>
      <c r="D2398" s="9" t="s">
        <v>2830</v>
      </c>
      <c r="E2398" s="20" t="s">
        <v>125</v>
      </c>
      <c r="F2398" s="9" t="s">
        <v>69</v>
      </c>
      <c r="G2398" s="9" t="s">
        <v>51</v>
      </c>
      <c r="H2398" s="9"/>
      <c r="I2398" s="9" t="s">
        <v>72</v>
      </c>
      <c r="J2398" s="10">
        <v>45015</v>
      </c>
      <c r="K2398" s="10">
        <v>45154</v>
      </c>
      <c r="L2398" s="10">
        <v>45176</v>
      </c>
      <c r="M2398" s="10">
        <v>45182</v>
      </c>
      <c r="N2398" s="9">
        <v>2023</v>
      </c>
      <c r="O2398" s="9" t="s">
        <v>11917</v>
      </c>
      <c r="P2398" s="9" t="s">
        <v>53</v>
      </c>
      <c r="Q2398" s="9" t="s">
        <v>53</v>
      </c>
      <c r="S2398" s="9"/>
      <c r="T2398" s="9" t="s">
        <v>279</v>
      </c>
      <c r="U2398" s="9" t="s">
        <v>11918</v>
      </c>
      <c r="V2398" s="9"/>
      <c r="AC2398" s="9" t="s">
        <v>12101</v>
      </c>
      <c r="AE2398" s="9" t="s">
        <v>12102</v>
      </c>
      <c r="AH2398" s="9">
        <v>1990</v>
      </c>
      <c r="AI2398" s="9" t="s">
        <v>77</v>
      </c>
      <c r="AJ2398" s="9" t="s">
        <v>301</v>
      </c>
      <c r="AK2398" s="23" t="str">
        <f t="shared" si="18"/>
        <v>2023GBP</v>
      </c>
      <c r="AL2398" s="23">
        <f>VLOOKUP(AK2398, Exchange_rates!$C:$D, 2, FALSE)</f>
        <v>1</v>
      </c>
      <c r="AM2398" s="26">
        <f t="shared" si="19"/>
        <v>2388</v>
      </c>
      <c r="AN2398" s="9"/>
      <c r="AO2398" s="9"/>
      <c r="AP2398" s="20"/>
      <c r="AQ2398" s="27" t="s">
        <v>125</v>
      </c>
      <c r="AR2398" t="s">
        <v>12103</v>
      </c>
      <c r="AS2398" s="16"/>
    </row>
    <row r="2399" spans="1:45" ht="14.5">
      <c r="A2399" s="9" t="s">
        <v>12104</v>
      </c>
      <c r="B2399" s="9" t="s">
        <v>12105</v>
      </c>
      <c r="C2399" s="9" t="s">
        <v>12106</v>
      </c>
      <c r="D2399" s="9" t="s">
        <v>2830</v>
      </c>
      <c r="E2399" s="9" t="s">
        <v>49</v>
      </c>
      <c r="F2399" s="9" t="s">
        <v>69</v>
      </c>
      <c r="G2399" s="9" t="s">
        <v>70</v>
      </c>
      <c r="H2399" s="9" t="s">
        <v>7116</v>
      </c>
      <c r="I2399" s="9" t="s">
        <v>72</v>
      </c>
      <c r="J2399" s="10">
        <v>45139</v>
      </c>
      <c r="K2399" s="10">
        <v>45215</v>
      </c>
      <c r="L2399" s="10">
        <v>45251</v>
      </c>
      <c r="M2399" s="10">
        <v>45272</v>
      </c>
      <c r="N2399" s="9">
        <v>2023</v>
      </c>
      <c r="O2399" s="9" t="s">
        <v>11917</v>
      </c>
      <c r="P2399" s="9" t="s">
        <v>83</v>
      </c>
      <c r="Q2399" s="9" t="s">
        <v>53</v>
      </c>
      <c r="R2399" s="9" t="s">
        <v>12107</v>
      </c>
      <c r="S2399" s="9"/>
      <c r="T2399" s="9"/>
      <c r="V2399" s="9"/>
      <c r="AC2399" s="9" t="s">
        <v>12108</v>
      </c>
      <c r="AD2399" s="46" t="s">
        <v>12109</v>
      </c>
      <c r="AE2399" s="9" t="s">
        <v>12110</v>
      </c>
      <c r="AH2399" s="9">
        <v>2303.79</v>
      </c>
      <c r="AI2399" s="9" t="s">
        <v>1999</v>
      </c>
      <c r="AJ2399" s="9" t="s">
        <v>301</v>
      </c>
      <c r="AK2399" s="23" t="str">
        <f t="shared" si="18"/>
        <v>2023GBP</v>
      </c>
      <c r="AL2399" s="23">
        <f>VLOOKUP(AK2399, Exchange_rates!$C:$D, 2, FALSE)</f>
        <v>1</v>
      </c>
      <c r="AM2399" s="26">
        <f t="shared" si="19"/>
        <v>2764.5479999999998</v>
      </c>
      <c r="AN2399" s="9"/>
      <c r="AO2399" s="9"/>
      <c r="AP2399" s="9"/>
      <c r="AQ2399" s="15" t="s">
        <v>49</v>
      </c>
      <c r="AR2399" t="s">
        <v>12111</v>
      </c>
      <c r="AS2399" s="16"/>
    </row>
    <row r="2400" spans="1:45" ht="14.5">
      <c r="A2400" s="9" t="s">
        <v>12112</v>
      </c>
      <c r="B2400" s="9" t="s">
        <v>12113</v>
      </c>
      <c r="C2400" s="9" t="s">
        <v>2864</v>
      </c>
      <c r="D2400" s="9" t="s">
        <v>2830</v>
      </c>
      <c r="E2400" s="9" t="s">
        <v>49</v>
      </c>
      <c r="F2400" s="9" t="s">
        <v>69</v>
      </c>
      <c r="G2400" s="9" t="s">
        <v>70</v>
      </c>
      <c r="H2400" s="9" t="s">
        <v>7116</v>
      </c>
      <c r="I2400" s="9" t="s">
        <v>72</v>
      </c>
      <c r="J2400" s="10">
        <v>45125</v>
      </c>
      <c r="K2400" s="10">
        <v>45245</v>
      </c>
      <c r="L2400" s="10">
        <v>45251</v>
      </c>
      <c r="M2400" s="10">
        <v>45273</v>
      </c>
      <c r="N2400" s="9">
        <v>2023</v>
      </c>
      <c r="O2400" s="9" t="s">
        <v>11917</v>
      </c>
      <c r="P2400" s="9" t="s">
        <v>53</v>
      </c>
      <c r="Q2400" s="9" t="s">
        <v>53</v>
      </c>
      <c r="S2400" s="9"/>
      <c r="T2400" s="9"/>
      <c r="V2400" s="9"/>
      <c r="AC2400" s="9" t="s">
        <v>12114</v>
      </c>
      <c r="AD2400" s="46" t="s">
        <v>12115</v>
      </c>
      <c r="AE2400" s="9" t="s">
        <v>12116</v>
      </c>
      <c r="AH2400" s="9">
        <v>2303.79</v>
      </c>
      <c r="AI2400" s="9" t="s">
        <v>1999</v>
      </c>
      <c r="AJ2400" s="9" t="s">
        <v>301</v>
      </c>
      <c r="AK2400" s="23" t="str">
        <f t="shared" si="18"/>
        <v>2023GBP</v>
      </c>
      <c r="AL2400" s="23">
        <f>VLOOKUP(AK2400, Exchange_rates!$C:$D, 2, FALSE)</f>
        <v>1</v>
      </c>
      <c r="AM2400" s="26">
        <f t="shared" si="19"/>
        <v>2764.5479999999998</v>
      </c>
      <c r="AN2400" s="9"/>
      <c r="AO2400" s="9"/>
      <c r="AP2400" s="9"/>
      <c r="AQ2400" s="15" t="s">
        <v>49</v>
      </c>
      <c r="AR2400" t="s">
        <v>2865</v>
      </c>
      <c r="AS2400" s="16"/>
    </row>
    <row r="2401" spans="1:60" ht="14.5">
      <c r="A2401" s="9" t="s">
        <v>12117</v>
      </c>
      <c r="B2401" s="9" t="s">
        <v>12118</v>
      </c>
      <c r="C2401" s="9" t="s">
        <v>11916</v>
      </c>
      <c r="D2401" s="9" t="s">
        <v>2830</v>
      </c>
      <c r="E2401" s="20" t="s">
        <v>125</v>
      </c>
      <c r="F2401" s="9" t="s">
        <v>69</v>
      </c>
      <c r="G2401" s="9" t="s">
        <v>51</v>
      </c>
      <c r="H2401" s="9"/>
      <c r="I2401" s="9" t="s">
        <v>72</v>
      </c>
      <c r="J2401" s="10">
        <v>45055</v>
      </c>
      <c r="K2401" s="10">
        <v>45251</v>
      </c>
      <c r="L2401" s="10">
        <v>45257</v>
      </c>
      <c r="M2401" s="10">
        <v>45257</v>
      </c>
      <c r="N2401" s="9">
        <v>2023</v>
      </c>
      <c r="O2401" s="9" t="s">
        <v>11917</v>
      </c>
      <c r="P2401" s="9" t="s">
        <v>83</v>
      </c>
      <c r="Q2401" s="9" t="s">
        <v>53</v>
      </c>
      <c r="R2401" s="9" t="s">
        <v>292</v>
      </c>
      <c r="S2401" s="9"/>
      <c r="T2401" s="9" t="s">
        <v>279</v>
      </c>
      <c r="U2401" s="9" t="s">
        <v>11918</v>
      </c>
      <c r="V2401" s="9"/>
      <c r="AC2401" s="9" t="s">
        <v>10163</v>
      </c>
      <c r="AE2401" s="9" t="s">
        <v>12119</v>
      </c>
      <c r="AH2401" s="9">
        <v>1690</v>
      </c>
      <c r="AI2401" s="9" t="s">
        <v>77</v>
      </c>
      <c r="AJ2401" s="9" t="s">
        <v>301</v>
      </c>
      <c r="AK2401" s="23" t="str">
        <f t="shared" si="18"/>
        <v>2023GBP</v>
      </c>
      <c r="AL2401" s="23">
        <f>VLOOKUP(AK2401, Exchange_rates!$C:$D, 2, FALSE)</f>
        <v>1</v>
      </c>
      <c r="AM2401" s="26">
        <f t="shared" si="19"/>
        <v>2028</v>
      </c>
      <c r="AN2401" s="9"/>
      <c r="AO2401" s="9"/>
      <c r="AP2401" s="20"/>
      <c r="AQ2401" s="27" t="s">
        <v>125</v>
      </c>
      <c r="AR2401" t="s">
        <v>11921</v>
      </c>
      <c r="AS2401" s="16"/>
    </row>
    <row r="2402" spans="1:60" ht="14.5">
      <c r="A2402" s="9" t="s">
        <v>12120</v>
      </c>
      <c r="B2402" s="9" t="s">
        <v>12121</v>
      </c>
      <c r="C2402" s="9" t="s">
        <v>3779</v>
      </c>
      <c r="D2402" s="9" t="s">
        <v>2830</v>
      </c>
      <c r="E2402" s="9" t="s">
        <v>49</v>
      </c>
      <c r="F2402" s="9" t="s">
        <v>69</v>
      </c>
      <c r="G2402" s="9" t="s">
        <v>70</v>
      </c>
      <c r="H2402" s="9" t="s">
        <v>7116</v>
      </c>
      <c r="I2402" s="9" t="s">
        <v>72</v>
      </c>
      <c r="J2402" s="10">
        <v>44790</v>
      </c>
      <c r="K2402" s="10">
        <v>45233</v>
      </c>
      <c r="L2402" s="10">
        <v>45259</v>
      </c>
      <c r="M2402" s="10">
        <v>45269</v>
      </c>
      <c r="N2402" s="9">
        <v>2023</v>
      </c>
      <c r="O2402" s="9" t="s">
        <v>11917</v>
      </c>
      <c r="P2402" s="9" t="s">
        <v>53</v>
      </c>
      <c r="Q2402" s="9" t="s">
        <v>53</v>
      </c>
      <c r="R2402" s="9" t="s">
        <v>12122</v>
      </c>
      <c r="S2402" s="9"/>
      <c r="T2402" s="9"/>
      <c r="V2402" s="9"/>
      <c r="AC2402" s="9" t="s">
        <v>12123</v>
      </c>
      <c r="AE2402" s="9" t="s">
        <v>12124</v>
      </c>
      <c r="AH2402" s="9">
        <v>2303.79</v>
      </c>
      <c r="AI2402" s="9" t="s">
        <v>1999</v>
      </c>
      <c r="AJ2402" s="9" t="s">
        <v>301</v>
      </c>
      <c r="AK2402" s="23" t="str">
        <f t="shared" si="18"/>
        <v>2023GBP</v>
      </c>
      <c r="AL2402" s="23">
        <f>VLOOKUP(AK2402, Exchange_rates!$C:$D, 2, FALSE)</f>
        <v>1</v>
      </c>
      <c r="AM2402" s="26">
        <f t="shared" si="19"/>
        <v>2764.5479999999998</v>
      </c>
      <c r="AN2402" s="9"/>
      <c r="AO2402" s="9"/>
      <c r="AP2402" s="9"/>
      <c r="AQ2402" s="15" t="s">
        <v>49</v>
      </c>
      <c r="AR2402" t="s">
        <v>3781</v>
      </c>
      <c r="AS2402" s="16"/>
    </row>
    <row r="2403" spans="1:60" ht="14.5">
      <c r="A2403" s="9" t="s">
        <v>12125</v>
      </c>
      <c r="B2403" s="9" t="s">
        <v>12126</v>
      </c>
      <c r="C2403" s="9" t="s">
        <v>10166</v>
      </c>
      <c r="D2403" s="9" t="s">
        <v>2830</v>
      </c>
      <c r="E2403" s="9" t="s">
        <v>49</v>
      </c>
      <c r="F2403" s="9" t="s">
        <v>69</v>
      </c>
      <c r="G2403" s="9" t="s">
        <v>70</v>
      </c>
      <c r="H2403" s="9" t="s">
        <v>7116</v>
      </c>
      <c r="I2403" s="9" t="s">
        <v>72</v>
      </c>
      <c r="J2403" s="10">
        <v>45182</v>
      </c>
      <c r="K2403" s="10">
        <v>45247</v>
      </c>
      <c r="L2403" s="10">
        <v>45271</v>
      </c>
      <c r="M2403" s="10">
        <v>45272</v>
      </c>
      <c r="N2403" s="9">
        <v>2023</v>
      </c>
      <c r="O2403" s="9" t="s">
        <v>11917</v>
      </c>
      <c r="P2403" s="9" t="s">
        <v>83</v>
      </c>
      <c r="Q2403" s="9" t="s">
        <v>53</v>
      </c>
      <c r="R2403" s="9" t="s">
        <v>1847</v>
      </c>
      <c r="S2403" s="9"/>
      <c r="T2403" s="9"/>
      <c r="V2403" s="9"/>
      <c r="AC2403" s="9" t="s">
        <v>8271</v>
      </c>
      <c r="AD2403" s="46" t="s">
        <v>12127</v>
      </c>
      <c r="AE2403" s="9" t="s">
        <v>12128</v>
      </c>
      <c r="AH2403" s="9">
        <v>2303.79</v>
      </c>
      <c r="AI2403" s="9" t="s">
        <v>1999</v>
      </c>
      <c r="AJ2403" s="9" t="s">
        <v>301</v>
      </c>
      <c r="AK2403" s="23" t="str">
        <f t="shared" si="18"/>
        <v>2023GBP</v>
      </c>
      <c r="AL2403" s="23">
        <f>VLOOKUP(AK2403, Exchange_rates!$C:$D, 2, FALSE)</f>
        <v>1</v>
      </c>
      <c r="AM2403" s="26">
        <f t="shared" si="19"/>
        <v>2764.5479999999998</v>
      </c>
      <c r="AN2403" s="9"/>
      <c r="AO2403" s="9"/>
      <c r="AP2403" s="9"/>
      <c r="AQ2403" s="15" t="s">
        <v>49</v>
      </c>
      <c r="AR2403" t="s">
        <v>10171</v>
      </c>
      <c r="AS2403" s="16"/>
    </row>
    <row r="2404" spans="1:60" ht="14.5">
      <c r="A2404" s="9" t="s">
        <v>12129</v>
      </c>
      <c r="B2404" s="9" t="s">
        <v>12130</v>
      </c>
      <c r="C2404" s="9" t="s">
        <v>2973</v>
      </c>
      <c r="D2404" s="9" t="s">
        <v>2830</v>
      </c>
      <c r="E2404" s="9" t="s">
        <v>49</v>
      </c>
      <c r="F2404" s="9" t="s">
        <v>69</v>
      </c>
      <c r="G2404" s="9" t="s">
        <v>70</v>
      </c>
      <c r="H2404" s="9" t="s">
        <v>12131</v>
      </c>
      <c r="I2404" s="9" t="s">
        <v>72</v>
      </c>
      <c r="J2404" s="10"/>
      <c r="K2404" s="10"/>
      <c r="L2404" s="10">
        <v>45299</v>
      </c>
      <c r="M2404" s="10"/>
      <c r="N2404" s="9">
        <v>2024</v>
      </c>
      <c r="O2404" s="9" t="s">
        <v>11917</v>
      </c>
      <c r="P2404" s="9" t="s">
        <v>53</v>
      </c>
      <c r="Q2404" s="9" t="s">
        <v>83</v>
      </c>
      <c r="R2404" s="9" t="s">
        <v>12132</v>
      </c>
      <c r="S2404" s="9"/>
      <c r="T2404" s="9"/>
      <c r="V2404" s="9"/>
      <c r="AC2404" s="9" t="s">
        <v>12133</v>
      </c>
      <c r="AD2404" s="46" t="s">
        <v>12134</v>
      </c>
      <c r="AE2404" s="9" t="s">
        <v>12135</v>
      </c>
      <c r="AH2404" s="9">
        <v>2690</v>
      </c>
      <c r="AI2404" s="9" t="s">
        <v>875</v>
      </c>
      <c r="AJ2404" s="9" t="s">
        <v>301</v>
      </c>
      <c r="AK2404" s="23" t="str">
        <f t="shared" si="18"/>
        <v>2024GBP</v>
      </c>
      <c r="AL2404" s="23">
        <f>VLOOKUP(AK2404, Exchange_rates!$C:$D, 2, FALSE)</f>
        <v>1</v>
      </c>
      <c r="AM2404" s="26">
        <f t="shared" si="19"/>
        <v>3228</v>
      </c>
      <c r="AN2404" s="9"/>
      <c r="AO2404" s="9"/>
      <c r="AP2404" s="9"/>
      <c r="AQ2404" s="15" t="s">
        <v>49</v>
      </c>
      <c r="AR2404" t="s">
        <v>2974</v>
      </c>
      <c r="AS2404" s="16"/>
    </row>
    <row r="2405" spans="1:60" ht="14.5">
      <c r="A2405" s="9" t="s">
        <v>12136</v>
      </c>
      <c r="B2405" s="9" t="s">
        <v>12137</v>
      </c>
      <c r="C2405" s="9" t="s">
        <v>12138</v>
      </c>
      <c r="D2405" s="9" t="s">
        <v>2830</v>
      </c>
      <c r="E2405" s="20" t="s">
        <v>125</v>
      </c>
      <c r="F2405" s="9" t="s">
        <v>69</v>
      </c>
      <c r="G2405" s="9" t="s">
        <v>51</v>
      </c>
      <c r="H2405" s="9"/>
      <c r="I2405" s="9" t="s">
        <v>72</v>
      </c>
      <c r="J2405" s="10">
        <v>45184</v>
      </c>
      <c r="K2405" s="10">
        <v>45236</v>
      </c>
      <c r="L2405" s="10">
        <v>45239</v>
      </c>
      <c r="M2405" s="10">
        <v>45240</v>
      </c>
      <c r="N2405" s="9">
        <v>2024</v>
      </c>
      <c r="O2405" s="9" t="s">
        <v>11917</v>
      </c>
      <c r="P2405" s="9" t="s">
        <v>83</v>
      </c>
      <c r="Q2405" s="9" t="s">
        <v>53</v>
      </c>
      <c r="R2405" s="9" t="s">
        <v>12139</v>
      </c>
      <c r="S2405" s="9"/>
      <c r="T2405" s="9" t="s">
        <v>279</v>
      </c>
      <c r="U2405" s="9" t="s">
        <v>11918</v>
      </c>
      <c r="V2405" s="9"/>
      <c r="AC2405" s="9" t="s">
        <v>12140</v>
      </c>
      <c r="AE2405" s="9" t="s">
        <v>12141</v>
      </c>
      <c r="AH2405" s="9">
        <v>2590</v>
      </c>
      <c r="AI2405" s="9" t="s">
        <v>77</v>
      </c>
      <c r="AJ2405" s="9" t="s">
        <v>301</v>
      </c>
      <c r="AK2405" s="23" t="str">
        <f t="shared" si="18"/>
        <v>2024GBP</v>
      </c>
      <c r="AL2405" s="23">
        <f>VLOOKUP(AK2405, Exchange_rates!$C:$D, 2, FALSE)</f>
        <v>1</v>
      </c>
      <c r="AM2405" s="26">
        <f t="shared" si="19"/>
        <v>3108</v>
      </c>
      <c r="AN2405" s="9"/>
      <c r="AO2405" s="9"/>
      <c r="AP2405" s="20"/>
      <c r="AQ2405" s="27" t="s">
        <v>125</v>
      </c>
      <c r="AR2405" t="s">
        <v>12142</v>
      </c>
      <c r="AS2405" s="16" t="s">
        <v>12143</v>
      </c>
    </row>
    <row r="2406" spans="1:60" ht="14.5">
      <c r="A2406" s="20" t="s">
        <v>12144</v>
      </c>
      <c r="B2406" s="20" t="s">
        <v>12145</v>
      </c>
      <c r="C2406" s="20" t="s">
        <v>3178</v>
      </c>
      <c r="D2406" s="20" t="s">
        <v>2830</v>
      </c>
      <c r="E2406" s="20" t="s">
        <v>49</v>
      </c>
      <c r="F2406" s="20" t="s">
        <v>69</v>
      </c>
      <c r="G2406" s="20" t="s">
        <v>70</v>
      </c>
      <c r="H2406" s="20" t="s">
        <v>12131</v>
      </c>
      <c r="I2406" s="20" t="s">
        <v>72</v>
      </c>
      <c r="J2406" s="22"/>
      <c r="K2406" s="22"/>
      <c r="L2406" s="22">
        <v>45299</v>
      </c>
      <c r="M2406" s="22"/>
      <c r="N2406" s="20">
        <v>2024</v>
      </c>
      <c r="O2406" s="20" t="s">
        <v>11917</v>
      </c>
      <c r="P2406" s="20" t="s">
        <v>83</v>
      </c>
      <c r="Q2406" s="20" t="s">
        <v>53</v>
      </c>
      <c r="R2406" s="20" t="s">
        <v>4005</v>
      </c>
      <c r="S2406" s="20"/>
      <c r="T2406" s="20"/>
      <c r="U2406" s="20"/>
      <c r="V2406" s="20"/>
      <c r="W2406" s="20"/>
      <c r="X2406" s="20"/>
      <c r="Y2406" s="20"/>
      <c r="Z2406" s="20"/>
      <c r="AA2406" s="20"/>
      <c r="AB2406" s="20"/>
      <c r="AC2406" s="20" t="s">
        <v>10180</v>
      </c>
      <c r="AD2406" s="20"/>
      <c r="AE2406" s="20" t="s">
        <v>12146</v>
      </c>
      <c r="AF2406" s="20"/>
      <c r="AG2406" s="20"/>
      <c r="AH2406" s="20">
        <v>2390</v>
      </c>
      <c r="AI2406" s="20" t="s">
        <v>875</v>
      </c>
      <c r="AJ2406" s="20" t="s">
        <v>301</v>
      </c>
      <c r="AK2406" s="23" t="str">
        <f t="shared" si="18"/>
        <v>2024GBP</v>
      </c>
      <c r="AL2406" s="23">
        <f>VLOOKUP(AK2406, Exchange_rates!$C:$D, 2, FALSE)</f>
        <v>1</v>
      </c>
      <c r="AM2406" s="26">
        <f t="shared" si="19"/>
        <v>2868</v>
      </c>
      <c r="AN2406" s="20"/>
      <c r="AO2406" s="20"/>
      <c r="AP2406" s="20"/>
      <c r="AQ2406" s="27" t="s">
        <v>49</v>
      </c>
      <c r="AR2406" t="s">
        <v>3179</v>
      </c>
      <c r="AS2406" s="16"/>
      <c r="AT2406" s="20"/>
      <c r="AU2406" s="20"/>
      <c r="AV2406" s="20"/>
      <c r="AW2406" s="20"/>
      <c r="AX2406" s="20"/>
      <c r="AY2406" s="20"/>
      <c r="AZ2406" s="20"/>
      <c r="BA2406" s="20"/>
      <c r="BB2406" s="20"/>
      <c r="BC2406" s="20"/>
      <c r="BD2406" s="20"/>
      <c r="BE2406" s="20"/>
      <c r="BF2406" s="20"/>
      <c r="BG2406" s="20"/>
      <c r="BH2406" s="20"/>
    </row>
    <row r="2407" spans="1:60" ht="14.5">
      <c r="A2407" s="9" t="s">
        <v>12147</v>
      </c>
      <c r="B2407" s="9" t="s">
        <v>12148</v>
      </c>
      <c r="C2407" s="9" t="s">
        <v>11916</v>
      </c>
      <c r="D2407" s="20" t="s">
        <v>2830</v>
      </c>
      <c r="E2407" s="9" t="s">
        <v>125</v>
      </c>
      <c r="F2407" s="9" t="s">
        <v>69</v>
      </c>
      <c r="G2407" s="9" t="s">
        <v>51</v>
      </c>
      <c r="H2407" s="9"/>
      <c r="I2407" s="9" t="s">
        <v>72</v>
      </c>
      <c r="J2407" s="10"/>
      <c r="K2407" s="10"/>
      <c r="L2407" s="50">
        <v>45201</v>
      </c>
      <c r="M2407" s="10"/>
      <c r="N2407" s="9">
        <v>2023</v>
      </c>
      <c r="O2407" s="9" t="s">
        <v>12149</v>
      </c>
      <c r="P2407" s="9" t="s">
        <v>53</v>
      </c>
      <c r="Q2407" s="9" t="s">
        <v>53</v>
      </c>
      <c r="R2407" s="9" t="s">
        <v>12122</v>
      </c>
      <c r="S2407" s="9" t="s">
        <v>12150</v>
      </c>
      <c r="T2407" s="9" t="s">
        <v>279</v>
      </c>
      <c r="U2407" s="9" t="s">
        <v>12151</v>
      </c>
      <c r="V2407" s="9"/>
      <c r="AC2407" s="9" t="s">
        <v>12152</v>
      </c>
      <c r="AF2407" s="9" t="s">
        <v>12153</v>
      </c>
      <c r="AH2407" s="9">
        <v>1690</v>
      </c>
      <c r="AI2407" s="9" t="s">
        <v>77</v>
      </c>
      <c r="AJ2407" s="9" t="s">
        <v>301</v>
      </c>
      <c r="AK2407" s="23" t="str">
        <f t="shared" si="18"/>
        <v>2023GBP</v>
      </c>
      <c r="AL2407" s="23">
        <f>VLOOKUP(AK2407, Exchange_rates!$C:$D, 2, FALSE)</f>
        <v>1</v>
      </c>
      <c r="AM2407" s="26">
        <f t="shared" si="19"/>
        <v>2028</v>
      </c>
      <c r="AN2407" s="9"/>
      <c r="AO2407" s="9"/>
      <c r="AP2407" s="9"/>
      <c r="AQ2407" s="15" t="s">
        <v>125</v>
      </c>
      <c r="AR2407" t="s">
        <v>11921</v>
      </c>
      <c r="AS2407" s="16"/>
    </row>
    <row r="2408" spans="1:60" ht="18" customHeight="1">
      <c r="A2408" s="9" t="s">
        <v>12154</v>
      </c>
      <c r="B2408" s="9" t="s">
        <v>12155</v>
      </c>
      <c r="C2408" s="9" t="s">
        <v>12156</v>
      </c>
      <c r="D2408" s="20" t="s">
        <v>2830</v>
      </c>
      <c r="E2408" s="9" t="s">
        <v>125</v>
      </c>
      <c r="F2408" s="9" t="s">
        <v>69</v>
      </c>
      <c r="G2408" s="9" t="s">
        <v>51</v>
      </c>
      <c r="H2408" s="9"/>
      <c r="I2408" s="9" t="s">
        <v>72</v>
      </c>
      <c r="J2408" s="10"/>
      <c r="K2408" s="10"/>
      <c r="L2408" s="50">
        <v>45196</v>
      </c>
      <c r="M2408" s="10"/>
      <c r="N2408" s="9">
        <v>2023</v>
      </c>
      <c r="O2408" s="9" t="s">
        <v>12149</v>
      </c>
      <c r="P2408" s="9" t="s">
        <v>53</v>
      </c>
      <c r="Q2408" s="9" t="s">
        <v>53</v>
      </c>
      <c r="R2408" s="9" t="s">
        <v>12157</v>
      </c>
      <c r="S2408" s="9" t="s">
        <v>12158</v>
      </c>
      <c r="T2408" s="9" t="s">
        <v>279</v>
      </c>
      <c r="U2408" s="9" t="s">
        <v>12151</v>
      </c>
      <c r="V2408" s="9"/>
      <c r="AC2408" s="9" t="s">
        <v>12159</v>
      </c>
      <c r="AF2408" s="9" t="s">
        <v>12160</v>
      </c>
      <c r="AH2408" s="9">
        <v>1990</v>
      </c>
      <c r="AI2408" s="9" t="s">
        <v>77</v>
      </c>
      <c r="AJ2408" s="9" t="s">
        <v>301</v>
      </c>
      <c r="AK2408" s="23" t="str">
        <f t="shared" si="18"/>
        <v>2023GBP</v>
      </c>
      <c r="AL2408" s="23">
        <f>VLOOKUP(AK2408, Exchange_rates!$C:$D, 2, FALSE)</f>
        <v>1</v>
      </c>
      <c r="AM2408" s="26">
        <f t="shared" si="19"/>
        <v>2388</v>
      </c>
      <c r="AN2408" s="9"/>
      <c r="AO2408" s="9"/>
      <c r="AP2408" s="9"/>
      <c r="AQ2408" s="15" t="s">
        <v>125</v>
      </c>
      <c r="AR2408" t="s">
        <v>12161</v>
      </c>
      <c r="AS2408" s="16"/>
    </row>
    <row r="2409" spans="1:60" ht="14.5">
      <c r="A2409" s="20" t="s">
        <v>12162</v>
      </c>
      <c r="B2409" s="20" t="s">
        <v>12163</v>
      </c>
      <c r="C2409" s="20" t="s">
        <v>12164</v>
      </c>
      <c r="D2409" s="20" t="s">
        <v>2830</v>
      </c>
      <c r="E2409" s="20" t="s">
        <v>125</v>
      </c>
      <c r="F2409" s="20" t="s">
        <v>69</v>
      </c>
      <c r="G2409" s="20" t="s">
        <v>51</v>
      </c>
      <c r="H2409" s="20"/>
      <c r="I2409" s="20" t="s">
        <v>72</v>
      </c>
      <c r="J2409" s="22"/>
      <c r="K2409" s="22"/>
      <c r="L2409" s="51">
        <v>45236</v>
      </c>
      <c r="M2409" s="22"/>
      <c r="N2409" s="20">
        <v>2023</v>
      </c>
      <c r="O2409" s="20" t="s">
        <v>12149</v>
      </c>
      <c r="P2409" s="20" t="s">
        <v>53</v>
      </c>
      <c r="Q2409" s="20" t="s">
        <v>53</v>
      </c>
      <c r="R2409" s="20" t="s">
        <v>8561</v>
      </c>
      <c r="S2409" s="20"/>
      <c r="T2409" s="20" t="s">
        <v>279</v>
      </c>
      <c r="U2409" s="20" t="s">
        <v>12151</v>
      </c>
      <c r="V2409" s="20"/>
      <c r="W2409" s="20"/>
      <c r="X2409" s="20"/>
      <c r="Y2409" s="20"/>
      <c r="Z2409" s="20"/>
      <c r="AA2409" s="20"/>
      <c r="AB2409" s="20"/>
      <c r="AC2409" s="20" t="s">
        <v>12165</v>
      </c>
      <c r="AD2409" s="20"/>
      <c r="AE2409" s="20"/>
      <c r="AF2409" s="20" t="s">
        <v>12166</v>
      </c>
      <c r="AG2409" s="20"/>
      <c r="AH2409" s="20">
        <v>1890</v>
      </c>
      <c r="AI2409" s="20" t="s">
        <v>77</v>
      </c>
      <c r="AJ2409" s="20" t="s">
        <v>301</v>
      </c>
      <c r="AK2409" s="23" t="str">
        <f t="shared" si="18"/>
        <v>2023GBP</v>
      </c>
      <c r="AL2409" s="23">
        <f>VLOOKUP(AK2409, Exchange_rates!$C:$D, 2, FALSE)</f>
        <v>1</v>
      </c>
      <c r="AM2409" s="26">
        <f t="shared" si="19"/>
        <v>2268</v>
      </c>
      <c r="AN2409" s="20"/>
      <c r="AO2409" s="20"/>
      <c r="AP2409" s="20"/>
      <c r="AQ2409" s="27" t="s">
        <v>125</v>
      </c>
      <c r="AR2409" t="s">
        <v>12167</v>
      </c>
      <c r="AS2409" s="16"/>
      <c r="AT2409" s="20"/>
      <c r="AU2409" s="20"/>
      <c r="AV2409" s="20"/>
      <c r="AW2409" s="20"/>
      <c r="AX2409" s="20"/>
      <c r="AY2409" s="20"/>
      <c r="AZ2409" s="20"/>
      <c r="BA2409" s="20"/>
      <c r="BB2409" s="20"/>
      <c r="BC2409" s="20"/>
      <c r="BD2409" s="20"/>
      <c r="BE2409" s="20"/>
      <c r="BF2409" s="20"/>
      <c r="BG2409" s="20"/>
      <c r="BH2409" s="20"/>
    </row>
    <row r="2410" spans="1:60" ht="14.5">
      <c r="A2410" s="9" t="s">
        <v>12168</v>
      </c>
      <c r="B2410" s="9" t="s">
        <v>12169</v>
      </c>
      <c r="C2410" s="9" t="s">
        <v>171</v>
      </c>
      <c r="D2410" s="9" t="s">
        <v>48</v>
      </c>
      <c r="E2410" s="9" t="s">
        <v>49</v>
      </c>
      <c r="F2410" s="9" t="s">
        <v>69</v>
      </c>
      <c r="G2410" s="9" t="s">
        <v>70</v>
      </c>
      <c r="H2410" s="9" t="s">
        <v>7292</v>
      </c>
      <c r="I2410" s="9" t="s">
        <v>72</v>
      </c>
      <c r="J2410" s="10">
        <v>45251</v>
      </c>
      <c r="K2410" s="10">
        <v>45286</v>
      </c>
      <c r="L2410" s="50">
        <v>45286</v>
      </c>
      <c r="M2410" s="10"/>
      <c r="N2410" s="9">
        <v>2023</v>
      </c>
      <c r="O2410" s="9" t="s">
        <v>12170</v>
      </c>
      <c r="P2410" s="9" t="s">
        <v>83</v>
      </c>
      <c r="Q2410" s="9" t="s">
        <v>53</v>
      </c>
      <c r="R2410" s="9" t="s">
        <v>12171</v>
      </c>
      <c r="S2410" s="9"/>
      <c r="T2410" s="9"/>
      <c r="V2410" s="9"/>
      <c r="AC2410" s="9" t="s">
        <v>7319</v>
      </c>
      <c r="AD2410" s="9" t="s">
        <v>6732</v>
      </c>
      <c r="AE2410" s="9" t="s">
        <v>6733</v>
      </c>
      <c r="AH2410" s="9">
        <v>4000</v>
      </c>
      <c r="AI2410" s="9" t="s">
        <v>77</v>
      </c>
      <c r="AJ2410" s="9" t="s">
        <v>57</v>
      </c>
      <c r="AK2410" s="23" t="str">
        <f t="shared" si="18"/>
        <v>2023USD</v>
      </c>
      <c r="AL2410" s="23">
        <f>VLOOKUP(AK2410, Exchange_rates!$C:$D, 2, FALSE)</f>
        <v>0.80430000000000001</v>
      </c>
      <c r="AM2410" s="26">
        <f t="shared" si="19"/>
        <v>3860.6400000000003</v>
      </c>
      <c r="AN2410" s="9"/>
      <c r="AO2410" s="9"/>
      <c r="AP2410" s="9"/>
      <c r="AQ2410" s="15" t="s">
        <v>49</v>
      </c>
      <c r="AR2410" t="s">
        <v>175</v>
      </c>
      <c r="AS2410" s="16"/>
    </row>
    <row r="2411" spans="1:60" ht="14.5">
      <c r="A2411" s="9" t="s">
        <v>12172</v>
      </c>
      <c r="B2411" s="9" t="s">
        <v>12173</v>
      </c>
      <c r="C2411" s="9" t="s">
        <v>171</v>
      </c>
      <c r="D2411" s="9" t="s">
        <v>48</v>
      </c>
      <c r="E2411" s="9" t="s">
        <v>49</v>
      </c>
      <c r="F2411" s="9" t="s">
        <v>69</v>
      </c>
      <c r="G2411" s="9" t="s">
        <v>70</v>
      </c>
      <c r="H2411" s="9" t="s">
        <v>7292</v>
      </c>
      <c r="I2411" s="9" t="s">
        <v>72</v>
      </c>
      <c r="J2411" s="10">
        <v>45238</v>
      </c>
      <c r="K2411" s="10">
        <v>45275</v>
      </c>
      <c r="L2411" s="50">
        <v>45275</v>
      </c>
      <c r="M2411" s="10"/>
      <c r="N2411" s="9">
        <v>2023</v>
      </c>
      <c r="O2411" s="9" t="s">
        <v>12170</v>
      </c>
      <c r="P2411" s="9" t="s">
        <v>83</v>
      </c>
      <c r="Q2411" s="9" t="s">
        <v>53</v>
      </c>
      <c r="R2411" s="9" t="s">
        <v>12174</v>
      </c>
      <c r="S2411" s="9"/>
      <c r="T2411" s="9"/>
      <c r="V2411" s="9"/>
      <c r="AC2411" s="9" t="s">
        <v>85</v>
      </c>
      <c r="AD2411" s="9" t="s">
        <v>86</v>
      </c>
      <c r="AE2411" s="9" t="s">
        <v>5899</v>
      </c>
      <c r="AH2411" s="9">
        <v>4000</v>
      </c>
      <c r="AI2411" s="9" t="s">
        <v>77</v>
      </c>
      <c r="AJ2411" s="9" t="s">
        <v>57</v>
      </c>
      <c r="AK2411" s="23" t="str">
        <f t="shared" si="18"/>
        <v>2023USD</v>
      </c>
      <c r="AL2411" s="23">
        <f>VLOOKUP(AK2411, Exchange_rates!$C:$D, 2, FALSE)</f>
        <v>0.80430000000000001</v>
      </c>
      <c r="AM2411" s="26">
        <f t="shared" si="19"/>
        <v>3860.6400000000003</v>
      </c>
      <c r="AN2411" s="9"/>
      <c r="AO2411" s="9"/>
      <c r="AP2411" s="9"/>
      <c r="AQ2411" s="15" t="s">
        <v>49</v>
      </c>
      <c r="AR2411" t="s">
        <v>175</v>
      </c>
      <c r="AS2411" s="16"/>
    </row>
    <row r="2412" spans="1:60" ht="14.5">
      <c r="A2412" s="9" t="s">
        <v>12175</v>
      </c>
      <c r="B2412" s="9" t="s">
        <v>12176</v>
      </c>
      <c r="C2412" s="9" t="s">
        <v>82</v>
      </c>
      <c r="D2412" s="9" t="s">
        <v>48</v>
      </c>
      <c r="E2412" s="9" t="s">
        <v>49</v>
      </c>
      <c r="F2412" s="9" t="s">
        <v>69</v>
      </c>
      <c r="G2412" s="9" t="s">
        <v>70</v>
      </c>
      <c r="H2412" s="9" t="s">
        <v>7292</v>
      </c>
      <c r="I2412" s="9" t="s">
        <v>72</v>
      </c>
      <c r="J2412" s="10">
        <v>45195</v>
      </c>
      <c r="K2412" s="10">
        <v>45274</v>
      </c>
      <c r="L2412" s="50">
        <v>45274</v>
      </c>
      <c r="M2412" s="10"/>
      <c r="N2412" s="9">
        <v>2023</v>
      </c>
      <c r="O2412" s="9" t="s">
        <v>12170</v>
      </c>
      <c r="P2412" s="9" t="s">
        <v>53</v>
      </c>
      <c r="Q2412" s="9" t="s">
        <v>53</v>
      </c>
      <c r="R2412" s="9" t="s">
        <v>12177</v>
      </c>
      <c r="S2412" s="9"/>
      <c r="T2412" s="9"/>
      <c r="V2412" s="9"/>
      <c r="AC2412" s="9" t="s">
        <v>12178</v>
      </c>
      <c r="AD2412" s="9" t="s">
        <v>12179</v>
      </c>
      <c r="AE2412" s="9" t="s">
        <v>6001</v>
      </c>
      <c r="AH2412" s="9">
        <v>4000</v>
      </c>
      <c r="AI2412" s="9" t="s">
        <v>77</v>
      </c>
      <c r="AJ2412" s="9" t="s">
        <v>57</v>
      </c>
      <c r="AK2412" s="23" t="str">
        <f t="shared" si="18"/>
        <v>2023USD</v>
      </c>
      <c r="AL2412" s="23">
        <f>VLOOKUP(AK2412, Exchange_rates!$C:$D, 2, FALSE)</f>
        <v>0.80430000000000001</v>
      </c>
      <c r="AM2412" s="26">
        <f t="shared" si="19"/>
        <v>3860.6400000000003</v>
      </c>
      <c r="AN2412" s="9"/>
      <c r="AO2412" s="9"/>
      <c r="AP2412" s="9"/>
      <c r="AQ2412" s="15" t="s">
        <v>49</v>
      </c>
      <c r="AR2412" t="s">
        <v>87</v>
      </c>
      <c r="AS2412" s="16" t="s">
        <v>88</v>
      </c>
    </row>
    <row r="2413" spans="1:60" ht="14.5">
      <c r="A2413" s="9" t="s">
        <v>12180</v>
      </c>
      <c r="B2413" s="9" t="s">
        <v>12181</v>
      </c>
      <c r="C2413" s="9" t="s">
        <v>139</v>
      </c>
      <c r="D2413" s="9" t="s">
        <v>48</v>
      </c>
      <c r="E2413" s="9" t="s">
        <v>49</v>
      </c>
      <c r="F2413" s="9" t="s">
        <v>69</v>
      </c>
      <c r="G2413" s="9" t="s">
        <v>70</v>
      </c>
      <c r="H2413" s="9" t="s">
        <v>7292</v>
      </c>
      <c r="I2413" s="9" t="s">
        <v>72</v>
      </c>
      <c r="J2413" s="10">
        <v>45173</v>
      </c>
      <c r="K2413" s="10">
        <v>45268</v>
      </c>
      <c r="L2413" s="50">
        <v>45268</v>
      </c>
      <c r="M2413" s="10"/>
      <c r="N2413" s="9">
        <v>2023</v>
      </c>
      <c r="O2413" s="9" t="s">
        <v>12170</v>
      </c>
      <c r="P2413" s="9" t="s">
        <v>53</v>
      </c>
      <c r="Q2413" s="9" t="s">
        <v>53</v>
      </c>
      <c r="R2413" s="9" t="s">
        <v>12182</v>
      </c>
      <c r="S2413" s="9"/>
      <c r="T2413" s="9"/>
      <c r="V2413" s="9"/>
      <c r="AC2413" s="9" t="s">
        <v>141</v>
      </c>
      <c r="AD2413" s="9" t="s">
        <v>142</v>
      </c>
      <c r="AE2413" s="9" t="s">
        <v>8992</v>
      </c>
      <c r="AH2413" s="9">
        <v>4000</v>
      </c>
      <c r="AI2413" s="9" t="s">
        <v>77</v>
      </c>
      <c r="AJ2413" s="9" t="s">
        <v>57</v>
      </c>
      <c r="AK2413" s="23" t="str">
        <f t="shared" si="18"/>
        <v>2023USD</v>
      </c>
      <c r="AL2413" s="23">
        <f>VLOOKUP(AK2413, Exchange_rates!$C:$D, 2, FALSE)</f>
        <v>0.80430000000000001</v>
      </c>
      <c r="AM2413" s="26">
        <f t="shared" si="19"/>
        <v>3860.6400000000003</v>
      </c>
      <c r="AN2413" s="9"/>
      <c r="AO2413" s="9"/>
      <c r="AP2413" s="9"/>
      <c r="AQ2413" s="15" t="s">
        <v>49</v>
      </c>
      <c r="AR2413" t="s">
        <v>143</v>
      </c>
      <c r="AS2413" s="16" t="s">
        <v>144</v>
      </c>
    </row>
    <row r="2414" spans="1:60" ht="14.5">
      <c r="A2414" s="9" t="s">
        <v>12183</v>
      </c>
      <c r="B2414" s="9" t="s">
        <v>12184</v>
      </c>
      <c r="C2414" s="9" t="s">
        <v>12185</v>
      </c>
      <c r="D2414" s="9" t="s">
        <v>48</v>
      </c>
      <c r="E2414" s="9" t="s">
        <v>49</v>
      </c>
      <c r="F2414" s="9" t="s">
        <v>69</v>
      </c>
      <c r="G2414" s="9" t="s">
        <v>70</v>
      </c>
      <c r="H2414" s="9" t="s">
        <v>7292</v>
      </c>
      <c r="I2414" s="9" t="s">
        <v>72</v>
      </c>
      <c r="J2414" s="10">
        <v>45169</v>
      </c>
      <c r="K2414" s="10">
        <v>45266</v>
      </c>
      <c r="L2414" s="50">
        <v>45266</v>
      </c>
      <c r="M2414" s="10"/>
      <c r="N2414" s="9">
        <v>2023</v>
      </c>
      <c r="O2414" s="9" t="s">
        <v>12170</v>
      </c>
      <c r="P2414" s="9" t="s">
        <v>83</v>
      </c>
      <c r="Q2414" s="9" t="s">
        <v>83</v>
      </c>
      <c r="R2414" s="9" t="s">
        <v>12186</v>
      </c>
      <c r="S2414" s="9"/>
      <c r="T2414" s="9"/>
      <c r="V2414" s="9"/>
      <c r="AC2414" s="9" t="s">
        <v>10343</v>
      </c>
      <c r="AD2414" s="9" t="s">
        <v>10344</v>
      </c>
      <c r="AE2414" s="9" t="s">
        <v>12187</v>
      </c>
      <c r="AH2414" s="9">
        <v>4000</v>
      </c>
      <c r="AI2414" s="9" t="s">
        <v>77</v>
      </c>
      <c r="AJ2414" s="9" t="s">
        <v>57</v>
      </c>
      <c r="AK2414" s="23" t="str">
        <f t="shared" si="18"/>
        <v>2023USD</v>
      </c>
      <c r="AL2414" s="23">
        <f>VLOOKUP(AK2414, Exchange_rates!$C:$D, 2, FALSE)</f>
        <v>0.80430000000000001</v>
      </c>
      <c r="AM2414" s="26">
        <f t="shared" si="19"/>
        <v>3860.6400000000003</v>
      </c>
      <c r="AN2414" s="9"/>
      <c r="AO2414" s="9"/>
      <c r="AP2414" s="9"/>
      <c r="AQ2414" s="15" t="s">
        <v>49</v>
      </c>
      <c r="AR2414" t="s">
        <v>12188</v>
      </c>
      <c r="AS2414" s="16" t="s">
        <v>12189</v>
      </c>
    </row>
    <row r="2415" spans="1:60" ht="14.5">
      <c r="A2415" s="9" t="s">
        <v>12190</v>
      </c>
      <c r="B2415" s="9" t="s">
        <v>12191</v>
      </c>
      <c r="C2415" s="9" t="s">
        <v>12192</v>
      </c>
      <c r="D2415" s="9" t="s">
        <v>48</v>
      </c>
      <c r="E2415" s="9" t="s">
        <v>49</v>
      </c>
      <c r="F2415" s="9" t="s">
        <v>69</v>
      </c>
      <c r="G2415" s="9" t="s">
        <v>70</v>
      </c>
      <c r="H2415" s="9" t="s">
        <v>7292</v>
      </c>
      <c r="I2415" s="9" t="s">
        <v>72</v>
      </c>
      <c r="J2415" s="10">
        <v>45156</v>
      </c>
      <c r="K2415" s="10">
        <v>45222</v>
      </c>
      <c r="L2415" s="50">
        <v>45222</v>
      </c>
      <c r="M2415" s="10"/>
      <c r="N2415" s="9">
        <v>2023</v>
      </c>
      <c r="O2415" s="9" t="s">
        <v>12170</v>
      </c>
      <c r="P2415" s="9" t="s">
        <v>83</v>
      </c>
      <c r="Q2415" s="9" t="s">
        <v>53</v>
      </c>
      <c r="R2415" s="9" t="s">
        <v>12193</v>
      </c>
      <c r="S2415" s="9"/>
      <c r="T2415" s="9"/>
      <c r="V2415" s="9"/>
      <c r="AC2415" s="9" t="s">
        <v>179</v>
      </c>
      <c r="AD2415" s="9" t="s">
        <v>180</v>
      </c>
      <c r="AE2415" s="9" t="s">
        <v>9002</v>
      </c>
      <c r="AH2415" s="9">
        <v>4000</v>
      </c>
      <c r="AI2415" s="9" t="s">
        <v>77</v>
      </c>
      <c r="AJ2415" s="9" t="s">
        <v>57</v>
      </c>
      <c r="AK2415" s="23" t="str">
        <f t="shared" si="18"/>
        <v>2023USD</v>
      </c>
      <c r="AL2415" s="23">
        <f>VLOOKUP(AK2415, Exchange_rates!$C:$D, 2, FALSE)</f>
        <v>0.80430000000000001</v>
      </c>
      <c r="AM2415" s="26">
        <f t="shared" si="19"/>
        <v>3860.6400000000003</v>
      </c>
      <c r="AN2415" s="9"/>
      <c r="AO2415" s="9"/>
      <c r="AP2415" s="9"/>
      <c r="AQ2415" s="15" t="s">
        <v>49</v>
      </c>
      <c r="AR2415" t="s">
        <v>12194</v>
      </c>
      <c r="AS2415" s="16" t="s">
        <v>12195</v>
      </c>
    </row>
    <row r="2416" spans="1:60" ht="14.5">
      <c r="A2416" s="9" t="s">
        <v>12196</v>
      </c>
      <c r="B2416" s="9" t="s">
        <v>12197</v>
      </c>
      <c r="C2416" s="9" t="s">
        <v>82</v>
      </c>
      <c r="D2416" s="9" t="s">
        <v>48</v>
      </c>
      <c r="E2416" s="9" t="s">
        <v>49</v>
      </c>
      <c r="F2416" s="9" t="s">
        <v>69</v>
      </c>
      <c r="G2416" s="9" t="s">
        <v>70</v>
      </c>
      <c r="H2416" s="9" t="s">
        <v>7292</v>
      </c>
      <c r="I2416" s="9" t="s">
        <v>72</v>
      </c>
      <c r="J2416" s="10">
        <v>45118</v>
      </c>
      <c r="K2416" s="10">
        <v>45216</v>
      </c>
      <c r="L2416" s="50">
        <v>45216</v>
      </c>
      <c r="M2416" s="10"/>
      <c r="N2416" s="9">
        <v>2023</v>
      </c>
      <c r="O2416" s="9" t="s">
        <v>12170</v>
      </c>
      <c r="P2416" s="9" t="s">
        <v>53</v>
      </c>
      <c r="Q2416" s="9" t="s">
        <v>53</v>
      </c>
      <c r="S2416" s="9"/>
      <c r="T2416" s="9"/>
      <c r="V2416" s="9"/>
      <c r="AC2416" s="9" t="s">
        <v>7307</v>
      </c>
      <c r="AD2416" s="9" t="s">
        <v>7308</v>
      </c>
      <c r="AE2416" s="9" t="s">
        <v>5675</v>
      </c>
      <c r="AH2416" s="9">
        <v>4000</v>
      </c>
      <c r="AI2416" s="9" t="s">
        <v>77</v>
      </c>
      <c r="AJ2416" s="9" t="s">
        <v>57</v>
      </c>
      <c r="AK2416" s="23" t="str">
        <f t="shared" si="18"/>
        <v>2023USD</v>
      </c>
      <c r="AL2416" s="23">
        <f>VLOOKUP(AK2416, Exchange_rates!$C:$D, 2, FALSE)</f>
        <v>0.80430000000000001</v>
      </c>
      <c r="AM2416" s="26">
        <f t="shared" si="19"/>
        <v>3860.6400000000003</v>
      </c>
      <c r="AN2416" s="9"/>
      <c r="AO2416" s="9"/>
      <c r="AP2416" s="9"/>
      <c r="AQ2416" s="15" t="s">
        <v>49</v>
      </c>
      <c r="AR2416" t="s">
        <v>87</v>
      </c>
      <c r="AS2416" s="16" t="s">
        <v>88</v>
      </c>
    </row>
    <row r="2417" spans="1:60" ht="14.5">
      <c r="A2417" s="9" t="s">
        <v>12198</v>
      </c>
      <c r="B2417" s="9" t="s">
        <v>12199</v>
      </c>
      <c r="C2417" s="9" t="s">
        <v>12200</v>
      </c>
      <c r="D2417" s="9" t="s">
        <v>48</v>
      </c>
      <c r="E2417" s="9" t="s">
        <v>49</v>
      </c>
      <c r="F2417" s="9" t="s">
        <v>69</v>
      </c>
      <c r="G2417" s="9" t="s">
        <v>70</v>
      </c>
      <c r="H2417" s="9" t="s">
        <v>7292</v>
      </c>
      <c r="I2417" s="9" t="s">
        <v>72</v>
      </c>
      <c r="J2417" s="10">
        <v>45160</v>
      </c>
      <c r="K2417" s="10">
        <v>45215</v>
      </c>
      <c r="L2417" s="50">
        <v>45215</v>
      </c>
      <c r="M2417" s="10"/>
      <c r="N2417" s="9">
        <v>2023</v>
      </c>
      <c r="O2417" s="9" t="s">
        <v>12170</v>
      </c>
      <c r="P2417" s="9" t="s">
        <v>83</v>
      </c>
      <c r="Q2417" s="9" t="s">
        <v>83</v>
      </c>
      <c r="R2417" s="9" t="s">
        <v>12201</v>
      </c>
      <c r="S2417" s="9"/>
      <c r="T2417" s="9"/>
      <c r="V2417" s="9"/>
      <c r="AC2417" s="9" t="s">
        <v>12202</v>
      </c>
      <c r="AD2417" s="9" t="s">
        <v>12203</v>
      </c>
      <c r="AE2417" s="9" t="s">
        <v>12204</v>
      </c>
      <c r="AH2417" s="9">
        <v>4000</v>
      </c>
      <c r="AI2417" s="9" t="s">
        <v>77</v>
      </c>
      <c r="AJ2417" s="9" t="s">
        <v>57</v>
      </c>
      <c r="AK2417" s="23" t="str">
        <f t="shared" si="18"/>
        <v>2023USD</v>
      </c>
      <c r="AL2417" s="23">
        <f>VLOOKUP(AK2417, Exchange_rates!$C:$D, 2, FALSE)</f>
        <v>0.80430000000000001</v>
      </c>
      <c r="AM2417" s="26">
        <f t="shared" si="19"/>
        <v>3860.6400000000003</v>
      </c>
      <c r="AN2417" s="9"/>
      <c r="AO2417" s="9"/>
      <c r="AP2417" s="9"/>
      <c r="AQ2417" s="15" t="s">
        <v>49</v>
      </c>
      <c r="AR2417" t="s">
        <v>12205</v>
      </c>
      <c r="AS2417" s="16"/>
    </row>
    <row r="2418" spans="1:60" ht="14.5">
      <c r="A2418" s="9" t="s">
        <v>12206</v>
      </c>
      <c r="B2418" s="9" t="s">
        <v>12207</v>
      </c>
      <c r="C2418" s="9" t="s">
        <v>12208</v>
      </c>
      <c r="D2418" s="9" t="s">
        <v>48</v>
      </c>
      <c r="E2418" s="9" t="s">
        <v>49</v>
      </c>
      <c r="F2418" s="9" t="s">
        <v>69</v>
      </c>
      <c r="G2418" s="9" t="s">
        <v>70</v>
      </c>
      <c r="H2418" s="9" t="s">
        <v>7292</v>
      </c>
      <c r="I2418" s="9" t="s">
        <v>72</v>
      </c>
      <c r="J2418" s="10">
        <v>45006</v>
      </c>
      <c r="K2418" s="10">
        <v>45187</v>
      </c>
      <c r="L2418" s="50">
        <v>45187</v>
      </c>
      <c r="M2418" s="10"/>
      <c r="N2418" s="9">
        <v>2023</v>
      </c>
      <c r="O2418" s="9" t="s">
        <v>12170</v>
      </c>
      <c r="P2418" s="9" t="s">
        <v>83</v>
      </c>
      <c r="Q2418" s="9" t="s">
        <v>83</v>
      </c>
      <c r="R2418" s="9" t="s">
        <v>12209</v>
      </c>
      <c r="S2418" s="9"/>
      <c r="T2418" s="9"/>
      <c r="V2418" s="9"/>
      <c r="AC2418" s="9" t="s">
        <v>6055</v>
      </c>
      <c r="AD2418" s="9" t="s">
        <v>6056</v>
      </c>
      <c r="AE2418" s="9" t="s">
        <v>6057</v>
      </c>
      <c r="AH2418" s="9">
        <v>4000</v>
      </c>
      <c r="AI2418" s="9" t="s">
        <v>77</v>
      </c>
      <c r="AJ2418" s="9" t="s">
        <v>57</v>
      </c>
      <c r="AK2418" s="23" t="str">
        <f t="shared" si="18"/>
        <v>2023USD</v>
      </c>
      <c r="AL2418" s="23">
        <f>VLOOKUP(AK2418, Exchange_rates!$C:$D, 2, FALSE)</f>
        <v>0.80430000000000001</v>
      </c>
      <c r="AM2418" s="26">
        <f t="shared" si="19"/>
        <v>3860.6400000000003</v>
      </c>
      <c r="AN2418" s="9"/>
      <c r="AO2418" s="9"/>
      <c r="AP2418" s="9"/>
      <c r="AQ2418" s="15" t="s">
        <v>49</v>
      </c>
      <c r="AR2418" t="s">
        <v>12210</v>
      </c>
      <c r="AS2418" s="16" t="s">
        <v>12211</v>
      </c>
    </row>
    <row r="2419" spans="1:60" ht="14.5">
      <c r="A2419" s="9" t="s">
        <v>12212</v>
      </c>
      <c r="B2419" s="9" t="s">
        <v>12213</v>
      </c>
      <c r="C2419" s="9" t="s">
        <v>139</v>
      </c>
      <c r="D2419" s="9" t="s">
        <v>48</v>
      </c>
      <c r="E2419" s="9" t="s">
        <v>49</v>
      </c>
      <c r="F2419" s="9" t="s">
        <v>69</v>
      </c>
      <c r="G2419" s="9" t="s">
        <v>70</v>
      </c>
      <c r="H2419" s="9" t="s">
        <v>7292</v>
      </c>
      <c r="I2419" s="9" t="s">
        <v>72</v>
      </c>
      <c r="J2419" s="10">
        <v>45056</v>
      </c>
      <c r="K2419" s="10">
        <v>45170</v>
      </c>
      <c r="L2419" s="50">
        <v>45170</v>
      </c>
      <c r="M2419" s="10"/>
      <c r="N2419" s="9">
        <v>2023</v>
      </c>
      <c r="O2419" s="9" t="s">
        <v>12170</v>
      </c>
      <c r="P2419" s="9" t="s">
        <v>53</v>
      </c>
      <c r="Q2419" s="9" t="s">
        <v>53</v>
      </c>
      <c r="R2419" s="9" t="s">
        <v>12214</v>
      </c>
      <c r="S2419" s="9"/>
      <c r="T2419" s="9"/>
      <c r="V2419" s="9"/>
      <c r="AC2419" s="9" t="s">
        <v>141</v>
      </c>
      <c r="AD2419" s="9" t="s">
        <v>142</v>
      </c>
      <c r="AE2419" s="9" t="s">
        <v>8992</v>
      </c>
      <c r="AH2419" s="9">
        <v>4000</v>
      </c>
      <c r="AI2419" s="9" t="s">
        <v>77</v>
      </c>
      <c r="AJ2419" s="9" t="s">
        <v>57</v>
      </c>
      <c r="AK2419" s="23" t="str">
        <f t="shared" si="18"/>
        <v>2023USD</v>
      </c>
      <c r="AL2419" s="23">
        <f>VLOOKUP(AK2419, Exchange_rates!$C:$D, 2, FALSE)</f>
        <v>0.80430000000000001</v>
      </c>
      <c r="AM2419" s="26">
        <f t="shared" si="19"/>
        <v>3860.6400000000003</v>
      </c>
      <c r="AN2419" s="9"/>
      <c r="AO2419" s="9"/>
      <c r="AP2419" s="9"/>
      <c r="AQ2419" s="15" t="s">
        <v>49</v>
      </c>
      <c r="AR2419" t="s">
        <v>143</v>
      </c>
      <c r="AS2419" s="16" t="s">
        <v>144</v>
      </c>
    </row>
    <row r="2420" spans="1:60" ht="14.5">
      <c r="A2420" s="9" t="s">
        <v>12215</v>
      </c>
      <c r="B2420" s="9" t="s">
        <v>12216</v>
      </c>
      <c r="C2420" s="9" t="s">
        <v>82</v>
      </c>
      <c r="D2420" s="9" t="s">
        <v>48</v>
      </c>
      <c r="E2420" s="9" t="s">
        <v>49</v>
      </c>
      <c r="F2420" s="9" t="s">
        <v>69</v>
      </c>
      <c r="G2420" s="9" t="s">
        <v>70</v>
      </c>
      <c r="H2420" s="9" t="s">
        <v>7292</v>
      </c>
      <c r="I2420" s="9" t="s">
        <v>72</v>
      </c>
      <c r="J2420" s="10">
        <v>45099</v>
      </c>
      <c r="K2420" s="10">
        <v>45166</v>
      </c>
      <c r="L2420" s="50">
        <v>45166</v>
      </c>
      <c r="M2420" s="10"/>
      <c r="N2420" s="9">
        <v>2023</v>
      </c>
      <c r="O2420" s="9" t="s">
        <v>12170</v>
      </c>
      <c r="P2420" s="9" t="s">
        <v>83</v>
      </c>
      <c r="Q2420" s="9" t="s">
        <v>53</v>
      </c>
      <c r="R2420" s="9" t="s">
        <v>12217</v>
      </c>
      <c r="S2420" s="9"/>
      <c r="T2420" s="9"/>
      <c r="V2420" s="9"/>
      <c r="AC2420" s="9" t="s">
        <v>10612</v>
      </c>
      <c r="AD2420" s="9" t="s">
        <v>10613</v>
      </c>
      <c r="AE2420" s="9" t="s">
        <v>12218</v>
      </c>
      <c r="AH2420" s="9">
        <v>4000</v>
      </c>
      <c r="AI2420" s="9" t="s">
        <v>77</v>
      </c>
      <c r="AJ2420" s="9" t="s">
        <v>57</v>
      </c>
      <c r="AK2420" s="23" t="str">
        <f t="shared" si="18"/>
        <v>2023USD</v>
      </c>
      <c r="AL2420" s="23">
        <f>VLOOKUP(AK2420, Exchange_rates!$C:$D, 2, FALSE)</f>
        <v>0.80430000000000001</v>
      </c>
      <c r="AM2420" s="26">
        <f t="shared" si="19"/>
        <v>3860.6400000000003</v>
      </c>
      <c r="AN2420" s="9"/>
      <c r="AO2420" s="9"/>
      <c r="AP2420" s="9"/>
      <c r="AQ2420" s="15" t="s">
        <v>49</v>
      </c>
      <c r="AR2420" t="s">
        <v>87</v>
      </c>
      <c r="AS2420" s="16" t="s">
        <v>88</v>
      </c>
    </row>
    <row r="2421" spans="1:60" ht="14.5">
      <c r="A2421" s="9" t="s">
        <v>12219</v>
      </c>
      <c r="B2421" s="9" t="s">
        <v>12220</v>
      </c>
      <c r="C2421" s="9" t="s">
        <v>139</v>
      </c>
      <c r="D2421" s="9" t="s">
        <v>48</v>
      </c>
      <c r="E2421" s="9" t="s">
        <v>49</v>
      </c>
      <c r="F2421" s="9" t="s">
        <v>69</v>
      </c>
      <c r="G2421" s="9" t="s">
        <v>70</v>
      </c>
      <c r="H2421" s="9" t="s">
        <v>7292</v>
      </c>
      <c r="I2421" s="9" t="s">
        <v>72</v>
      </c>
      <c r="J2421" s="10">
        <v>45009</v>
      </c>
      <c r="K2421" s="10">
        <v>45163</v>
      </c>
      <c r="L2421" s="50">
        <v>45163</v>
      </c>
      <c r="M2421" s="10"/>
      <c r="N2421" s="9">
        <v>2023</v>
      </c>
      <c r="O2421" s="9" t="s">
        <v>12170</v>
      </c>
      <c r="P2421" s="9" t="s">
        <v>53</v>
      </c>
      <c r="Q2421" s="9" t="s">
        <v>53</v>
      </c>
      <c r="R2421" s="9" t="s">
        <v>12221</v>
      </c>
      <c r="S2421" s="9"/>
      <c r="T2421" s="9"/>
      <c r="V2421" s="9"/>
      <c r="AC2421" s="9" t="s">
        <v>141</v>
      </c>
      <c r="AD2421" s="9" t="s">
        <v>142</v>
      </c>
      <c r="AE2421" s="9" t="s">
        <v>8992</v>
      </c>
      <c r="AH2421" s="9">
        <v>4000</v>
      </c>
      <c r="AI2421" s="9" t="s">
        <v>77</v>
      </c>
      <c r="AJ2421" s="9" t="s">
        <v>57</v>
      </c>
      <c r="AK2421" s="23" t="str">
        <f t="shared" si="18"/>
        <v>2023USD</v>
      </c>
      <c r="AL2421" s="23">
        <f>VLOOKUP(AK2421, Exchange_rates!$C:$D, 2, FALSE)</f>
        <v>0.80430000000000001</v>
      </c>
      <c r="AM2421" s="26">
        <f t="shared" si="19"/>
        <v>3860.6400000000003</v>
      </c>
      <c r="AN2421" s="9"/>
      <c r="AO2421" s="9"/>
      <c r="AP2421" s="9"/>
      <c r="AQ2421" s="15" t="s">
        <v>49</v>
      </c>
      <c r="AR2421" t="s">
        <v>143</v>
      </c>
      <c r="AS2421" s="16" t="s">
        <v>144</v>
      </c>
    </row>
    <row r="2422" spans="1:60" ht="14.5">
      <c r="A2422" s="20" t="s">
        <v>12222</v>
      </c>
      <c r="B2422" s="20" t="s">
        <v>12223</v>
      </c>
      <c r="C2422" s="20" t="s">
        <v>12224</v>
      </c>
      <c r="D2422" s="20" t="s">
        <v>9922</v>
      </c>
      <c r="E2422" s="20" t="s">
        <v>49</v>
      </c>
      <c r="F2422" s="20" t="s">
        <v>69</v>
      </c>
      <c r="G2422" s="20" t="s">
        <v>70</v>
      </c>
      <c r="H2422" s="20" t="s">
        <v>12225</v>
      </c>
      <c r="I2422" s="20" t="s">
        <v>72</v>
      </c>
      <c r="J2422" s="22">
        <v>45072</v>
      </c>
      <c r="K2422" s="22">
        <v>45266</v>
      </c>
      <c r="L2422" s="51">
        <v>45266</v>
      </c>
      <c r="M2422" s="22">
        <v>45383</v>
      </c>
      <c r="N2422" s="20">
        <v>2024</v>
      </c>
      <c r="O2422" s="20" t="s">
        <v>12226</v>
      </c>
      <c r="P2422" s="20" t="s">
        <v>53</v>
      </c>
      <c r="Q2422" s="20" t="s">
        <v>53</v>
      </c>
      <c r="R2422" s="20" t="s">
        <v>10647</v>
      </c>
      <c r="S2422" s="20"/>
      <c r="T2422" s="20"/>
      <c r="U2422" s="20"/>
      <c r="V2422" s="20"/>
      <c r="W2422" s="20"/>
      <c r="X2422" s="20"/>
      <c r="Y2422" s="20"/>
      <c r="Z2422" s="20"/>
      <c r="AA2422" s="20"/>
      <c r="AB2422" s="20"/>
      <c r="AC2422" s="20" t="s">
        <v>826</v>
      </c>
      <c r="AD2422" s="20" t="s">
        <v>827</v>
      </c>
      <c r="AE2422" s="20" t="s">
        <v>9112</v>
      </c>
      <c r="AF2422" s="20"/>
      <c r="AG2422" s="20"/>
      <c r="AH2422" s="20">
        <v>3000</v>
      </c>
      <c r="AI2422" s="20" t="s">
        <v>77</v>
      </c>
      <c r="AJ2422" s="20" t="s">
        <v>57</v>
      </c>
      <c r="AK2422" s="23" t="str">
        <f t="shared" si="18"/>
        <v>2024USD</v>
      </c>
      <c r="AL2422" s="23">
        <f>VLOOKUP(AK2422, Exchange_rates!$C:$D, 2, FALSE)</f>
        <v>0.79079999999999995</v>
      </c>
      <c r="AM2422" s="26">
        <f t="shared" si="19"/>
        <v>2846.8799999999997</v>
      </c>
      <c r="AN2422" s="20"/>
      <c r="AO2422" s="20"/>
      <c r="AP2422" s="20"/>
      <c r="AQ2422" s="27" t="s">
        <v>49</v>
      </c>
      <c r="AR2422" t="s">
        <v>12227</v>
      </c>
      <c r="AS2422" s="16" t="s">
        <v>12228</v>
      </c>
      <c r="AT2422" s="20"/>
      <c r="AU2422" s="20"/>
      <c r="AV2422" s="20"/>
      <c r="AW2422" s="20"/>
      <c r="AX2422" s="20"/>
      <c r="AY2422" s="20"/>
      <c r="AZ2422" s="20"/>
      <c r="BA2422" s="20"/>
      <c r="BB2422" s="20"/>
      <c r="BC2422" s="20"/>
      <c r="BD2422" s="20"/>
      <c r="BE2422" s="20"/>
      <c r="BF2422" s="20"/>
      <c r="BG2422" s="20"/>
      <c r="BH2422" s="20"/>
    </row>
    <row r="2423" spans="1:60" ht="14.5">
      <c r="A2423" s="9" t="s">
        <v>12229</v>
      </c>
      <c r="B2423" s="9" t="s">
        <v>12230</v>
      </c>
      <c r="C2423" s="9" t="s">
        <v>12231</v>
      </c>
      <c r="D2423" s="9" t="s">
        <v>207</v>
      </c>
      <c r="E2423" s="9" t="s">
        <v>49</v>
      </c>
      <c r="F2423" s="9" t="s">
        <v>69</v>
      </c>
      <c r="G2423" s="9" t="s">
        <v>70</v>
      </c>
      <c r="H2423" s="9" t="s">
        <v>9935</v>
      </c>
      <c r="I2423" s="9" t="s">
        <v>72</v>
      </c>
      <c r="J2423" s="10"/>
      <c r="K2423" s="10"/>
      <c r="L2423" s="50">
        <v>45145</v>
      </c>
      <c r="M2423" s="10"/>
      <c r="N2423" s="9">
        <v>2023</v>
      </c>
      <c r="O2423" s="9" t="s">
        <v>12232</v>
      </c>
      <c r="P2423" s="9" t="s">
        <v>53</v>
      </c>
      <c r="Q2423" s="9" t="s">
        <v>53</v>
      </c>
      <c r="R2423" s="9" t="s">
        <v>12233</v>
      </c>
      <c r="S2423" s="9"/>
      <c r="T2423" s="9"/>
      <c r="V2423" s="9"/>
      <c r="AC2423" s="9" t="s">
        <v>12234</v>
      </c>
      <c r="AH2423" s="9">
        <v>2595</v>
      </c>
      <c r="AI2423" s="9" t="s">
        <v>875</v>
      </c>
      <c r="AJ2423" s="9" t="s">
        <v>57</v>
      </c>
      <c r="AK2423" s="23" t="str">
        <f t="shared" si="18"/>
        <v>2023USD</v>
      </c>
      <c r="AL2423" s="23">
        <f>VLOOKUP(AK2423, Exchange_rates!$C:$D, 2, FALSE)</f>
        <v>0.80430000000000001</v>
      </c>
      <c r="AM2423" s="26">
        <f t="shared" si="19"/>
        <v>2504.5902000000001</v>
      </c>
      <c r="AN2423" s="9"/>
      <c r="AO2423" s="9"/>
      <c r="AP2423" s="9"/>
      <c r="AQ2423" s="15" t="s">
        <v>49</v>
      </c>
      <c r="AR2423" t="s">
        <v>12235</v>
      </c>
      <c r="AS2423" s="16" t="s">
        <v>12236</v>
      </c>
    </row>
    <row r="2424" spans="1:60" ht="14.5">
      <c r="A2424" s="9" t="s">
        <v>12237</v>
      </c>
      <c r="B2424" s="9" t="s">
        <v>12238</v>
      </c>
      <c r="C2424" s="9" t="s">
        <v>12239</v>
      </c>
      <c r="D2424" s="9" t="s">
        <v>207</v>
      </c>
      <c r="E2424" s="9" t="s">
        <v>49</v>
      </c>
      <c r="F2424" s="9" t="s">
        <v>69</v>
      </c>
      <c r="G2424" s="9" t="s">
        <v>70</v>
      </c>
      <c r="H2424" s="9" t="s">
        <v>9935</v>
      </c>
      <c r="I2424" s="9" t="s">
        <v>72</v>
      </c>
      <c r="J2424" s="10"/>
      <c r="K2424" s="10"/>
      <c r="L2424" s="50">
        <v>45197</v>
      </c>
      <c r="M2424" s="10"/>
      <c r="N2424" s="9">
        <v>2023</v>
      </c>
      <c r="O2424" s="9" t="s">
        <v>12232</v>
      </c>
      <c r="P2424" s="9" t="s">
        <v>53</v>
      </c>
      <c r="Q2424" s="9" t="s">
        <v>53</v>
      </c>
      <c r="R2424" s="9" t="s">
        <v>12233</v>
      </c>
      <c r="S2424" s="9"/>
      <c r="T2424" s="9"/>
      <c r="V2424" s="9"/>
      <c r="AC2424" s="9" t="s">
        <v>12240</v>
      </c>
      <c r="AH2424" s="9">
        <v>2595</v>
      </c>
      <c r="AI2424" s="9" t="s">
        <v>875</v>
      </c>
      <c r="AJ2424" s="9" t="s">
        <v>57</v>
      </c>
      <c r="AK2424" s="23" t="str">
        <f t="shared" si="18"/>
        <v>2023USD</v>
      </c>
      <c r="AL2424" s="23">
        <f>VLOOKUP(AK2424, Exchange_rates!$C:$D, 2, FALSE)</f>
        <v>0.80430000000000001</v>
      </c>
      <c r="AM2424" s="26">
        <f t="shared" si="19"/>
        <v>2504.5902000000001</v>
      </c>
      <c r="AN2424" s="9"/>
      <c r="AO2424" s="9"/>
      <c r="AP2424" s="9"/>
      <c r="AQ2424" s="15" t="s">
        <v>49</v>
      </c>
      <c r="AR2424" t="s">
        <v>12241</v>
      </c>
      <c r="AS2424" s="16" t="s">
        <v>12242</v>
      </c>
    </row>
    <row r="2425" spans="1:60" ht="14.5">
      <c r="A2425" s="9" t="s">
        <v>12243</v>
      </c>
      <c r="B2425" s="9" t="s">
        <v>12244</v>
      </c>
      <c r="C2425" s="9" t="s">
        <v>12245</v>
      </c>
      <c r="D2425" s="9" t="s">
        <v>207</v>
      </c>
      <c r="E2425" s="9" t="s">
        <v>49</v>
      </c>
      <c r="F2425" s="9" t="s">
        <v>69</v>
      </c>
      <c r="G2425" s="9" t="s">
        <v>70</v>
      </c>
      <c r="H2425" s="9" t="s">
        <v>9935</v>
      </c>
      <c r="I2425" s="9" t="s">
        <v>72</v>
      </c>
      <c r="J2425" s="10"/>
      <c r="K2425" s="10"/>
      <c r="L2425" s="50">
        <v>45219</v>
      </c>
      <c r="M2425" s="10"/>
      <c r="N2425" s="9">
        <v>2023</v>
      </c>
      <c r="O2425" s="9" t="s">
        <v>12232</v>
      </c>
      <c r="P2425" s="9" t="s">
        <v>53</v>
      </c>
      <c r="Q2425" s="9" t="s">
        <v>53</v>
      </c>
      <c r="R2425" s="9" t="s">
        <v>12246</v>
      </c>
      <c r="S2425" s="9"/>
      <c r="T2425" s="9"/>
      <c r="V2425" s="9"/>
      <c r="AC2425" s="9" t="s">
        <v>12247</v>
      </c>
      <c r="AH2425" s="9">
        <v>2595</v>
      </c>
      <c r="AI2425" s="9" t="s">
        <v>875</v>
      </c>
      <c r="AJ2425" s="9" t="s">
        <v>57</v>
      </c>
      <c r="AK2425" s="23" t="str">
        <f t="shared" si="18"/>
        <v>2023USD</v>
      </c>
      <c r="AL2425" s="23">
        <f>VLOOKUP(AK2425, Exchange_rates!$C:$D, 2, FALSE)</f>
        <v>0.80430000000000001</v>
      </c>
      <c r="AM2425" s="26">
        <f t="shared" si="19"/>
        <v>2504.5902000000001</v>
      </c>
      <c r="AN2425" s="9"/>
      <c r="AO2425" s="9"/>
      <c r="AP2425" s="9"/>
      <c r="AQ2425" s="15" t="s">
        <v>49</v>
      </c>
      <c r="AR2425" t="s">
        <v>12248</v>
      </c>
      <c r="AS2425" s="16" t="s">
        <v>12249</v>
      </c>
    </row>
    <row r="2426" spans="1:60" ht="14.5">
      <c r="A2426" s="20" t="s">
        <v>12250</v>
      </c>
      <c r="B2426" s="20" t="s">
        <v>12251</v>
      </c>
      <c r="C2426" s="20" t="s">
        <v>12252</v>
      </c>
      <c r="D2426" s="20" t="s">
        <v>207</v>
      </c>
      <c r="E2426" s="20" t="s">
        <v>49</v>
      </c>
      <c r="F2426" s="20" t="s">
        <v>69</v>
      </c>
      <c r="G2426" s="20" t="s">
        <v>70</v>
      </c>
      <c r="H2426" s="20" t="s">
        <v>9935</v>
      </c>
      <c r="I2426" s="20" t="s">
        <v>72</v>
      </c>
      <c r="J2426" s="22"/>
      <c r="K2426" s="22"/>
      <c r="L2426" s="51">
        <v>45239</v>
      </c>
      <c r="M2426" s="22"/>
      <c r="N2426" s="20">
        <v>2023</v>
      </c>
      <c r="O2426" s="20" t="s">
        <v>12232</v>
      </c>
      <c r="P2426" s="20" t="s">
        <v>53</v>
      </c>
      <c r="Q2426" s="20" t="s">
        <v>53</v>
      </c>
      <c r="R2426" s="20" t="s">
        <v>12253</v>
      </c>
      <c r="S2426" s="20"/>
      <c r="T2426" s="20"/>
      <c r="U2426" s="20"/>
      <c r="V2426" s="20"/>
      <c r="W2426" s="20"/>
      <c r="X2426" s="20"/>
      <c r="Y2426" s="20"/>
      <c r="Z2426" s="20"/>
      <c r="AA2426" s="20"/>
      <c r="AB2426" s="20"/>
      <c r="AC2426" s="20" t="s">
        <v>12254</v>
      </c>
      <c r="AD2426" s="20"/>
      <c r="AE2426" s="20"/>
      <c r="AF2426" s="20"/>
      <c r="AG2426" s="20"/>
      <c r="AH2426" s="20">
        <v>2595</v>
      </c>
      <c r="AI2426" s="20" t="s">
        <v>875</v>
      </c>
      <c r="AJ2426" s="20" t="s">
        <v>57</v>
      </c>
      <c r="AK2426" s="23" t="str">
        <f t="shared" si="18"/>
        <v>2023USD</v>
      </c>
      <c r="AL2426" s="23">
        <f>VLOOKUP(AK2426, Exchange_rates!$C:$D, 2, FALSE)</f>
        <v>0.80430000000000001</v>
      </c>
      <c r="AM2426" s="26">
        <f t="shared" si="19"/>
        <v>2504.5902000000001</v>
      </c>
      <c r="AN2426" s="20"/>
      <c r="AO2426" s="20"/>
      <c r="AP2426" s="20"/>
      <c r="AQ2426" s="27" t="s">
        <v>49</v>
      </c>
      <c r="AR2426" t="s">
        <v>12255</v>
      </c>
      <c r="AS2426" s="16" t="s">
        <v>12256</v>
      </c>
      <c r="AT2426" s="20"/>
      <c r="AU2426" s="20"/>
      <c r="AV2426" s="20"/>
      <c r="AW2426" s="20"/>
      <c r="AX2426" s="20"/>
      <c r="AY2426" s="20"/>
      <c r="AZ2426" s="20"/>
      <c r="BA2426" s="20"/>
      <c r="BB2426" s="20"/>
      <c r="BC2426" s="20"/>
      <c r="BD2426" s="20"/>
      <c r="BE2426" s="20"/>
      <c r="BF2426" s="20"/>
      <c r="BG2426" s="20"/>
      <c r="BH2426" s="20"/>
    </row>
    <row r="2427" spans="1:60" ht="14.5">
      <c r="A2427" s="9" t="s">
        <v>12257</v>
      </c>
      <c r="B2427" s="9" t="s">
        <v>12258</v>
      </c>
      <c r="C2427" s="9" t="s">
        <v>12259</v>
      </c>
      <c r="D2427" s="9" t="s">
        <v>361</v>
      </c>
      <c r="E2427" s="9" t="s">
        <v>49</v>
      </c>
      <c r="F2427" s="9" t="s">
        <v>69</v>
      </c>
      <c r="G2427" s="20" t="s">
        <v>70</v>
      </c>
      <c r="H2427" s="9" t="s">
        <v>7424</v>
      </c>
      <c r="I2427" s="9" t="s">
        <v>72</v>
      </c>
      <c r="J2427" s="10">
        <v>45282</v>
      </c>
      <c r="K2427" s="10">
        <v>45293</v>
      </c>
      <c r="L2427" s="50">
        <v>45293</v>
      </c>
      <c r="M2427" s="10"/>
      <c r="N2427" s="9">
        <v>2023</v>
      </c>
      <c r="O2427" s="9" t="s">
        <v>12260</v>
      </c>
      <c r="P2427" s="9" t="s">
        <v>53</v>
      </c>
      <c r="Q2427" s="9" t="s">
        <v>53</v>
      </c>
      <c r="S2427" s="9"/>
      <c r="T2427" s="9"/>
      <c r="V2427" s="9"/>
      <c r="AC2427" s="9" t="s">
        <v>12261</v>
      </c>
      <c r="AH2427" s="9">
        <v>2110</v>
      </c>
      <c r="AI2427" s="9" t="s">
        <v>77</v>
      </c>
      <c r="AJ2427" s="9" t="s">
        <v>301</v>
      </c>
      <c r="AK2427" s="23" t="str">
        <f t="shared" si="18"/>
        <v>2023GBP</v>
      </c>
      <c r="AL2427" s="23">
        <f>VLOOKUP(AK2427, Exchange_rates!$C:$D, 2, FALSE)</f>
        <v>1</v>
      </c>
      <c r="AM2427" s="26">
        <f t="shared" si="19"/>
        <v>2532</v>
      </c>
      <c r="AN2427" s="9"/>
      <c r="AO2427" s="9"/>
      <c r="AP2427" s="9"/>
      <c r="AQ2427" s="15" t="s">
        <v>49</v>
      </c>
      <c r="AR2427" t="s">
        <v>12262</v>
      </c>
      <c r="AS2427" s="16" t="s">
        <v>12263</v>
      </c>
    </row>
    <row r="2428" spans="1:60" ht="14.5">
      <c r="A2428" s="9" t="s">
        <v>12264</v>
      </c>
      <c r="B2428" s="9" t="s">
        <v>12265</v>
      </c>
      <c r="C2428" s="9" t="s">
        <v>637</v>
      </c>
      <c r="D2428" s="9" t="s">
        <v>361</v>
      </c>
      <c r="E2428" s="9" t="s">
        <v>49</v>
      </c>
      <c r="F2428" s="9" t="s">
        <v>69</v>
      </c>
      <c r="G2428" s="20" t="s">
        <v>70</v>
      </c>
      <c r="H2428" s="9" t="s">
        <v>7424</v>
      </c>
      <c r="I2428" s="9" t="s">
        <v>72</v>
      </c>
      <c r="J2428" s="10">
        <v>45279</v>
      </c>
      <c r="K2428" s="10">
        <v>45279</v>
      </c>
      <c r="L2428" s="50">
        <v>45281</v>
      </c>
      <c r="M2428" s="10"/>
      <c r="N2428" s="9">
        <v>2023</v>
      </c>
      <c r="O2428" s="9" t="s">
        <v>12260</v>
      </c>
      <c r="P2428" s="9" t="s">
        <v>83</v>
      </c>
      <c r="Q2428" s="9" t="s">
        <v>53</v>
      </c>
      <c r="R2428" s="9" t="s">
        <v>12266</v>
      </c>
      <c r="S2428" s="9"/>
      <c r="T2428" s="9"/>
      <c r="V2428" s="9"/>
      <c r="AC2428" s="9" t="s">
        <v>12267</v>
      </c>
      <c r="AH2428" s="9">
        <v>2110</v>
      </c>
      <c r="AI2428" s="9" t="s">
        <v>77</v>
      </c>
      <c r="AJ2428" s="9" t="s">
        <v>301</v>
      </c>
      <c r="AK2428" s="23" t="str">
        <f t="shared" si="18"/>
        <v>2023GBP</v>
      </c>
      <c r="AL2428" s="23">
        <f>VLOOKUP(AK2428, Exchange_rates!$C:$D, 2, FALSE)</f>
        <v>1</v>
      </c>
      <c r="AM2428" s="26">
        <f t="shared" si="19"/>
        <v>2532</v>
      </c>
      <c r="AN2428" s="9"/>
      <c r="AO2428" s="9"/>
      <c r="AP2428" s="9"/>
      <c r="AQ2428" s="15" t="s">
        <v>49</v>
      </c>
      <c r="AR2428" t="s">
        <v>640</v>
      </c>
      <c r="AS2428" s="16" t="s">
        <v>641</v>
      </c>
    </row>
    <row r="2429" spans="1:60" ht="14.5">
      <c r="A2429" s="9" t="s">
        <v>12268</v>
      </c>
      <c r="B2429" s="9" t="s">
        <v>12269</v>
      </c>
      <c r="C2429" s="9" t="s">
        <v>12270</v>
      </c>
      <c r="D2429" s="9" t="s">
        <v>361</v>
      </c>
      <c r="E2429" s="9" t="s">
        <v>49</v>
      </c>
      <c r="F2429" s="9" t="s">
        <v>69</v>
      </c>
      <c r="G2429" s="20" t="s">
        <v>70</v>
      </c>
      <c r="H2429" s="9" t="s">
        <v>7424</v>
      </c>
      <c r="I2429" s="9" t="s">
        <v>72</v>
      </c>
      <c r="J2429" s="10">
        <v>45126</v>
      </c>
      <c r="K2429" s="10">
        <v>45257</v>
      </c>
      <c r="L2429" s="50">
        <v>45257</v>
      </c>
      <c r="M2429" s="10"/>
      <c r="N2429" s="9">
        <v>2023</v>
      </c>
      <c r="O2429" s="9" t="s">
        <v>12260</v>
      </c>
      <c r="P2429" s="9" t="s">
        <v>53</v>
      </c>
      <c r="Q2429" s="9" t="s">
        <v>53</v>
      </c>
      <c r="S2429" s="9"/>
      <c r="T2429" s="9"/>
      <c r="V2429" s="9"/>
      <c r="AC2429" s="9" t="s">
        <v>410</v>
      </c>
      <c r="AH2429" s="9">
        <v>2110</v>
      </c>
      <c r="AI2429" s="9" t="s">
        <v>77</v>
      </c>
      <c r="AJ2429" s="9" t="s">
        <v>301</v>
      </c>
      <c r="AK2429" s="23" t="str">
        <f t="shared" si="18"/>
        <v>2023GBP</v>
      </c>
      <c r="AL2429" s="23">
        <f>VLOOKUP(AK2429, Exchange_rates!$C:$D, 2, FALSE)</f>
        <v>1</v>
      </c>
      <c r="AM2429" s="26">
        <f t="shared" si="19"/>
        <v>2532</v>
      </c>
      <c r="AN2429" s="9"/>
      <c r="AO2429" s="9"/>
      <c r="AP2429" s="9"/>
      <c r="AQ2429" s="15" t="s">
        <v>49</v>
      </c>
      <c r="AR2429" t="s">
        <v>12271</v>
      </c>
      <c r="AS2429" s="16" t="s">
        <v>12272</v>
      </c>
    </row>
    <row r="2430" spans="1:60" ht="14.5">
      <c r="A2430" s="9" t="s">
        <v>12273</v>
      </c>
      <c r="B2430" s="9" t="s">
        <v>12274</v>
      </c>
      <c r="C2430" s="9" t="s">
        <v>12275</v>
      </c>
      <c r="D2430" s="9" t="s">
        <v>361</v>
      </c>
      <c r="E2430" s="9" t="s">
        <v>49</v>
      </c>
      <c r="F2430" s="9" t="s">
        <v>69</v>
      </c>
      <c r="G2430" s="20" t="s">
        <v>70</v>
      </c>
      <c r="H2430" s="9" t="s">
        <v>7424</v>
      </c>
      <c r="I2430" s="9" t="s">
        <v>72</v>
      </c>
      <c r="J2430" s="10">
        <v>45242</v>
      </c>
      <c r="K2430" s="10">
        <v>45243</v>
      </c>
      <c r="L2430" s="50">
        <v>45245</v>
      </c>
      <c r="M2430" s="10"/>
      <c r="N2430" s="9">
        <v>2023</v>
      </c>
      <c r="O2430" s="9" t="s">
        <v>12260</v>
      </c>
      <c r="P2430" s="9" t="s">
        <v>53</v>
      </c>
      <c r="Q2430" s="9" t="s">
        <v>53</v>
      </c>
      <c r="R2430" s="9" t="s">
        <v>12276</v>
      </c>
      <c r="S2430" s="9"/>
      <c r="T2430" s="9"/>
      <c r="V2430" s="9"/>
      <c r="AC2430" s="9" t="s">
        <v>12277</v>
      </c>
      <c r="AH2430" s="9">
        <v>2110</v>
      </c>
      <c r="AI2430" s="9" t="s">
        <v>77</v>
      </c>
      <c r="AJ2430" s="9" t="s">
        <v>301</v>
      </c>
      <c r="AK2430" s="23" t="str">
        <f t="shared" si="18"/>
        <v>2023GBP</v>
      </c>
      <c r="AL2430" s="23">
        <f>VLOOKUP(AK2430, Exchange_rates!$C:$D, 2, FALSE)</f>
        <v>1</v>
      </c>
      <c r="AM2430" s="26">
        <f t="shared" si="19"/>
        <v>2532</v>
      </c>
      <c r="AN2430" s="9"/>
      <c r="AO2430" s="9"/>
      <c r="AP2430" s="9"/>
      <c r="AQ2430" s="15" t="s">
        <v>49</v>
      </c>
      <c r="AR2430" t="s">
        <v>12278</v>
      </c>
      <c r="AS2430" s="16" t="s">
        <v>12279</v>
      </c>
    </row>
    <row r="2431" spans="1:60" ht="14.5">
      <c r="A2431" s="20" t="s">
        <v>12280</v>
      </c>
      <c r="B2431" s="20" t="s">
        <v>12281</v>
      </c>
      <c r="C2431" s="20" t="s">
        <v>752</v>
      </c>
      <c r="D2431" s="20" t="s">
        <v>361</v>
      </c>
      <c r="E2431" s="20" t="s">
        <v>49</v>
      </c>
      <c r="F2431" s="20" t="s">
        <v>69</v>
      </c>
      <c r="G2431" s="20" t="s">
        <v>70</v>
      </c>
      <c r="H2431" s="20" t="s">
        <v>7424</v>
      </c>
      <c r="I2431" s="20" t="s">
        <v>72</v>
      </c>
      <c r="J2431" s="22">
        <v>45127</v>
      </c>
      <c r="K2431" s="22">
        <v>45128</v>
      </c>
      <c r="L2431" s="51">
        <v>45141</v>
      </c>
      <c r="M2431" s="22"/>
      <c r="N2431" s="20">
        <v>2023</v>
      </c>
      <c r="O2431" s="20" t="s">
        <v>12260</v>
      </c>
      <c r="P2431" s="20" t="s">
        <v>83</v>
      </c>
      <c r="Q2431" s="20" t="s">
        <v>53</v>
      </c>
      <c r="R2431" s="20" t="s">
        <v>12282</v>
      </c>
      <c r="S2431" s="20"/>
      <c r="T2431" s="20"/>
      <c r="U2431" s="20"/>
      <c r="V2431" s="20"/>
      <c r="W2431" s="20"/>
      <c r="X2431" s="20"/>
      <c r="Y2431" s="20"/>
      <c r="Z2431" s="20"/>
      <c r="AA2431" s="20"/>
      <c r="AB2431" s="20"/>
      <c r="AC2431" s="20" t="s">
        <v>10175</v>
      </c>
      <c r="AD2431" s="20"/>
      <c r="AE2431" s="20"/>
      <c r="AF2431" s="20"/>
      <c r="AG2431" s="20"/>
      <c r="AH2431" s="20">
        <v>2110</v>
      </c>
      <c r="AI2431" s="20" t="s">
        <v>77</v>
      </c>
      <c r="AJ2431" s="20" t="s">
        <v>301</v>
      </c>
      <c r="AK2431" s="23" t="str">
        <f t="shared" si="18"/>
        <v>2023GBP</v>
      </c>
      <c r="AL2431" s="23">
        <f>VLOOKUP(AK2431, Exchange_rates!$C:$D, 2, FALSE)</f>
        <v>1</v>
      </c>
      <c r="AM2431" s="26">
        <f t="shared" si="19"/>
        <v>2532</v>
      </c>
      <c r="AN2431" s="20"/>
      <c r="AO2431" s="20"/>
      <c r="AP2431" s="20"/>
      <c r="AQ2431" s="27" t="s">
        <v>49</v>
      </c>
      <c r="AR2431" t="s">
        <v>756</v>
      </c>
      <c r="AS2431" s="16" t="s">
        <v>757</v>
      </c>
      <c r="AT2431" s="20"/>
      <c r="AU2431" s="20"/>
      <c r="AV2431" s="20"/>
      <c r="AW2431" s="20"/>
      <c r="AX2431" s="20"/>
      <c r="AY2431" s="20"/>
      <c r="AZ2431" s="20"/>
      <c r="BA2431" s="20"/>
      <c r="BB2431" s="20"/>
      <c r="BC2431" s="20"/>
      <c r="BD2431" s="20"/>
      <c r="BE2431" s="20"/>
      <c r="BF2431" s="20"/>
      <c r="BG2431" s="20"/>
      <c r="BH2431" s="20"/>
    </row>
    <row r="2432" spans="1:60" ht="14.5">
      <c r="A2432" s="9" t="s">
        <v>12283</v>
      </c>
      <c r="B2432" s="9" t="s">
        <v>12284</v>
      </c>
      <c r="C2432" s="9" t="s">
        <v>7594</v>
      </c>
      <c r="D2432" s="9" t="s">
        <v>870</v>
      </c>
      <c r="E2432" s="9" t="s">
        <v>49</v>
      </c>
      <c r="F2432" s="9" t="s">
        <v>69</v>
      </c>
      <c r="G2432" s="9" t="s">
        <v>70</v>
      </c>
      <c r="H2432" s="9" t="s">
        <v>12285</v>
      </c>
      <c r="I2432" s="9" t="s">
        <v>291</v>
      </c>
      <c r="J2432" s="10"/>
      <c r="K2432" s="10"/>
      <c r="L2432" s="50">
        <v>45293</v>
      </c>
      <c r="M2432" s="10"/>
      <c r="N2432" s="9">
        <v>2024</v>
      </c>
      <c r="O2432" s="9" t="s">
        <v>12286</v>
      </c>
      <c r="P2432" s="9" t="s">
        <v>53</v>
      </c>
      <c r="Q2432" s="9" t="s">
        <v>53</v>
      </c>
      <c r="R2432" s="9" t="s">
        <v>12287</v>
      </c>
      <c r="S2432" s="9"/>
      <c r="T2432" s="9"/>
      <c r="V2432" s="9"/>
      <c r="AH2432" s="18">
        <v>2750</v>
      </c>
      <c r="AI2432" s="9" t="s">
        <v>875</v>
      </c>
      <c r="AJ2432" s="9" t="s">
        <v>301</v>
      </c>
      <c r="AK2432" s="23" t="str">
        <f t="shared" si="18"/>
        <v>2024GBP</v>
      </c>
      <c r="AL2432" s="23">
        <f>VLOOKUP(AK2432, Exchange_rates!$C:$D, 2, FALSE)</f>
        <v>1</v>
      </c>
      <c r="AM2432" s="26">
        <f t="shared" si="19"/>
        <v>3300</v>
      </c>
      <c r="AN2432" s="9"/>
      <c r="AO2432" s="9"/>
      <c r="AP2432" s="9"/>
      <c r="AQ2432" s="15" t="s">
        <v>49</v>
      </c>
      <c r="AR2432" t="s">
        <v>12288</v>
      </c>
      <c r="AS2432" s="16" t="s">
        <v>7597</v>
      </c>
    </row>
    <row r="2433" spans="1:60" ht="14.5">
      <c r="A2433" s="9" t="s">
        <v>12289</v>
      </c>
      <c r="B2433" s="9" t="s">
        <v>12290</v>
      </c>
      <c r="C2433" s="9" t="s">
        <v>12291</v>
      </c>
      <c r="D2433" s="9" t="s">
        <v>870</v>
      </c>
      <c r="E2433" s="9" t="s">
        <v>49</v>
      </c>
      <c r="F2433" s="9" t="s">
        <v>69</v>
      </c>
      <c r="G2433" s="9" t="s">
        <v>70</v>
      </c>
      <c r="H2433" s="9" t="s">
        <v>12285</v>
      </c>
      <c r="I2433" s="9" t="s">
        <v>72</v>
      </c>
      <c r="J2433" s="10"/>
      <c r="K2433" s="10"/>
      <c r="L2433" s="50">
        <v>45293</v>
      </c>
      <c r="M2433" s="10"/>
      <c r="N2433" s="9">
        <v>2024</v>
      </c>
      <c r="O2433" s="9" t="s">
        <v>12286</v>
      </c>
      <c r="P2433" s="9" t="s">
        <v>53</v>
      </c>
      <c r="Q2433" s="9" t="s">
        <v>53</v>
      </c>
      <c r="R2433" s="18" t="s">
        <v>12292</v>
      </c>
      <c r="S2433" s="9"/>
      <c r="T2433" s="9"/>
      <c r="V2433" s="9"/>
      <c r="AH2433" s="18">
        <v>2680</v>
      </c>
      <c r="AI2433" s="9" t="s">
        <v>875</v>
      </c>
      <c r="AJ2433" s="9" t="s">
        <v>301</v>
      </c>
      <c r="AK2433" s="23" t="str">
        <f t="shared" si="18"/>
        <v>2024GBP</v>
      </c>
      <c r="AL2433" s="23">
        <f>VLOOKUP(AK2433, Exchange_rates!$C:$D, 2, FALSE)</f>
        <v>1</v>
      </c>
      <c r="AM2433" s="26">
        <f t="shared" si="19"/>
        <v>3216</v>
      </c>
      <c r="AN2433" s="9"/>
      <c r="AO2433" s="9"/>
      <c r="AP2433" s="9"/>
      <c r="AQ2433" s="15" t="s">
        <v>49</v>
      </c>
      <c r="AR2433" t="s">
        <v>12293</v>
      </c>
      <c r="AS2433" s="16" t="s">
        <v>12294</v>
      </c>
    </row>
    <row r="2434" spans="1:60" ht="14.5">
      <c r="A2434" s="9" t="s">
        <v>12295</v>
      </c>
      <c r="B2434" s="9" t="s">
        <v>12296</v>
      </c>
      <c r="C2434" s="9" t="s">
        <v>7670</v>
      </c>
      <c r="D2434" s="9" t="s">
        <v>870</v>
      </c>
      <c r="E2434" s="9" t="s">
        <v>49</v>
      </c>
      <c r="F2434" s="9" t="s">
        <v>69</v>
      </c>
      <c r="G2434" s="9" t="s">
        <v>70</v>
      </c>
      <c r="H2434" s="9" t="s">
        <v>7452</v>
      </c>
      <c r="I2434" s="9" t="s">
        <v>291</v>
      </c>
      <c r="J2434" s="10"/>
      <c r="K2434" s="10"/>
      <c r="L2434" s="50">
        <v>45274</v>
      </c>
      <c r="M2434" s="10"/>
      <c r="N2434" s="9">
        <v>2023</v>
      </c>
      <c r="O2434" s="9" t="s">
        <v>12286</v>
      </c>
      <c r="P2434" s="9" t="s">
        <v>53</v>
      </c>
      <c r="Q2434" s="9" t="s">
        <v>53</v>
      </c>
      <c r="R2434" s="9" t="s">
        <v>12297</v>
      </c>
      <c r="S2434" s="9"/>
      <c r="T2434" s="9"/>
      <c r="V2434" s="9"/>
      <c r="AH2434" s="18">
        <v>2310</v>
      </c>
      <c r="AI2434" s="9" t="s">
        <v>875</v>
      </c>
      <c r="AJ2434" s="9" t="s">
        <v>301</v>
      </c>
      <c r="AK2434" s="23" t="str">
        <f t="shared" si="18"/>
        <v>2023GBP</v>
      </c>
      <c r="AL2434" s="23">
        <f>VLOOKUP(AK2434, Exchange_rates!$C:$D, 2, FALSE)</f>
        <v>1</v>
      </c>
      <c r="AM2434" s="26">
        <f t="shared" si="19"/>
        <v>2772</v>
      </c>
      <c r="AN2434" s="9"/>
      <c r="AO2434" s="9"/>
      <c r="AP2434" s="9"/>
      <c r="AQ2434" s="15" t="s">
        <v>49</v>
      </c>
      <c r="AR2434" t="s">
        <v>12298</v>
      </c>
      <c r="AS2434" s="16" t="s">
        <v>7673</v>
      </c>
    </row>
    <row r="2435" spans="1:60" ht="14.5">
      <c r="A2435" s="9" t="s">
        <v>12299</v>
      </c>
      <c r="B2435" s="9" t="s">
        <v>12300</v>
      </c>
      <c r="C2435" s="9" t="s">
        <v>1222</v>
      </c>
      <c r="D2435" s="9" t="s">
        <v>870</v>
      </c>
      <c r="E2435" s="9" t="s">
        <v>49</v>
      </c>
      <c r="F2435" s="9" t="s">
        <v>69</v>
      </c>
      <c r="G2435" s="9" t="s">
        <v>70</v>
      </c>
      <c r="H2435" s="9" t="s">
        <v>7452</v>
      </c>
      <c r="I2435" s="9" t="s">
        <v>72</v>
      </c>
      <c r="J2435" s="10"/>
      <c r="K2435" s="10"/>
      <c r="L2435" s="50">
        <v>45280</v>
      </c>
      <c r="M2435" s="10"/>
      <c r="N2435" s="9">
        <v>2023</v>
      </c>
      <c r="O2435" s="9" t="s">
        <v>12286</v>
      </c>
      <c r="P2435" s="9" t="s">
        <v>53</v>
      </c>
      <c r="Q2435" s="9" t="s">
        <v>53</v>
      </c>
      <c r="R2435" s="9" t="s">
        <v>12301</v>
      </c>
      <c r="S2435" s="9"/>
      <c r="T2435" s="9"/>
      <c r="V2435" s="9"/>
      <c r="AH2435" s="18">
        <v>2200</v>
      </c>
      <c r="AI2435" s="9" t="s">
        <v>875</v>
      </c>
      <c r="AJ2435" s="9" t="s">
        <v>301</v>
      </c>
      <c r="AK2435" s="23" t="str">
        <f t="shared" si="18"/>
        <v>2023GBP</v>
      </c>
      <c r="AL2435" s="23">
        <f>VLOOKUP(AK2435, Exchange_rates!$C:$D, 2, FALSE)</f>
        <v>1</v>
      </c>
      <c r="AM2435" s="26">
        <f t="shared" si="19"/>
        <v>2640</v>
      </c>
      <c r="AN2435" s="9"/>
      <c r="AO2435" s="9"/>
      <c r="AP2435" s="9"/>
      <c r="AQ2435" s="15" t="s">
        <v>49</v>
      </c>
      <c r="AR2435" t="s">
        <v>12302</v>
      </c>
      <c r="AS2435" s="16" t="s">
        <v>1224</v>
      </c>
    </row>
    <row r="2436" spans="1:60" ht="14.5">
      <c r="A2436" s="9" t="s">
        <v>12303</v>
      </c>
      <c r="B2436" s="9" t="s">
        <v>12304</v>
      </c>
      <c r="C2436" s="9" t="s">
        <v>9255</v>
      </c>
      <c r="D2436" s="9" t="s">
        <v>870</v>
      </c>
      <c r="E2436" s="9" t="s">
        <v>125</v>
      </c>
      <c r="F2436" s="9" t="s">
        <v>69</v>
      </c>
      <c r="G2436" s="9" t="s">
        <v>51</v>
      </c>
      <c r="H2436" s="9"/>
      <c r="I2436" s="9" t="s">
        <v>72</v>
      </c>
      <c r="J2436" s="10"/>
      <c r="K2436" s="10"/>
      <c r="L2436" s="50">
        <v>45278</v>
      </c>
      <c r="M2436" s="10"/>
      <c r="N2436" s="9">
        <v>2023</v>
      </c>
      <c r="O2436" s="9" t="s">
        <v>12286</v>
      </c>
      <c r="P2436" s="9" t="s">
        <v>53</v>
      </c>
      <c r="Q2436" s="9" t="s">
        <v>53</v>
      </c>
      <c r="R2436" s="9" t="s">
        <v>12305</v>
      </c>
      <c r="S2436" s="9"/>
      <c r="T2436" s="9" t="s">
        <v>279</v>
      </c>
      <c r="U2436" s="9" t="s">
        <v>12306</v>
      </c>
      <c r="V2436" s="9"/>
      <c r="AH2436" s="30">
        <v>1680</v>
      </c>
      <c r="AI2436" s="9" t="s">
        <v>77</v>
      </c>
      <c r="AJ2436" s="9" t="s">
        <v>301</v>
      </c>
      <c r="AK2436" s="23" t="str">
        <f t="shared" si="18"/>
        <v>2023GBP</v>
      </c>
      <c r="AL2436" s="23">
        <f>VLOOKUP(AK2436, Exchange_rates!$C:$D, 2, FALSE)</f>
        <v>1</v>
      </c>
      <c r="AM2436" s="26">
        <f t="shared" si="19"/>
        <v>2016</v>
      </c>
      <c r="AN2436" s="9"/>
      <c r="AO2436" s="9"/>
      <c r="AP2436" s="9"/>
      <c r="AQ2436" s="15" t="s">
        <v>125</v>
      </c>
      <c r="AR2436" t="s">
        <v>9257</v>
      </c>
      <c r="AS2436" s="16"/>
    </row>
    <row r="2437" spans="1:60" ht="14.5">
      <c r="A2437" s="9" t="s">
        <v>12307</v>
      </c>
      <c r="B2437" s="9" t="s">
        <v>12308</v>
      </c>
      <c r="C2437" s="9" t="s">
        <v>12309</v>
      </c>
      <c r="D2437" s="9" t="s">
        <v>870</v>
      </c>
      <c r="E2437" s="9" t="s">
        <v>49</v>
      </c>
      <c r="F2437" s="9" t="s">
        <v>69</v>
      </c>
      <c r="G2437" s="9" t="s">
        <v>70</v>
      </c>
      <c r="H2437" s="9" t="s">
        <v>12285</v>
      </c>
      <c r="I2437" s="9" t="s">
        <v>72</v>
      </c>
      <c r="J2437" s="10"/>
      <c r="K2437" s="10"/>
      <c r="L2437" s="50">
        <v>45295</v>
      </c>
      <c r="M2437" s="10"/>
      <c r="N2437" s="9">
        <v>2024</v>
      </c>
      <c r="O2437" s="9" t="s">
        <v>12286</v>
      </c>
      <c r="P2437" s="9" t="s">
        <v>83</v>
      </c>
      <c r="Q2437" s="9" t="s">
        <v>53</v>
      </c>
      <c r="R2437" s="9" t="s">
        <v>11322</v>
      </c>
      <c r="S2437" s="9"/>
      <c r="T2437" s="9"/>
      <c r="V2437" s="9"/>
      <c r="AH2437" s="18">
        <v>2130</v>
      </c>
      <c r="AI2437" s="9" t="s">
        <v>875</v>
      </c>
      <c r="AJ2437" s="9" t="s">
        <v>301</v>
      </c>
      <c r="AK2437" s="23" t="str">
        <f t="shared" si="18"/>
        <v>2024GBP</v>
      </c>
      <c r="AL2437" s="23">
        <f>VLOOKUP(AK2437, Exchange_rates!$C:$D, 2, FALSE)</f>
        <v>1</v>
      </c>
      <c r="AM2437" s="26">
        <f t="shared" si="19"/>
        <v>2556</v>
      </c>
      <c r="AN2437" s="9"/>
      <c r="AO2437" s="9"/>
      <c r="AP2437" s="9"/>
      <c r="AQ2437" s="15" t="s">
        <v>49</v>
      </c>
      <c r="AS2437" s="16" t="s">
        <v>12310</v>
      </c>
    </row>
    <row r="2438" spans="1:60" ht="14.5">
      <c r="A2438" s="9" t="s">
        <v>12311</v>
      </c>
      <c r="B2438" s="9" t="s">
        <v>12312</v>
      </c>
      <c r="C2438" s="9" t="s">
        <v>12313</v>
      </c>
      <c r="D2438" s="9" t="s">
        <v>870</v>
      </c>
      <c r="E2438" s="9" t="s">
        <v>49</v>
      </c>
      <c r="F2438" s="9" t="s">
        <v>69</v>
      </c>
      <c r="G2438" s="9" t="s">
        <v>70</v>
      </c>
      <c r="H2438" s="9" t="s">
        <v>12285</v>
      </c>
      <c r="I2438" s="9" t="s">
        <v>72</v>
      </c>
      <c r="J2438" s="10"/>
      <c r="K2438" s="10"/>
      <c r="L2438" s="50">
        <v>45293</v>
      </c>
      <c r="M2438" s="10"/>
      <c r="N2438" s="9">
        <v>2024</v>
      </c>
      <c r="O2438" s="9" t="s">
        <v>12286</v>
      </c>
      <c r="P2438" s="9" t="s">
        <v>83</v>
      </c>
      <c r="Q2438" s="9" t="s">
        <v>53</v>
      </c>
      <c r="R2438" s="9" t="s">
        <v>12314</v>
      </c>
      <c r="S2438" s="9"/>
      <c r="T2438" s="9"/>
      <c r="V2438" s="9"/>
      <c r="AH2438" s="18">
        <v>2250</v>
      </c>
      <c r="AI2438" s="9" t="s">
        <v>875</v>
      </c>
      <c r="AJ2438" s="9" t="s">
        <v>301</v>
      </c>
      <c r="AK2438" s="23" t="str">
        <f t="shared" si="18"/>
        <v>2024GBP</v>
      </c>
      <c r="AL2438" s="23">
        <f>VLOOKUP(AK2438, Exchange_rates!$C:$D, 2, FALSE)</f>
        <v>1</v>
      </c>
      <c r="AM2438" s="26">
        <f t="shared" si="19"/>
        <v>2700</v>
      </c>
      <c r="AN2438" s="9"/>
      <c r="AO2438" s="9"/>
      <c r="AP2438" s="9"/>
      <c r="AQ2438" s="15" t="s">
        <v>49</v>
      </c>
      <c r="AR2438" t="s">
        <v>12315</v>
      </c>
      <c r="AS2438" s="16"/>
    </row>
    <row r="2439" spans="1:60" ht="14.5">
      <c r="A2439" s="9" t="s">
        <v>12316</v>
      </c>
      <c r="B2439" s="9" t="s">
        <v>12317</v>
      </c>
      <c r="C2439" s="9" t="s">
        <v>12318</v>
      </c>
      <c r="D2439" s="9" t="s">
        <v>870</v>
      </c>
      <c r="E2439" s="9" t="s">
        <v>49</v>
      </c>
      <c r="F2439" s="9" t="s">
        <v>69</v>
      </c>
      <c r="G2439" s="9" t="s">
        <v>70</v>
      </c>
      <c r="H2439" s="9" t="s">
        <v>12285</v>
      </c>
      <c r="I2439" s="9" t="s">
        <v>72</v>
      </c>
      <c r="J2439" s="10"/>
      <c r="K2439" s="10"/>
      <c r="L2439" s="50">
        <v>45293</v>
      </c>
      <c r="M2439" s="10"/>
      <c r="N2439" s="9">
        <v>2024</v>
      </c>
      <c r="O2439" s="9" t="s">
        <v>12286</v>
      </c>
      <c r="P2439" s="9" t="s">
        <v>53</v>
      </c>
      <c r="Q2439" s="9" t="s">
        <v>53</v>
      </c>
      <c r="R2439" s="9" t="s">
        <v>2335</v>
      </c>
      <c r="S2439" s="9"/>
      <c r="T2439" s="9"/>
      <c r="V2439" s="9"/>
      <c r="AH2439" s="18">
        <v>2580</v>
      </c>
      <c r="AI2439" s="9" t="s">
        <v>875</v>
      </c>
      <c r="AJ2439" s="9" t="s">
        <v>301</v>
      </c>
      <c r="AK2439" s="23" t="str">
        <f t="shared" si="18"/>
        <v>2024GBP</v>
      </c>
      <c r="AL2439" s="23">
        <f>VLOOKUP(AK2439, Exchange_rates!$C:$D, 2, FALSE)</f>
        <v>1</v>
      </c>
      <c r="AM2439" s="26">
        <f t="shared" si="19"/>
        <v>3096</v>
      </c>
      <c r="AN2439" s="9"/>
      <c r="AO2439" s="9"/>
      <c r="AP2439" s="9"/>
      <c r="AQ2439" s="15" t="s">
        <v>49</v>
      </c>
      <c r="AR2439" t="s">
        <v>12319</v>
      </c>
      <c r="AS2439" s="16" t="s">
        <v>12320</v>
      </c>
    </row>
    <row r="2440" spans="1:60" ht="14.5">
      <c r="A2440" s="9" t="s">
        <v>12321</v>
      </c>
      <c r="B2440" s="9" t="s">
        <v>12322</v>
      </c>
      <c r="C2440" s="9" t="s">
        <v>12323</v>
      </c>
      <c r="D2440" s="9" t="s">
        <v>870</v>
      </c>
      <c r="E2440" s="9" t="s">
        <v>49</v>
      </c>
      <c r="F2440" s="9" t="s">
        <v>69</v>
      </c>
      <c r="G2440" s="9" t="s">
        <v>70</v>
      </c>
      <c r="H2440" s="9" t="s">
        <v>12285</v>
      </c>
      <c r="I2440" s="9" t="s">
        <v>72</v>
      </c>
      <c r="J2440" s="10"/>
      <c r="K2440" s="10"/>
      <c r="L2440" s="50">
        <v>45296</v>
      </c>
      <c r="M2440" s="10"/>
      <c r="N2440" s="9">
        <v>2024</v>
      </c>
      <c r="O2440" s="9" t="s">
        <v>12286</v>
      </c>
      <c r="P2440" s="9" t="s">
        <v>53</v>
      </c>
      <c r="Q2440" s="9" t="s">
        <v>53</v>
      </c>
      <c r="R2440" s="9" t="s">
        <v>12324</v>
      </c>
      <c r="S2440" s="9"/>
      <c r="T2440" s="9"/>
      <c r="V2440" s="9"/>
      <c r="AH2440" s="18">
        <v>2350</v>
      </c>
      <c r="AI2440" s="9" t="s">
        <v>875</v>
      </c>
      <c r="AJ2440" s="9" t="s">
        <v>301</v>
      </c>
      <c r="AK2440" s="23" t="str">
        <f t="shared" si="18"/>
        <v>2024GBP</v>
      </c>
      <c r="AL2440" s="23">
        <f>VLOOKUP(AK2440, Exchange_rates!$C:$D, 2, FALSE)</f>
        <v>1</v>
      </c>
      <c r="AM2440" s="26">
        <f t="shared" si="19"/>
        <v>2820</v>
      </c>
      <c r="AN2440" s="9"/>
      <c r="AO2440" s="9"/>
      <c r="AP2440" s="9"/>
      <c r="AQ2440" s="15" t="s">
        <v>49</v>
      </c>
      <c r="AR2440" t="s">
        <v>12325</v>
      </c>
      <c r="AS2440" s="16" t="s">
        <v>12326</v>
      </c>
    </row>
    <row r="2441" spans="1:60" ht="14.5">
      <c r="A2441" s="9" t="s">
        <v>12327</v>
      </c>
      <c r="B2441" s="9" t="s">
        <v>12328</v>
      </c>
      <c r="C2441" s="9" t="s">
        <v>1109</v>
      </c>
      <c r="D2441" s="9" t="s">
        <v>870</v>
      </c>
      <c r="E2441" s="9" t="s">
        <v>49</v>
      </c>
      <c r="F2441" s="9" t="s">
        <v>69</v>
      </c>
      <c r="G2441" s="9" t="s">
        <v>70</v>
      </c>
      <c r="H2441" s="9" t="s">
        <v>12285</v>
      </c>
      <c r="I2441" s="9" t="s">
        <v>72</v>
      </c>
      <c r="J2441" s="10"/>
      <c r="K2441" s="10"/>
      <c r="L2441" s="50">
        <v>45293</v>
      </c>
      <c r="M2441" s="10"/>
      <c r="N2441" s="9">
        <v>2024</v>
      </c>
      <c r="O2441" s="9" t="s">
        <v>12286</v>
      </c>
      <c r="P2441" s="9" t="s">
        <v>53</v>
      </c>
      <c r="Q2441" s="9" t="s">
        <v>53</v>
      </c>
      <c r="R2441" s="9" t="s">
        <v>2335</v>
      </c>
      <c r="S2441" s="9"/>
      <c r="T2441" s="9"/>
      <c r="V2441" s="9"/>
      <c r="AH2441" s="18">
        <v>2670</v>
      </c>
      <c r="AI2441" s="9" t="s">
        <v>875</v>
      </c>
      <c r="AJ2441" s="9" t="s">
        <v>301</v>
      </c>
      <c r="AK2441" s="23" t="str">
        <f t="shared" si="18"/>
        <v>2024GBP</v>
      </c>
      <c r="AL2441" s="23">
        <f>VLOOKUP(AK2441, Exchange_rates!$C:$D, 2, FALSE)</f>
        <v>1</v>
      </c>
      <c r="AM2441" s="26">
        <f t="shared" si="19"/>
        <v>3204</v>
      </c>
      <c r="AN2441" s="9"/>
      <c r="AO2441" s="9"/>
      <c r="AP2441" s="9"/>
      <c r="AQ2441" s="15" t="s">
        <v>49</v>
      </c>
      <c r="AS2441" s="16" t="s">
        <v>1112</v>
      </c>
    </row>
    <row r="2442" spans="1:60" ht="14.5">
      <c r="A2442" s="9" t="s">
        <v>12329</v>
      </c>
      <c r="B2442" s="9" t="s">
        <v>12330</v>
      </c>
      <c r="C2442" s="9" t="s">
        <v>12331</v>
      </c>
      <c r="D2442" s="9" t="s">
        <v>870</v>
      </c>
      <c r="E2442" s="9" t="s">
        <v>49</v>
      </c>
      <c r="F2442" s="9" t="s">
        <v>69</v>
      </c>
      <c r="G2442" s="9" t="s">
        <v>70</v>
      </c>
      <c r="H2442" s="9" t="s">
        <v>12285</v>
      </c>
      <c r="I2442" s="9" t="s">
        <v>72</v>
      </c>
      <c r="J2442" s="10"/>
      <c r="K2442" s="10"/>
      <c r="L2442" s="50">
        <v>45293</v>
      </c>
      <c r="M2442" s="10"/>
      <c r="N2442" s="9">
        <v>2024</v>
      </c>
      <c r="O2442" s="9" t="s">
        <v>12286</v>
      </c>
      <c r="P2442" s="9" t="s">
        <v>53</v>
      </c>
      <c r="Q2442" s="9" t="s">
        <v>53</v>
      </c>
      <c r="R2442" s="9" t="s">
        <v>12332</v>
      </c>
      <c r="S2442" s="9"/>
      <c r="T2442" s="9"/>
      <c r="V2442" s="9"/>
      <c r="AH2442" s="18">
        <v>2820</v>
      </c>
      <c r="AI2442" s="9" t="s">
        <v>875</v>
      </c>
      <c r="AJ2442" s="9" t="s">
        <v>301</v>
      </c>
      <c r="AK2442" s="23" t="str">
        <f t="shared" si="18"/>
        <v>2024GBP</v>
      </c>
      <c r="AL2442" s="23">
        <f>VLOOKUP(AK2442, Exchange_rates!$C:$D, 2, FALSE)</f>
        <v>1</v>
      </c>
      <c r="AM2442" s="26">
        <f t="shared" si="19"/>
        <v>3384</v>
      </c>
      <c r="AN2442" s="9"/>
      <c r="AO2442" s="9"/>
      <c r="AP2442" s="9"/>
      <c r="AQ2442" s="15" t="s">
        <v>49</v>
      </c>
      <c r="AR2442" t="s">
        <v>12333</v>
      </c>
      <c r="AS2442" s="16" t="s">
        <v>12334</v>
      </c>
    </row>
    <row r="2443" spans="1:60" ht="14.5">
      <c r="A2443" s="9" t="s">
        <v>12335</v>
      </c>
      <c r="B2443" s="9" t="s">
        <v>12336</v>
      </c>
      <c r="C2443" s="9" t="s">
        <v>884</v>
      </c>
      <c r="D2443" s="9" t="s">
        <v>870</v>
      </c>
      <c r="E2443" s="9" t="s">
        <v>49</v>
      </c>
      <c r="F2443" s="9" t="s">
        <v>69</v>
      </c>
      <c r="G2443" s="9" t="s">
        <v>70</v>
      </c>
      <c r="H2443" s="9" t="s">
        <v>12285</v>
      </c>
      <c r="I2443" s="9" t="s">
        <v>72</v>
      </c>
      <c r="J2443" s="10"/>
      <c r="K2443" s="10"/>
      <c r="L2443" s="50">
        <v>45293</v>
      </c>
      <c r="M2443" s="10"/>
      <c r="N2443" s="9">
        <v>2024</v>
      </c>
      <c r="O2443" s="9" t="s">
        <v>12286</v>
      </c>
      <c r="P2443" s="9" t="s">
        <v>53</v>
      </c>
      <c r="Q2443" s="9" t="s">
        <v>53</v>
      </c>
      <c r="R2443" s="9" t="s">
        <v>12337</v>
      </c>
      <c r="S2443" s="9"/>
      <c r="T2443" s="9"/>
      <c r="V2443" s="9"/>
      <c r="AH2443" s="18">
        <v>3340</v>
      </c>
      <c r="AI2443" s="9" t="s">
        <v>875</v>
      </c>
      <c r="AJ2443" s="9" t="s">
        <v>301</v>
      </c>
      <c r="AK2443" s="23" t="str">
        <f t="shared" si="18"/>
        <v>2024GBP</v>
      </c>
      <c r="AL2443" s="23">
        <f>VLOOKUP(AK2443, Exchange_rates!$C:$D, 2, FALSE)</f>
        <v>1</v>
      </c>
      <c r="AM2443" s="26">
        <f t="shared" si="19"/>
        <v>4008</v>
      </c>
      <c r="AN2443" s="9"/>
      <c r="AO2443" s="9"/>
      <c r="AP2443" s="9"/>
      <c r="AQ2443" s="15" t="s">
        <v>49</v>
      </c>
      <c r="AR2443" t="s">
        <v>12338</v>
      </c>
      <c r="AS2443" s="16" t="s">
        <v>887</v>
      </c>
    </row>
    <row r="2444" spans="1:60" ht="14.5">
      <c r="A2444" s="20" t="s">
        <v>12339</v>
      </c>
      <c r="B2444" s="20" t="s">
        <v>12340</v>
      </c>
      <c r="C2444" s="20" t="s">
        <v>1911</v>
      </c>
      <c r="D2444" s="20" t="s">
        <v>1895</v>
      </c>
      <c r="E2444" s="17" t="s">
        <v>125</v>
      </c>
      <c r="F2444" s="20" t="s">
        <v>69</v>
      </c>
      <c r="G2444" s="20" t="s">
        <v>70</v>
      </c>
      <c r="H2444" s="20" t="s">
        <v>7713</v>
      </c>
      <c r="I2444" s="20" t="s">
        <v>72</v>
      </c>
      <c r="J2444" s="22">
        <v>45152</v>
      </c>
      <c r="K2444" s="22">
        <v>45230</v>
      </c>
      <c r="L2444" s="51">
        <v>45240</v>
      </c>
      <c r="M2444" s="22"/>
      <c r="N2444" s="20">
        <v>2023</v>
      </c>
      <c r="O2444" s="20" t="s">
        <v>12341</v>
      </c>
      <c r="P2444" s="20" t="s">
        <v>83</v>
      </c>
      <c r="Q2444" s="20" t="s">
        <v>53</v>
      </c>
      <c r="R2444" s="20" t="s">
        <v>1456</v>
      </c>
      <c r="S2444" s="20"/>
      <c r="T2444" s="20"/>
      <c r="U2444" s="20"/>
      <c r="V2444" s="20"/>
      <c r="W2444" s="20"/>
      <c r="X2444" s="20"/>
      <c r="Y2444" s="20"/>
      <c r="Z2444" s="20"/>
      <c r="AA2444" s="20"/>
      <c r="AB2444" s="20"/>
      <c r="AC2444" s="20" t="s">
        <v>1942</v>
      </c>
      <c r="AD2444" s="20" t="s">
        <v>1943</v>
      </c>
      <c r="AE2444" s="20" t="s">
        <v>12342</v>
      </c>
      <c r="AF2444" s="20"/>
      <c r="AG2444" s="20"/>
      <c r="AH2444" s="20">
        <v>2100</v>
      </c>
      <c r="AI2444" s="20" t="s">
        <v>77</v>
      </c>
      <c r="AJ2444" s="20" t="s">
        <v>301</v>
      </c>
      <c r="AK2444" s="23" t="str">
        <f t="shared" si="18"/>
        <v>2023GBP</v>
      </c>
      <c r="AL2444" s="23">
        <f>VLOOKUP(AK2444, Exchange_rates!$C:$D, 2, FALSE)</f>
        <v>1</v>
      </c>
      <c r="AM2444" s="26">
        <f t="shared" si="19"/>
        <v>2520</v>
      </c>
      <c r="AN2444" s="20"/>
      <c r="AO2444" s="20"/>
      <c r="AP2444" s="17"/>
      <c r="AQ2444" s="15" t="s">
        <v>125</v>
      </c>
      <c r="AR2444" t="s">
        <v>1914</v>
      </c>
      <c r="AS2444" s="16"/>
      <c r="AT2444" s="20"/>
      <c r="AU2444" s="20"/>
      <c r="AV2444" s="20"/>
      <c r="AW2444" s="20"/>
      <c r="AX2444" s="20"/>
      <c r="AY2444" s="20"/>
      <c r="AZ2444" s="20"/>
      <c r="BA2444" s="20"/>
      <c r="BB2444" s="20"/>
      <c r="BC2444" s="20"/>
      <c r="BD2444" s="20"/>
      <c r="BE2444" s="20"/>
      <c r="BF2444" s="20"/>
      <c r="BG2444" s="20"/>
      <c r="BH2444" s="20"/>
    </row>
    <row r="2445" spans="1:60" ht="14.5">
      <c r="A2445" s="9" t="s">
        <v>12343</v>
      </c>
      <c r="B2445" s="9" t="s">
        <v>12344</v>
      </c>
      <c r="C2445" s="9" t="s">
        <v>1993</v>
      </c>
      <c r="D2445" s="9" t="s">
        <v>1994</v>
      </c>
      <c r="E2445" s="9" t="s">
        <v>125</v>
      </c>
      <c r="F2445" s="9" t="s">
        <v>69</v>
      </c>
      <c r="G2445" s="9" t="s">
        <v>70</v>
      </c>
      <c r="H2445" s="9" t="s">
        <v>8943</v>
      </c>
      <c r="I2445" s="9" t="s">
        <v>11431</v>
      </c>
      <c r="J2445" s="10">
        <v>45065</v>
      </c>
      <c r="K2445" s="10">
        <v>45271</v>
      </c>
      <c r="L2445" s="17" t="s">
        <v>11431</v>
      </c>
      <c r="M2445" s="10"/>
      <c r="N2445" s="9">
        <v>2023</v>
      </c>
      <c r="O2445" s="9" t="s">
        <v>12345</v>
      </c>
      <c r="P2445" s="9" t="s">
        <v>53</v>
      </c>
      <c r="Q2445" s="9" t="s">
        <v>53</v>
      </c>
      <c r="R2445" s="9" t="s">
        <v>12346</v>
      </c>
      <c r="S2445" s="9"/>
      <c r="T2445" s="9"/>
      <c r="V2445" s="9"/>
      <c r="AC2445" s="9" t="s">
        <v>12347</v>
      </c>
      <c r="AD2445" s="9" t="s">
        <v>12348</v>
      </c>
      <c r="AH2445" s="9">
        <v>1931</v>
      </c>
      <c r="AI2445" s="9" t="s">
        <v>77</v>
      </c>
      <c r="AJ2445" s="9" t="s">
        <v>57</v>
      </c>
      <c r="AK2445" s="23" t="str">
        <f t="shared" si="18"/>
        <v>2023USD</v>
      </c>
      <c r="AL2445" s="23">
        <f>VLOOKUP(AK2445, Exchange_rates!$C:$D, 2, FALSE)</f>
        <v>0.80430000000000001</v>
      </c>
      <c r="AM2445" s="26">
        <f t="shared" si="19"/>
        <v>1863.7239599999998</v>
      </c>
      <c r="AN2445" s="9"/>
      <c r="AO2445" s="9"/>
      <c r="AP2445" s="9"/>
      <c r="AQ2445" s="15" t="s">
        <v>125</v>
      </c>
      <c r="AR2445" t="s">
        <v>2000</v>
      </c>
      <c r="AS2445" s="16"/>
    </row>
    <row r="2446" spans="1:60" ht="14.5">
      <c r="A2446" s="9" t="s">
        <v>12349</v>
      </c>
      <c r="B2446" s="9" t="s">
        <v>12350</v>
      </c>
      <c r="C2446" s="9" t="s">
        <v>7831</v>
      </c>
      <c r="D2446" s="9" t="s">
        <v>1994</v>
      </c>
      <c r="E2446" s="9" t="s">
        <v>125</v>
      </c>
      <c r="F2446" s="9" t="s">
        <v>69</v>
      </c>
      <c r="G2446" s="9" t="s">
        <v>70</v>
      </c>
      <c r="H2446" s="9" t="s">
        <v>8943</v>
      </c>
      <c r="I2446" s="9" t="s">
        <v>72</v>
      </c>
      <c r="J2446" s="10">
        <v>44964</v>
      </c>
      <c r="K2446" s="10">
        <v>45264</v>
      </c>
      <c r="L2446" s="50">
        <v>45299</v>
      </c>
      <c r="M2446" s="10"/>
      <c r="N2446" s="9">
        <v>2023</v>
      </c>
      <c r="O2446" s="9" t="s">
        <v>12345</v>
      </c>
      <c r="P2446" s="9" t="s">
        <v>53</v>
      </c>
      <c r="Q2446" s="9" t="s">
        <v>53</v>
      </c>
      <c r="R2446" s="9" t="s">
        <v>2090</v>
      </c>
      <c r="S2446" s="9"/>
      <c r="T2446" s="9"/>
      <c r="V2446" s="9"/>
      <c r="AC2446" s="9" t="s">
        <v>12351</v>
      </c>
      <c r="AD2446" s="9" t="s">
        <v>12352</v>
      </c>
      <c r="AH2446" s="9">
        <v>2100</v>
      </c>
      <c r="AI2446" s="9" t="s">
        <v>77</v>
      </c>
      <c r="AJ2446" s="9" t="s">
        <v>57</v>
      </c>
      <c r="AK2446" s="23" t="str">
        <f t="shared" si="18"/>
        <v>2023USD</v>
      </c>
      <c r="AL2446" s="23">
        <f>VLOOKUP(AK2446, Exchange_rates!$C:$D, 2, FALSE)</f>
        <v>0.80430000000000001</v>
      </c>
      <c r="AM2446" s="26">
        <f t="shared" si="19"/>
        <v>2026.8359999999998</v>
      </c>
      <c r="AN2446" s="9"/>
      <c r="AO2446" s="9"/>
      <c r="AP2446" s="9"/>
      <c r="AQ2446" s="15" t="s">
        <v>125</v>
      </c>
      <c r="AR2446" t="s">
        <v>7835</v>
      </c>
      <c r="AS2446" s="16"/>
    </row>
    <row r="2447" spans="1:60" ht="14.5">
      <c r="A2447" s="9" t="s">
        <v>12353</v>
      </c>
      <c r="B2447" s="9" t="s">
        <v>12354</v>
      </c>
      <c r="C2447" s="9" t="s">
        <v>1993</v>
      </c>
      <c r="D2447" s="9" t="s">
        <v>1994</v>
      </c>
      <c r="E2447" s="9" t="s">
        <v>125</v>
      </c>
      <c r="F2447" s="9" t="s">
        <v>69</v>
      </c>
      <c r="G2447" s="9" t="s">
        <v>70</v>
      </c>
      <c r="H2447" s="9" t="s">
        <v>8943</v>
      </c>
      <c r="I2447" s="9" t="s">
        <v>72</v>
      </c>
      <c r="J2447" s="10">
        <v>45133</v>
      </c>
      <c r="K2447" s="10">
        <v>45239</v>
      </c>
      <c r="L2447" s="50">
        <v>45246</v>
      </c>
      <c r="M2447" s="10"/>
      <c r="N2447" s="9">
        <v>2023</v>
      </c>
      <c r="O2447" s="9" t="s">
        <v>12345</v>
      </c>
      <c r="P2447" s="9" t="s">
        <v>53</v>
      </c>
      <c r="Q2447" s="9" t="s">
        <v>53</v>
      </c>
      <c r="R2447" s="9" t="s">
        <v>12355</v>
      </c>
      <c r="S2447" s="9"/>
      <c r="T2447" s="9"/>
      <c r="V2447" s="9"/>
      <c r="AC2447" s="9" t="s">
        <v>12356</v>
      </c>
      <c r="AD2447" s="9" t="s">
        <v>12357</v>
      </c>
      <c r="AH2447" s="9">
        <v>1931</v>
      </c>
      <c r="AI2447" s="9" t="s">
        <v>77</v>
      </c>
      <c r="AJ2447" s="9" t="s">
        <v>57</v>
      </c>
      <c r="AK2447" s="23" t="str">
        <f t="shared" si="18"/>
        <v>2023USD</v>
      </c>
      <c r="AL2447" s="23">
        <f>VLOOKUP(AK2447, Exchange_rates!$C:$D, 2, FALSE)</f>
        <v>0.80430000000000001</v>
      </c>
      <c r="AM2447" s="26">
        <f t="shared" si="19"/>
        <v>1863.7239599999998</v>
      </c>
      <c r="AN2447" s="9"/>
      <c r="AO2447" s="9"/>
      <c r="AP2447" s="9"/>
      <c r="AQ2447" s="15" t="s">
        <v>125</v>
      </c>
      <c r="AR2447" t="s">
        <v>2000</v>
      </c>
      <c r="AS2447" s="16"/>
    </row>
    <row r="2448" spans="1:60" ht="14.5">
      <c r="A2448" s="9" t="s">
        <v>12358</v>
      </c>
      <c r="B2448" s="9" t="s">
        <v>12359</v>
      </c>
      <c r="C2448" s="9" t="s">
        <v>1993</v>
      </c>
      <c r="D2448" s="9" t="s">
        <v>1994</v>
      </c>
      <c r="E2448" s="9" t="s">
        <v>125</v>
      </c>
      <c r="F2448" s="9" t="s">
        <v>69</v>
      </c>
      <c r="G2448" s="9" t="s">
        <v>70</v>
      </c>
      <c r="H2448" s="9" t="s">
        <v>8943</v>
      </c>
      <c r="I2448" s="9" t="s">
        <v>72</v>
      </c>
      <c r="J2448" s="10">
        <v>44979</v>
      </c>
      <c r="K2448" s="28">
        <v>45247</v>
      </c>
      <c r="L2448" s="50">
        <v>45259</v>
      </c>
      <c r="M2448" s="10"/>
      <c r="N2448" s="9">
        <v>2023</v>
      </c>
      <c r="O2448" s="9" t="s">
        <v>12360</v>
      </c>
      <c r="P2448" s="9" t="s">
        <v>83</v>
      </c>
      <c r="Q2448" s="9" t="s">
        <v>83</v>
      </c>
      <c r="R2448" s="9" t="s">
        <v>12361</v>
      </c>
      <c r="S2448" s="9"/>
      <c r="T2448" s="9"/>
      <c r="V2448" s="9"/>
      <c r="AC2448" s="9" t="s">
        <v>12362</v>
      </c>
      <c r="AD2448" s="9" t="s">
        <v>12363</v>
      </c>
      <c r="AH2448" s="9">
        <v>1805</v>
      </c>
      <c r="AI2448" s="9" t="s">
        <v>77</v>
      </c>
      <c r="AJ2448" s="9" t="s">
        <v>57</v>
      </c>
      <c r="AK2448" s="23" t="str">
        <f t="shared" si="18"/>
        <v>2023USD</v>
      </c>
      <c r="AL2448" s="23">
        <f>VLOOKUP(AK2448, Exchange_rates!$C:$D, 2, FALSE)</f>
        <v>0.80430000000000001</v>
      </c>
      <c r="AM2448" s="26">
        <f t="shared" si="19"/>
        <v>1742.1138000000001</v>
      </c>
      <c r="AN2448" s="9"/>
      <c r="AO2448" s="9"/>
      <c r="AP2448" s="9"/>
      <c r="AQ2448" s="15" t="s">
        <v>125</v>
      </c>
      <c r="AR2448" t="s">
        <v>2000</v>
      </c>
      <c r="AS2448" s="16"/>
    </row>
    <row r="2449" spans="1:60" ht="14.5">
      <c r="A2449" s="20" t="s">
        <v>12364</v>
      </c>
      <c r="B2449" s="20" t="s">
        <v>12365</v>
      </c>
      <c r="C2449" s="20" t="s">
        <v>2217</v>
      </c>
      <c r="D2449" s="20" t="s">
        <v>2218</v>
      </c>
      <c r="E2449" s="20" t="s">
        <v>49</v>
      </c>
      <c r="F2449" s="20" t="s">
        <v>69</v>
      </c>
      <c r="G2449" s="20" t="s">
        <v>70</v>
      </c>
      <c r="H2449" s="20" t="s">
        <v>12366</v>
      </c>
      <c r="I2449" s="20" t="s">
        <v>72</v>
      </c>
      <c r="J2449" s="22">
        <v>45174</v>
      </c>
      <c r="K2449" s="22">
        <v>45254</v>
      </c>
      <c r="L2449" s="51">
        <v>45266</v>
      </c>
      <c r="M2449" s="22"/>
      <c r="N2449" s="20">
        <v>2023</v>
      </c>
      <c r="O2449" s="20" t="s">
        <v>12367</v>
      </c>
      <c r="P2449" s="20" t="s">
        <v>53</v>
      </c>
      <c r="Q2449" s="20" t="s">
        <v>53</v>
      </c>
      <c r="R2449" s="20" t="s">
        <v>12368</v>
      </c>
      <c r="S2449" s="20"/>
      <c r="T2449" s="20"/>
      <c r="U2449" s="20"/>
      <c r="V2449" s="20"/>
      <c r="W2449" s="20"/>
      <c r="X2449" s="20"/>
      <c r="Y2449" s="20"/>
      <c r="Z2449" s="20"/>
      <c r="AA2449" s="20"/>
      <c r="AB2449" s="20"/>
      <c r="AC2449" s="20" t="s">
        <v>12369</v>
      </c>
      <c r="AD2449" s="20" t="s">
        <v>10743</v>
      </c>
      <c r="AE2449" s="20" t="s">
        <v>12370</v>
      </c>
      <c r="AF2449" s="20"/>
      <c r="AG2449" s="20"/>
      <c r="AH2449" s="20">
        <v>1700</v>
      </c>
      <c r="AI2449" s="20" t="s">
        <v>77</v>
      </c>
      <c r="AJ2449" s="20" t="s">
        <v>301</v>
      </c>
      <c r="AK2449" s="23" t="str">
        <f t="shared" si="18"/>
        <v>2023GBP</v>
      </c>
      <c r="AL2449" s="23">
        <f>VLOOKUP(AK2449, Exchange_rates!$C:$D, 2, FALSE)</f>
        <v>1</v>
      </c>
      <c r="AM2449" s="26">
        <f t="shared" si="19"/>
        <v>2040</v>
      </c>
      <c r="AN2449" s="20"/>
      <c r="AO2449" s="20"/>
      <c r="AP2449" s="20"/>
      <c r="AQ2449" s="27" t="s">
        <v>49</v>
      </c>
      <c r="AR2449" t="s">
        <v>2222</v>
      </c>
      <c r="AS2449" s="16"/>
      <c r="AT2449" s="20"/>
      <c r="AU2449" s="20"/>
      <c r="AV2449" s="20"/>
      <c r="AW2449" s="20"/>
      <c r="AX2449" s="20"/>
      <c r="AY2449" s="20"/>
      <c r="AZ2449" s="20"/>
      <c r="BA2449" s="20"/>
      <c r="BB2449" s="20"/>
      <c r="BC2449" s="20"/>
      <c r="BD2449" s="20"/>
      <c r="BE2449" s="20"/>
      <c r="BF2449" s="20"/>
      <c r="BG2449" s="20"/>
      <c r="BH2449" s="20"/>
    </row>
    <row r="2450" spans="1:60" ht="14.5">
      <c r="A2450" s="9" t="s">
        <v>12371</v>
      </c>
      <c r="B2450" s="9" t="s">
        <v>12372</v>
      </c>
      <c r="C2450" s="9" t="s">
        <v>2388</v>
      </c>
      <c r="D2450" s="9" t="s">
        <v>2268</v>
      </c>
      <c r="E2450" s="20" t="s">
        <v>49</v>
      </c>
      <c r="F2450" s="9" t="s">
        <v>69</v>
      </c>
      <c r="G2450" s="9" t="s">
        <v>70</v>
      </c>
      <c r="H2450" s="9" t="s">
        <v>7853</v>
      </c>
      <c r="I2450" s="9" t="s">
        <v>72</v>
      </c>
      <c r="J2450" s="10">
        <v>45110</v>
      </c>
      <c r="K2450" s="10">
        <v>45140</v>
      </c>
      <c r="L2450" s="50">
        <v>45159</v>
      </c>
      <c r="M2450" s="10"/>
      <c r="N2450" s="9">
        <v>2023</v>
      </c>
      <c r="O2450" s="9" t="s">
        <v>12373</v>
      </c>
      <c r="P2450" s="9" t="s">
        <v>83</v>
      </c>
      <c r="Q2450" s="9" t="s">
        <v>83</v>
      </c>
      <c r="R2450" s="9" t="s">
        <v>12374</v>
      </c>
      <c r="S2450" s="9"/>
      <c r="T2450" s="9"/>
      <c r="V2450" s="9"/>
      <c r="AC2450" s="9" t="s">
        <v>12375</v>
      </c>
      <c r="AH2450" s="18">
        <v>2750</v>
      </c>
      <c r="AI2450" s="9" t="s">
        <v>875</v>
      </c>
      <c r="AJ2450" s="9" t="s">
        <v>301</v>
      </c>
      <c r="AK2450" s="23" t="str">
        <f t="shared" si="18"/>
        <v>2023GBP</v>
      </c>
      <c r="AL2450" s="23">
        <f>VLOOKUP(AK2450, Exchange_rates!$C:$D, 2, FALSE)</f>
        <v>1</v>
      </c>
      <c r="AM2450" s="26">
        <f t="shared" si="19"/>
        <v>3300</v>
      </c>
      <c r="AN2450" s="9"/>
      <c r="AO2450" s="9"/>
      <c r="AP2450" s="20"/>
      <c r="AQ2450" s="27" t="s">
        <v>49</v>
      </c>
      <c r="AR2450" t="s">
        <v>2277</v>
      </c>
      <c r="AS2450" s="16" t="s">
        <v>2390</v>
      </c>
    </row>
    <row r="2451" spans="1:60" ht="14.5">
      <c r="A2451" s="9" t="s">
        <v>12376</v>
      </c>
      <c r="B2451" s="9" t="s">
        <v>12377</v>
      </c>
      <c r="C2451" s="9" t="s">
        <v>2361</v>
      </c>
      <c r="D2451" s="9" t="s">
        <v>2268</v>
      </c>
      <c r="E2451" s="20" t="s">
        <v>49</v>
      </c>
      <c r="F2451" s="9" t="s">
        <v>69</v>
      </c>
      <c r="G2451" s="9" t="s">
        <v>70</v>
      </c>
      <c r="H2451" s="9" t="s">
        <v>7853</v>
      </c>
      <c r="I2451" s="9" t="s">
        <v>72</v>
      </c>
      <c r="J2451" s="10">
        <v>45040</v>
      </c>
      <c r="K2451" s="10">
        <v>45147</v>
      </c>
      <c r="L2451" s="50">
        <v>45161</v>
      </c>
      <c r="M2451" s="10"/>
      <c r="N2451" s="9">
        <v>2023</v>
      </c>
      <c r="O2451" s="9" t="s">
        <v>12373</v>
      </c>
      <c r="P2451" s="9" t="s">
        <v>83</v>
      </c>
      <c r="Q2451" s="9" t="s">
        <v>53</v>
      </c>
      <c r="R2451" s="9" t="s">
        <v>117</v>
      </c>
      <c r="S2451" s="9"/>
      <c r="T2451" s="9"/>
      <c r="V2451" s="9"/>
      <c r="AC2451" s="9" t="s">
        <v>12378</v>
      </c>
      <c r="AH2451" s="18">
        <v>2750</v>
      </c>
      <c r="AI2451" s="9" t="s">
        <v>875</v>
      </c>
      <c r="AJ2451" s="9" t="s">
        <v>301</v>
      </c>
      <c r="AK2451" s="23" t="str">
        <f t="shared" si="18"/>
        <v>2023GBP</v>
      </c>
      <c r="AL2451" s="23">
        <f>VLOOKUP(AK2451, Exchange_rates!$C:$D, 2, FALSE)</f>
        <v>1</v>
      </c>
      <c r="AM2451" s="26">
        <f t="shared" si="19"/>
        <v>3300</v>
      </c>
      <c r="AN2451" s="9"/>
      <c r="AO2451" s="9"/>
      <c r="AP2451" s="20"/>
      <c r="AQ2451" s="27" t="s">
        <v>49</v>
      </c>
      <c r="AR2451" t="s">
        <v>2363</v>
      </c>
      <c r="AS2451" s="16"/>
    </row>
    <row r="2452" spans="1:60" ht="14.5">
      <c r="A2452" s="9" t="s">
        <v>12379</v>
      </c>
      <c r="B2452" s="9" t="s">
        <v>12380</v>
      </c>
      <c r="C2452" s="9" t="s">
        <v>2292</v>
      </c>
      <c r="D2452" s="9" t="s">
        <v>2268</v>
      </c>
      <c r="E2452" s="20" t="s">
        <v>49</v>
      </c>
      <c r="F2452" s="9" t="s">
        <v>69</v>
      </c>
      <c r="G2452" s="9" t="s">
        <v>70</v>
      </c>
      <c r="H2452" s="9" t="s">
        <v>7853</v>
      </c>
      <c r="I2452" s="9" t="s">
        <v>72</v>
      </c>
      <c r="J2452" s="10">
        <v>45177</v>
      </c>
      <c r="K2452" s="10">
        <v>45231</v>
      </c>
      <c r="L2452" s="50">
        <v>45237</v>
      </c>
      <c r="M2452" s="10"/>
      <c r="N2452" s="9">
        <v>2023</v>
      </c>
      <c r="O2452" s="9" t="s">
        <v>12373</v>
      </c>
      <c r="P2452" s="9" t="s">
        <v>53</v>
      </c>
      <c r="Q2452" s="9" t="s">
        <v>53</v>
      </c>
      <c r="R2452" s="9" t="s">
        <v>12381</v>
      </c>
      <c r="S2452" s="9"/>
      <c r="T2452" s="9"/>
      <c r="V2452" s="9"/>
      <c r="AC2452" s="9" t="s">
        <v>12382</v>
      </c>
      <c r="AH2452" s="18">
        <v>2750</v>
      </c>
      <c r="AI2452" s="9" t="s">
        <v>875</v>
      </c>
      <c r="AJ2452" s="9" t="s">
        <v>301</v>
      </c>
      <c r="AK2452" s="23" t="str">
        <f t="shared" si="18"/>
        <v>2023GBP</v>
      </c>
      <c r="AL2452" s="23">
        <f>VLOOKUP(AK2452, Exchange_rates!$C:$D, 2, FALSE)</f>
        <v>1</v>
      </c>
      <c r="AM2452" s="26">
        <f t="shared" si="19"/>
        <v>3300</v>
      </c>
      <c r="AN2452" s="9"/>
      <c r="AO2452" s="9"/>
      <c r="AP2452" s="20"/>
      <c r="AQ2452" s="27" t="s">
        <v>49</v>
      </c>
      <c r="AR2452" t="s">
        <v>2294</v>
      </c>
      <c r="AS2452" s="16"/>
    </row>
    <row r="2453" spans="1:60" ht="14.5">
      <c r="A2453" s="20" t="s">
        <v>12383</v>
      </c>
      <c r="B2453" s="20" t="s">
        <v>12384</v>
      </c>
      <c r="C2453" s="20" t="s">
        <v>12385</v>
      </c>
      <c r="D2453" s="20" t="s">
        <v>2268</v>
      </c>
      <c r="E2453" s="20" t="s">
        <v>49</v>
      </c>
      <c r="F2453" s="20" t="s">
        <v>69</v>
      </c>
      <c r="G2453" s="20" t="s">
        <v>70</v>
      </c>
      <c r="H2453" s="20" t="s">
        <v>7853</v>
      </c>
      <c r="I2453" s="20" t="s">
        <v>72</v>
      </c>
      <c r="J2453" s="22">
        <v>45197</v>
      </c>
      <c r="K2453" s="22">
        <v>45250</v>
      </c>
      <c r="L2453" s="51">
        <v>45271</v>
      </c>
      <c r="M2453" s="22"/>
      <c r="N2453" s="20">
        <v>2023</v>
      </c>
      <c r="O2453" s="20" t="s">
        <v>12373</v>
      </c>
      <c r="P2453" s="20" t="s">
        <v>83</v>
      </c>
      <c r="Q2453" s="20" t="s">
        <v>53</v>
      </c>
      <c r="R2453" s="20" t="s">
        <v>12386</v>
      </c>
      <c r="S2453" s="20"/>
      <c r="T2453" s="20"/>
      <c r="U2453" s="20"/>
      <c r="V2453" s="20"/>
      <c r="W2453" s="20"/>
      <c r="X2453" s="20"/>
      <c r="Y2453" s="20"/>
      <c r="Z2453" s="20"/>
      <c r="AA2453" s="20"/>
      <c r="AB2453" s="20"/>
      <c r="AC2453" s="20" t="s">
        <v>12387</v>
      </c>
      <c r="AD2453" s="20"/>
      <c r="AE2453" s="20"/>
      <c r="AF2453" s="20"/>
      <c r="AG2453" s="20"/>
      <c r="AH2453" s="49">
        <v>2750</v>
      </c>
      <c r="AI2453" s="20" t="s">
        <v>875</v>
      </c>
      <c r="AJ2453" s="20" t="s">
        <v>301</v>
      </c>
      <c r="AK2453" s="23" t="str">
        <f t="shared" si="18"/>
        <v>2023GBP</v>
      </c>
      <c r="AL2453" s="23">
        <f>VLOOKUP(AK2453, Exchange_rates!$C:$D, 2, FALSE)</f>
        <v>1</v>
      </c>
      <c r="AM2453" s="26">
        <f t="shared" si="19"/>
        <v>3300</v>
      </c>
      <c r="AN2453" s="20"/>
      <c r="AO2453" s="20"/>
      <c r="AP2453" s="20"/>
      <c r="AQ2453" s="27" t="s">
        <v>49</v>
      </c>
      <c r="AR2453" t="s">
        <v>12388</v>
      </c>
      <c r="AS2453" s="16"/>
      <c r="AT2453" s="20"/>
      <c r="AU2453" s="20"/>
      <c r="AV2453" s="20"/>
      <c r="AW2453" s="20"/>
      <c r="AX2453" s="20"/>
      <c r="AY2453" s="20"/>
      <c r="AZ2453" s="20"/>
      <c r="BA2453" s="20"/>
      <c r="BB2453" s="20"/>
      <c r="BC2453" s="20"/>
      <c r="BD2453" s="20"/>
      <c r="BE2453" s="20"/>
      <c r="BF2453" s="20"/>
      <c r="BG2453" s="20"/>
      <c r="BH2453" s="20"/>
    </row>
    <row r="2454" spans="1:60" ht="14.5">
      <c r="A2454" s="9" t="s">
        <v>12389</v>
      </c>
      <c r="B2454" s="9" t="s">
        <v>12390</v>
      </c>
      <c r="C2454" s="9" t="s">
        <v>4416</v>
      </c>
      <c r="D2454" s="9" t="s">
        <v>4371</v>
      </c>
      <c r="E2454" s="20" t="s">
        <v>49</v>
      </c>
      <c r="F2454" s="9" t="s">
        <v>69</v>
      </c>
      <c r="G2454" s="9" t="s">
        <v>70</v>
      </c>
      <c r="H2454" s="9" t="s">
        <v>12391</v>
      </c>
      <c r="I2454" s="9" t="s">
        <v>72</v>
      </c>
      <c r="J2454" s="10">
        <v>45267</v>
      </c>
      <c r="K2454" s="10">
        <v>45281</v>
      </c>
      <c r="L2454" s="50">
        <v>45306</v>
      </c>
      <c r="M2454" s="10">
        <v>45312</v>
      </c>
      <c r="N2454" s="9">
        <v>2024</v>
      </c>
      <c r="O2454" s="9" t="s">
        <v>12392</v>
      </c>
      <c r="P2454" s="9" t="s">
        <v>53</v>
      </c>
      <c r="Q2454" s="9" t="s">
        <v>53</v>
      </c>
      <c r="R2454" s="9" t="s">
        <v>9145</v>
      </c>
      <c r="S2454" s="9"/>
      <c r="T2454" s="9"/>
      <c r="V2454" s="9"/>
      <c r="AC2454" s="9" t="s">
        <v>12393</v>
      </c>
      <c r="AD2454" s="9" t="s">
        <v>9493</v>
      </c>
      <c r="AE2454" s="9" t="s">
        <v>9145</v>
      </c>
      <c r="AH2454" s="9">
        <v>3200</v>
      </c>
      <c r="AI2454" s="9" t="s">
        <v>77</v>
      </c>
      <c r="AJ2454" s="9" t="s">
        <v>301</v>
      </c>
      <c r="AK2454" s="23" t="str">
        <f t="shared" si="18"/>
        <v>2024GBP</v>
      </c>
      <c r="AL2454" s="23">
        <f>VLOOKUP(AK2454, Exchange_rates!$C:$D, 2, FALSE)</f>
        <v>1</v>
      </c>
      <c r="AM2454" s="26">
        <f t="shared" si="19"/>
        <v>3840</v>
      </c>
      <c r="AN2454" s="9"/>
      <c r="AO2454" s="9"/>
      <c r="AP2454" s="20"/>
      <c r="AQ2454" s="27" t="s">
        <v>49</v>
      </c>
      <c r="AR2454" t="s">
        <v>4419</v>
      </c>
      <c r="AS2454" s="16" t="s">
        <v>4420</v>
      </c>
    </row>
    <row r="2455" spans="1:60" ht="14.5">
      <c r="A2455" s="9" t="s">
        <v>12394</v>
      </c>
      <c r="B2455" s="9" t="s">
        <v>12395</v>
      </c>
      <c r="C2455" s="9" t="s">
        <v>7888</v>
      </c>
      <c r="D2455" s="9" t="s">
        <v>4371</v>
      </c>
      <c r="E2455" s="20" t="s">
        <v>49</v>
      </c>
      <c r="F2455" s="9" t="s">
        <v>69</v>
      </c>
      <c r="G2455" s="9" t="s">
        <v>70</v>
      </c>
      <c r="H2455" s="9" t="s">
        <v>12391</v>
      </c>
      <c r="I2455" s="9" t="s">
        <v>291</v>
      </c>
      <c r="J2455" s="10">
        <v>44743</v>
      </c>
      <c r="K2455" s="10">
        <v>45244</v>
      </c>
      <c r="L2455" s="50">
        <v>45302</v>
      </c>
      <c r="M2455" s="10">
        <v>45369</v>
      </c>
      <c r="N2455" s="9">
        <v>2024</v>
      </c>
      <c r="O2455" s="9" t="s">
        <v>12392</v>
      </c>
      <c r="P2455" s="9" t="s">
        <v>53</v>
      </c>
      <c r="Q2455" s="9" t="s">
        <v>53</v>
      </c>
      <c r="R2455" s="9" t="s">
        <v>12396</v>
      </c>
      <c r="S2455" s="9" t="s">
        <v>12397</v>
      </c>
      <c r="T2455" s="9"/>
      <c r="V2455" s="9"/>
      <c r="AC2455" s="9" t="s">
        <v>12398</v>
      </c>
      <c r="AD2455" s="9" t="s">
        <v>12399</v>
      </c>
      <c r="AE2455" s="9" t="s">
        <v>9145</v>
      </c>
      <c r="AH2455" s="9">
        <v>2640</v>
      </c>
      <c r="AI2455" s="9" t="s">
        <v>77</v>
      </c>
      <c r="AJ2455" s="9" t="s">
        <v>301</v>
      </c>
      <c r="AK2455" s="23" t="str">
        <f t="shared" si="18"/>
        <v>2024GBP</v>
      </c>
      <c r="AL2455" s="23">
        <f>VLOOKUP(AK2455, Exchange_rates!$C:$D, 2, FALSE)</f>
        <v>1</v>
      </c>
      <c r="AM2455" s="26">
        <f t="shared" si="19"/>
        <v>3168</v>
      </c>
      <c r="AN2455" s="9"/>
      <c r="AO2455" s="9"/>
      <c r="AP2455" s="20"/>
      <c r="AQ2455" s="27" t="s">
        <v>49</v>
      </c>
      <c r="AR2455" t="s">
        <v>7892</v>
      </c>
      <c r="AS2455" s="16" t="s">
        <v>7893</v>
      </c>
    </row>
    <row r="2456" spans="1:60" ht="14.5">
      <c r="A2456" s="9" t="s">
        <v>12400</v>
      </c>
      <c r="B2456" s="9" t="s">
        <v>12401</v>
      </c>
      <c r="C2456" s="9" t="s">
        <v>4856</v>
      </c>
      <c r="D2456" s="9" t="s">
        <v>4371</v>
      </c>
      <c r="E2456" s="20" t="s">
        <v>49</v>
      </c>
      <c r="F2456" s="9" t="s">
        <v>69</v>
      </c>
      <c r="G2456" s="9" t="s">
        <v>70</v>
      </c>
      <c r="H2456" s="9" t="s">
        <v>12391</v>
      </c>
      <c r="I2456" s="9" t="s">
        <v>291</v>
      </c>
      <c r="J2456" s="10">
        <v>44915</v>
      </c>
      <c r="K2456" s="10">
        <v>45239</v>
      </c>
      <c r="L2456" s="50">
        <v>45301</v>
      </c>
      <c r="M2456" s="10">
        <v>45316</v>
      </c>
      <c r="N2456" s="9">
        <v>2024</v>
      </c>
      <c r="O2456" s="9" t="s">
        <v>12392</v>
      </c>
      <c r="P2456" s="9" t="s">
        <v>53</v>
      </c>
      <c r="Q2456" s="9" t="s">
        <v>53</v>
      </c>
      <c r="R2456" s="9" t="s">
        <v>12402</v>
      </c>
      <c r="S2456" s="9"/>
      <c r="T2456" s="9"/>
      <c r="V2456" s="9"/>
      <c r="AC2456" s="9" t="s">
        <v>12403</v>
      </c>
      <c r="AD2456" s="9" t="s">
        <v>12404</v>
      </c>
      <c r="AE2456" s="9" t="s">
        <v>9145</v>
      </c>
      <c r="AH2456" s="9">
        <v>3200</v>
      </c>
      <c r="AI2456" s="9" t="s">
        <v>77</v>
      </c>
      <c r="AJ2456" s="9" t="s">
        <v>301</v>
      </c>
      <c r="AK2456" s="23" t="str">
        <f t="shared" si="18"/>
        <v>2024GBP</v>
      </c>
      <c r="AL2456" s="23">
        <f>VLOOKUP(AK2456, Exchange_rates!$C:$D, 2, FALSE)</f>
        <v>1</v>
      </c>
      <c r="AM2456" s="26">
        <f t="shared" si="19"/>
        <v>3840</v>
      </c>
      <c r="AN2456" s="9"/>
      <c r="AO2456" s="9"/>
      <c r="AP2456" s="20"/>
      <c r="AQ2456" s="27" t="s">
        <v>49</v>
      </c>
      <c r="AR2456" t="s">
        <v>4859</v>
      </c>
      <c r="AS2456" s="16" t="s">
        <v>4860</v>
      </c>
    </row>
    <row r="2457" spans="1:60" ht="14.5">
      <c r="A2457" s="9" t="s">
        <v>12405</v>
      </c>
      <c r="B2457" s="9" t="s">
        <v>12406</v>
      </c>
      <c r="C2457" s="9" t="s">
        <v>12407</v>
      </c>
      <c r="D2457" s="9" t="s">
        <v>4371</v>
      </c>
      <c r="E2457" s="20" t="s">
        <v>49</v>
      </c>
      <c r="F2457" s="9" t="s">
        <v>69</v>
      </c>
      <c r="G2457" s="9" t="s">
        <v>70</v>
      </c>
      <c r="H2457" s="9" t="s">
        <v>12391</v>
      </c>
      <c r="I2457" s="9" t="s">
        <v>72</v>
      </c>
      <c r="J2457" s="10">
        <v>45041</v>
      </c>
      <c r="K2457" s="10">
        <v>45290</v>
      </c>
      <c r="L2457" s="50">
        <v>45296</v>
      </c>
      <c r="M2457" s="10">
        <v>45321</v>
      </c>
      <c r="N2457" s="9">
        <v>2024</v>
      </c>
      <c r="O2457" s="9" t="s">
        <v>12392</v>
      </c>
      <c r="P2457" s="9" t="s">
        <v>83</v>
      </c>
      <c r="Q2457" s="9" t="s">
        <v>53</v>
      </c>
      <c r="R2457" s="9" t="s">
        <v>12408</v>
      </c>
      <c r="S2457" s="9"/>
      <c r="T2457" s="9"/>
      <c r="V2457" s="9"/>
      <c r="AC2457" s="9" t="s">
        <v>11526</v>
      </c>
      <c r="AD2457" s="9" t="s">
        <v>11576</v>
      </c>
      <c r="AE2457" s="9" t="s">
        <v>12409</v>
      </c>
      <c r="AH2457" s="9">
        <v>2640</v>
      </c>
      <c r="AI2457" s="9" t="s">
        <v>77</v>
      </c>
      <c r="AJ2457" s="9" t="s">
        <v>301</v>
      </c>
      <c r="AK2457" s="23" t="str">
        <f t="shared" si="18"/>
        <v>2024GBP</v>
      </c>
      <c r="AL2457" s="23">
        <f>VLOOKUP(AK2457, Exchange_rates!$C:$D, 2, FALSE)</f>
        <v>1</v>
      </c>
      <c r="AM2457" s="26">
        <f t="shared" si="19"/>
        <v>3168</v>
      </c>
      <c r="AN2457" s="9"/>
      <c r="AO2457" s="9"/>
      <c r="AP2457" s="20"/>
      <c r="AQ2457" s="27" t="s">
        <v>49</v>
      </c>
      <c r="AR2457" t="s">
        <v>12410</v>
      </c>
      <c r="AS2457" s="16" t="s">
        <v>12411</v>
      </c>
    </row>
    <row r="2458" spans="1:60" ht="14.5">
      <c r="A2458" s="9" t="s">
        <v>12412</v>
      </c>
      <c r="B2458" s="9" t="s">
        <v>12413</v>
      </c>
      <c r="C2458" s="9" t="s">
        <v>12414</v>
      </c>
      <c r="D2458" s="9" t="s">
        <v>4371</v>
      </c>
      <c r="E2458" s="20" t="s">
        <v>49</v>
      </c>
      <c r="F2458" s="9" t="s">
        <v>50</v>
      </c>
      <c r="G2458" s="9" t="s">
        <v>51</v>
      </c>
      <c r="H2458" s="9"/>
      <c r="J2458" s="10">
        <v>45273</v>
      </c>
      <c r="K2458" s="10">
        <v>45273</v>
      </c>
      <c r="L2458" s="50">
        <v>45295</v>
      </c>
      <c r="M2458" s="10">
        <v>45356</v>
      </c>
      <c r="N2458" s="9">
        <v>2024</v>
      </c>
      <c r="O2458" s="9" t="s">
        <v>12392</v>
      </c>
      <c r="P2458" s="9" t="s">
        <v>53</v>
      </c>
      <c r="Q2458" s="9" t="s">
        <v>53</v>
      </c>
      <c r="R2458" s="9" t="s">
        <v>9145</v>
      </c>
      <c r="S2458" s="9"/>
      <c r="T2458" s="9" t="s">
        <v>1912</v>
      </c>
      <c r="U2458" s="9" t="s">
        <v>12415</v>
      </c>
      <c r="V2458" s="9"/>
      <c r="AC2458" s="9" t="s">
        <v>12416</v>
      </c>
      <c r="AD2458" s="9" t="s">
        <v>12417</v>
      </c>
      <c r="AE2458" s="9" t="s">
        <v>12418</v>
      </c>
      <c r="AH2458" s="9">
        <v>2640</v>
      </c>
      <c r="AI2458" s="9" t="s">
        <v>77</v>
      </c>
      <c r="AJ2458" s="9" t="s">
        <v>301</v>
      </c>
      <c r="AK2458" s="23" t="str">
        <f t="shared" si="18"/>
        <v>2024GBP</v>
      </c>
      <c r="AL2458" s="23">
        <f>VLOOKUP(AK2458, Exchange_rates!$C:$D, 2, FALSE)</f>
        <v>1</v>
      </c>
      <c r="AM2458" s="26">
        <f t="shared" si="19"/>
        <v>3168</v>
      </c>
      <c r="AN2458" s="9"/>
      <c r="AO2458" s="9"/>
      <c r="AP2458" s="20"/>
      <c r="AQ2458" s="27" t="s">
        <v>49</v>
      </c>
      <c r="AR2458" t="s">
        <v>12419</v>
      </c>
      <c r="AS2458" s="16" t="s">
        <v>12420</v>
      </c>
    </row>
    <row r="2459" spans="1:60" ht="14.5">
      <c r="A2459" s="9" t="s">
        <v>12421</v>
      </c>
      <c r="B2459" s="9" t="s">
        <v>12422</v>
      </c>
      <c r="C2459" s="9" t="s">
        <v>12423</v>
      </c>
      <c r="D2459" s="9" t="s">
        <v>4371</v>
      </c>
      <c r="E2459" s="20" t="s">
        <v>49</v>
      </c>
      <c r="F2459" s="9" t="s">
        <v>69</v>
      </c>
      <c r="G2459" s="9" t="s">
        <v>70</v>
      </c>
      <c r="H2459" s="9" t="s">
        <v>7152</v>
      </c>
      <c r="I2459" s="9" t="s">
        <v>291</v>
      </c>
      <c r="J2459" s="10">
        <v>45133</v>
      </c>
      <c r="K2459" s="10">
        <v>45275</v>
      </c>
      <c r="L2459" s="50">
        <v>45280</v>
      </c>
      <c r="M2459" s="10">
        <v>45418</v>
      </c>
      <c r="N2459" s="9">
        <v>2023</v>
      </c>
      <c r="O2459" s="9" t="s">
        <v>12392</v>
      </c>
      <c r="P2459" s="9" t="s">
        <v>53</v>
      </c>
      <c r="Q2459" s="9" t="s">
        <v>53</v>
      </c>
      <c r="R2459" s="9" t="s">
        <v>9145</v>
      </c>
      <c r="S2459" s="9"/>
      <c r="T2459" s="9"/>
      <c r="V2459" s="9"/>
      <c r="AC2459" s="9" t="s">
        <v>12424</v>
      </c>
      <c r="AD2459" s="9" t="s">
        <v>12425</v>
      </c>
      <c r="AE2459" s="9" t="s">
        <v>9145</v>
      </c>
      <c r="AH2459" s="9">
        <v>670</v>
      </c>
      <c r="AI2459" s="9" t="s">
        <v>77</v>
      </c>
      <c r="AJ2459" s="9" t="s">
        <v>301</v>
      </c>
      <c r="AK2459" s="23" t="str">
        <f t="shared" si="18"/>
        <v>2023GBP</v>
      </c>
      <c r="AL2459" s="23">
        <f>VLOOKUP(AK2459, Exchange_rates!$C:$D, 2, FALSE)</f>
        <v>1</v>
      </c>
      <c r="AM2459" s="26">
        <f t="shared" si="19"/>
        <v>804</v>
      </c>
      <c r="AN2459" s="9"/>
      <c r="AO2459" s="9"/>
      <c r="AP2459" s="20"/>
      <c r="AQ2459" s="27" t="s">
        <v>49</v>
      </c>
      <c r="AR2459" t="s">
        <v>12426</v>
      </c>
      <c r="AS2459" s="16"/>
    </row>
    <row r="2460" spans="1:60" ht="14.5">
      <c r="A2460" s="20" t="s">
        <v>12427</v>
      </c>
      <c r="B2460" s="20" t="s">
        <v>12428</v>
      </c>
      <c r="C2460" s="20" t="s">
        <v>12429</v>
      </c>
      <c r="D2460" s="20" t="s">
        <v>4371</v>
      </c>
      <c r="E2460" s="20" t="s">
        <v>49</v>
      </c>
      <c r="F2460" s="20" t="s">
        <v>69</v>
      </c>
      <c r="G2460" s="20" t="s">
        <v>70</v>
      </c>
      <c r="H2460" s="20" t="s">
        <v>7152</v>
      </c>
      <c r="I2460" s="20" t="s">
        <v>291</v>
      </c>
      <c r="J2460" s="22">
        <v>44942</v>
      </c>
      <c r="K2460" s="22">
        <v>45276</v>
      </c>
      <c r="L2460" s="51">
        <v>45279</v>
      </c>
      <c r="M2460" s="22"/>
      <c r="N2460" s="20">
        <v>2023</v>
      </c>
      <c r="O2460" s="20" t="s">
        <v>12392</v>
      </c>
      <c r="P2460" s="20" t="s">
        <v>53</v>
      </c>
      <c r="Q2460" s="20" t="s">
        <v>53</v>
      </c>
      <c r="R2460" s="20" t="s">
        <v>12430</v>
      </c>
      <c r="S2460" s="20"/>
      <c r="T2460" s="20"/>
      <c r="U2460" s="20"/>
      <c r="V2460" s="20"/>
      <c r="W2460" s="20"/>
      <c r="X2460" s="20"/>
      <c r="Y2460" s="20"/>
      <c r="Z2460" s="20"/>
      <c r="AA2460" s="20"/>
      <c r="AB2460" s="20"/>
      <c r="AC2460" s="20" t="s">
        <v>12431</v>
      </c>
      <c r="AD2460" s="20" t="s">
        <v>12432</v>
      </c>
      <c r="AE2460" s="20" t="s">
        <v>9145</v>
      </c>
      <c r="AF2460" s="20"/>
      <c r="AG2460" s="20"/>
      <c r="AH2460" s="20">
        <v>2640</v>
      </c>
      <c r="AI2460" s="20" t="s">
        <v>77</v>
      </c>
      <c r="AJ2460" s="20" t="s">
        <v>301</v>
      </c>
      <c r="AK2460" s="23" t="str">
        <f t="shared" si="18"/>
        <v>2023GBP</v>
      </c>
      <c r="AL2460" s="23">
        <f>VLOOKUP(AK2460, Exchange_rates!$C:$D, 2, FALSE)</f>
        <v>1</v>
      </c>
      <c r="AM2460" s="26">
        <f t="shared" si="19"/>
        <v>3168</v>
      </c>
      <c r="AN2460" s="20"/>
      <c r="AO2460" s="20"/>
      <c r="AP2460" s="20"/>
      <c r="AQ2460" s="27" t="s">
        <v>49</v>
      </c>
      <c r="AR2460" t="s">
        <v>12433</v>
      </c>
      <c r="AS2460" s="16" t="s">
        <v>12434</v>
      </c>
      <c r="AT2460" s="20"/>
      <c r="AU2460" s="20"/>
      <c r="AV2460" s="20"/>
      <c r="AW2460" s="20"/>
      <c r="AX2460" s="20"/>
      <c r="AY2460" s="20"/>
      <c r="AZ2460" s="20"/>
      <c r="BA2460" s="20"/>
      <c r="BB2460" s="20"/>
      <c r="BC2460" s="20"/>
      <c r="BD2460" s="20"/>
      <c r="BE2460" s="20"/>
      <c r="BF2460" s="20"/>
      <c r="BG2460" s="20"/>
      <c r="BH2460" s="20"/>
    </row>
    <row r="2461" spans="1:60" ht="14.5">
      <c r="A2461" s="9" t="s">
        <v>12435</v>
      </c>
      <c r="B2461" s="9" t="s">
        <v>12436</v>
      </c>
      <c r="C2461" s="9" t="s">
        <v>1597</v>
      </c>
      <c r="D2461" s="9" t="s">
        <v>1560</v>
      </c>
      <c r="E2461" s="9" t="s">
        <v>49</v>
      </c>
      <c r="F2461" s="20" t="s">
        <v>69</v>
      </c>
      <c r="G2461" s="9" t="s">
        <v>70</v>
      </c>
      <c r="H2461" s="9" t="s">
        <v>8860</v>
      </c>
      <c r="I2461" s="20" t="s">
        <v>72</v>
      </c>
      <c r="J2461" s="10"/>
      <c r="K2461" s="10">
        <v>45203</v>
      </c>
      <c r="L2461" s="50"/>
      <c r="M2461" s="10">
        <v>45226</v>
      </c>
      <c r="N2461" s="9">
        <v>2023</v>
      </c>
      <c r="O2461" s="9" t="s">
        <v>12373</v>
      </c>
      <c r="P2461" s="9" t="s">
        <v>53</v>
      </c>
      <c r="Q2461" s="9" t="s">
        <v>53</v>
      </c>
      <c r="R2461" s="9" t="e">
        <v>#REF!</v>
      </c>
      <c r="T2461" s="9"/>
      <c r="V2461" s="9"/>
      <c r="AC2461" s="9" t="s">
        <v>1599</v>
      </c>
      <c r="AD2461" s="9" t="s">
        <v>1600</v>
      </c>
      <c r="AH2461" s="9">
        <v>3244</v>
      </c>
      <c r="AI2461" s="9" t="s">
        <v>77</v>
      </c>
      <c r="AJ2461" s="9" t="s">
        <v>301</v>
      </c>
      <c r="AK2461" s="23" t="str">
        <f t="shared" si="18"/>
        <v>2023GBP</v>
      </c>
      <c r="AL2461" s="23">
        <f>VLOOKUP(AK2461, Exchange_rates!$C:$D, 2, FALSE)</f>
        <v>1</v>
      </c>
      <c r="AM2461" s="26">
        <f t="shared" si="19"/>
        <v>3892.7999999999997</v>
      </c>
      <c r="AN2461" s="9"/>
      <c r="AO2461" s="9"/>
      <c r="AP2461" s="9"/>
      <c r="AQ2461" s="15" t="s">
        <v>49</v>
      </c>
      <c r="AR2461" t="s">
        <v>1601</v>
      </c>
      <c r="AS2461" s="16" t="s">
        <v>1602</v>
      </c>
    </row>
    <row r="2462" spans="1:60" ht="14.5">
      <c r="A2462" s="9" t="s">
        <v>12437</v>
      </c>
      <c r="B2462" s="9" t="s">
        <v>12438</v>
      </c>
      <c r="C2462" s="9" t="s">
        <v>12439</v>
      </c>
      <c r="D2462" s="9" t="s">
        <v>1560</v>
      </c>
      <c r="E2462" s="9" t="s">
        <v>125</v>
      </c>
      <c r="F2462" s="20" t="s">
        <v>69</v>
      </c>
      <c r="G2462" s="9" t="s">
        <v>70</v>
      </c>
      <c r="H2462" s="9" t="s">
        <v>8860</v>
      </c>
      <c r="I2462" s="20" t="s">
        <v>72</v>
      </c>
      <c r="J2462" s="10"/>
      <c r="K2462" s="10">
        <v>45204</v>
      </c>
      <c r="L2462" s="50"/>
      <c r="M2462" s="10">
        <v>45213</v>
      </c>
      <c r="N2462" s="9">
        <v>2023</v>
      </c>
      <c r="O2462" s="9" t="s">
        <v>12373</v>
      </c>
      <c r="P2462" s="9" t="s">
        <v>53</v>
      </c>
      <c r="Q2462" s="9" t="s">
        <v>53</v>
      </c>
      <c r="R2462" s="9" t="e">
        <v>#REF!</v>
      </c>
      <c r="T2462" s="9"/>
      <c r="V2462" s="9"/>
      <c r="AC2462" s="9" t="s">
        <v>12440</v>
      </c>
      <c r="AD2462" s="9" t="s">
        <v>7002</v>
      </c>
      <c r="AH2462" s="9">
        <v>2266</v>
      </c>
      <c r="AI2462" s="9" t="s">
        <v>77</v>
      </c>
      <c r="AJ2462" s="9" t="s">
        <v>57</v>
      </c>
      <c r="AK2462" s="23" t="str">
        <f t="shared" si="18"/>
        <v>2023USD</v>
      </c>
      <c r="AL2462" s="23">
        <f>VLOOKUP(AK2462, Exchange_rates!$C:$D, 2, FALSE)</f>
        <v>0.80430000000000001</v>
      </c>
      <c r="AM2462" s="26">
        <f t="shared" si="19"/>
        <v>2187.0525600000001</v>
      </c>
      <c r="AN2462" s="9"/>
      <c r="AO2462" s="9"/>
      <c r="AP2462" s="9"/>
      <c r="AQ2462" s="15" t="s">
        <v>125</v>
      </c>
      <c r="AR2462" t="s">
        <v>12441</v>
      </c>
      <c r="AS2462" s="16" t="s">
        <v>12442</v>
      </c>
    </row>
    <row r="2463" spans="1:60" ht="14.5">
      <c r="A2463" s="9" t="s">
        <v>12443</v>
      </c>
      <c r="B2463" s="9" t="s">
        <v>12444</v>
      </c>
      <c r="C2463" s="9" t="s">
        <v>12445</v>
      </c>
      <c r="D2463" s="9" t="s">
        <v>1560</v>
      </c>
      <c r="E2463" s="9" t="s">
        <v>49</v>
      </c>
      <c r="F2463" s="20" t="s">
        <v>69</v>
      </c>
      <c r="G2463" s="9" t="s">
        <v>70</v>
      </c>
      <c r="H2463" s="9" t="s">
        <v>8860</v>
      </c>
      <c r="I2463" s="9" t="s">
        <v>291</v>
      </c>
      <c r="J2463" s="10"/>
      <c r="K2463" s="28">
        <v>45215</v>
      </c>
      <c r="L2463" s="50"/>
      <c r="M2463" s="10"/>
      <c r="N2463" s="9">
        <v>2023</v>
      </c>
      <c r="O2463" s="9" t="s">
        <v>12373</v>
      </c>
      <c r="P2463" s="9" t="s">
        <v>53</v>
      </c>
      <c r="Q2463" s="9" t="s">
        <v>53</v>
      </c>
      <c r="R2463" s="9" t="e">
        <v>#N/A</v>
      </c>
      <c r="T2463" s="9"/>
      <c r="V2463" s="9"/>
      <c r="AC2463" s="9" t="s">
        <v>12446</v>
      </c>
      <c r="AD2463" s="9" t="s">
        <v>12447</v>
      </c>
      <c r="AH2463" s="9">
        <v>3326</v>
      </c>
      <c r="AI2463" s="9" t="s">
        <v>77</v>
      </c>
      <c r="AJ2463" s="9" t="s">
        <v>57</v>
      </c>
      <c r="AK2463" s="23" t="str">
        <f t="shared" si="18"/>
        <v>2023USD</v>
      </c>
      <c r="AL2463" s="23">
        <f>VLOOKUP(AK2463, Exchange_rates!$C:$D, 2, FALSE)</f>
        <v>0.80430000000000001</v>
      </c>
      <c r="AM2463" s="26">
        <f t="shared" si="19"/>
        <v>3210.1221599999999</v>
      </c>
      <c r="AN2463" s="9"/>
      <c r="AO2463" s="9"/>
      <c r="AP2463" s="9"/>
      <c r="AQ2463" s="15" t="s">
        <v>49</v>
      </c>
      <c r="AS2463" s="16" t="s">
        <v>12448</v>
      </c>
    </row>
    <row r="2464" spans="1:60" ht="14.5">
      <c r="A2464" s="9" t="s">
        <v>12449</v>
      </c>
      <c r="B2464" s="9" t="s">
        <v>12450</v>
      </c>
      <c r="C2464" s="9" t="s">
        <v>1723</v>
      </c>
      <c r="D2464" s="9" t="s">
        <v>1560</v>
      </c>
      <c r="E2464" s="9" t="s">
        <v>49</v>
      </c>
      <c r="F2464" s="20" t="s">
        <v>69</v>
      </c>
      <c r="G2464" s="9" t="s">
        <v>70</v>
      </c>
      <c r="H2464" s="9" t="s">
        <v>8860</v>
      </c>
      <c r="I2464" s="20" t="s">
        <v>72</v>
      </c>
      <c r="J2464" s="10"/>
      <c r="K2464" s="28">
        <v>45215</v>
      </c>
      <c r="L2464" s="50"/>
      <c r="M2464" s="10">
        <v>45239</v>
      </c>
      <c r="N2464" s="9">
        <v>2023</v>
      </c>
      <c r="O2464" s="9" t="s">
        <v>12373</v>
      </c>
      <c r="P2464" s="9" t="s">
        <v>53</v>
      </c>
      <c r="Q2464" s="9" t="s">
        <v>53</v>
      </c>
      <c r="R2464" s="9" t="s">
        <v>1400</v>
      </c>
      <c r="T2464" s="9"/>
      <c r="V2464" s="9"/>
      <c r="AC2464" s="9" t="s">
        <v>12451</v>
      </c>
      <c r="AD2464" s="9" t="s">
        <v>12452</v>
      </c>
      <c r="AH2464" s="9">
        <v>3214</v>
      </c>
      <c r="AI2464" s="9" t="s">
        <v>77</v>
      </c>
      <c r="AJ2464" s="9" t="s">
        <v>301</v>
      </c>
      <c r="AK2464" s="23" t="str">
        <f t="shared" si="18"/>
        <v>2023GBP</v>
      </c>
      <c r="AL2464" s="23">
        <f>VLOOKUP(AK2464, Exchange_rates!$C:$D, 2, FALSE)</f>
        <v>1</v>
      </c>
      <c r="AM2464" s="26">
        <f t="shared" si="19"/>
        <v>3856.7999999999997</v>
      </c>
      <c r="AN2464" s="9"/>
      <c r="AO2464" s="9"/>
      <c r="AP2464" s="9"/>
      <c r="AQ2464" s="15" t="s">
        <v>49</v>
      </c>
      <c r="AS2464" s="16" t="s">
        <v>1726</v>
      </c>
    </row>
    <row r="2465" spans="1:60" ht="14.5">
      <c r="A2465" s="9" t="s">
        <v>12453</v>
      </c>
      <c r="B2465" s="9" t="s">
        <v>12454</v>
      </c>
      <c r="C2465" s="9" t="s">
        <v>10758</v>
      </c>
      <c r="D2465" s="9" t="s">
        <v>1560</v>
      </c>
      <c r="E2465" s="20" t="s">
        <v>125</v>
      </c>
      <c r="F2465" s="20" t="s">
        <v>69</v>
      </c>
      <c r="G2465" s="9" t="s">
        <v>51</v>
      </c>
      <c r="H2465" s="9"/>
      <c r="I2465" s="20" t="s">
        <v>72</v>
      </c>
      <c r="J2465" s="10"/>
      <c r="K2465" s="28">
        <v>45218</v>
      </c>
      <c r="L2465" s="50"/>
      <c r="M2465" s="10"/>
      <c r="N2465" s="9">
        <v>2023</v>
      </c>
      <c r="O2465" s="9" t="s">
        <v>12373</v>
      </c>
      <c r="P2465" s="9" t="s">
        <v>53</v>
      </c>
      <c r="Q2465" s="9" t="s">
        <v>53</v>
      </c>
      <c r="R2465" s="9" t="e">
        <v>#N/A</v>
      </c>
      <c r="T2465" s="9" t="s">
        <v>723</v>
      </c>
      <c r="U2465" s="9" t="s">
        <v>12455</v>
      </c>
      <c r="V2465" s="9"/>
      <c r="AC2465" s="9" t="s">
        <v>12456</v>
      </c>
      <c r="AD2465" s="9" t="s">
        <v>6250</v>
      </c>
      <c r="AH2465" s="9">
        <v>1451</v>
      </c>
      <c r="AI2465" s="9" t="s">
        <v>77</v>
      </c>
      <c r="AJ2465" s="9" t="s">
        <v>57</v>
      </c>
      <c r="AK2465" s="23" t="str">
        <f t="shared" si="18"/>
        <v>2023USD</v>
      </c>
      <c r="AL2465" s="23">
        <f>VLOOKUP(AK2465, Exchange_rates!$C:$D, 2, FALSE)</f>
        <v>0.80430000000000001</v>
      </c>
      <c r="AM2465" s="26">
        <f t="shared" si="19"/>
        <v>1400.4471599999999</v>
      </c>
      <c r="AN2465" s="9"/>
      <c r="AO2465" s="9"/>
      <c r="AP2465" s="20"/>
      <c r="AQ2465" s="27" t="s">
        <v>125</v>
      </c>
      <c r="AS2465" s="16" t="s">
        <v>10762</v>
      </c>
    </row>
    <row r="2466" spans="1:60" ht="14.5">
      <c r="A2466" s="9" t="s">
        <v>12457</v>
      </c>
      <c r="B2466" s="9" t="s">
        <v>12458</v>
      </c>
      <c r="C2466" s="9" t="s">
        <v>12459</v>
      </c>
      <c r="D2466" s="9" t="s">
        <v>1560</v>
      </c>
      <c r="E2466" s="9" t="s">
        <v>49</v>
      </c>
      <c r="F2466" s="20" t="s">
        <v>69</v>
      </c>
      <c r="G2466" s="9" t="s">
        <v>70</v>
      </c>
      <c r="H2466" s="9" t="s">
        <v>8860</v>
      </c>
      <c r="I2466" s="20" t="s">
        <v>72</v>
      </c>
      <c r="J2466" s="10"/>
      <c r="K2466" s="28">
        <v>45222</v>
      </c>
      <c r="L2466" s="50"/>
      <c r="M2466" s="10">
        <v>45252</v>
      </c>
      <c r="N2466" s="9">
        <v>2023</v>
      </c>
      <c r="O2466" s="9" t="s">
        <v>12373</v>
      </c>
      <c r="P2466" s="9" t="s">
        <v>53</v>
      </c>
      <c r="Q2466" s="9" t="s">
        <v>53</v>
      </c>
      <c r="R2466" s="9" t="e">
        <v>#REF!</v>
      </c>
      <c r="T2466" s="9"/>
      <c r="V2466" s="9"/>
      <c r="AC2466" s="9" t="s">
        <v>12460</v>
      </c>
      <c r="AD2466" s="9" t="s">
        <v>12461</v>
      </c>
      <c r="AH2466" s="9">
        <v>2496</v>
      </c>
      <c r="AI2466" s="9" t="s">
        <v>77</v>
      </c>
      <c r="AJ2466" s="9" t="s">
        <v>301</v>
      </c>
      <c r="AK2466" s="23" t="str">
        <f t="shared" si="18"/>
        <v>2023GBP</v>
      </c>
      <c r="AL2466" s="23">
        <f>VLOOKUP(AK2466, Exchange_rates!$C:$D, 2, FALSE)</f>
        <v>1</v>
      </c>
      <c r="AM2466" s="26">
        <f t="shared" si="19"/>
        <v>2995.2</v>
      </c>
      <c r="AN2466" s="9"/>
      <c r="AO2466" s="9"/>
      <c r="AP2466" s="9"/>
      <c r="AQ2466" s="15" t="s">
        <v>49</v>
      </c>
      <c r="AR2466" t="s">
        <v>6036</v>
      </c>
      <c r="AS2466" s="16" t="s">
        <v>6037</v>
      </c>
    </row>
    <row r="2467" spans="1:60" ht="14.5">
      <c r="A2467" s="9" t="s">
        <v>12462</v>
      </c>
      <c r="B2467" s="9" t="s">
        <v>12463</v>
      </c>
      <c r="C2467" s="9" t="s">
        <v>1696</v>
      </c>
      <c r="D2467" s="9" t="s">
        <v>1560</v>
      </c>
      <c r="E2467" s="9" t="s">
        <v>49</v>
      </c>
      <c r="F2467" s="20" t="s">
        <v>69</v>
      </c>
      <c r="G2467" s="9" t="s">
        <v>70</v>
      </c>
      <c r="H2467" s="9" t="s">
        <v>8860</v>
      </c>
      <c r="I2467" s="20" t="s">
        <v>72</v>
      </c>
      <c r="J2467" s="10"/>
      <c r="K2467" s="28">
        <v>45224</v>
      </c>
      <c r="L2467" s="50"/>
      <c r="M2467" s="10">
        <v>45237</v>
      </c>
      <c r="N2467" s="9">
        <v>2023</v>
      </c>
      <c r="O2467" s="9" t="s">
        <v>12373</v>
      </c>
      <c r="P2467" s="9" t="s">
        <v>53</v>
      </c>
      <c r="Q2467" s="9" t="s">
        <v>53</v>
      </c>
      <c r="R2467" s="9" t="s">
        <v>178</v>
      </c>
      <c r="T2467" s="9"/>
      <c r="V2467" s="9"/>
      <c r="AC2467" s="9" t="s">
        <v>12464</v>
      </c>
      <c r="AD2467" s="9" t="s">
        <v>9759</v>
      </c>
      <c r="AH2467" s="9">
        <v>2330</v>
      </c>
      <c r="AI2467" s="9" t="s">
        <v>77</v>
      </c>
      <c r="AJ2467" s="9" t="s">
        <v>301</v>
      </c>
      <c r="AK2467" s="23" t="str">
        <f t="shared" si="18"/>
        <v>2023GBP</v>
      </c>
      <c r="AL2467" s="23">
        <f>VLOOKUP(AK2467, Exchange_rates!$C:$D, 2, FALSE)</f>
        <v>1</v>
      </c>
      <c r="AM2467" s="26">
        <f t="shared" si="19"/>
        <v>2796</v>
      </c>
      <c r="AN2467" s="9"/>
      <c r="AO2467" s="9"/>
      <c r="AP2467" s="9"/>
      <c r="AQ2467" s="15" t="s">
        <v>49</v>
      </c>
      <c r="AS2467" s="16" t="s">
        <v>1700</v>
      </c>
    </row>
    <row r="2468" spans="1:60" ht="14.5">
      <c r="A2468" s="9" t="s">
        <v>12465</v>
      </c>
      <c r="B2468" s="9" t="s">
        <v>12466</v>
      </c>
      <c r="C2468" s="9" t="s">
        <v>12467</v>
      </c>
      <c r="D2468" s="9" t="s">
        <v>1560</v>
      </c>
      <c r="E2468" s="9" t="s">
        <v>49</v>
      </c>
      <c r="F2468" s="20" t="s">
        <v>69</v>
      </c>
      <c r="G2468" s="9" t="s">
        <v>70</v>
      </c>
      <c r="H2468" s="9" t="s">
        <v>8860</v>
      </c>
      <c r="I2468" s="20" t="s">
        <v>72</v>
      </c>
      <c r="J2468" s="10"/>
      <c r="K2468" s="28">
        <v>45225</v>
      </c>
      <c r="L2468" s="50"/>
      <c r="M2468" s="10">
        <v>45257</v>
      </c>
      <c r="N2468" s="9">
        <v>2023</v>
      </c>
      <c r="O2468" s="9" t="s">
        <v>12373</v>
      </c>
      <c r="P2468" s="9" t="s">
        <v>53</v>
      </c>
      <c r="Q2468" s="9" t="s">
        <v>53</v>
      </c>
      <c r="R2468" s="9" t="e">
        <v>#REF!</v>
      </c>
      <c r="T2468" s="9"/>
      <c r="V2468" s="9"/>
      <c r="AC2468" s="9" t="s">
        <v>12468</v>
      </c>
      <c r="AD2468" s="9" t="s">
        <v>12469</v>
      </c>
      <c r="AH2468" s="9">
        <v>4317</v>
      </c>
      <c r="AI2468" s="9" t="s">
        <v>77</v>
      </c>
      <c r="AJ2468" s="9" t="s">
        <v>57</v>
      </c>
      <c r="AK2468" s="23" t="str">
        <f t="shared" si="18"/>
        <v>2023USD</v>
      </c>
      <c r="AL2468" s="23">
        <f>VLOOKUP(AK2468, Exchange_rates!$C:$D, 2, FALSE)</f>
        <v>0.80430000000000001</v>
      </c>
      <c r="AM2468" s="26">
        <f t="shared" si="19"/>
        <v>4166.5957200000003</v>
      </c>
      <c r="AN2468" s="9"/>
      <c r="AO2468" s="9"/>
      <c r="AP2468" s="9"/>
      <c r="AQ2468" s="15" t="s">
        <v>49</v>
      </c>
      <c r="AS2468" s="16" t="s">
        <v>12470</v>
      </c>
    </row>
    <row r="2469" spans="1:60" ht="14.5">
      <c r="A2469" s="9" t="s">
        <v>12471</v>
      </c>
      <c r="B2469" s="9" t="s">
        <v>12472</v>
      </c>
      <c r="C2469" s="9" t="s">
        <v>7721</v>
      </c>
      <c r="D2469" s="9" t="s">
        <v>1560</v>
      </c>
      <c r="E2469" s="9" t="s">
        <v>49</v>
      </c>
      <c r="F2469" s="20" t="s">
        <v>69</v>
      </c>
      <c r="G2469" s="9" t="s">
        <v>70</v>
      </c>
      <c r="H2469" s="9" t="s">
        <v>8860</v>
      </c>
      <c r="I2469" s="20" t="s">
        <v>72</v>
      </c>
      <c r="J2469" s="10"/>
      <c r="K2469" s="10">
        <v>45236</v>
      </c>
      <c r="L2469" s="50"/>
      <c r="M2469" s="10">
        <v>45274</v>
      </c>
      <c r="N2469" s="9">
        <v>2023</v>
      </c>
      <c r="O2469" s="9" t="s">
        <v>12373</v>
      </c>
      <c r="P2469" s="9" t="s">
        <v>53</v>
      </c>
      <c r="Q2469" s="9" t="s">
        <v>53</v>
      </c>
      <c r="R2469" s="9" t="e">
        <v>#REF!</v>
      </c>
      <c r="T2469" s="9"/>
      <c r="V2469" s="9"/>
      <c r="AC2469" s="9" t="s">
        <v>12473</v>
      </c>
      <c r="AD2469" s="9" t="s">
        <v>12474</v>
      </c>
      <c r="AH2469" s="9">
        <v>2920</v>
      </c>
      <c r="AI2469" s="9" t="s">
        <v>77</v>
      </c>
      <c r="AJ2469" s="9" t="s">
        <v>301</v>
      </c>
      <c r="AK2469" s="23" t="str">
        <f t="shared" si="18"/>
        <v>2023GBP</v>
      </c>
      <c r="AL2469" s="23">
        <f>VLOOKUP(AK2469, Exchange_rates!$C:$D, 2, FALSE)</f>
        <v>1</v>
      </c>
      <c r="AM2469" s="26">
        <f t="shared" si="19"/>
        <v>3504</v>
      </c>
      <c r="AN2469" s="9"/>
      <c r="AO2469" s="9"/>
      <c r="AP2469" s="9"/>
      <c r="AQ2469" s="15" t="s">
        <v>49</v>
      </c>
      <c r="AR2469" t="s">
        <v>7725</v>
      </c>
      <c r="AS2469" s="16" t="s">
        <v>7726</v>
      </c>
    </row>
    <row r="2470" spans="1:60" ht="14.5">
      <c r="A2470" s="9" t="s">
        <v>12475</v>
      </c>
      <c r="B2470" s="9" t="s">
        <v>12476</v>
      </c>
      <c r="C2470" s="9" t="s">
        <v>12439</v>
      </c>
      <c r="D2470" s="9" t="s">
        <v>1560</v>
      </c>
      <c r="E2470" s="20" t="s">
        <v>125</v>
      </c>
      <c r="F2470" s="20" t="s">
        <v>69</v>
      </c>
      <c r="G2470" s="9" t="s">
        <v>70</v>
      </c>
      <c r="H2470" s="9" t="s">
        <v>8860</v>
      </c>
      <c r="I2470" s="20" t="s">
        <v>72</v>
      </c>
      <c r="J2470" s="10"/>
      <c r="K2470" s="28">
        <v>45244</v>
      </c>
      <c r="L2470" s="50"/>
      <c r="M2470" s="10">
        <v>45253</v>
      </c>
      <c r="N2470" s="9">
        <v>2023</v>
      </c>
      <c r="O2470" s="9" t="s">
        <v>12373</v>
      </c>
      <c r="P2470" s="9" t="s">
        <v>83</v>
      </c>
      <c r="Q2470" s="9" t="s">
        <v>53</v>
      </c>
      <c r="R2470" s="9" t="s">
        <v>12477</v>
      </c>
      <c r="T2470" s="9"/>
      <c r="V2470" s="9"/>
      <c r="AC2470" s="9" t="s">
        <v>1795</v>
      </c>
      <c r="AD2470" s="9" t="s">
        <v>1796</v>
      </c>
      <c r="AH2470" s="9">
        <v>2266</v>
      </c>
      <c r="AI2470" s="9" t="s">
        <v>77</v>
      </c>
      <c r="AJ2470" s="9" t="s">
        <v>57</v>
      </c>
      <c r="AK2470" s="23" t="str">
        <f t="shared" si="18"/>
        <v>2023USD</v>
      </c>
      <c r="AL2470" s="23">
        <f>VLOOKUP(AK2470, Exchange_rates!$C:$D, 2, FALSE)</f>
        <v>0.80430000000000001</v>
      </c>
      <c r="AM2470" s="26">
        <f t="shared" si="19"/>
        <v>2187.0525600000001</v>
      </c>
      <c r="AN2470" s="9"/>
      <c r="AO2470" s="9"/>
      <c r="AP2470" s="20"/>
      <c r="AQ2470" s="27" t="s">
        <v>125</v>
      </c>
      <c r="AR2470" t="s">
        <v>12441</v>
      </c>
      <c r="AS2470" s="16" t="s">
        <v>12442</v>
      </c>
    </row>
    <row r="2471" spans="1:60" ht="14.5">
      <c r="A2471" s="9" t="s">
        <v>12478</v>
      </c>
      <c r="B2471" s="9" t="s">
        <v>12479</v>
      </c>
      <c r="C2471" s="9" t="s">
        <v>9972</v>
      </c>
      <c r="D2471" s="9" t="s">
        <v>1560</v>
      </c>
      <c r="E2471" s="9" t="s">
        <v>49</v>
      </c>
      <c r="F2471" s="9" t="s">
        <v>50</v>
      </c>
      <c r="G2471" s="9" t="s">
        <v>51</v>
      </c>
      <c r="H2471" s="9"/>
      <c r="I2471" s="9" t="s">
        <v>1647</v>
      </c>
      <c r="J2471" s="10"/>
      <c r="K2471" s="28">
        <v>45245</v>
      </c>
      <c r="L2471" s="50"/>
      <c r="M2471" s="10"/>
      <c r="N2471" s="9">
        <v>2023</v>
      </c>
      <c r="O2471" s="9" t="s">
        <v>12373</v>
      </c>
      <c r="P2471" s="9" t="s">
        <v>53</v>
      </c>
      <c r="Q2471" s="9" t="s">
        <v>53</v>
      </c>
      <c r="R2471" s="9" t="e">
        <v>#N/A</v>
      </c>
      <c r="T2471" s="9" t="s">
        <v>723</v>
      </c>
      <c r="U2471" s="9" t="s">
        <v>12480</v>
      </c>
      <c r="V2471" s="9"/>
      <c r="AC2471" s="9" t="s">
        <v>12481</v>
      </c>
      <c r="AD2471" s="9" t="s">
        <v>12482</v>
      </c>
      <c r="AH2471" s="9">
        <v>4317</v>
      </c>
      <c r="AI2471" s="9" t="s">
        <v>77</v>
      </c>
      <c r="AJ2471" s="9" t="s">
        <v>57</v>
      </c>
      <c r="AK2471" s="23" t="str">
        <f t="shared" si="18"/>
        <v>2023USD</v>
      </c>
      <c r="AL2471" s="23">
        <f>VLOOKUP(AK2471, Exchange_rates!$C:$D, 2, FALSE)</f>
        <v>0.80430000000000001</v>
      </c>
      <c r="AM2471" s="26">
        <f t="shared" si="19"/>
        <v>4166.5957200000003</v>
      </c>
      <c r="AN2471" s="9"/>
      <c r="AO2471" s="9"/>
      <c r="AP2471" s="9"/>
      <c r="AQ2471" s="15" t="s">
        <v>49</v>
      </c>
      <c r="AS2471" s="16" t="s">
        <v>9975</v>
      </c>
    </row>
    <row r="2472" spans="1:60" ht="14.5">
      <c r="A2472" s="9" t="s">
        <v>12483</v>
      </c>
      <c r="B2472" s="9" t="s">
        <v>12484</v>
      </c>
      <c r="C2472" s="9" t="s">
        <v>12485</v>
      </c>
      <c r="D2472" s="9" t="s">
        <v>1560</v>
      </c>
      <c r="E2472" s="9" t="s">
        <v>49</v>
      </c>
      <c r="F2472" s="20" t="s">
        <v>69</v>
      </c>
      <c r="G2472" s="9" t="s">
        <v>51</v>
      </c>
      <c r="H2472" s="9"/>
      <c r="I2472" s="9" t="s">
        <v>238</v>
      </c>
      <c r="J2472" s="10"/>
      <c r="K2472" s="28">
        <v>45246</v>
      </c>
      <c r="L2472" s="50"/>
      <c r="M2472" s="10"/>
      <c r="N2472" s="9">
        <v>2023</v>
      </c>
      <c r="O2472" s="9" t="s">
        <v>12373</v>
      </c>
      <c r="P2472" s="9" t="s">
        <v>53</v>
      </c>
      <c r="Q2472" s="9" t="s">
        <v>53</v>
      </c>
      <c r="R2472" s="9" t="e">
        <v>#N/A</v>
      </c>
      <c r="T2472" s="9" t="s">
        <v>1912</v>
      </c>
      <c r="U2472" s="9" t="s">
        <v>12415</v>
      </c>
      <c r="V2472" s="9"/>
      <c r="AC2472" s="9" t="s">
        <v>12486</v>
      </c>
      <c r="AD2472" s="9" t="s">
        <v>4997</v>
      </c>
      <c r="AH2472" s="9">
        <v>2740</v>
      </c>
      <c r="AI2472" s="9" t="s">
        <v>77</v>
      </c>
      <c r="AJ2472" s="9" t="s">
        <v>301</v>
      </c>
      <c r="AK2472" s="23" t="str">
        <f t="shared" si="18"/>
        <v>2023GBP</v>
      </c>
      <c r="AL2472" s="23">
        <f>VLOOKUP(AK2472, Exchange_rates!$C:$D, 2, FALSE)</f>
        <v>1</v>
      </c>
      <c r="AM2472" s="26">
        <f t="shared" si="19"/>
        <v>3288</v>
      </c>
      <c r="AN2472" s="9"/>
      <c r="AO2472" s="9"/>
      <c r="AP2472" s="9"/>
      <c r="AQ2472" s="15" t="s">
        <v>49</v>
      </c>
      <c r="AS2472" s="16" t="s">
        <v>12487</v>
      </c>
    </row>
    <row r="2473" spans="1:60" ht="14.5">
      <c r="A2473" s="9" t="s">
        <v>12488</v>
      </c>
      <c r="B2473" s="9" t="s">
        <v>12489</v>
      </c>
      <c r="C2473" s="9" t="s">
        <v>1767</v>
      </c>
      <c r="D2473" s="9" t="s">
        <v>1560</v>
      </c>
      <c r="E2473" s="9" t="s">
        <v>49</v>
      </c>
      <c r="F2473" s="20" t="s">
        <v>69</v>
      </c>
      <c r="G2473" s="9" t="s">
        <v>70</v>
      </c>
      <c r="H2473" s="9" t="s">
        <v>8860</v>
      </c>
      <c r="I2473" s="20" t="s">
        <v>72</v>
      </c>
      <c r="J2473" s="10"/>
      <c r="K2473" s="28">
        <v>45247</v>
      </c>
      <c r="L2473" s="50"/>
      <c r="M2473" s="10">
        <v>45251</v>
      </c>
      <c r="N2473" s="9">
        <v>2023</v>
      </c>
      <c r="O2473" s="9" t="s">
        <v>12373</v>
      </c>
      <c r="P2473" s="9" t="s">
        <v>53</v>
      </c>
      <c r="Q2473" s="9" t="s">
        <v>53</v>
      </c>
      <c r="R2473" s="9" t="s">
        <v>12490</v>
      </c>
      <c r="T2473" s="9"/>
      <c r="V2473" s="9"/>
      <c r="AC2473" s="9" t="s">
        <v>12491</v>
      </c>
      <c r="AD2473" s="9" t="s">
        <v>12492</v>
      </c>
      <c r="AH2473" s="9">
        <v>2993</v>
      </c>
      <c r="AI2473" s="9" t="s">
        <v>77</v>
      </c>
      <c r="AJ2473" s="9" t="s">
        <v>301</v>
      </c>
      <c r="AK2473" s="23" t="str">
        <f t="shared" si="18"/>
        <v>2023GBP</v>
      </c>
      <c r="AL2473" s="23">
        <f>VLOOKUP(AK2473, Exchange_rates!$C:$D, 2, FALSE)</f>
        <v>1</v>
      </c>
      <c r="AM2473" s="26">
        <f t="shared" si="19"/>
        <v>3591.6</v>
      </c>
      <c r="AN2473" s="9"/>
      <c r="AO2473" s="9"/>
      <c r="AP2473" s="9"/>
      <c r="AQ2473" s="15" t="s">
        <v>49</v>
      </c>
      <c r="AS2473" s="16" t="s">
        <v>1770</v>
      </c>
    </row>
    <row r="2474" spans="1:60" ht="14.5">
      <c r="A2474" s="9" t="s">
        <v>12493</v>
      </c>
      <c r="B2474" s="9" t="s">
        <v>12494</v>
      </c>
      <c r="C2474" s="9" t="s">
        <v>1834</v>
      </c>
      <c r="D2474" s="9" t="s">
        <v>1560</v>
      </c>
      <c r="E2474" s="9" t="s">
        <v>49</v>
      </c>
      <c r="F2474" s="20" t="s">
        <v>69</v>
      </c>
      <c r="G2474" s="9" t="s">
        <v>70</v>
      </c>
      <c r="H2474" s="9" t="s">
        <v>8860</v>
      </c>
      <c r="I2474" s="9" t="s">
        <v>291</v>
      </c>
      <c r="J2474" s="10"/>
      <c r="K2474" s="28">
        <v>45258</v>
      </c>
      <c r="L2474" s="50"/>
      <c r="M2474" s="10">
        <v>45280</v>
      </c>
      <c r="N2474" s="9">
        <v>2023</v>
      </c>
      <c r="O2474" s="9" t="s">
        <v>12373</v>
      </c>
      <c r="P2474" s="9" t="s">
        <v>53</v>
      </c>
      <c r="Q2474" s="9" t="s">
        <v>53</v>
      </c>
      <c r="R2474" s="9" t="e">
        <v>#REF!</v>
      </c>
      <c r="T2474" s="9"/>
      <c r="V2474" s="9"/>
      <c r="AC2474" s="9" t="s">
        <v>1835</v>
      </c>
      <c r="AD2474" s="9" t="s">
        <v>1836</v>
      </c>
      <c r="AH2474" s="9">
        <v>2508</v>
      </c>
      <c r="AI2474" s="9" t="s">
        <v>77</v>
      </c>
      <c r="AJ2474" s="9" t="s">
        <v>1823</v>
      </c>
      <c r="AK2474" s="23" t="str">
        <f t="shared" si="18"/>
        <v>2023EUR</v>
      </c>
      <c r="AL2474" s="23">
        <f>VLOOKUP(AK2474, Exchange_rates!$C:$D, 2, FALSE)</f>
        <v>0.87029999999999996</v>
      </c>
      <c r="AM2474" s="26">
        <f t="shared" si="19"/>
        <v>2619.25488</v>
      </c>
      <c r="AN2474" s="9"/>
      <c r="AO2474" s="9"/>
      <c r="AP2474" s="9"/>
      <c r="AQ2474" s="15" t="s">
        <v>49</v>
      </c>
      <c r="AS2474" s="16" t="s">
        <v>1837</v>
      </c>
    </row>
    <row r="2475" spans="1:60" ht="14.5">
      <c r="A2475" s="9" t="s">
        <v>12495</v>
      </c>
      <c r="B2475" s="9" t="s">
        <v>12496</v>
      </c>
      <c r="C2475" s="9" t="s">
        <v>12497</v>
      </c>
      <c r="D2475" s="9" t="s">
        <v>1560</v>
      </c>
      <c r="E2475" s="9" t="s">
        <v>49</v>
      </c>
      <c r="F2475" s="20" t="s">
        <v>69</v>
      </c>
      <c r="G2475" s="9" t="s">
        <v>70</v>
      </c>
      <c r="H2475" s="9" t="s">
        <v>8860</v>
      </c>
      <c r="I2475" s="20" t="s">
        <v>72</v>
      </c>
      <c r="J2475" s="10"/>
      <c r="K2475" s="28">
        <v>45260</v>
      </c>
      <c r="L2475" s="50"/>
      <c r="M2475" s="10">
        <v>45282</v>
      </c>
      <c r="N2475" s="9">
        <v>2023</v>
      </c>
      <c r="O2475" s="9" t="s">
        <v>12373</v>
      </c>
      <c r="P2475" s="9" t="s">
        <v>83</v>
      </c>
      <c r="Q2475" s="9" t="s">
        <v>53</v>
      </c>
      <c r="R2475" s="9" t="s">
        <v>12498</v>
      </c>
      <c r="T2475" s="9"/>
      <c r="V2475" s="9"/>
      <c r="AC2475" s="9" t="s">
        <v>12499</v>
      </c>
      <c r="AD2475" s="9" t="s">
        <v>12500</v>
      </c>
      <c r="AH2475" s="9">
        <v>2740</v>
      </c>
      <c r="AI2475" s="9" t="s">
        <v>77</v>
      </c>
      <c r="AJ2475" s="9" t="s">
        <v>301</v>
      </c>
      <c r="AK2475" s="23" t="str">
        <f t="shared" si="18"/>
        <v>2023GBP</v>
      </c>
      <c r="AL2475" s="23">
        <f>VLOOKUP(AK2475, Exchange_rates!$C:$D, 2, FALSE)</f>
        <v>1</v>
      </c>
      <c r="AM2475" s="26">
        <f t="shared" si="19"/>
        <v>3288</v>
      </c>
      <c r="AN2475" s="9"/>
      <c r="AO2475" s="9"/>
      <c r="AP2475" s="9"/>
      <c r="AQ2475" s="15" t="s">
        <v>49</v>
      </c>
      <c r="AS2475" s="16" t="s">
        <v>12501</v>
      </c>
    </row>
    <row r="2476" spans="1:60" ht="14.5">
      <c r="A2476" s="9" t="s">
        <v>12502</v>
      </c>
      <c r="B2476" s="9" t="s">
        <v>12503</v>
      </c>
      <c r="C2476" s="9" t="s">
        <v>7721</v>
      </c>
      <c r="D2476" s="9" t="s">
        <v>1560</v>
      </c>
      <c r="E2476" s="9" t="s">
        <v>49</v>
      </c>
      <c r="F2476" s="20" t="s">
        <v>69</v>
      </c>
      <c r="G2476" s="9" t="s">
        <v>70</v>
      </c>
      <c r="H2476" s="9" t="s">
        <v>8860</v>
      </c>
      <c r="I2476" s="20" t="s">
        <v>72</v>
      </c>
      <c r="J2476" s="10"/>
      <c r="K2476" s="28">
        <v>45279</v>
      </c>
      <c r="L2476" s="50"/>
      <c r="M2476" s="10"/>
      <c r="N2476" s="9">
        <v>2023</v>
      </c>
      <c r="O2476" s="9" t="s">
        <v>12373</v>
      </c>
      <c r="P2476" s="9" t="s">
        <v>53</v>
      </c>
      <c r="Q2476" s="9" t="s">
        <v>53</v>
      </c>
      <c r="R2476" s="9" t="e">
        <v>#N/A</v>
      </c>
      <c r="T2476" s="9"/>
      <c r="V2476" s="9"/>
      <c r="AC2476" s="9" t="s">
        <v>12504</v>
      </c>
      <c r="AD2476" s="9" t="s">
        <v>12505</v>
      </c>
      <c r="AH2476" s="9">
        <v>2920</v>
      </c>
      <c r="AI2476" s="9" t="s">
        <v>77</v>
      </c>
      <c r="AJ2476" s="9" t="s">
        <v>301</v>
      </c>
      <c r="AK2476" s="23" t="str">
        <f t="shared" si="18"/>
        <v>2023GBP</v>
      </c>
      <c r="AL2476" s="23">
        <f>VLOOKUP(AK2476, Exchange_rates!$C:$D, 2, FALSE)</f>
        <v>1</v>
      </c>
      <c r="AM2476" s="26">
        <f t="shared" si="19"/>
        <v>3504</v>
      </c>
      <c r="AN2476" s="9"/>
      <c r="AO2476" s="9"/>
      <c r="AP2476" s="9"/>
      <c r="AQ2476" s="15" t="s">
        <v>49</v>
      </c>
      <c r="AR2476" t="s">
        <v>7725</v>
      </c>
      <c r="AS2476" s="16" t="s">
        <v>7726</v>
      </c>
    </row>
    <row r="2477" spans="1:60" ht="14.5">
      <c r="A2477" s="9" t="s">
        <v>12506</v>
      </c>
      <c r="B2477" s="9" t="s">
        <v>12507</v>
      </c>
      <c r="C2477" s="9" t="s">
        <v>1696</v>
      </c>
      <c r="D2477" s="9" t="s">
        <v>1560</v>
      </c>
      <c r="E2477" s="20" t="s">
        <v>125</v>
      </c>
      <c r="F2477" s="20" t="s">
        <v>69</v>
      </c>
      <c r="G2477" s="9" t="s">
        <v>70</v>
      </c>
      <c r="H2477" s="9" t="s">
        <v>8860</v>
      </c>
      <c r="I2477" s="20" t="s">
        <v>72</v>
      </c>
      <c r="J2477" s="10"/>
      <c r="K2477" s="28">
        <v>45280</v>
      </c>
      <c r="L2477" s="50"/>
      <c r="M2477" s="10">
        <v>45288</v>
      </c>
      <c r="N2477" s="9">
        <v>2023</v>
      </c>
      <c r="O2477" s="9" t="s">
        <v>12373</v>
      </c>
      <c r="P2477" s="9" t="s">
        <v>53</v>
      </c>
      <c r="Q2477" s="9" t="s">
        <v>53</v>
      </c>
      <c r="R2477" s="9" t="e">
        <v>#REF!</v>
      </c>
      <c r="T2477" s="9"/>
      <c r="V2477" s="9"/>
      <c r="AC2477" s="9" t="s">
        <v>12508</v>
      </c>
      <c r="AD2477" s="9" t="s">
        <v>12509</v>
      </c>
      <c r="AH2477" s="9">
        <v>2330</v>
      </c>
      <c r="AI2477" s="9" t="s">
        <v>77</v>
      </c>
      <c r="AJ2477" s="9" t="s">
        <v>301</v>
      </c>
      <c r="AK2477" s="23" t="str">
        <f t="shared" si="18"/>
        <v>2023GBP</v>
      </c>
      <c r="AL2477" s="23">
        <f>VLOOKUP(AK2477, Exchange_rates!$C:$D, 2, FALSE)</f>
        <v>1</v>
      </c>
      <c r="AM2477" s="26">
        <f t="shared" si="19"/>
        <v>2796</v>
      </c>
      <c r="AN2477" s="9"/>
      <c r="AO2477" s="9"/>
      <c r="AP2477" s="20"/>
      <c r="AQ2477" s="27" t="s">
        <v>125</v>
      </c>
      <c r="AS2477" s="16" t="s">
        <v>1700</v>
      </c>
    </row>
    <row r="2478" spans="1:60" ht="14.5">
      <c r="A2478" s="9" t="s">
        <v>12510</v>
      </c>
      <c r="B2478" s="9" t="s">
        <v>12511</v>
      </c>
      <c r="C2478" s="9" t="s">
        <v>12512</v>
      </c>
      <c r="D2478" s="9" t="s">
        <v>1560</v>
      </c>
      <c r="E2478" s="9" t="s">
        <v>49</v>
      </c>
      <c r="F2478" s="20" t="s">
        <v>69</v>
      </c>
      <c r="G2478" s="9" t="s">
        <v>51</v>
      </c>
      <c r="H2478" s="9"/>
      <c r="I2478" s="20" t="s">
        <v>72</v>
      </c>
      <c r="J2478" s="10"/>
      <c r="K2478" s="28">
        <v>45282</v>
      </c>
      <c r="L2478" s="50"/>
      <c r="M2478" s="10">
        <v>45284</v>
      </c>
      <c r="N2478" s="9">
        <v>2023</v>
      </c>
      <c r="O2478" s="9" t="s">
        <v>12373</v>
      </c>
      <c r="P2478" s="9" t="s">
        <v>53</v>
      </c>
      <c r="Q2478" s="9" t="s">
        <v>53</v>
      </c>
      <c r="R2478" s="9" t="e">
        <v>#REF!</v>
      </c>
      <c r="T2478" s="9" t="s">
        <v>723</v>
      </c>
      <c r="U2478" s="9" t="s">
        <v>12511</v>
      </c>
      <c r="V2478" s="9"/>
      <c r="AC2478" s="9" t="s">
        <v>1711</v>
      </c>
      <c r="AD2478" s="9" t="s">
        <v>1712</v>
      </c>
      <c r="AH2478" s="9">
        <v>4264</v>
      </c>
      <c r="AI2478" s="9" t="s">
        <v>77</v>
      </c>
      <c r="AJ2478" s="9" t="s">
        <v>57</v>
      </c>
      <c r="AK2478" s="23" t="str">
        <f t="shared" si="18"/>
        <v>2023USD</v>
      </c>
      <c r="AL2478" s="23">
        <f>VLOOKUP(AK2478, Exchange_rates!$C:$D, 2, FALSE)</f>
        <v>0.80430000000000001</v>
      </c>
      <c r="AM2478" s="26">
        <f t="shared" si="19"/>
        <v>4115.4422400000003</v>
      </c>
      <c r="AN2478" s="9"/>
      <c r="AO2478" s="9"/>
      <c r="AP2478" s="9"/>
      <c r="AQ2478" s="15" t="s">
        <v>49</v>
      </c>
      <c r="AS2478" s="16" t="s">
        <v>12513</v>
      </c>
    </row>
    <row r="2479" spans="1:60" ht="14.5">
      <c r="A2479" s="20" t="s">
        <v>12514</v>
      </c>
      <c r="B2479" s="20" t="s">
        <v>12515</v>
      </c>
      <c r="C2479" s="20" t="s">
        <v>3813</v>
      </c>
      <c r="D2479" s="20" t="s">
        <v>1560</v>
      </c>
      <c r="E2479" s="20" t="s">
        <v>125</v>
      </c>
      <c r="F2479" s="20" t="s">
        <v>69</v>
      </c>
      <c r="G2479" s="20" t="s">
        <v>70</v>
      </c>
      <c r="H2479" s="20" t="s">
        <v>8860</v>
      </c>
      <c r="I2479" s="20" t="s">
        <v>72</v>
      </c>
      <c r="J2479" s="22"/>
      <c r="K2479" s="42">
        <v>45285</v>
      </c>
      <c r="L2479" s="51"/>
      <c r="M2479" s="22">
        <v>45301</v>
      </c>
      <c r="N2479" s="20">
        <v>2023</v>
      </c>
      <c r="O2479" s="20" t="s">
        <v>12373</v>
      </c>
      <c r="P2479" s="20" t="s">
        <v>83</v>
      </c>
      <c r="Q2479" s="20" t="s">
        <v>83</v>
      </c>
      <c r="R2479" s="20" t="s">
        <v>12516</v>
      </c>
      <c r="S2479" s="20"/>
      <c r="T2479" s="20"/>
      <c r="U2479" s="20" t="s">
        <v>12517</v>
      </c>
      <c r="V2479" s="20"/>
      <c r="W2479" s="20"/>
      <c r="X2479" s="20"/>
      <c r="Y2479" s="20"/>
      <c r="Z2479" s="20"/>
      <c r="AA2479" s="20"/>
      <c r="AB2479" s="20"/>
      <c r="AC2479" s="20" t="s">
        <v>12518</v>
      </c>
      <c r="AD2479" s="20" t="s">
        <v>12519</v>
      </c>
      <c r="AE2479" s="20"/>
      <c r="AF2479" s="20"/>
      <c r="AG2479" s="20"/>
      <c r="AH2479" s="20">
        <v>3500</v>
      </c>
      <c r="AI2479" s="20" t="s">
        <v>77</v>
      </c>
      <c r="AJ2479" s="20" t="s">
        <v>1823</v>
      </c>
      <c r="AK2479" s="23" t="str">
        <f t="shared" si="18"/>
        <v>2023EUR</v>
      </c>
      <c r="AL2479" s="23">
        <f>VLOOKUP(AK2479, Exchange_rates!$C:$D, 2, FALSE)</f>
        <v>0.87029999999999996</v>
      </c>
      <c r="AM2479" s="26">
        <f t="shared" si="19"/>
        <v>3655.2599999999998</v>
      </c>
      <c r="AN2479" s="20"/>
      <c r="AO2479" s="20"/>
      <c r="AP2479" s="20"/>
      <c r="AQ2479" s="27" t="s">
        <v>125</v>
      </c>
      <c r="AS2479" s="16" t="s">
        <v>3815</v>
      </c>
      <c r="AT2479" s="20"/>
      <c r="AU2479" s="20"/>
      <c r="AV2479" s="20"/>
      <c r="AW2479" s="20"/>
      <c r="AX2479" s="20"/>
      <c r="AY2479" s="20"/>
      <c r="AZ2479" s="20"/>
      <c r="BA2479" s="20"/>
      <c r="BB2479" s="20"/>
      <c r="BC2479" s="20"/>
      <c r="BD2479" s="20"/>
      <c r="BE2479" s="20"/>
      <c r="BF2479" s="20"/>
      <c r="BG2479" s="20"/>
      <c r="BH2479" s="20"/>
    </row>
    <row r="2480" spans="1:60" ht="14.5">
      <c r="A2480" s="9" t="s">
        <v>12520</v>
      </c>
      <c r="B2480" s="9" t="s">
        <v>12521</v>
      </c>
      <c r="C2480" s="9" t="s">
        <v>1380</v>
      </c>
      <c r="D2480" s="9" t="s">
        <v>1240</v>
      </c>
      <c r="E2480" s="9" t="s">
        <v>49</v>
      </c>
      <c r="F2480" s="9" t="s">
        <v>69</v>
      </c>
      <c r="G2480" s="9" t="s">
        <v>70</v>
      </c>
      <c r="H2480" s="9" t="s">
        <v>9040</v>
      </c>
      <c r="I2480" s="20" t="s">
        <v>72</v>
      </c>
      <c r="J2480" s="10"/>
      <c r="K2480" s="10">
        <v>45279</v>
      </c>
      <c r="L2480" s="50"/>
      <c r="M2480" s="10">
        <v>45289</v>
      </c>
      <c r="N2480" s="9">
        <v>2023</v>
      </c>
      <c r="O2480" s="9" t="s">
        <v>12522</v>
      </c>
      <c r="P2480" s="9" t="s">
        <v>53</v>
      </c>
      <c r="Q2480" s="9" t="s">
        <v>53</v>
      </c>
      <c r="R2480" s="9" t="s">
        <v>12523</v>
      </c>
      <c r="S2480" s="9"/>
      <c r="T2480" s="9"/>
      <c r="V2480" s="9"/>
      <c r="AC2480" s="9" t="s">
        <v>12524</v>
      </c>
      <c r="AH2480" s="9">
        <v>2230</v>
      </c>
      <c r="AI2480" s="9" t="s">
        <v>77</v>
      </c>
      <c r="AJ2480" s="9" t="s">
        <v>301</v>
      </c>
      <c r="AK2480" s="23" t="str">
        <f t="shared" si="18"/>
        <v>2023GBP</v>
      </c>
      <c r="AL2480" s="23">
        <f>VLOOKUP(AK2480, Exchange_rates!$C:$D, 2, FALSE)</f>
        <v>1</v>
      </c>
      <c r="AM2480" s="26">
        <f t="shared" si="19"/>
        <v>2676</v>
      </c>
      <c r="AN2480" s="9"/>
      <c r="AO2480" s="9"/>
      <c r="AP2480" s="9"/>
      <c r="AQ2480" s="15" t="s">
        <v>49</v>
      </c>
      <c r="AR2480" t="s">
        <v>1249</v>
      </c>
      <c r="AS2480" s="16" t="s">
        <v>1250</v>
      </c>
    </row>
    <row r="2481" spans="1:60" ht="14.5">
      <c r="A2481" s="9" t="s">
        <v>12525</v>
      </c>
      <c r="B2481" s="9" t="s">
        <v>12526</v>
      </c>
      <c r="C2481" s="9" t="s">
        <v>1462</v>
      </c>
      <c r="D2481" s="9" t="s">
        <v>1240</v>
      </c>
      <c r="E2481" s="9" t="s">
        <v>49</v>
      </c>
      <c r="F2481" s="9" t="s">
        <v>69</v>
      </c>
      <c r="G2481" s="9" t="s">
        <v>70</v>
      </c>
      <c r="H2481" s="9" t="s">
        <v>9040</v>
      </c>
      <c r="I2481" s="20" t="s">
        <v>72</v>
      </c>
      <c r="J2481" s="10"/>
      <c r="K2481" s="10">
        <v>45288</v>
      </c>
      <c r="L2481" s="50"/>
      <c r="M2481" s="10">
        <v>45296</v>
      </c>
      <c r="N2481" s="9">
        <v>2023</v>
      </c>
      <c r="O2481" s="9" t="s">
        <v>12522</v>
      </c>
      <c r="P2481" s="9" t="s">
        <v>83</v>
      </c>
      <c r="Q2481" s="9" t="s">
        <v>53</v>
      </c>
      <c r="R2481" s="9" t="s">
        <v>7911</v>
      </c>
      <c r="S2481" s="9"/>
      <c r="T2481" s="9"/>
      <c r="V2481" s="9"/>
      <c r="AC2481" s="9" t="s">
        <v>12527</v>
      </c>
      <c r="AH2481" s="9">
        <v>2230</v>
      </c>
      <c r="AI2481" s="9" t="s">
        <v>77</v>
      </c>
      <c r="AJ2481" s="9" t="s">
        <v>301</v>
      </c>
      <c r="AK2481" s="23" t="str">
        <f t="shared" si="18"/>
        <v>2023GBP</v>
      </c>
      <c r="AL2481" s="23">
        <f>VLOOKUP(AK2481, Exchange_rates!$C:$D, 2, FALSE)</f>
        <v>1</v>
      </c>
      <c r="AM2481" s="26">
        <f t="shared" si="19"/>
        <v>2676</v>
      </c>
      <c r="AN2481" s="9"/>
      <c r="AO2481" s="9"/>
      <c r="AP2481" s="9"/>
      <c r="AQ2481" s="15" t="s">
        <v>49</v>
      </c>
      <c r="AR2481" t="s">
        <v>1464</v>
      </c>
      <c r="AS2481" s="16" t="s">
        <v>1465</v>
      </c>
    </row>
    <row r="2482" spans="1:60" ht="14.5">
      <c r="A2482" s="9" t="s">
        <v>12528</v>
      </c>
      <c r="B2482" s="9" t="s">
        <v>12529</v>
      </c>
      <c r="C2482" s="9" t="s">
        <v>1468</v>
      </c>
      <c r="D2482" s="9" t="s">
        <v>1240</v>
      </c>
      <c r="E2482" s="9" t="s">
        <v>49</v>
      </c>
      <c r="F2482" s="9" t="s">
        <v>69</v>
      </c>
      <c r="G2482" s="9" t="s">
        <v>70</v>
      </c>
      <c r="H2482" s="9" t="s">
        <v>9040</v>
      </c>
      <c r="I2482" s="20" t="s">
        <v>72</v>
      </c>
      <c r="J2482" s="10"/>
      <c r="K2482" s="10">
        <v>45254</v>
      </c>
      <c r="L2482" s="50"/>
      <c r="M2482" s="10">
        <v>45267</v>
      </c>
      <c r="N2482" s="9">
        <v>2023</v>
      </c>
      <c r="O2482" s="9" t="s">
        <v>12522</v>
      </c>
      <c r="P2482" s="9" t="s">
        <v>83</v>
      </c>
      <c r="Q2482" s="9" t="s">
        <v>53</v>
      </c>
      <c r="R2482" s="9" t="s">
        <v>117</v>
      </c>
      <c r="S2482" s="9"/>
      <c r="T2482" s="9"/>
      <c r="V2482" s="9"/>
      <c r="AC2482" s="9" t="s">
        <v>12530</v>
      </c>
      <c r="AH2482" s="9">
        <v>2230</v>
      </c>
      <c r="AI2482" s="9" t="s">
        <v>77</v>
      </c>
      <c r="AJ2482" s="9" t="s">
        <v>301</v>
      </c>
      <c r="AK2482" s="23" t="str">
        <f t="shared" si="18"/>
        <v>2023GBP</v>
      </c>
      <c r="AL2482" s="23">
        <f>VLOOKUP(AK2482, Exchange_rates!$C:$D, 2, FALSE)</f>
        <v>1</v>
      </c>
      <c r="AM2482" s="26">
        <f t="shared" si="19"/>
        <v>2676</v>
      </c>
      <c r="AN2482" s="9"/>
      <c r="AO2482" s="9"/>
      <c r="AP2482" s="9"/>
      <c r="AQ2482" s="15" t="s">
        <v>49</v>
      </c>
      <c r="AR2482" t="s">
        <v>1301</v>
      </c>
      <c r="AS2482" s="16" t="s">
        <v>1302</v>
      </c>
    </row>
    <row r="2483" spans="1:60" ht="14.5">
      <c r="A2483" s="9" t="s">
        <v>12531</v>
      </c>
      <c r="B2483" s="9" t="s">
        <v>12532</v>
      </c>
      <c r="C2483" s="9" t="s">
        <v>12533</v>
      </c>
      <c r="D2483" s="9" t="s">
        <v>2208</v>
      </c>
      <c r="E2483" s="9" t="s">
        <v>49</v>
      </c>
      <c r="F2483" s="9" t="s">
        <v>69</v>
      </c>
      <c r="G2483" s="9" t="s">
        <v>70</v>
      </c>
      <c r="H2483" s="9" t="s">
        <v>10800</v>
      </c>
      <c r="I2483" s="20" t="s">
        <v>72</v>
      </c>
      <c r="J2483" s="10"/>
      <c r="K2483" s="10"/>
      <c r="L2483" s="50"/>
      <c r="M2483" s="10">
        <v>45267</v>
      </c>
      <c r="N2483" s="9">
        <v>2023</v>
      </c>
      <c r="O2483" s="9" t="s">
        <v>12534</v>
      </c>
      <c r="P2483" s="9" t="s">
        <v>83</v>
      </c>
      <c r="Q2483" s="9" t="s">
        <v>83</v>
      </c>
      <c r="R2483" s="9" t="s">
        <v>12535</v>
      </c>
      <c r="S2483" s="9"/>
      <c r="T2483" s="9"/>
      <c r="V2483" s="9"/>
      <c r="AC2483" s="9" t="s">
        <v>12536</v>
      </c>
      <c r="AH2483" s="9">
        <v>5300</v>
      </c>
      <c r="AI2483" s="9" t="s">
        <v>875</v>
      </c>
      <c r="AJ2483" s="9" t="s">
        <v>57</v>
      </c>
      <c r="AK2483" s="23" t="str">
        <f t="shared" si="18"/>
        <v>2023USD</v>
      </c>
      <c r="AL2483" s="23">
        <f>VLOOKUP(AK2483, Exchange_rates!$C:$D, 2, FALSE)</f>
        <v>0.80430000000000001</v>
      </c>
      <c r="AM2483" s="26">
        <f t="shared" si="19"/>
        <v>5115.348</v>
      </c>
      <c r="AN2483" s="9"/>
      <c r="AO2483" s="9"/>
      <c r="AP2483" s="9"/>
      <c r="AQ2483" s="15" t="s">
        <v>49</v>
      </c>
      <c r="AR2483" t="s">
        <v>2213</v>
      </c>
      <c r="AS2483" s="16" t="s">
        <v>2214</v>
      </c>
    </row>
    <row r="2484" spans="1:60" ht="14.5">
      <c r="A2484" s="9" t="s">
        <v>12537</v>
      </c>
      <c r="B2484" s="9" t="s">
        <v>12538</v>
      </c>
      <c r="C2484" s="9" t="s">
        <v>12539</v>
      </c>
      <c r="D2484" s="9" t="s">
        <v>7930</v>
      </c>
      <c r="E2484" s="9" t="s">
        <v>49</v>
      </c>
      <c r="F2484" s="9" t="s">
        <v>69</v>
      </c>
      <c r="G2484" s="9" t="s">
        <v>70</v>
      </c>
      <c r="H2484" s="9" t="s">
        <v>7940</v>
      </c>
      <c r="I2484" s="20" t="s">
        <v>72</v>
      </c>
      <c r="J2484" s="10"/>
      <c r="K2484" s="10">
        <v>45266</v>
      </c>
      <c r="L2484" s="50"/>
      <c r="M2484" s="10">
        <v>45321</v>
      </c>
      <c r="N2484" s="9">
        <v>2023</v>
      </c>
      <c r="O2484" s="9" t="s">
        <v>12540</v>
      </c>
      <c r="P2484" s="9" t="s">
        <v>53</v>
      </c>
      <c r="Q2484" s="9" t="s">
        <v>53</v>
      </c>
      <c r="R2484" s="9" t="s">
        <v>12541</v>
      </c>
      <c r="S2484" s="9"/>
      <c r="T2484" s="9"/>
      <c r="V2484" s="9"/>
      <c r="AC2484" s="9" t="s">
        <v>10992</v>
      </c>
      <c r="AD2484" s="9" t="s">
        <v>10993</v>
      </c>
      <c r="AE2484" s="9" t="s">
        <v>10994</v>
      </c>
      <c r="AH2484" s="9">
        <v>3500</v>
      </c>
      <c r="AI2484" s="9" t="s">
        <v>77</v>
      </c>
      <c r="AJ2484" s="9" t="s">
        <v>57</v>
      </c>
      <c r="AK2484" s="23" t="str">
        <f t="shared" si="18"/>
        <v>2023USD</v>
      </c>
      <c r="AL2484" s="23">
        <f>VLOOKUP(AK2484, Exchange_rates!$C:$D, 2, FALSE)</f>
        <v>0.80430000000000001</v>
      </c>
      <c r="AM2484" s="26">
        <f t="shared" si="19"/>
        <v>3378.06</v>
      </c>
      <c r="AN2484" s="9"/>
      <c r="AO2484" s="9"/>
      <c r="AP2484" s="9"/>
      <c r="AQ2484" s="15" t="s">
        <v>49</v>
      </c>
      <c r="AR2484" t="s">
        <v>12542</v>
      </c>
      <c r="AS2484" s="16"/>
    </row>
    <row r="2485" spans="1:60" ht="14.5">
      <c r="A2485" s="20" t="s">
        <v>12543</v>
      </c>
      <c r="B2485" s="20" t="s">
        <v>12544</v>
      </c>
      <c r="C2485" s="20" t="s">
        <v>708</v>
      </c>
      <c r="D2485" s="20" t="s">
        <v>361</v>
      </c>
      <c r="E2485" s="20" t="s">
        <v>125</v>
      </c>
      <c r="F2485" s="20" t="s">
        <v>69</v>
      </c>
      <c r="G2485" s="20" t="s">
        <v>70</v>
      </c>
      <c r="H2485" s="20" t="s">
        <v>7424</v>
      </c>
      <c r="I2485" s="20" t="s">
        <v>72</v>
      </c>
      <c r="J2485" s="22"/>
      <c r="K2485" s="22"/>
      <c r="L2485" s="51"/>
      <c r="M2485" s="22">
        <v>45243</v>
      </c>
      <c r="N2485" s="20">
        <v>2023</v>
      </c>
      <c r="O2485" s="20" t="s">
        <v>12545</v>
      </c>
      <c r="P2485" s="20" t="s">
        <v>53</v>
      </c>
      <c r="Q2485" s="20" t="s">
        <v>53</v>
      </c>
      <c r="R2485" s="20" t="s">
        <v>12546</v>
      </c>
      <c r="S2485" s="20"/>
      <c r="T2485" s="20"/>
      <c r="U2485" s="20"/>
      <c r="V2485" s="20"/>
      <c r="W2485" s="20"/>
      <c r="X2485" s="20"/>
      <c r="Y2485" s="20"/>
      <c r="Z2485" s="20"/>
      <c r="AA2485" s="20"/>
      <c r="AB2485" s="20"/>
      <c r="AC2485" s="20" t="s">
        <v>12547</v>
      </c>
      <c r="AD2485" s="20"/>
      <c r="AE2485" s="20"/>
      <c r="AF2485" s="20"/>
      <c r="AG2485" s="20"/>
      <c r="AH2485" s="20">
        <v>2800</v>
      </c>
      <c r="AI2485" s="20" t="s">
        <v>875</v>
      </c>
      <c r="AJ2485" s="20" t="s">
        <v>301</v>
      </c>
      <c r="AK2485" s="23" t="str">
        <f t="shared" si="18"/>
        <v>2023GBP</v>
      </c>
      <c r="AL2485" s="23">
        <f>VLOOKUP(AK2485, Exchange_rates!$C:$D, 2, FALSE)</f>
        <v>1</v>
      </c>
      <c r="AM2485" s="26">
        <f t="shared" si="19"/>
        <v>3360</v>
      </c>
      <c r="AN2485" s="20"/>
      <c r="AO2485" s="20"/>
      <c r="AP2485" s="20"/>
      <c r="AQ2485" s="27" t="s">
        <v>125</v>
      </c>
      <c r="AR2485" t="s">
        <v>711</v>
      </c>
      <c r="AS2485" s="16"/>
      <c r="AT2485" s="20"/>
      <c r="AU2485" s="20"/>
      <c r="AV2485" s="20"/>
      <c r="AW2485" s="20"/>
      <c r="AX2485" s="20"/>
      <c r="AY2485" s="20"/>
      <c r="AZ2485" s="20"/>
      <c r="BA2485" s="20"/>
      <c r="BB2485" s="20"/>
      <c r="BC2485" s="20"/>
      <c r="BD2485" s="20"/>
      <c r="BE2485" s="20"/>
      <c r="BF2485" s="20"/>
      <c r="BG2485" s="20"/>
      <c r="BH2485" s="20"/>
    </row>
    <row r="2486" spans="1:60" ht="14.5">
      <c r="A2486" s="9" t="s">
        <v>12548</v>
      </c>
      <c r="B2486" s="9" t="s">
        <v>12549</v>
      </c>
      <c r="C2486" s="9" t="s">
        <v>8366</v>
      </c>
      <c r="D2486" s="9" t="s">
        <v>2479</v>
      </c>
      <c r="E2486" s="9" t="s">
        <v>49</v>
      </c>
      <c r="F2486" s="9" t="s">
        <v>69</v>
      </c>
      <c r="G2486" s="9" t="s">
        <v>70</v>
      </c>
      <c r="H2486" s="9" t="s">
        <v>12550</v>
      </c>
      <c r="I2486" s="9" t="s">
        <v>72</v>
      </c>
      <c r="J2486" s="10">
        <v>45118</v>
      </c>
      <c r="K2486" s="10">
        <v>45301</v>
      </c>
      <c r="L2486" s="50">
        <v>45308</v>
      </c>
      <c r="M2486" s="9" t="s">
        <v>11431</v>
      </c>
      <c r="N2486" s="9">
        <v>2024</v>
      </c>
      <c r="O2486" s="9" t="s">
        <v>12551</v>
      </c>
      <c r="P2486" s="9" t="s">
        <v>53</v>
      </c>
      <c r="Q2486" s="9" t="s">
        <v>53</v>
      </c>
      <c r="R2486" s="9" t="s">
        <v>12552</v>
      </c>
      <c r="S2486" s="9"/>
      <c r="T2486" s="9"/>
      <c r="V2486" s="9"/>
      <c r="AC2486" s="9" t="s">
        <v>8487</v>
      </c>
      <c r="AD2486" s="9" t="s">
        <v>8488</v>
      </c>
      <c r="AF2486" s="9" t="s">
        <v>12553</v>
      </c>
      <c r="AH2486" s="9">
        <v>2713.21</v>
      </c>
      <c r="AI2486" s="9" t="s">
        <v>77</v>
      </c>
      <c r="AJ2486" s="9" t="s">
        <v>301</v>
      </c>
      <c r="AK2486" s="23" t="str">
        <f t="shared" si="18"/>
        <v>2024GBP</v>
      </c>
      <c r="AL2486" s="23">
        <f>VLOOKUP(AK2486, Exchange_rates!$C:$D, 2, FALSE)</f>
        <v>1</v>
      </c>
      <c r="AM2486" s="26">
        <f t="shared" si="19"/>
        <v>3255.8519999999999</v>
      </c>
      <c r="AN2486" s="9"/>
      <c r="AO2486" s="9"/>
      <c r="AP2486" s="9"/>
      <c r="AQ2486" s="15" t="s">
        <v>49</v>
      </c>
      <c r="AR2486" t="s">
        <v>2824</v>
      </c>
      <c r="AS2486" s="16" t="s">
        <v>2824</v>
      </c>
    </row>
    <row r="2487" spans="1:60" ht="14.5">
      <c r="A2487" s="9" t="s">
        <v>12554</v>
      </c>
      <c r="B2487" s="9" t="s">
        <v>12555</v>
      </c>
      <c r="C2487" s="9" t="s">
        <v>12556</v>
      </c>
      <c r="D2487" s="9" t="s">
        <v>2479</v>
      </c>
      <c r="E2487" s="9" t="s">
        <v>49</v>
      </c>
      <c r="F2487" s="9" t="s">
        <v>69</v>
      </c>
      <c r="G2487" s="9" t="s">
        <v>70</v>
      </c>
      <c r="H2487" s="9" t="s">
        <v>12550</v>
      </c>
      <c r="I2487" s="9" t="s">
        <v>72</v>
      </c>
      <c r="J2487" s="10">
        <v>45030</v>
      </c>
      <c r="K2487" s="10">
        <v>45181</v>
      </c>
      <c r="L2487" s="50">
        <v>45310</v>
      </c>
      <c r="M2487" s="9" t="s">
        <v>11431</v>
      </c>
      <c r="N2487" s="9">
        <v>2024</v>
      </c>
      <c r="O2487" s="9" t="s">
        <v>12551</v>
      </c>
      <c r="P2487" s="9" t="s">
        <v>53</v>
      </c>
      <c r="Q2487" s="9" t="s">
        <v>53</v>
      </c>
      <c r="R2487" s="9" t="s">
        <v>11719</v>
      </c>
      <c r="S2487" s="9"/>
      <c r="T2487" s="9"/>
      <c r="V2487" s="9"/>
      <c r="AC2487" s="9" t="s">
        <v>12557</v>
      </c>
      <c r="AD2487" s="9" t="s">
        <v>11087</v>
      </c>
      <c r="AE2487" s="9" t="s">
        <v>11088</v>
      </c>
      <c r="AF2487" s="9" t="s">
        <v>12558</v>
      </c>
      <c r="AH2487" s="9">
        <v>2529.89</v>
      </c>
      <c r="AI2487" s="9" t="s">
        <v>77</v>
      </c>
      <c r="AJ2487" s="9" t="s">
        <v>301</v>
      </c>
      <c r="AK2487" s="23" t="str">
        <f t="shared" si="18"/>
        <v>2024GBP</v>
      </c>
      <c r="AL2487" s="23">
        <f>VLOOKUP(AK2487, Exchange_rates!$C:$D, 2, FALSE)</f>
        <v>1</v>
      </c>
      <c r="AM2487" s="26">
        <f t="shared" si="19"/>
        <v>3035.8679999999999</v>
      </c>
      <c r="AN2487" s="9"/>
      <c r="AO2487" s="9"/>
      <c r="AP2487" s="9"/>
      <c r="AQ2487" s="15" t="s">
        <v>49</v>
      </c>
      <c r="AR2487" t="s">
        <v>12559</v>
      </c>
      <c r="AS2487" s="16" t="s">
        <v>12560</v>
      </c>
    </row>
    <row r="2488" spans="1:60" ht="14.5">
      <c r="A2488" s="9" t="s">
        <v>12561</v>
      </c>
      <c r="B2488" s="9" t="s">
        <v>12562</v>
      </c>
      <c r="C2488" s="9" t="s">
        <v>12563</v>
      </c>
      <c r="D2488" s="9" t="s">
        <v>2479</v>
      </c>
      <c r="E2488" s="9" t="s">
        <v>49</v>
      </c>
      <c r="F2488" s="9" t="s">
        <v>69</v>
      </c>
      <c r="G2488" s="9" t="s">
        <v>70</v>
      </c>
      <c r="H2488" s="9" t="s">
        <v>12550</v>
      </c>
      <c r="I2488" s="9" t="s">
        <v>238</v>
      </c>
      <c r="J2488" s="10">
        <v>45176</v>
      </c>
      <c r="K2488" s="10">
        <v>45309</v>
      </c>
      <c r="L2488" s="50">
        <v>45314</v>
      </c>
      <c r="M2488" s="9" t="s">
        <v>11431</v>
      </c>
      <c r="N2488" s="9">
        <v>2024</v>
      </c>
      <c r="O2488" s="9" t="s">
        <v>12551</v>
      </c>
      <c r="P2488" s="9" t="s">
        <v>53</v>
      </c>
      <c r="Q2488" s="9" t="s">
        <v>53</v>
      </c>
      <c r="S2488" s="9"/>
      <c r="T2488" s="9"/>
      <c r="V2488" s="9"/>
      <c r="AC2488" s="9" t="s">
        <v>12564</v>
      </c>
      <c r="AD2488" s="9" t="s">
        <v>5199</v>
      </c>
      <c r="AE2488" s="9" t="s">
        <v>12565</v>
      </c>
      <c r="AF2488" s="9" t="s">
        <v>12566</v>
      </c>
      <c r="AH2488" s="9">
        <v>2529.89</v>
      </c>
      <c r="AI2488" s="9" t="s">
        <v>77</v>
      </c>
      <c r="AJ2488" s="9" t="s">
        <v>301</v>
      </c>
      <c r="AK2488" s="23" t="str">
        <f t="shared" si="18"/>
        <v>2024GBP</v>
      </c>
      <c r="AL2488" s="23">
        <f>VLOOKUP(AK2488, Exchange_rates!$C:$D, 2, FALSE)</f>
        <v>1</v>
      </c>
      <c r="AM2488" s="26">
        <f t="shared" si="19"/>
        <v>3035.8679999999999</v>
      </c>
      <c r="AN2488" s="9"/>
      <c r="AO2488" s="9"/>
      <c r="AP2488" s="9"/>
      <c r="AQ2488" s="15" t="s">
        <v>49</v>
      </c>
      <c r="AR2488" t="s">
        <v>12567</v>
      </c>
      <c r="AS2488" s="16" t="s">
        <v>12568</v>
      </c>
    </row>
    <row r="2489" spans="1:60" ht="14.5">
      <c r="A2489" s="9" t="s">
        <v>12569</v>
      </c>
      <c r="B2489" s="9" t="s">
        <v>12570</v>
      </c>
      <c r="C2489" s="9" t="s">
        <v>2550</v>
      </c>
      <c r="D2489" s="9" t="s">
        <v>2479</v>
      </c>
      <c r="E2489" s="9" t="s">
        <v>49</v>
      </c>
      <c r="F2489" s="9" t="s">
        <v>69</v>
      </c>
      <c r="G2489" s="9" t="s">
        <v>70</v>
      </c>
      <c r="H2489" s="9" t="s">
        <v>12550</v>
      </c>
      <c r="I2489" s="9" t="s">
        <v>72</v>
      </c>
      <c r="J2489" s="10">
        <v>44897</v>
      </c>
      <c r="K2489" s="10">
        <v>45310</v>
      </c>
      <c r="L2489" s="50">
        <v>45322</v>
      </c>
      <c r="M2489" s="9" t="s">
        <v>11431</v>
      </c>
      <c r="N2489" s="9">
        <v>2024</v>
      </c>
      <c r="O2489" s="9" t="s">
        <v>12551</v>
      </c>
      <c r="P2489" s="9" t="s">
        <v>53</v>
      </c>
      <c r="Q2489" s="9" t="s">
        <v>53</v>
      </c>
      <c r="R2489" s="9" t="s">
        <v>12571</v>
      </c>
      <c r="S2489" s="9"/>
      <c r="T2489" s="9"/>
      <c r="V2489" s="9"/>
      <c r="AC2489" s="9" t="s">
        <v>12572</v>
      </c>
      <c r="AD2489" s="9" t="s">
        <v>12573</v>
      </c>
      <c r="AE2489" s="9" t="s">
        <v>12574</v>
      </c>
      <c r="AF2489" s="9" t="s">
        <v>12575</v>
      </c>
      <c r="AH2489" s="9">
        <v>3079.86</v>
      </c>
      <c r="AI2489" s="9" t="s">
        <v>77</v>
      </c>
      <c r="AJ2489" s="9" t="s">
        <v>301</v>
      </c>
      <c r="AK2489" s="23" t="str">
        <f t="shared" si="18"/>
        <v>2024GBP</v>
      </c>
      <c r="AL2489" s="23">
        <f>VLOOKUP(AK2489, Exchange_rates!$C:$D, 2, FALSE)</f>
        <v>1</v>
      </c>
      <c r="AM2489" s="26">
        <f t="shared" si="19"/>
        <v>3695.8319999999999</v>
      </c>
      <c r="AN2489" s="9"/>
      <c r="AO2489" s="9"/>
      <c r="AP2489" s="9"/>
      <c r="AQ2489" s="15" t="s">
        <v>49</v>
      </c>
      <c r="AR2489" t="s">
        <v>2552</v>
      </c>
      <c r="AS2489" s="16" t="s">
        <v>2553</v>
      </c>
    </row>
    <row r="2490" spans="1:60" ht="14.5">
      <c r="A2490" s="9" t="s">
        <v>12576</v>
      </c>
      <c r="B2490" s="9" t="s">
        <v>12577</v>
      </c>
      <c r="C2490" s="9" t="s">
        <v>12578</v>
      </c>
      <c r="D2490" s="9" t="s">
        <v>361</v>
      </c>
      <c r="E2490" s="9" t="s">
        <v>49</v>
      </c>
      <c r="F2490" s="9" t="s">
        <v>69</v>
      </c>
      <c r="G2490" s="9" t="s">
        <v>70</v>
      </c>
      <c r="H2490" s="9" t="s">
        <v>12579</v>
      </c>
      <c r="I2490" s="9" t="s">
        <v>72</v>
      </c>
      <c r="J2490" s="10"/>
      <c r="K2490" s="10"/>
      <c r="L2490" s="50"/>
      <c r="M2490" s="10">
        <v>45293</v>
      </c>
      <c r="N2490" s="9">
        <v>2024</v>
      </c>
      <c r="O2490" s="9" t="s">
        <v>12580</v>
      </c>
      <c r="P2490" s="9" t="s">
        <v>53</v>
      </c>
      <c r="Q2490" s="9" t="s">
        <v>53</v>
      </c>
      <c r="R2490" s="9" t="s">
        <v>12581</v>
      </c>
      <c r="S2490" s="9"/>
      <c r="T2490" s="9"/>
      <c r="V2490" s="9"/>
      <c r="AC2490" s="9" t="s">
        <v>12582</v>
      </c>
      <c r="AH2490" s="9">
        <v>2110</v>
      </c>
      <c r="AI2490" s="9" t="s">
        <v>77</v>
      </c>
      <c r="AJ2490" s="9" t="s">
        <v>301</v>
      </c>
      <c r="AK2490" s="23" t="str">
        <f t="shared" si="18"/>
        <v>2024GBP</v>
      </c>
      <c r="AL2490" s="23">
        <f>VLOOKUP(AK2490, Exchange_rates!$C:$D, 2, FALSE)</f>
        <v>1</v>
      </c>
      <c r="AM2490" s="26">
        <f t="shared" si="19"/>
        <v>2532</v>
      </c>
      <c r="AN2490" s="9"/>
      <c r="AO2490" s="9"/>
      <c r="AP2490" s="9"/>
      <c r="AQ2490" s="15" t="s">
        <v>49</v>
      </c>
      <c r="AR2490" t="s">
        <v>12583</v>
      </c>
      <c r="AS2490" s="16" t="s">
        <v>12584</v>
      </c>
    </row>
    <row r="2491" spans="1:60" ht="14.5">
      <c r="A2491" s="20" t="s">
        <v>12585</v>
      </c>
      <c r="B2491" s="20" t="s">
        <v>12586</v>
      </c>
      <c r="C2491" s="20" t="s">
        <v>12587</v>
      </c>
      <c r="D2491" s="20" t="s">
        <v>361</v>
      </c>
      <c r="E2491" s="20" t="s">
        <v>49</v>
      </c>
      <c r="F2491" s="20" t="s">
        <v>69</v>
      </c>
      <c r="G2491" s="20" t="s">
        <v>70</v>
      </c>
      <c r="H2491" s="20" t="s">
        <v>12579</v>
      </c>
      <c r="I2491" s="20" t="s">
        <v>72</v>
      </c>
      <c r="J2491" s="22"/>
      <c r="K2491" s="22"/>
      <c r="L2491" s="51"/>
      <c r="M2491" s="22">
        <v>45317</v>
      </c>
      <c r="N2491" s="20">
        <v>2024</v>
      </c>
      <c r="O2491" s="20" t="s">
        <v>12580</v>
      </c>
      <c r="P2491" s="20" t="s">
        <v>53</v>
      </c>
      <c r="Q2491" s="20" t="s">
        <v>53</v>
      </c>
      <c r="R2491" s="20" t="s">
        <v>12588</v>
      </c>
      <c r="S2491" s="20"/>
      <c r="T2491" s="20"/>
      <c r="U2491" s="20"/>
      <c r="V2491" s="20"/>
      <c r="W2491" s="20"/>
      <c r="X2491" s="20"/>
      <c r="Y2491" s="20"/>
      <c r="Z2491" s="20"/>
      <c r="AA2491" s="20"/>
      <c r="AB2491" s="20"/>
      <c r="AC2491" s="20" t="s">
        <v>12589</v>
      </c>
      <c r="AD2491" s="20"/>
      <c r="AE2491" s="20"/>
      <c r="AF2491" s="20"/>
      <c r="AG2491" s="20"/>
      <c r="AH2491" s="20">
        <v>2320</v>
      </c>
      <c r="AI2491" s="20" t="s">
        <v>875</v>
      </c>
      <c r="AJ2491" s="20" t="s">
        <v>301</v>
      </c>
      <c r="AK2491" s="23" t="str">
        <f t="shared" si="18"/>
        <v>2024GBP</v>
      </c>
      <c r="AL2491" s="23">
        <f>VLOOKUP(AK2491, Exchange_rates!$C:$D, 2, FALSE)</f>
        <v>1</v>
      </c>
      <c r="AM2491" s="26">
        <f t="shared" si="19"/>
        <v>2784</v>
      </c>
      <c r="AN2491" s="20"/>
      <c r="AO2491" s="20"/>
      <c r="AP2491" s="20"/>
      <c r="AQ2491" s="27" t="s">
        <v>49</v>
      </c>
      <c r="AR2491" t="s">
        <v>12590</v>
      </c>
      <c r="AS2491" s="16" t="s">
        <v>12591</v>
      </c>
      <c r="AT2491" s="20"/>
      <c r="AU2491" s="20"/>
      <c r="AV2491" s="20"/>
      <c r="AW2491" s="20"/>
      <c r="AX2491" s="20"/>
      <c r="AY2491" s="20"/>
      <c r="AZ2491" s="20"/>
      <c r="BA2491" s="20"/>
      <c r="BB2491" s="20"/>
      <c r="BC2491" s="20"/>
      <c r="BD2491" s="20"/>
      <c r="BE2491" s="20"/>
      <c r="BF2491" s="20"/>
      <c r="BG2491" s="20"/>
      <c r="BH2491" s="20"/>
    </row>
    <row r="2492" spans="1:60" ht="14.5">
      <c r="A2492" s="9" t="s">
        <v>12592</v>
      </c>
      <c r="B2492" s="9" t="s">
        <v>12593</v>
      </c>
      <c r="C2492" s="9" t="s">
        <v>8188</v>
      </c>
      <c r="D2492" s="9" t="s">
        <v>2479</v>
      </c>
      <c r="E2492" s="9" t="s">
        <v>49</v>
      </c>
      <c r="F2492" s="9" t="s">
        <v>69</v>
      </c>
      <c r="G2492" s="9" t="s">
        <v>70</v>
      </c>
      <c r="H2492" s="9" t="s">
        <v>12550</v>
      </c>
      <c r="I2492" s="9" t="s">
        <v>72</v>
      </c>
      <c r="J2492" s="28">
        <v>44922</v>
      </c>
      <c r="K2492" s="10">
        <v>45262</v>
      </c>
      <c r="L2492" s="50"/>
      <c r="M2492" s="10">
        <v>45341</v>
      </c>
      <c r="N2492" s="20">
        <v>2024</v>
      </c>
      <c r="O2492" s="9" t="s">
        <v>12594</v>
      </c>
      <c r="P2492" s="9" t="s">
        <v>53</v>
      </c>
      <c r="Q2492" s="9" t="s">
        <v>53</v>
      </c>
      <c r="R2492" s="9" t="s">
        <v>12595</v>
      </c>
      <c r="S2492" s="9"/>
      <c r="T2492" s="9"/>
      <c r="V2492" s="9"/>
      <c r="AC2492" s="9" t="s">
        <v>10362</v>
      </c>
      <c r="AD2492" s="9" t="s">
        <v>10363</v>
      </c>
      <c r="AE2492" s="9" t="s">
        <v>12596</v>
      </c>
      <c r="AF2492" s="9" t="s">
        <v>12597</v>
      </c>
      <c r="AH2492" s="9">
        <v>2529.89</v>
      </c>
      <c r="AI2492" s="9" t="s">
        <v>77</v>
      </c>
      <c r="AJ2492" s="9" t="s">
        <v>301</v>
      </c>
      <c r="AK2492" s="23" t="str">
        <f t="shared" si="18"/>
        <v>2024GBP</v>
      </c>
      <c r="AL2492" s="23">
        <f>VLOOKUP(AK2492, Exchange_rates!$C:$D, 2, FALSE)</f>
        <v>1</v>
      </c>
      <c r="AM2492" s="26">
        <f t="shared" si="19"/>
        <v>3035.8679999999999</v>
      </c>
      <c r="AN2492" s="9"/>
      <c r="AO2492" s="9"/>
      <c r="AP2492" s="9"/>
      <c r="AQ2492" s="15" t="s">
        <v>49</v>
      </c>
      <c r="AR2492" t="s">
        <v>2786</v>
      </c>
      <c r="AS2492" s="16" t="s">
        <v>2787</v>
      </c>
    </row>
    <row r="2493" spans="1:60" ht="14.5">
      <c r="A2493" s="9" t="s">
        <v>12598</v>
      </c>
      <c r="B2493" s="9" t="s">
        <v>12599</v>
      </c>
      <c r="C2493" s="9" t="s">
        <v>12600</v>
      </c>
      <c r="D2493" s="9" t="s">
        <v>2479</v>
      </c>
      <c r="E2493" s="9" t="s">
        <v>49</v>
      </c>
      <c r="F2493" s="9" t="s">
        <v>69</v>
      </c>
      <c r="G2493" s="9" t="s">
        <v>70</v>
      </c>
      <c r="H2493" s="9" t="s">
        <v>12550</v>
      </c>
      <c r="I2493" s="9" t="s">
        <v>72</v>
      </c>
      <c r="J2493" s="10">
        <v>45201</v>
      </c>
      <c r="K2493" s="10">
        <v>45320</v>
      </c>
      <c r="L2493" s="50">
        <v>45341</v>
      </c>
      <c r="M2493" s="10"/>
      <c r="N2493" s="20">
        <v>2024</v>
      </c>
      <c r="O2493" s="9" t="s">
        <v>12594</v>
      </c>
      <c r="P2493" s="9" t="s">
        <v>53</v>
      </c>
      <c r="Q2493" s="9" t="s">
        <v>53</v>
      </c>
      <c r="R2493" s="9" t="s">
        <v>2492</v>
      </c>
      <c r="S2493" s="9"/>
      <c r="T2493" s="9"/>
      <c r="V2493" s="9"/>
      <c r="AC2493" s="9" t="s">
        <v>12601</v>
      </c>
      <c r="AD2493" s="9" t="s">
        <v>12602</v>
      </c>
      <c r="AE2493" s="9" t="s">
        <v>12603</v>
      </c>
      <c r="AH2493" s="9">
        <v>2713.21</v>
      </c>
      <c r="AI2493" s="9" t="s">
        <v>77</v>
      </c>
      <c r="AJ2493" s="9" t="s">
        <v>301</v>
      </c>
      <c r="AK2493" s="23" t="str">
        <f t="shared" si="18"/>
        <v>2024GBP</v>
      </c>
      <c r="AL2493" s="23">
        <f>VLOOKUP(AK2493, Exchange_rates!$C:$D, 2, FALSE)</f>
        <v>1</v>
      </c>
      <c r="AM2493" s="26">
        <f t="shared" si="19"/>
        <v>3255.8519999999999</v>
      </c>
      <c r="AN2493" s="9"/>
      <c r="AO2493" s="9"/>
      <c r="AP2493" s="9"/>
      <c r="AQ2493" s="15" t="s">
        <v>49</v>
      </c>
      <c r="AR2493" t="s">
        <v>12604</v>
      </c>
      <c r="AS2493" s="16" t="s">
        <v>12605</v>
      </c>
    </row>
    <row r="2494" spans="1:60" ht="14.5">
      <c r="A2494" s="9" t="s">
        <v>12606</v>
      </c>
      <c r="B2494" s="9" t="s">
        <v>12607</v>
      </c>
      <c r="C2494" s="9" t="s">
        <v>8366</v>
      </c>
      <c r="D2494" s="9" t="s">
        <v>2479</v>
      </c>
      <c r="E2494" s="9" t="s">
        <v>49</v>
      </c>
      <c r="F2494" s="9" t="s">
        <v>69</v>
      </c>
      <c r="G2494" s="9" t="s">
        <v>70</v>
      </c>
      <c r="H2494" s="9" t="s">
        <v>12550</v>
      </c>
      <c r="I2494" s="9" t="s">
        <v>72</v>
      </c>
      <c r="J2494" s="10">
        <v>44969</v>
      </c>
      <c r="K2494" s="10">
        <v>45308</v>
      </c>
      <c r="L2494" s="50"/>
      <c r="M2494" s="10"/>
      <c r="N2494" s="20">
        <v>2024</v>
      </c>
      <c r="O2494" s="9" t="s">
        <v>12594</v>
      </c>
      <c r="P2494" s="9" t="s">
        <v>53</v>
      </c>
      <c r="Q2494" s="9" t="s">
        <v>53</v>
      </c>
      <c r="R2494" s="9" t="s">
        <v>12608</v>
      </c>
      <c r="S2494" s="9"/>
      <c r="T2494" s="9"/>
      <c r="V2494" s="9"/>
      <c r="AC2494" s="9" t="s">
        <v>12609</v>
      </c>
      <c r="AD2494" s="9" t="s">
        <v>12610</v>
      </c>
      <c r="AE2494" s="9" t="s">
        <v>12611</v>
      </c>
      <c r="AF2494" s="9" t="s">
        <v>12612</v>
      </c>
      <c r="AH2494" s="9">
        <v>2713.21</v>
      </c>
      <c r="AI2494" s="9" t="s">
        <v>77</v>
      </c>
      <c r="AJ2494" s="9" t="s">
        <v>301</v>
      </c>
      <c r="AK2494" s="23" t="str">
        <f t="shared" si="18"/>
        <v>2024GBP</v>
      </c>
      <c r="AL2494" s="23">
        <f>VLOOKUP(AK2494, Exchange_rates!$C:$D, 2, FALSE)</f>
        <v>1</v>
      </c>
      <c r="AM2494" s="26">
        <f t="shared" si="19"/>
        <v>3255.8519999999999</v>
      </c>
      <c r="AN2494" s="9"/>
      <c r="AO2494" s="9"/>
      <c r="AP2494" s="9"/>
      <c r="AQ2494" s="15" t="s">
        <v>49</v>
      </c>
      <c r="AR2494" t="s">
        <v>2824</v>
      </c>
      <c r="AS2494" s="16" t="s">
        <v>2824</v>
      </c>
    </row>
    <row r="2495" spans="1:60" ht="14.5">
      <c r="A2495" s="9" t="s">
        <v>12613</v>
      </c>
      <c r="B2495" s="9" t="s">
        <v>12614</v>
      </c>
      <c r="C2495" s="9" t="s">
        <v>2660</v>
      </c>
      <c r="D2495" s="9" t="s">
        <v>2479</v>
      </c>
      <c r="E2495" s="9" t="s">
        <v>49</v>
      </c>
      <c r="F2495" s="9" t="s">
        <v>69</v>
      </c>
      <c r="G2495" s="9" t="s">
        <v>70</v>
      </c>
      <c r="H2495" s="9" t="s">
        <v>12550</v>
      </c>
      <c r="I2495" s="9" t="s">
        <v>72</v>
      </c>
      <c r="J2495" s="10">
        <v>45323</v>
      </c>
      <c r="K2495" s="10">
        <v>45326</v>
      </c>
      <c r="L2495" s="50"/>
      <c r="M2495" s="10">
        <v>45349</v>
      </c>
      <c r="N2495" s="20">
        <v>2024</v>
      </c>
      <c r="O2495" s="9" t="s">
        <v>12594</v>
      </c>
      <c r="P2495" s="9" t="s">
        <v>53</v>
      </c>
      <c r="Q2495" s="9" t="s">
        <v>53</v>
      </c>
      <c r="R2495" s="9" t="s">
        <v>2492</v>
      </c>
      <c r="S2495" s="9"/>
      <c r="T2495" s="9"/>
      <c r="V2495" s="9"/>
      <c r="AC2495" s="9" t="s">
        <v>9094</v>
      </c>
      <c r="AD2495" s="9" t="s">
        <v>9095</v>
      </c>
      <c r="AE2495" s="9" t="s">
        <v>12615</v>
      </c>
      <c r="AF2495" s="9" t="s">
        <v>12616</v>
      </c>
      <c r="AH2495" s="9">
        <v>2529.89</v>
      </c>
      <c r="AI2495" s="9" t="s">
        <v>77</v>
      </c>
      <c r="AJ2495" s="9" t="s">
        <v>301</v>
      </c>
      <c r="AK2495" s="23" t="str">
        <f t="shared" si="18"/>
        <v>2024GBP</v>
      </c>
      <c r="AL2495" s="23">
        <f>VLOOKUP(AK2495, Exchange_rates!$C:$D, 2, FALSE)</f>
        <v>1</v>
      </c>
      <c r="AM2495" s="26">
        <f t="shared" si="19"/>
        <v>3035.8679999999999</v>
      </c>
      <c r="AN2495" s="9"/>
      <c r="AO2495" s="9"/>
      <c r="AP2495" s="9"/>
      <c r="AQ2495" s="15" t="s">
        <v>49</v>
      </c>
      <c r="AR2495" t="s">
        <v>2661</v>
      </c>
      <c r="AS2495" s="16" t="s">
        <v>2662</v>
      </c>
    </row>
    <row r="2496" spans="1:60" ht="14.5">
      <c r="A2496" s="20" t="s">
        <v>12617</v>
      </c>
      <c r="B2496" s="20" t="s">
        <v>12618</v>
      </c>
      <c r="C2496" s="20" t="s">
        <v>2693</v>
      </c>
      <c r="D2496" s="20" t="s">
        <v>2479</v>
      </c>
      <c r="E2496" s="20" t="s">
        <v>49</v>
      </c>
      <c r="F2496" s="20" t="s">
        <v>69</v>
      </c>
      <c r="G2496" s="20" t="s">
        <v>70</v>
      </c>
      <c r="H2496" s="20" t="s">
        <v>12550</v>
      </c>
      <c r="I2496" s="20" t="s">
        <v>72</v>
      </c>
      <c r="J2496" s="22">
        <v>45012</v>
      </c>
      <c r="K2496" s="42">
        <v>45214</v>
      </c>
      <c r="L2496" s="51"/>
      <c r="M2496" s="22"/>
      <c r="N2496" s="20">
        <v>2024</v>
      </c>
      <c r="O2496" s="20" t="s">
        <v>12594</v>
      </c>
      <c r="P2496" s="20" t="s">
        <v>53</v>
      </c>
      <c r="Q2496" s="20" t="s">
        <v>83</v>
      </c>
      <c r="R2496" s="20" t="s">
        <v>12619</v>
      </c>
      <c r="S2496" s="20"/>
      <c r="T2496" s="20"/>
      <c r="U2496" s="20"/>
      <c r="V2496" s="20"/>
      <c r="W2496" s="20"/>
      <c r="X2496" s="20"/>
      <c r="Y2496" s="20"/>
      <c r="Z2496" s="20"/>
      <c r="AA2496" s="20"/>
      <c r="AB2496" s="20"/>
      <c r="AC2496" s="20" t="s">
        <v>12620</v>
      </c>
      <c r="AD2496" s="20" t="s">
        <v>12621</v>
      </c>
      <c r="AE2496" s="20" t="s">
        <v>12622</v>
      </c>
      <c r="AF2496" s="20" t="s">
        <v>12623</v>
      </c>
      <c r="AG2496" s="20"/>
      <c r="AH2496" s="20">
        <v>2713.21</v>
      </c>
      <c r="AI2496" s="20" t="s">
        <v>77</v>
      </c>
      <c r="AJ2496" s="20" t="s">
        <v>301</v>
      </c>
      <c r="AK2496" s="23" t="str">
        <f t="shared" si="18"/>
        <v>2024GBP</v>
      </c>
      <c r="AL2496" s="23">
        <f>VLOOKUP(AK2496, Exchange_rates!$C:$D, 2, FALSE)</f>
        <v>1</v>
      </c>
      <c r="AM2496" s="26">
        <f t="shared" si="19"/>
        <v>3255.8519999999999</v>
      </c>
      <c r="AN2496" s="20"/>
      <c r="AO2496" s="20"/>
      <c r="AP2496" s="20"/>
      <c r="AQ2496" s="27" t="s">
        <v>49</v>
      </c>
      <c r="AR2496" t="s">
        <v>2694</v>
      </c>
      <c r="AS2496" s="16" t="s">
        <v>2695</v>
      </c>
      <c r="AT2496" s="20"/>
      <c r="AU2496" s="20"/>
      <c r="AV2496" s="20"/>
      <c r="AW2496" s="20"/>
      <c r="AX2496" s="20"/>
      <c r="AY2496" s="20"/>
      <c r="AZ2496" s="20"/>
      <c r="BA2496" s="20"/>
      <c r="BB2496" s="20"/>
      <c r="BC2496" s="20"/>
      <c r="BD2496" s="20"/>
      <c r="BE2496" s="20"/>
      <c r="BF2496" s="20"/>
      <c r="BG2496" s="20"/>
      <c r="BH2496" s="20"/>
    </row>
    <row r="2497" spans="1:60" ht="14.5">
      <c r="A2497" s="9" t="s">
        <v>12624</v>
      </c>
      <c r="B2497" s="9" t="s">
        <v>12625</v>
      </c>
      <c r="C2497" s="9" t="s">
        <v>9007</v>
      </c>
      <c r="D2497" s="9" t="s">
        <v>185</v>
      </c>
      <c r="E2497" s="9" t="s">
        <v>125</v>
      </c>
      <c r="F2497" s="9" t="s">
        <v>69</v>
      </c>
      <c r="G2497" s="9" t="s">
        <v>70</v>
      </c>
      <c r="H2497" s="9" t="s">
        <v>9008</v>
      </c>
      <c r="I2497" s="9" t="s">
        <v>72</v>
      </c>
      <c r="J2497" s="10"/>
      <c r="K2497" s="10">
        <v>44936</v>
      </c>
      <c r="L2497" s="50"/>
      <c r="M2497" s="10">
        <v>44958</v>
      </c>
      <c r="N2497" s="9">
        <v>2023</v>
      </c>
      <c r="O2497" s="9" t="s">
        <v>12626</v>
      </c>
      <c r="P2497" s="9" t="s">
        <v>83</v>
      </c>
      <c r="Q2497" s="9" t="s">
        <v>53</v>
      </c>
      <c r="R2497" s="9" t="s">
        <v>12627</v>
      </c>
      <c r="S2497" s="9"/>
      <c r="T2497" s="9"/>
      <c r="V2497" s="9"/>
      <c r="AC2497" s="9" t="s">
        <v>12628</v>
      </c>
      <c r="AH2497" s="9">
        <v>1400</v>
      </c>
      <c r="AI2497" s="9" t="s">
        <v>875</v>
      </c>
      <c r="AJ2497" s="9" t="s">
        <v>301</v>
      </c>
      <c r="AK2497" s="23" t="str">
        <f t="shared" si="18"/>
        <v>2023GBP</v>
      </c>
      <c r="AL2497" s="23">
        <f>VLOOKUP(AK2497, Exchange_rates!$C:$D, 2, FALSE)</f>
        <v>1</v>
      </c>
      <c r="AM2497" s="26">
        <f t="shared" si="19"/>
        <v>1680</v>
      </c>
      <c r="AN2497" s="9"/>
      <c r="AO2497" s="9"/>
      <c r="AP2497" s="9"/>
      <c r="AQ2497" s="15" t="s">
        <v>125</v>
      </c>
      <c r="AS2497" s="16" t="s">
        <v>9013</v>
      </c>
    </row>
    <row r="2498" spans="1:60" ht="14.5">
      <c r="A2498" s="20" t="s">
        <v>12629</v>
      </c>
      <c r="B2498" s="20" t="s">
        <v>12630</v>
      </c>
      <c r="C2498" s="20" t="s">
        <v>9007</v>
      </c>
      <c r="D2498" s="20" t="s">
        <v>185</v>
      </c>
      <c r="E2498" s="20" t="s">
        <v>125</v>
      </c>
      <c r="F2498" s="20" t="s">
        <v>69</v>
      </c>
      <c r="G2498" s="20" t="s">
        <v>70</v>
      </c>
      <c r="H2498" s="20" t="s">
        <v>9008</v>
      </c>
      <c r="I2498" s="20" t="s">
        <v>72</v>
      </c>
      <c r="J2498" s="22"/>
      <c r="K2498" s="22">
        <v>45244</v>
      </c>
      <c r="L2498" s="51"/>
      <c r="M2498" s="22">
        <v>45266</v>
      </c>
      <c r="N2498" s="20">
        <v>2023</v>
      </c>
      <c r="O2498" s="20" t="s">
        <v>12626</v>
      </c>
      <c r="P2498" s="20" t="s">
        <v>83</v>
      </c>
      <c r="Q2498" s="20" t="s">
        <v>53</v>
      </c>
      <c r="R2498" s="20" t="s">
        <v>12631</v>
      </c>
      <c r="S2498" s="20"/>
      <c r="T2498" s="20"/>
      <c r="U2498" s="20"/>
      <c r="V2498" s="20"/>
      <c r="W2498" s="20"/>
      <c r="X2498" s="20"/>
      <c r="Y2498" s="20"/>
      <c r="Z2498" s="20"/>
      <c r="AA2498" s="20"/>
      <c r="AB2498" s="20"/>
      <c r="AC2498" s="20" t="s">
        <v>12632</v>
      </c>
      <c r="AD2498" s="20"/>
      <c r="AE2498" s="20"/>
      <c r="AF2498" s="20"/>
      <c r="AG2498" s="20"/>
      <c r="AH2498" s="20">
        <v>1400</v>
      </c>
      <c r="AI2498" s="20" t="s">
        <v>875</v>
      </c>
      <c r="AJ2498" s="20" t="s">
        <v>301</v>
      </c>
      <c r="AK2498" s="23" t="str">
        <f t="shared" si="18"/>
        <v>2023GBP</v>
      </c>
      <c r="AL2498" s="23">
        <f>VLOOKUP(AK2498, Exchange_rates!$C:$D, 2, FALSE)</f>
        <v>1</v>
      </c>
      <c r="AM2498" s="26">
        <f t="shared" si="19"/>
        <v>1680</v>
      </c>
      <c r="AN2498" s="20"/>
      <c r="AO2498" s="20"/>
      <c r="AP2498" s="20"/>
      <c r="AQ2498" s="27" t="s">
        <v>125</v>
      </c>
      <c r="AS2498" s="16" t="s">
        <v>9013</v>
      </c>
      <c r="AT2498" s="20"/>
      <c r="AU2498" s="20"/>
      <c r="AV2498" s="20"/>
      <c r="AW2498" s="20"/>
      <c r="AX2498" s="20"/>
      <c r="AY2498" s="20"/>
      <c r="AZ2498" s="20"/>
      <c r="BA2498" s="20"/>
      <c r="BB2498" s="20"/>
      <c r="BC2498" s="20"/>
      <c r="BD2498" s="20"/>
      <c r="BE2498" s="20"/>
      <c r="BF2498" s="20"/>
      <c r="BG2498" s="20"/>
      <c r="BH2498" s="20"/>
    </row>
    <row r="2499" spans="1:60" ht="14.5">
      <c r="A2499" s="9" t="s">
        <v>12633</v>
      </c>
      <c r="B2499" s="9" t="s">
        <v>12634</v>
      </c>
      <c r="C2499" s="9" t="s">
        <v>8355</v>
      </c>
      <c r="D2499" s="9" t="s">
        <v>2479</v>
      </c>
      <c r="E2499" s="9" t="s">
        <v>49</v>
      </c>
      <c r="F2499" s="9" t="s">
        <v>69</v>
      </c>
      <c r="G2499" s="9" t="s">
        <v>70</v>
      </c>
      <c r="H2499" s="9" t="s">
        <v>12550</v>
      </c>
      <c r="I2499" s="20" t="s">
        <v>72</v>
      </c>
      <c r="J2499" s="10">
        <v>45091</v>
      </c>
      <c r="K2499" s="10">
        <v>45352</v>
      </c>
      <c r="L2499" s="50"/>
      <c r="M2499" s="10"/>
      <c r="N2499" s="9">
        <v>2024</v>
      </c>
      <c r="O2499" s="9" t="s">
        <v>12635</v>
      </c>
      <c r="P2499" s="9" t="s">
        <v>53</v>
      </c>
      <c r="Q2499" s="9" t="s">
        <v>53</v>
      </c>
      <c r="R2499" s="9" t="s">
        <v>11719</v>
      </c>
      <c r="S2499" s="9"/>
      <c r="T2499" s="9"/>
      <c r="V2499" s="9"/>
      <c r="AC2499" s="9" t="s">
        <v>8502</v>
      </c>
      <c r="AD2499" s="9" t="s">
        <v>12636</v>
      </c>
      <c r="AE2499" s="9" t="s">
        <v>12637</v>
      </c>
      <c r="AH2499" s="9">
        <v>2529.89</v>
      </c>
      <c r="AI2499" s="9" t="s">
        <v>77</v>
      </c>
      <c r="AJ2499" s="9" t="s">
        <v>301</v>
      </c>
      <c r="AK2499" s="23" t="str">
        <f t="shared" si="18"/>
        <v>2024GBP</v>
      </c>
      <c r="AL2499" s="23">
        <f>VLOOKUP(AK2499, Exchange_rates!$C:$D, 2, FALSE)</f>
        <v>1</v>
      </c>
      <c r="AM2499" s="26">
        <f t="shared" si="19"/>
        <v>3035.8679999999999</v>
      </c>
      <c r="AN2499" s="9" t="s">
        <v>83</v>
      </c>
      <c r="AO2499" s="9" t="s">
        <v>11431</v>
      </c>
      <c r="AP2499" s="9"/>
      <c r="AQ2499" s="15" t="s">
        <v>49</v>
      </c>
      <c r="AR2499" t="s">
        <v>8357</v>
      </c>
      <c r="AS2499" s="16" t="s">
        <v>8358</v>
      </c>
    </row>
    <row r="2500" spans="1:60" ht="14.5">
      <c r="A2500" s="9" t="s">
        <v>12638</v>
      </c>
      <c r="B2500" s="9" t="s">
        <v>12639</v>
      </c>
      <c r="C2500" s="9" t="s">
        <v>12640</v>
      </c>
      <c r="D2500" s="9" t="s">
        <v>2479</v>
      </c>
      <c r="E2500" s="9" t="s">
        <v>49</v>
      </c>
      <c r="F2500" s="9" t="s">
        <v>69</v>
      </c>
      <c r="G2500" s="9" t="s">
        <v>70</v>
      </c>
      <c r="H2500" s="9" t="s">
        <v>12550</v>
      </c>
      <c r="I2500" s="20" t="s">
        <v>72</v>
      </c>
      <c r="J2500" s="10">
        <v>45156</v>
      </c>
      <c r="K2500" s="10">
        <v>45355</v>
      </c>
      <c r="L2500" s="50"/>
      <c r="M2500" s="10"/>
      <c r="N2500" s="9">
        <v>2024</v>
      </c>
      <c r="O2500" s="9" t="s">
        <v>12635</v>
      </c>
      <c r="P2500" s="9"/>
      <c r="Q2500" s="9"/>
      <c r="S2500" s="9"/>
      <c r="T2500" s="9"/>
      <c r="V2500" s="9"/>
      <c r="AC2500" s="9" t="s">
        <v>10606</v>
      </c>
      <c r="AD2500" s="9" t="s">
        <v>10607</v>
      </c>
      <c r="AE2500" s="9" t="s">
        <v>12641</v>
      </c>
      <c r="AH2500" s="9">
        <v>2529.89</v>
      </c>
      <c r="AI2500" s="9" t="s">
        <v>77</v>
      </c>
      <c r="AJ2500" s="9" t="s">
        <v>301</v>
      </c>
      <c r="AK2500" s="23" t="str">
        <f t="shared" si="18"/>
        <v>2024GBP</v>
      </c>
      <c r="AL2500" s="23">
        <f>VLOOKUP(AK2500, Exchange_rates!$C:$D, 2, FALSE)</f>
        <v>1</v>
      </c>
      <c r="AM2500" s="26">
        <f t="shared" si="19"/>
        <v>3035.8679999999999</v>
      </c>
      <c r="AN2500" s="9" t="s">
        <v>83</v>
      </c>
      <c r="AO2500" s="9" t="s">
        <v>11431</v>
      </c>
      <c r="AP2500" s="9"/>
      <c r="AQ2500" s="15" t="s">
        <v>49</v>
      </c>
      <c r="AR2500" t="s">
        <v>12642</v>
      </c>
      <c r="AS2500" s="16" t="s">
        <v>12643</v>
      </c>
    </row>
    <row r="2501" spans="1:60" ht="14.5">
      <c r="A2501" s="9" t="s">
        <v>12644</v>
      </c>
      <c r="B2501" s="9" t="s">
        <v>12645</v>
      </c>
      <c r="C2501" s="9" t="s">
        <v>8177</v>
      </c>
      <c r="D2501" s="9" t="s">
        <v>2479</v>
      </c>
      <c r="E2501" s="9" t="s">
        <v>49</v>
      </c>
      <c r="F2501" s="9" t="s">
        <v>69</v>
      </c>
      <c r="G2501" s="9" t="s">
        <v>70</v>
      </c>
      <c r="H2501" s="9" t="s">
        <v>12550</v>
      </c>
      <c r="I2501" s="20" t="s">
        <v>72</v>
      </c>
      <c r="J2501" s="10">
        <v>45071</v>
      </c>
      <c r="K2501" s="10">
        <v>45340</v>
      </c>
      <c r="L2501" s="50"/>
      <c r="M2501" s="10"/>
      <c r="N2501" s="9">
        <v>2024</v>
      </c>
      <c r="O2501" s="9" t="s">
        <v>12635</v>
      </c>
      <c r="P2501" s="9" t="s">
        <v>83</v>
      </c>
      <c r="Q2501" s="9" t="s">
        <v>53</v>
      </c>
      <c r="R2501" s="9" t="s">
        <v>12646</v>
      </c>
      <c r="S2501" s="9"/>
      <c r="T2501" s="9"/>
      <c r="V2501" s="9"/>
      <c r="AC2501" s="9" t="s">
        <v>6249</v>
      </c>
      <c r="AD2501" s="9" t="s">
        <v>6250</v>
      </c>
      <c r="AE2501" s="9" t="s">
        <v>12647</v>
      </c>
      <c r="AH2501" s="9">
        <v>2713.21</v>
      </c>
      <c r="AI2501" s="9" t="s">
        <v>77</v>
      </c>
      <c r="AJ2501" s="9" t="s">
        <v>301</v>
      </c>
      <c r="AK2501" s="23" t="str">
        <f t="shared" si="18"/>
        <v>2024GBP</v>
      </c>
      <c r="AL2501" s="23">
        <f>VLOOKUP(AK2501, Exchange_rates!$C:$D, 2, FALSE)</f>
        <v>1</v>
      </c>
      <c r="AM2501" s="26">
        <f t="shared" si="19"/>
        <v>3255.8519999999999</v>
      </c>
      <c r="AN2501" s="9" t="s">
        <v>83</v>
      </c>
      <c r="AO2501" s="9" t="s">
        <v>11431</v>
      </c>
      <c r="AP2501" s="9"/>
      <c r="AQ2501" s="15" t="s">
        <v>49</v>
      </c>
      <c r="AR2501" t="s">
        <v>8179</v>
      </c>
      <c r="AS2501" s="16" t="s">
        <v>8180</v>
      </c>
    </row>
    <row r="2502" spans="1:60" ht="14.5">
      <c r="A2502" s="9" t="s">
        <v>12648</v>
      </c>
      <c r="B2502" s="9" t="s">
        <v>12649</v>
      </c>
      <c r="C2502" s="9" t="s">
        <v>2497</v>
      </c>
      <c r="D2502" s="9" t="s">
        <v>2479</v>
      </c>
      <c r="E2502" s="9" t="s">
        <v>49</v>
      </c>
      <c r="F2502" s="9" t="s">
        <v>69</v>
      </c>
      <c r="G2502" s="9" t="s">
        <v>70</v>
      </c>
      <c r="H2502" s="9" t="s">
        <v>12550</v>
      </c>
      <c r="I2502" s="20" t="s">
        <v>72</v>
      </c>
      <c r="J2502" s="28">
        <v>44860</v>
      </c>
      <c r="K2502" s="10">
        <v>45364</v>
      </c>
      <c r="L2502" s="50"/>
      <c r="M2502" s="10"/>
      <c r="N2502" s="9">
        <v>2024</v>
      </c>
      <c r="O2502" s="9" t="s">
        <v>12635</v>
      </c>
      <c r="P2502" s="9"/>
      <c r="Q2502" s="9"/>
      <c r="S2502" s="9"/>
      <c r="T2502" s="9"/>
      <c r="V2502" s="9"/>
      <c r="AC2502" s="9" t="s">
        <v>12650</v>
      </c>
      <c r="AD2502" s="9" t="s">
        <v>12651</v>
      </c>
      <c r="AH2502" s="9">
        <v>2713.21</v>
      </c>
      <c r="AI2502" s="9" t="s">
        <v>77</v>
      </c>
      <c r="AJ2502" s="9" t="s">
        <v>301</v>
      </c>
      <c r="AK2502" s="23" t="str">
        <f t="shared" si="18"/>
        <v>2024GBP</v>
      </c>
      <c r="AL2502" s="23">
        <f>VLOOKUP(AK2502, Exchange_rates!$C:$D, 2, FALSE)</f>
        <v>1</v>
      </c>
      <c r="AM2502" s="26">
        <f t="shared" si="19"/>
        <v>3255.8519999999999</v>
      </c>
      <c r="AN2502" s="9" t="s">
        <v>83</v>
      </c>
      <c r="AO2502" s="9" t="s">
        <v>11431</v>
      </c>
      <c r="AP2502" s="9"/>
      <c r="AQ2502" s="15" t="s">
        <v>49</v>
      </c>
      <c r="AR2502" t="s">
        <v>2499</v>
      </c>
      <c r="AS2502" s="16"/>
    </row>
    <row r="2503" spans="1:60" ht="14.5">
      <c r="A2503" s="20" t="s">
        <v>12652</v>
      </c>
      <c r="B2503" s="20" t="s">
        <v>12653</v>
      </c>
      <c r="C2503" s="20" t="s">
        <v>2614</v>
      </c>
      <c r="D2503" s="20" t="s">
        <v>2479</v>
      </c>
      <c r="E2503" s="20" t="s">
        <v>49</v>
      </c>
      <c r="F2503" s="20" t="s">
        <v>69</v>
      </c>
      <c r="G2503" s="20" t="s">
        <v>70</v>
      </c>
      <c r="H2503" s="20" t="s">
        <v>12550</v>
      </c>
      <c r="I2503" s="20" t="s">
        <v>238</v>
      </c>
      <c r="J2503" s="22">
        <v>44991</v>
      </c>
      <c r="K2503" s="22">
        <v>45371</v>
      </c>
      <c r="L2503" s="51"/>
      <c r="M2503" s="22"/>
      <c r="N2503" s="20">
        <v>2024</v>
      </c>
      <c r="O2503" s="20" t="s">
        <v>12635</v>
      </c>
      <c r="P2503" s="20" t="s">
        <v>53</v>
      </c>
      <c r="Q2503" s="20" t="s">
        <v>53</v>
      </c>
      <c r="R2503" s="20" t="s">
        <v>11719</v>
      </c>
      <c r="S2503" s="20"/>
      <c r="T2503" s="20"/>
      <c r="U2503" s="20"/>
      <c r="V2503" s="20"/>
      <c r="W2503" s="20"/>
      <c r="X2503" s="20"/>
      <c r="Y2503" s="20"/>
      <c r="Z2503" s="20"/>
      <c r="AA2503" s="20"/>
      <c r="AB2503" s="20"/>
      <c r="AC2503" s="20" t="s">
        <v>4951</v>
      </c>
      <c r="AD2503" s="20" t="s">
        <v>4952</v>
      </c>
      <c r="AE2503" s="20" t="s">
        <v>4953</v>
      </c>
      <c r="AF2503" s="20"/>
      <c r="AG2503" s="20"/>
      <c r="AH2503" s="20">
        <v>2713.21</v>
      </c>
      <c r="AI2503" s="20" t="s">
        <v>77</v>
      </c>
      <c r="AJ2503" s="20" t="s">
        <v>301</v>
      </c>
      <c r="AK2503" s="23" t="str">
        <f t="shared" si="18"/>
        <v>2024GBP</v>
      </c>
      <c r="AL2503" s="23">
        <f>VLOOKUP(AK2503, Exchange_rates!$C:$D, 2, FALSE)</f>
        <v>1</v>
      </c>
      <c r="AM2503" s="26">
        <f t="shared" si="19"/>
        <v>3255.8519999999999</v>
      </c>
      <c r="AN2503" s="20" t="s">
        <v>83</v>
      </c>
      <c r="AO2503" s="20" t="s">
        <v>11431</v>
      </c>
      <c r="AP2503" s="20"/>
      <c r="AQ2503" s="27" t="s">
        <v>49</v>
      </c>
      <c r="AR2503" t="s">
        <v>2615</v>
      </c>
      <c r="AS2503" s="16" t="s">
        <v>2616</v>
      </c>
      <c r="AT2503" s="20"/>
      <c r="AU2503" s="20"/>
      <c r="AV2503" s="20"/>
      <c r="AW2503" s="20"/>
      <c r="AX2503" s="20"/>
      <c r="AY2503" s="20"/>
      <c r="AZ2503" s="20"/>
      <c r="BA2503" s="20"/>
      <c r="BB2503" s="20"/>
      <c r="BC2503" s="20"/>
      <c r="BD2503" s="20"/>
      <c r="BE2503" s="20"/>
      <c r="BF2503" s="20"/>
      <c r="BG2503" s="20"/>
      <c r="BH2503" s="20"/>
    </row>
    <row r="2504" spans="1:60" ht="14.5">
      <c r="A2504" s="9" t="s">
        <v>12654</v>
      </c>
      <c r="B2504" s="9" t="s">
        <v>12655</v>
      </c>
      <c r="C2504" s="9" t="s">
        <v>12656</v>
      </c>
      <c r="D2504" s="9" t="s">
        <v>361</v>
      </c>
      <c r="E2504" s="20" t="s">
        <v>49</v>
      </c>
      <c r="F2504" s="9" t="s">
        <v>69</v>
      </c>
      <c r="G2504" s="9" t="s">
        <v>70</v>
      </c>
      <c r="H2504" s="9" t="s">
        <v>12579</v>
      </c>
      <c r="I2504" s="9" t="s">
        <v>72</v>
      </c>
      <c r="J2504" s="10"/>
      <c r="K2504" s="10"/>
      <c r="L2504" s="50"/>
      <c r="M2504" s="10">
        <v>45323</v>
      </c>
      <c r="N2504" s="9">
        <v>2024</v>
      </c>
      <c r="O2504" s="9" t="s">
        <v>12657</v>
      </c>
      <c r="P2504" s="9" t="s">
        <v>83</v>
      </c>
      <c r="Q2504" s="9" t="s">
        <v>53</v>
      </c>
      <c r="R2504" s="9" t="s">
        <v>12658</v>
      </c>
      <c r="S2504" s="9"/>
      <c r="T2504" s="9"/>
      <c r="V2504" s="9"/>
      <c r="AC2504" s="9" t="s">
        <v>12659</v>
      </c>
      <c r="AH2504" s="9">
        <v>2320</v>
      </c>
      <c r="AI2504" s="9" t="s">
        <v>875</v>
      </c>
      <c r="AJ2504" s="9" t="s">
        <v>301</v>
      </c>
      <c r="AK2504" s="23" t="str">
        <f t="shared" si="18"/>
        <v>2024GBP</v>
      </c>
      <c r="AL2504" s="23">
        <f>VLOOKUP(AK2504, Exchange_rates!$C:$D, 2, FALSE)</f>
        <v>1</v>
      </c>
      <c r="AM2504" s="26">
        <f t="shared" si="19"/>
        <v>2784</v>
      </c>
      <c r="AN2504" s="9"/>
      <c r="AO2504" s="9"/>
      <c r="AP2504" s="20"/>
      <c r="AQ2504" s="27" t="s">
        <v>49</v>
      </c>
      <c r="AR2504" t="s">
        <v>12660</v>
      </c>
      <c r="AS2504" s="16" t="s">
        <v>12661</v>
      </c>
    </row>
    <row r="2505" spans="1:60" ht="14.5">
      <c r="A2505" s="20" t="s">
        <v>12662</v>
      </c>
      <c r="B2505" s="20" t="s">
        <v>12663</v>
      </c>
      <c r="C2505" s="20" t="s">
        <v>439</v>
      </c>
      <c r="D2505" s="20" t="s">
        <v>361</v>
      </c>
      <c r="E2505" s="20" t="s">
        <v>49</v>
      </c>
      <c r="F2505" s="20" t="s">
        <v>50</v>
      </c>
      <c r="G2505" s="20" t="s">
        <v>51</v>
      </c>
      <c r="H2505" s="20"/>
      <c r="I2505" s="20"/>
      <c r="J2505" s="22"/>
      <c r="K2505" s="22"/>
      <c r="L2505" s="51"/>
      <c r="M2505" s="22">
        <v>45350</v>
      </c>
      <c r="N2505" s="20">
        <v>2024</v>
      </c>
      <c r="O2505" s="20" t="s">
        <v>12657</v>
      </c>
      <c r="P2505" s="20" t="s">
        <v>53</v>
      </c>
      <c r="Q2505" s="20" t="s">
        <v>53</v>
      </c>
      <c r="R2505" s="20" t="s">
        <v>12664</v>
      </c>
      <c r="S2505" s="20"/>
      <c r="T2505" s="20" t="s">
        <v>723</v>
      </c>
      <c r="U2505" s="20"/>
      <c r="V2505" s="20"/>
      <c r="W2505" s="20"/>
      <c r="X2505" s="20"/>
      <c r="Y2505" s="20"/>
      <c r="Z2505" s="20"/>
      <c r="AA2505" s="20"/>
      <c r="AB2505" s="20"/>
      <c r="AC2505" s="20" t="s">
        <v>12665</v>
      </c>
      <c r="AD2505" s="20"/>
      <c r="AE2505" s="20"/>
      <c r="AF2505" s="20"/>
      <c r="AG2505" s="20"/>
      <c r="AH2505" s="20">
        <v>2320</v>
      </c>
      <c r="AI2505" s="20" t="s">
        <v>875</v>
      </c>
      <c r="AJ2505" s="20" t="s">
        <v>301</v>
      </c>
      <c r="AK2505" s="23" t="str">
        <f t="shared" si="18"/>
        <v>2024GBP</v>
      </c>
      <c r="AL2505" s="23">
        <f>VLOOKUP(AK2505, Exchange_rates!$C:$D, 2, FALSE)</f>
        <v>1</v>
      </c>
      <c r="AM2505" s="26">
        <f t="shared" si="19"/>
        <v>2784</v>
      </c>
      <c r="AN2505" s="20"/>
      <c r="AO2505" s="20"/>
      <c r="AP2505" s="20"/>
      <c r="AQ2505" s="27" t="s">
        <v>49</v>
      </c>
      <c r="AR2505" t="s">
        <v>442</v>
      </c>
      <c r="AS2505" s="16" t="s">
        <v>443</v>
      </c>
      <c r="AT2505" s="20"/>
      <c r="AU2505" s="20"/>
      <c r="AV2505" s="20"/>
      <c r="AW2505" s="20"/>
      <c r="AX2505" s="20"/>
      <c r="AY2505" s="20"/>
      <c r="AZ2505" s="20"/>
      <c r="BA2505" s="20"/>
      <c r="BB2505" s="20"/>
      <c r="BC2505" s="20"/>
      <c r="BD2505" s="20"/>
      <c r="BE2505" s="20"/>
      <c r="BF2505" s="20"/>
      <c r="BG2505" s="20"/>
      <c r="BH2505" s="20"/>
    </row>
    <row r="2506" spans="1:60" ht="14.5">
      <c r="A2506" s="9" t="s">
        <v>12666</v>
      </c>
      <c r="B2506" s="9" t="s">
        <v>12667</v>
      </c>
      <c r="C2506" s="9" t="s">
        <v>161</v>
      </c>
      <c r="D2506" s="9" t="s">
        <v>48</v>
      </c>
      <c r="E2506" s="20" t="s">
        <v>49</v>
      </c>
      <c r="F2506" s="9" t="s">
        <v>69</v>
      </c>
      <c r="G2506" s="9" t="s">
        <v>70</v>
      </c>
      <c r="H2506" s="9" t="s">
        <v>12668</v>
      </c>
      <c r="I2506" s="20" t="s">
        <v>72</v>
      </c>
      <c r="J2506" s="10">
        <v>45226</v>
      </c>
      <c r="K2506" s="10">
        <v>45386</v>
      </c>
      <c r="L2506" s="50"/>
      <c r="M2506" s="10"/>
      <c r="N2506" s="9">
        <v>2024</v>
      </c>
      <c r="O2506" s="9" t="s">
        <v>12669</v>
      </c>
      <c r="P2506" s="9" t="s">
        <v>53</v>
      </c>
      <c r="Q2506" s="9" t="s">
        <v>53</v>
      </c>
      <c r="R2506" s="9" t="s">
        <v>12670</v>
      </c>
      <c r="S2506" s="9"/>
      <c r="T2506" s="9"/>
      <c r="V2506" s="9"/>
      <c r="AC2506" s="9" t="s">
        <v>199</v>
      </c>
      <c r="AD2506" s="9" t="s">
        <v>200</v>
      </c>
      <c r="AE2506" s="9" t="s">
        <v>4418</v>
      </c>
      <c r="AH2506" s="9">
        <v>4000</v>
      </c>
      <c r="AI2506" s="9" t="s">
        <v>77</v>
      </c>
      <c r="AJ2506" s="9" t="s">
        <v>57</v>
      </c>
      <c r="AK2506" s="23" t="str">
        <f t="shared" si="18"/>
        <v>2024USD</v>
      </c>
      <c r="AL2506" s="23">
        <f>VLOOKUP(AK2506, Exchange_rates!$C:$D, 2, FALSE)</f>
        <v>0.79079999999999995</v>
      </c>
      <c r="AM2506" s="26">
        <f t="shared" si="19"/>
        <v>3795.8399999999997</v>
      </c>
      <c r="AN2506" s="9"/>
      <c r="AO2506" s="9"/>
      <c r="AP2506" s="20"/>
      <c r="AQ2506" s="27" t="s">
        <v>49</v>
      </c>
      <c r="AR2506" t="s">
        <v>165</v>
      </c>
      <c r="AS2506" s="16" t="s">
        <v>166</v>
      </c>
    </row>
    <row r="2507" spans="1:60" ht="14.5">
      <c r="A2507" s="9" t="s">
        <v>12671</v>
      </c>
      <c r="B2507" s="9" t="s">
        <v>12672</v>
      </c>
      <c r="C2507" s="9" t="s">
        <v>154</v>
      </c>
      <c r="D2507" s="9" t="s">
        <v>48</v>
      </c>
      <c r="E2507" s="9" t="s">
        <v>125</v>
      </c>
      <c r="F2507" s="9" t="s">
        <v>69</v>
      </c>
      <c r="G2507" s="9" t="s">
        <v>70</v>
      </c>
      <c r="H2507" s="9" t="s">
        <v>12668</v>
      </c>
      <c r="I2507" s="20" t="s">
        <v>72</v>
      </c>
      <c r="J2507" s="10">
        <v>45337</v>
      </c>
      <c r="K2507" s="10">
        <v>45386</v>
      </c>
      <c r="L2507" s="50"/>
      <c r="M2507" s="10"/>
      <c r="N2507" s="9">
        <v>2024</v>
      </c>
      <c r="O2507" s="9" t="s">
        <v>12669</v>
      </c>
      <c r="P2507" s="9" t="s">
        <v>83</v>
      </c>
      <c r="Q2507" s="9" t="s">
        <v>53</v>
      </c>
      <c r="R2507" s="9" t="s">
        <v>12673</v>
      </c>
      <c r="S2507" s="9"/>
      <c r="T2507" s="9"/>
      <c r="V2507" s="9"/>
      <c r="AC2507" s="9" t="s">
        <v>10343</v>
      </c>
      <c r="AD2507" s="9" t="s">
        <v>10344</v>
      </c>
      <c r="AE2507" s="9" t="s">
        <v>12187</v>
      </c>
      <c r="AH2507" s="9">
        <v>4000</v>
      </c>
      <c r="AI2507" s="9" t="s">
        <v>77</v>
      </c>
      <c r="AJ2507" s="9" t="s">
        <v>57</v>
      </c>
      <c r="AK2507" s="23" t="str">
        <f t="shared" si="18"/>
        <v>2024USD</v>
      </c>
      <c r="AL2507" s="23">
        <f>VLOOKUP(AK2507, Exchange_rates!$C:$D, 2, FALSE)</f>
        <v>0.79079999999999995</v>
      </c>
      <c r="AM2507" s="26">
        <f t="shared" si="19"/>
        <v>3795.8399999999997</v>
      </c>
      <c r="AN2507" s="9"/>
      <c r="AO2507" s="9"/>
      <c r="AP2507" s="9"/>
      <c r="AQ2507" s="15" t="s">
        <v>125</v>
      </c>
      <c r="AR2507" t="s">
        <v>158</v>
      </c>
      <c r="AS2507" s="16"/>
    </row>
    <row r="2508" spans="1:60" ht="14.5">
      <c r="A2508" s="9" t="s">
        <v>12674</v>
      </c>
      <c r="B2508" s="9" t="s">
        <v>12675</v>
      </c>
      <c r="C2508" s="9" t="s">
        <v>12676</v>
      </c>
      <c r="D2508" s="9" t="s">
        <v>48</v>
      </c>
      <c r="E2508" s="9" t="s">
        <v>49</v>
      </c>
      <c r="F2508" s="9" t="s">
        <v>69</v>
      </c>
      <c r="G2508" s="9" t="s">
        <v>70</v>
      </c>
      <c r="H2508" s="9" t="s">
        <v>12668</v>
      </c>
      <c r="I2508" s="20" t="s">
        <v>72</v>
      </c>
      <c r="J2508" s="10">
        <v>45243</v>
      </c>
      <c r="K2508" s="10">
        <v>45384</v>
      </c>
      <c r="L2508" s="50"/>
      <c r="M2508" s="10"/>
      <c r="N2508" s="9">
        <v>2024</v>
      </c>
      <c r="O2508" s="9" t="s">
        <v>12669</v>
      </c>
      <c r="P2508" s="9" t="s">
        <v>83</v>
      </c>
      <c r="Q2508" s="9" t="s">
        <v>53</v>
      </c>
      <c r="R2508" s="9" t="s">
        <v>12677</v>
      </c>
      <c r="S2508" s="9"/>
      <c r="T2508" s="9"/>
      <c r="V2508" s="9"/>
      <c r="AC2508" s="9" t="s">
        <v>12678</v>
      </c>
      <c r="AD2508" s="9" t="s">
        <v>12679</v>
      </c>
      <c r="AE2508" s="9" t="s">
        <v>12680</v>
      </c>
      <c r="AH2508" s="9">
        <v>4000</v>
      </c>
      <c r="AI2508" s="9" t="s">
        <v>77</v>
      </c>
      <c r="AJ2508" s="9" t="s">
        <v>57</v>
      </c>
      <c r="AK2508" s="23" t="str">
        <f t="shared" si="18"/>
        <v>2024USD</v>
      </c>
      <c r="AL2508" s="23">
        <f>VLOOKUP(AK2508, Exchange_rates!$C:$D, 2, FALSE)</f>
        <v>0.79079999999999995</v>
      </c>
      <c r="AM2508" s="26">
        <f t="shared" si="19"/>
        <v>3795.8399999999997</v>
      </c>
      <c r="AN2508" s="9"/>
      <c r="AO2508" s="9"/>
      <c r="AP2508" s="9"/>
      <c r="AQ2508" s="15" t="s">
        <v>49</v>
      </c>
      <c r="AR2508" t="s">
        <v>12681</v>
      </c>
      <c r="AS2508" s="16"/>
    </row>
    <row r="2509" spans="1:60" ht="14.5">
      <c r="A2509" s="9" t="s">
        <v>12682</v>
      </c>
      <c r="B2509" s="9" t="s">
        <v>12683</v>
      </c>
      <c r="C2509" s="9" t="s">
        <v>12684</v>
      </c>
      <c r="D2509" s="9" t="s">
        <v>48</v>
      </c>
      <c r="E2509" s="9" t="s">
        <v>49</v>
      </c>
      <c r="F2509" s="9" t="s">
        <v>69</v>
      </c>
      <c r="G2509" s="9" t="s">
        <v>70</v>
      </c>
      <c r="H2509" s="9" t="s">
        <v>12668</v>
      </c>
      <c r="I2509" s="20" t="s">
        <v>72</v>
      </c>
      <c r="J2509" s="10">
        <v>45229</v>
      </c>
      <c r="K2509" s="10">
        <v>45344</v>
      </c>
      <c r="L2509" s="50"/>
      <c r="M2509" s="10"/>
      <c r="N2509" s="9">
        <v>2024</v>
      </c>
      <c r="O2509" s="9" t="s">
        <v>12669</v>
      </c>
      <c r="P2509" s="9" t="s">
        <v>53</v>
      </c>
      <c r="Q2509" s="9" t="s">
        <v>53</v>
      </c>
      <c r="R2509" s="9" t="s">
        <v>12685</v>
      </c>
      <c r="S2509" s="9"/>
      <c r="T2509" s="9"/>
      <c r="V2509" s="9"/>
      <c r="AC2509" s="9" t="s">
        <v>12686</v>
      </c>
      <c r="AD2509" s="9" t="s">
        <v>12687</v>
      </c>
      <c r="AE2509" s="9" t="s">
        <v>12688</v>
      </c>
      <c r="AH2509" s="9">
        <v>4000</v>
      </c>
      <c r="AI2509" s="9" t="s">
        <v>77</v>
      </c>
      <c r="AJ2509" s="9" t="s">
        <v>57</v>
      </c>
      <c r="AK2509" s="23" t="str">
        <f t="shared" si="18"/>
        <v>2024USD</v>
      </c>
      <c r="AL2509" s="23">
        <f>VLOOKUP(AK2509, Exchange_rates!$C:$D, 2, FALSE)</f>
        <v>0.79079999999999995</v>
      </c>
      <c r="AM2509" s="26">
        <f t="shared" si="19"/>
        <v>3795.8399999999997</v>
      </c>
      <c r="AN2509" s="9"/>
      <c r="AO2509" s="9"/>
      <c r="AP2509" s="9"/>
      <c r="AQ2509" s="15" t="s">
        <v>49</v>
      </c>
      <c r="AR2509" t="s">
        <v>12689</v>
      </c>
      <c r="AS2509" s="16" t="s">
        <v>12690</v>
      </c>
    </row>
    <row r="2510" spans="1:60" ht="14.5">
      <c r="A2510" s="9" t="s">
        <v>12691</v>
      </c>
      <c r="B2510" s="9" t="s">
        <v>12692</v>
      </c>
      <c r="C2510" s="9" t="s">
        <v>132</v>
      </c>
      <c r="D2510" s="9" t="s">
        <v>48</v>
      </c>
      <c r="E2510" s="9" t="s">
        <v>49</v>
      </c>
      <c r="F2510" s="9" t="s">
        <v>69</v>
      </c>
      <c r="G2510" s="9" t="s">
        <v>70</v>
      </c>
      <c r="H2510" s="9" t="s">
        <v>12668</v>
      </c>
      <c r="I2510" s="20" t="s">
        <v>72</v>
      </c>
      <c r="J2510" s="10">
        <v>45319</v>
      </c>
      <c r="K2510" s="10">
        <v>45366</v>
      </c>
      <c r="L2510" s="50"/>
      <c r="M2510" s="10"/>
      <c r="N2510" s="9">
        <v>2024</v>
      </c>
      <c r="O2510" s="9" t="s">
        <v>12669</v>
      </c>
      <c r="P2510" s="9" t="s">
        <v>53</v>
      </c>
      <c r="Q2510" s="9" t="s">
        <v>53</v>
      </c>
      <c r="R2510" s="9" t="s">
        <v>12693</v>
      </c>
      <c r="S2510" s="9"/>
      <c r="T2510" s="9"/>
      <c r="V2510" s="9"/>
      <c r="AC2510" s="9" t="s">
        <v>141</v>
      </c>
      <c r="AD2510" s="9" t="s">
        <v>142</v>
      </c>
      <c r="AE2510" s="9" t="s">
        <v>8992</v>
      </c>
      <c r="AH2510" s="9">
        <v>4000</v>
      </c>
      <c r="AI2510" s="9" t="s">
        <v>77</v>
      </c>
      <c r="AJ2510" s="9" t="s">
        <v>57</v>
      </c>
      <c r="AK2510" s="23" t="str">
        <f t="shared" si="18"/>
        <v>2024USD</v>
      </c>
      <c r="AL2510" s="23">
        <f>VLOOKUP(AK2510, Exchange_rates!$C:$D, 2, FALSE)</f>
        <v>0.79079999999999995</v>
      </c>
      <c r="AM2510" s="26">
        <f t="shared" si="19"/>
        <v>3795.8399999999997</v>
      </c>
      <c r="AN2510" s="9"/>
      <c r="AO2510" s="9"/>
      <c r="AP2510" s="9"/>
      <c r="AQ2510" s="15" t="s">
        <v>49</v>
      </c>
      <c r="AR2510" t="s">
        <v>136</v>
      </c>
      <c r="AS2510" s="16"/>
    </row>
    <row r="2511" spans="1:60" ht="14.5">
      <c r="A2511" s="9" t="s">
        <v>12694</v>
      </c>
      <c r="B2511" s="9" t="s">
        <v>12695</v>
      </c>
      <c r="C2511" s="9" t="s">
        <v>91</v>
      </c>
      <c r="D2511" s="9" t="s">
        <v>48</v>
      </c>
      <c r="E2511" s="9" t="s">
        <v>49</v>
      </c>
      <c r="F2511" s="9" t="s">
        <v>69</v>
      </c>
      <c r="G2511" s="9" t="s">
        <v>70</v>
      </c>
      <c r="H2511" s="9" t="s">
        <v>12668</v>
      </c>
      <c r="I2511" s="20" t="s">
        <v>72</v>
      </c>
      <c r="J2511" s="10">
        <v>45246</v>
      </c>
      <c r="K2511" s="10">
        <v>45335</v>
      </c>
      <c r="L2511" s="50"/>
      <c r="M2511" s="10"/>
      <c r="N2511" s="9">
        <v>2024</v>
      </c>
      <c r="O2511" s="9" t="s">
        <v>12669</v>
      </c>
      <c r="P2511" s="9" t="s">
        <v>53</v>
      </c>
      <c r="Q2511" s="9" t="s">
        <v>53</v>
      </c>
      <c r="R2511" s="9" t="s">
        <v>12696</v>
      </c>
      <c r="S2511" s="9"/>
      <c r="T2511" s="9"/>
      <c r="V2511" s="9"/>
      <c r="AC2511" s="9" t="s">
        <v>12697</v>
      </c>
      <c r="AD2511" s="9" t="s">
        <v>12698</v>
      </c>
      <c r="AE2511" s="9" t="s">
        <v>12699</v>
      </c>
      <c r="AH2511" s="9">
        <v>4000</v>
      </c>
      <c r="AI2511" s="9" t="s">
        <v>77</v>
      </c>
      <c r="AJ2511" s="9" t="s">
        <v>57</v>
      </c>
      <c r="AK2511" s="23" t="str">
        <f t="shared" si="18"/>
        <v>2024USD</v>
      </c>
      <c r="AL2511" s="23">
        <f>VLOOKUP(AK2511, Exchange_rates!$C:$D, 2, FALSE)</f>
        <v>0.79079999999999995</v>
      </c>
      <c r="AM2511" s="26">
        <f t="shared" si="19"/>
        <v>3795.8399999999997</v>
      </c>
      <c r="AN2511" s="9"/>
      <c r="AO2511" s="9"/>
      <c r="AP2511" s="9"/>
      <c r="AQ2511" s="15" t="s">
        <v>49</v>
      </c>
      <c r="AR2511" t="s">
        <v>95</v>
      </c>
      <c r="AS2511" s="16" t="s">
        <v>96</v>
      </c>
    </row>
    <row r="2512" spans="1:60" ht="14.5">
      <c r="A2512" s="9" t="s">
        <v>12700</v>
      </c>
      <c r="B2512" s="9" t="s">
        <v>12701</v>
      </c>
      <c r="C2512" s="9" t="s">
        <v>82</v>
      </c>
      <c r="D2512" s="9" t="s">
        <v>48</v>
      </c>
      <c r="E2512" s="9" t="s">
        <v>49</v>
      </c>
      <c r="F2512" s="9" t="s">
        <v>69</v>
      </c>
      <c r="G2512" s="9" t="s">
        <v>70</v>
      </c>
      <c r="H2512" s="9" t="s">
        <v>12668</v>
      </c>
      <c r="I2512" s="20" t="s">
        <v>72</v>
      </c>
      <c r="J2512" s="10">
        <v>45191</v>
      </c>
      <c r="K2512" s="10">
        <v>45323</v>
      </c>
      <c r="L2512" s="50"/>
      <c r="M2512" s="10"/>
      <c r="N2512" s="9">
        <v>2024</v>
      </c>
      <c r="O2512" s="9" t="s">
        <v>12669</v>
      </c>
      <c r="P2512" s="9" t="s">
        <v>53</v>
      </c>
      <c r="Q2512" s="9" t="s">
        <v>53</v>
      </c>
      <c r="R2512" s="9" t="s">
        <v>12702</v>
      </c>
      <c r="S2512" s="9"/>
      <c r="T2512" s="9"/>
      <c r="V2512" s="9"/>
      <c r="AC2512" s="9" t="s">
        <v>12703</v>
      </c>
      <c r="AD2512" s="9" t="s">
        <v>6301</v>
      </c>
      <c r="AE2512" s="9" t="s">
        <v>6302</v>
      </c>
      <c r="AH2512" s="9">
        <v>4000</v>
      </c>
      <c r="AI2512" s="9" t="s">
        <v>77</v>
      </c>
      <c r="AJ2512" s="9" t="s">
        <v>57</v>
      </c>
      <c r="AK2512" s="23" t="str">
        <f t="shared" si="18"/>
        <v>2024USD</v>
      </c>
      <c r="AL2512" s="23">
        <f>VLOOKUP(AK2512, Exchange_rates!$C:$D, 2, FALSE)</f>
        <v>0.79079999999999995</v>
      </c>
      <c r="AM2512" s="26">
        <f t="shared" si="19"/>
        <v>3795.8399999999997</v>
      </c>
      <c r="AN2512" s="9"/>
      <c r="AO2512" s="9"/>
      <c r="AP2512" s="9"/>
      <c r="AQ2512" s="15" t="s">
        <v>49</v>
      </c>
      <c r="AR2512" t="s">
        <v>87</v>
      </c>
      <c r="AS2512" s="16" t="s">
        <v>88</v>
      </c>
    </row>
    <row r="2513" spans="1:60" ht="14.5">
      <c r="A2513" s="9" t="s">
        <v>12704</v>
      </c>
      <c r="B2513" s="9" t="s">
        <v>12705</v>
      </c>
      <c r="C2513" s="9" t="s">
        <v>12706</v>
      </c>
      <c r="D2513" s="9" t="s">
        <v>48</v>
      </c>
      <c r="E2513" s="9" t="s">
        <v>49</v>
      </c>
      <c r="F2513" s="9" t="s">
        <v>69</v>
      </c>
      <c r="G2513" s="9" t="s">
        <v>70</v>
      </c>
      <c r="H2513" s="9" t="s">
        <v>12668</v>
      </c>
      <c r="I2513" s="20" t="s">
        <v>72</v>
      </c>
      <c r="J2513" s="10">
        <v>45229</v>
      </c>
      <c r="K2513" s="10">
        <v>45321</v>
      </c>
      <c r="L2513" s="50"/>
      <c r="M2513" s="10"/>
      <c r="N2513" s="9">
        <v>2024</v>
      </c>
      <c r="O2513" s="9" t="s">
        <v>12669</v>
      </c>
      <c r="P2513" s="9" t="s">
        <v>83</v>
      </c>
      <c r="Q2513" s="9" t="s">
        <v>53</v>
      </c>
      <c r="R2513" s="9" t="s">
        <v>12707</v>
      </c>
      <c r="S2513" s="9"/>
      <c r="T2513" s="9"/>
      <c r="V2513" s="9"/>
      <c r="AC2513" s="9" t="s">
        <v>179</v>
      </c>
      <c r="AD2513" s="9" t="s">
        <v>180</v>
      </c>
      <c r="AE2513" s="9" t="s">
        <v>9002</v>
      </c>
      <c r="AH2513" s="9">
        <v>4000</v>
      </c>
      <c r="AI2513" s="9" t="s">
        <v>77</v>
      </c>
      <c r="AJ2513" s="9" t="s">
        <v>57</v>
      </c>
      <c r="AK2513" s="23" t="str">
        <f t="shared" si="18"/>
        <v>2024USD</v>
      </c>
      <c r="AL2513" s="23">
        <f>VLOOKUP(AK2513, Exchange_rates!$C:$D, 2, FALSE)</f>
        <v>0.79079999999999995</v>
      </c>
      <c r="AM2513" s="26">
        <f t="shared" si="19"/>
        <v>3795.8399999999997</v>
      </c>
      <c r="AN2513" s="9"/>
      <c r="AO2513" s="9"/>
      <c r="AP2513" s="9"/>
      <c r="AQ2513" s="15" t="s">
        <v>49</v>
      </c>
      <c r="AR2513" t="s">
        <v>12708</v>
      </c>
      <c r="AS2513" s="16" t="s">
        <v>12709</v>
      </c>
    </row>
    <row r="2514" spans="1:60" ht="14.5">
      <c r="A2514" s="9" t="s">
        <v>12710</v>
      </c>
      <c r="B2514" s="9" t="s">
        <v>12711</v>
      </c>
      <c r="C2514" s="9" t="s">
        <v>12706</v>
      </c>
      <c r="D2514" s="9" t="s">
        <v>48</v>
      </c>
      <c r="E2514" s="9" t="s">
        <v>49</v>
      </c>
      <c r="F2514" s="9" t="s">
        <v>69</v>
      </c>
      <c r="G2514" s="9" t="s">
        <v>70</v>
      </c>
      <c r="H2514" s="9" t="s">
        <v>12668</v>
      </c>
      <c r="I2514" s="20" t="s">
        <v>72</v>
      </c>
      <c r="J2514" s="10">
        <v>45270</v>
      </c>
      <c r="K2514" s="10">
        <v>45321</v>
      </c>
      <c r="L2514" s="50"/>
      <c r="M2514" s="10"/>
      <c r="N2514" s="9">
        <v>2024</v>
      </c>
      <c r="O2514" s="9" t="s">
        <v>12669</v>
      </c>
      <c r="P2514" s="9" t="s">
        <v>83</v>
      </c>
      <c r="Q2514" s="9" t="s">
        <v>53</v>
      </c>
      <c r="R2514" s="9" t="s">
        <v>12712</v>
      </c>
      <c r="S2514" s="9"/>
      <c r="T2514" s="9"/>
      <c r="V2514" s="9"/>
      <c r="AC2514" s="9" t="s">
        <v>100</v>
      </c>
      <c r="AD2514" s="9" t="s">
        <v>101</v>
      </c>
      <c r="AE2514" s="9" t="s">
        <v>6910</v>
      </c>
      <c r="AH2514" s="9">
        <v>4000</v>
      </c>
      <c r="AI2514" s="9" t="s">
        <v>77</v>
      </c>
      <c r="AJ2514" s="9" t="s">
        <v>57</v>
      </c>
      <c r="AK2514" s="23" t="str">
        <f t="shared" si="18"/>
        <v>2024USD</v>
      </c>
      <c r="AL2514" s="23">
        <f>VLOOKUP(AK2514, Exchange_rates!$C:$D, 2, FALSE)</f>
        <v>0.79079999999999995</v>
      </c>
      <c r="AM2514" s="26">
        <f t="shared" si="19"/>
        <v>3795.8399999999997</v>
      </c>
      <c r="AN2514" s="9"/>
      <c r="AO2514" s="9"/>
      <c r="AP2514" s="9"/>
      <c r="AQ2514" s="15" t="s">
        <v>49</v>
      </c>
      <c r="AR2514" t="s">
        <v>12708</v>
      </c>
      <c r="AS2514" s="16" t="s">
        <v>12709</v>
      </c>
    </row>
    <row r="2515" spans="1:60" ht="14.5">
      <c r="A2515" s="9" t="s">
        <v>12713</v>
      </c>
      <c r="B2515" s="9" t="s">
        <v>12714</v>
      </c>
      <c r="C2515" s="9" t="s">
        <v>161</v>
      </c>
      <c r="D2515" s="9" t="s">
        <v>48</v>
      </c>
      <c r="E2515" s="9" t="s">
        <v>49</v>
      </c>
      <c r="F2515" s="9" t="s">
        <v>69</v>
      </c>
      <c r="G2515" s="9" t="s">
        <v>70</v>
      </c>
      <c r="H2515" s="9" t="s">
        <v>12668</v>
      </c>
      <c r="I2515" s="20" t="s">
        <v>72</v>
      </c>
      <c r="J2515" s="10">
        <v>45245</v>
      </c>
      <c r="K2515" s="10">
        <v>45321</v>
      </c>
      <c r="L2515" s="50"/>
      <c r="M2515" s="10"/>
      <c r="N2515" s="9">
        <v>2024</v>
      </c>
      <c r="O2515" s="9" t="s">
        <v>12669</v>
      </c>
      <c r="P2515" s="9" t="s">
        <v>83</v>
      </c>
      <c r="Q2515" s="9" t="s">
        <v>53</v>
      </c>
      <c r="R2515" s="9" t="s">
        <v>12715</v>
      </c>
      <c r="S2515" s="9"/>
      <c r="T2515" s="9"/>
      <c r="V2515" s="9"/>
      <c r="AC2515" s="9" t="s">
        <v>163</v>
      </c>
      <c r="AD2515" s="9" t="s">
        <v>164</v>
      </c>
      <c r="AE2515" s="9" t="s">
        <v>9754</v>
      </c>
      <c r="AH2515" s="9">
        <v>4000</v>
      </c>
      <c r="AI2515" s="9" t="s">
        <v>77</v>
      </c>
      <c r="AJ2515" s="9" t="s">
        <v>57</v>
      </c>
      <c r="AK2515" s="23" t="str">
        <f t="shared" si="18"/>
        <v>2024USD</v>
      </c>
      <c r="AL2515" s="23">
        <f>VLOOKUP(AK2515, Exchange_rates!$C:$D, 2, FALSE)</f>
        <v>0.79079999999999995</v>
      </c>
      <c r="AM2515" s="26">
        <f t="shared" si="19"/>
        <v>3795.8399999999997</v>
      </c>
      <c r="AN2515" s="9"/>
      <c r="AO2515" s="9"/>
      <c r="AP2515" s="9"/>
      <c r="AQ2515" s="15" t="s">
        <v>49</v>
      </c>
      <c r="AR2515" t="s">
        <v>165</v>
      </c>
      <c r="AS2515" s="16" t="s">
        <v>166</v>
      </c>
    </row>
    <row r="2516" spans="1:60" ht="14.5">
      <c r="A2516" s="9" t="s">
        <v>12716</v>
      </c>
      <c r="B2516" s="9" t="s">
        <v>12717</v>
      </c>
      <c r="C2516" s="9" t="s">
        <v>171</v>
      </c>
      <c r="D2516" s="9" t="s">
        <v>48</v>
      </c>
      <c r="E2516" s="9" t="s">
        <v>49</v>
      </c>
      <c r="F2516" s="9" t="s">
        <v>69</v>
      </c>
      <c r="G2516" s="9" t="s">
        <v>70</v>
      </c>
      <c r="H2516" s="9" t="s">
        <v>12668</v>
      </c>
      <c r="I2516" s="20" t="s">
        <v>72</v>
      </c>
      <c r="J2516" s="10">
        <v>45142</v>
      </c>
      <c r="K2516" s="10">
        <v>45320</v>
      </c>
      <c r="L2516" s="50"/>
      <c r="M2516" s="10"/>
      <c r="N2516" s="9">
        <v>2024</v>
      </c>
      <c r="O2516" s="9" t="s">
        <v>12669</v>
      </c>
      <c r="P2516" s="9" t="s">
        <v>83</v>
      </c>
      <c r="Q2516" s="9" t="s">
        <v>53</v>
      </c>
      <c r="R2516" s="9" t="s">
        <v>12718</v>
      </c>
      <c r="S2516" s="9"/>
      <c r="T2516" s="9"/>
      <c r="V2516" s="9"/>
      <c r="AC2516" s="9" t="s">
        <v>163</v>
      </c>
      <c r="AD2516" s="9" t="s">
        <v>164</v>
      </c>
      <c r="AE2516" s="9" t="s">
        <v>9754</v>
      </c>
      <c r="AH2516" s="9">
        <v>4000</v>
      </c>
      <c r="AI2516" s="9" t="s">
        <v>77</v>
      </c>
      <c r="AJ2516" s="9" t="s">
        <v>57</v>
      </c>
      <c r="AK2516" s="23" t="str">
        <f t="shared" si="18"/>
        <v>2024USD</v>
      </c>
      <c r="AL2516" s="23">
        <f>VLOOKUP(AK2516, Exchange_rates!$C:$D, 2, FALSE)</f>
        <v>0.79079999999999995</v>
      </c>
      <c r="AM2516" s="26">
        <f t="shared" si="19"/>
        <v>3795.8399999999997</v>
      </c>
      <c r="AN2516" s="9"/>
      <c r="AO2516" s="9"/>
      <c r="AP2516" s="9"/>
      <c r="AQ2516" s="15" t="s">
        <v>49</v>
      </c>
      <c r="AR2516" t="s">
        <v>175</v>
      </c>
      <c r="AS2516" s="16"/>
    </row>
    <row r="2517" spans="1:60" ht="14.5">
      <c r="A2517" s="9" t="s">
        <v>12719</v>
      </c>
      <c r="B2517" s="9" t="s">
        <v>12720</v>
      </c>
      <c r="C2517" s="9" t="s">
        <v>47</v>
      </c>
      <c r="D2517" s="9" t="s">
        <v>48</v>
      </c>
      <c r="E2517" s="9" t="s">
        <v>49</v>
      </c>
      <c r="F2517" s="9" t="s">
        <v>69</v>
      </c>
      <c r="G2517" s="9" t="s">
        <v>70</v>
      </c>
      <c r="H2517" s="9" t="s">
        <v>12668</v>
      </c>
      <c r="I2517" s="20" t="s">
        <v>72</v>
      </c>
      <c r="J2517" s="10">
        <v>45232</v>
      </c>
      <c r="K2517" s="10">
        <v>45320</v>
      </c>
      <c r="L2517" s="50"/>
      <c r="M2517" s="10"/>
      <c r="N2517" s="9">
        <v>2024</v>
      </c>
      <c r="O2517" s="9" t="s">
        <v>12669</v>
      </c>
      <c r="P2517" s="9" t="s">
        <v>53</v>
      </c>
      <c r="Q2517" s="9" t="s">
        <v>53</v>
      </c>
      <c r="R2517" s="9" t="s">
        <v>11013</v>
      </c>
      <c r="S2517" s="9"/>
      <c r="T2517" s="9"/>
      <c r="V2517" s="9"/>
      <c r="AC2517" s="9" t="s">
        <v>150</v>
      </c>
      <c r="AD2517" s="9" t="s">
        <v>151</v>
      </c>
      <c r="AE2517" s="9" t="s">
        <v>12721</v>
      </c>
      <c r="AH2517" s="9">
        <v>4000</v>
      </c>
      <c r="AI2517" s="9" t="s">
        <v>77</v>
      </c>
      <c r="AJ2517" s="9" t="s">
        <v>57</v>
      </c>
      <c r="AK2517" s="23" t="str">
        <f t="shared" si="18"/>
        <v>2024USD</v>
      </c>
      <c r="AL2517" s="23">
        <f>VLOOKUP(AK2517, Exchange_rates!$C:$D, 2, FALSE)</f>
        <v>0.79079999999999995</v>
      </c>
      <c r="AM2517" s="26">
        <f t="shared" si="19"/>
        <v>3795.8399999999997</v>
      </c>
      <c r="AN2517" s="9"/>
      <c r="AO2517" s="9"/>
      <c r="AP2517" s="9"/>
      <c r="AQ2517" s="15" t="s">
        <v>49</v>
      </c>
      <c r="AR2517" t="s">
        <v>58</v>
      </c>
      <c r="AS2517" s="16" t="s">
        <v>59</v>
      </c>
    </row>
    <row r="2518" spans="1:60" ht="14.5">
      <c r="A2518" s="20" t="s">
        <v>12722</v>
      </c>
      <c r="B2518" s="20" t="s">
        <v>12723</v>
      </c>
      <c r="C2518" s="20" t="s">
        <v>9001</v>
      </c>
      <c r="D2518" s="20" t="s">
        <v>48</v>
      </c>
      <c r="E2518" s="20" t="s">
        <v>49</v>
      </c>
      <c r="F2518" s="20" t="s">
        <v>69</v>
      </c>
      <c r="G2518" s="20" t="s">
        <v>70</v>
      </c>
      <c r="H2518" s="20" t="s">
        <v>12668</v>
      </c>
      <c r="I2518" s="20" t="s">
        <v>72</v>
      </c>
      <c r="J2518" s="22">
        <v>45173</v>
      </c>
      <c r="K2518" s="22">
        <v>45308</v>
      </c>
      <c r="L2518" s="51"/>
      <c r="M2518" s="22"/>
      <c r="N2518" s="20">
        <v>2024</v>
      </c>
      <c r="O2518" s="20" t="s">
        <v>12669</v>
      </c>
      <c r="P2518" s="20" t="s">
        <v>53</v>
      </c>
      <c r="Q2518" s="20" t="s">
        <v>53</v>
      </c>
      <c r="R2518" s="20" t="s">
        <v>12724</v>
      </c>
      <c r="S2518" s="20"/>
      <c r="T2518" s="20"/>
      <c r="U2518" s="20"/>
      <c r="V2518" s="20"/>
      <c r="W2518" s="20"/>
      <c r="X2518" s="20"/>
      <c r="Y2518" s="20"/>
      <c r="Z2518" s="20"/>
      <c r="AA2518" s="20"/>
      <c r="AB2518" s="20"/>
      <c r="AC2518" s="20" t="s">
        <v>12725</v>
      </c>
      <c r="AD2518" s="20" t="s">
        <v>12726</v>
      </c>
      <c r="AE2518" s="20" t="s">
        <v>12727</v>
      </c>
      <c r="AF2518" s="20"/>
      <c r="AG2518" s="20"/>
      <c r="AH2518" s="20">
        <v>4000</v>
      </c>
      <c r="AI2518" s="20" t="s">
        <v>77</v>
      </c>
      <c r="AJ2518" s="20" t="s">
        <v>57</v>
      </c>
      <c r="AK2518" s="23" t="str">
        <f t="shared" si="18"/>
        <v>2024USD</v>
      </c>
      <c r="AL2518" s="23">
        <f>VLOOKUP(AK2518, Exchange_rates!$C:$D, 2, FALSE)</f>
        <v>0.79079999999999995</v>
      </c>
      <c r="AM2518" s="26">
        <f t="shared" si="19"/>
        <v>3795.8399999999997</v>
      </c>
      <c r="AN2518" s="20"/>
      <c r="AO2518" s="20"/>
      <c r="AP2518" s="20"/>
      <c r="AQ2518" s="27" t="s">
        <v>49</v>
      </c>
      <c r="AR2518" t="s">
        <v>9003</v>
      </c>
      <c r="AS2518" s="16" t="s">
        <v>9004</v>
      </c>
      <c r="AT2518" s="20"/>
      <c r="AU2518" s="20"/>
      <c r="AV2518" s="20"/>
      <c r="AW2518" s="20"/>
      <c r="AX2518" s="20"/>
      <c r="AY2518" s="20"/>
      <c r="AZ2518" s="20"/>
      <c r="BA2518" s="20"/>
      <c r="BB2518" s="20"/>
      <c r="BC2518" s="20"/>
      <c r="BD2518" s="20"/>
      <c r="BE2518" s="20"/>
      <c r="BF2518" s="20"/>
      <c r="BG2518" s="20"/>
      <c r="BH2518" s="20"/>
    </row>
    <row r="2519" spans="1:60" ht="14.5">
      <c r="A2519" s="9" t="s">
        <v>12728</v>
      </c>
      <c r="B2519" s="9" t="s">
        <v>12729</v>
      </c>
      <c r="C2519" s="9" t="s">
        <v>408</v>
      </c>
      <c r="D2519" s="9" t="s">
        <v>361</v>
      </c>
      <c r="E2519" s="9" t="s">
        <v>49</v>
      </c>
      <c r="F2519" s="9" t="s">
        <v>69</v>
      </c>
      <c r="G2519" s="9" t="s">
        <v>70</v>
      </c>
      <c r="H2519" s="9" t="s">
        <v>12579</v>
      </c>
      <c r="I2519" s="20" t="s">
        <v>72</v>
      </c>
      <c r="J2519" s="10"/>
      <c r="K2519" s="10"/>
      <c r="L2519" s="50"/>
      <c r="M2519" s="10">
        <v>45376</v>
      </c>
      <c r="N2519" s="9">
        <v>2024</v>
      </c>
      <c r="O2519" s="9" t="s">
        <v>12730</v>
      </c>
      <c r="P2519" s="9" t="s">
        <v>53</v>
      </c>
      <c r="Q2519" s="9" t="s">
        <v>53</v>
      </c>
      <c r="R2519" s="9" t="s">
        <v>12731</v>
      </c>
      <c r="S2519" s="9"/>
      <c r="T2519" s="9"/>
      <c r="V2519" s="9"/>
      <c r="AC2519" s="9" t="s">
        <v>12732</v>
      </c>
      <c r="AH2519" s="9">
        <v>2320</v>
      </c>
      <c r="AI2519" s="9" t="s">
        <v>77</v>
      </c>
      <c r="AJ2519" s="9" t="s">
        <v>301</v>
      </c>
      <c r="AK2519" s="23" t="str">
        <f t="shared" si="18"/>
        <v>2024GBP</v>
      </c>
      <c r="AL2519" s="23">
        <f>VLOOKUP(AK2519, Exchange_rates!$C:$D, 2, FALSE)</f>
        <v>1</v>
      </c>
      <c r="AM2519" s="26">
        <f t="shared" si="19"/>
        <v>2784</v>
      </c>
      <c r="AN2519" s="9"/>
      <c r="AO2519" s="9"/>
      <c r="AP2519" s="9"/>
      <c r="AQ2519" s="15" t="s">
        <v>49</v>
      </c>
      <c r="AR2519" t="s">
        <v>412</v>
      </c>
      <c r="AS2519" s="16" t="s">
        <v>413</v>
      </c>
    </row>
    <row r="2520" spans="1:60" ht="14.5">
      <c r="A2520" s="9" t="s">
        <v>12733</v>
      </c>
      <c r="B2520" s="9" t="s">
        <v>12734</v>
      </c>
      <c r="C2520" s="9" t="s">
        <v>12735</v>
      </c>
      <c r="D2520" s="9" t="s">
        <v>361</v>
      </c>
      <c r="E2520" s="9" t="s">
        <v>49</v>
      </c>
      <c r="F2520" s="9" t="s">
        <v>69</v>
      </c>
      <c r="G2520" s="9" t="s">
        <v>70</v>
      </c>
      <c r="H2520" s="9" t="s">
        <v>12579</v>
      </c>
      <c r="I2520" s="9" t="s">
        <v>291</v>
      </c>
      <c r="J2520" s="10"/>
      <c r="K2520" s="10"/>
      <c r="L2520" s="50"/>
      <c r="M2520" s="10">
        <v>45363</v>
      </c>
      <c r="N2520" s="9">
        <v>2024</v>
      </c>
      <c r="O2520" s="9" t="s">
        <v>12730</v>
      </c>
      <c r="P2520" s="9" t="s">
        <v>53</v>
      </c>
      <c r="Q2520" s="9" t="s">
        <v>53</v>
      </c>
      <c r="R2520" s="9" t="s">
        <v>12736</v>
      </c>
      <c r="S2520" s="9" t="s">
        <v>12737</v>
      </c>
      <c r="T2520" s="9"/>
      <c r="V2520" s="9"/>
      <c r="AC2520" s="9" t="s">
        <v>12738</v>
      </c>
      <c r="AH2520" s="9">
        <v>2320</v>
      </c>
      <c r="AI2520" s="9" t="s">
        <v>77</v>
      </c>
      <c r="AJ2520" s="9" t="s">
        <v>301</v>
      </c>
      <c r="AK2520" s="23" t="str">
        <f t="shared" si="18"/>
        <v>2024GBP</v>
      </c>
      <c r="AL2520" s="23">
        <f>VLOOKUP(AK2520, Exchange_rates!$C:$D, 2, FALSE)</f>
        <v>1</v>
      </c>
      <c r="AM2520" s="26">
        <f t="shared" si="19"/>
        <v>2784</v>
      </c>
      <c r="AN2520" s="9"/>
      <c r="AO2520" s="9"/>
      <c r="AP2520" s="9"/>
      <c r="AQ2520" s="15" t="s">
        <v>49</v>
      </c>
      <c r="AR2520" t="s">
        <v>12739</v>
      </c>
      <c r="AS2520" s="16" t="s">
        <v>12740</v>
      </c>
    </row>
    <row r="2521" spans="1:60" ht="14.5">
      <c r="A2521" s="20" t="s">
        <v>12741</v>
      </c>
      <c r="B2521" s="20" t="s">
        <v>12742</v>
      </c>
      <c r="C2521" s="20" t="s">
        <v>12743</v>
      </c>
      <c r="D2521" s="20" t="s">
        <v>361</v>
      </c>
      <c r="E2521" s="20" t="s">
        <v>125</v>
      </c>
      <c r="F2521" s="20" t="s">
        <v>69</v>
      </c>
      <c r="G2521" s="20" t="s">
        <v>51</v>
      </c>
      <c r="H2521" s="20"/>
      <c r="I2521" s="20" t="s">
        <v>72</v>
      </c>
      <c r="J2521" s="22"/>
      <c r="K2521" s="22"/>
      <c r="L2521" s="51"/>
      <c r="M2521" s="22">
        <v>45378</v>
      </c>
      <c r="N2521" s="20">
        <v>2024</v>
      </c>
      <c r="O2521" s="20" t="s">
        <v>12730</v>
      </c>
      <c r="P2521" s="20" t="s">
        <v>53</v>
      </c>
      <c r="Q2521" s="20" t="s">
        <v>53</v>
      </c>
      <c r="R2521" s="20" t="s">
        <v>12744</v>
      </c>
      <c r="S2521" s="20"/>
      <c r="T2521" s="20" t="s">
        <v>731</v>
      </c>
      <c r="U2521" s="20"/>
      <c r="V2521" s="20"/>
      <c r="W2521" s="20"/>
      <c r="X2521" s="20"/>
      <c r="Y2521" s="20"/>
      <c r="Z2521" s="20"/>
      <c r="AA2521" s="20"/>
      <c r="AB2521" s="20"/>
      <c r="AC2521" s="20" t="s">
        <v>4710</v>
      </c>
      <c r="AD2521" s="20"/>
      <c r="AE2521" s="20"/>
      <c r="AF2521" s="20"/>
      <c r="AG2521" s="20"/>
      <c r="AH2521" s="20">
        <v>0</v>
      </c>
      <c r="AI2521" s="20" t="s">
        <v>77</v>
      </c>
      <c r="AJ2521" s="20" t="s">
        <v>301</v>
      </c>
      <c r="AK2521" s="23" t="str">
        <f t="shared" si="18"/>
        <v>2024GBP</v>
      </c>
      <c r="AL2521" s="23">
        <f>VLOOKUP(AK2521, Exchange_rates!$C:$D, 2, FALSE)</f>
        <v>1</v>
      </c>
      <c r="AM2521" s="26">
        <f t="shared" si="19"/>
        <v>0</v>
      </c>
      <c r="AN2521" s="20"/>
      <c r="AO2521" s="20"/>
      <c r="AP2521" s="20"/>
      <c r="AQ2521" s="27" t="s">
        <v>125</v>
      </c>
      <c r="AR2521" t="s">
        <v>12745</v>
      </c>
      <c r="AS2521" s="16" t="s">
        <v>12746</v>
      </c>
      <c r="AT2521" s="20"/>
      <c r="AU2521" s="20"/>
      <c r="AV2521" s="20"/>
      <c r="AW2521" s="20"/>
      <c r="AX2521" s="20"/>
      <c r="AY2521" s="20"/>
      <c r="AZ2521" s="20"/>
      <c r="BA2521" s="20"/>
      <c r="BB2521" s="20"/>
      <c r="BC2521" s="20"/>
      <c r="BD2521" s="20"/>
      <c r="BE2521" s="20"/>
      <c r="BF2521" s="20"/>
      <c r="BG2521" s="20"/>
      <c r="BH2521" s="20"/>
    </row>
    <row r="2522" spans="1:60" ht="14.5">
      <c r="A2522" s="9" t="s">
        <v>12747</v>
      </c>
      <c r="B2522" s="9" t="s">
        <v>12748</v>
      </c>
      <c r="C2522" s="9" t="s">
        <v>416</v>
      </c>
      <c r="D2522" s="9" t="s">
        <v>361</v>
      </c>
      <c r="E2522" s="9" t="s">
        <v>49</v>
      </c>
      <c r="F2522" s="9" t="s">
        <v>69</v>
      </c>
      <c r="G2522" s="9" t="s">
        <v>70</v>
      </c>
      <c r="H2522" s="9" t="s">
        <v>12579</v>
      </c>
      <c r="I2522" s="20" t="s">
        <v>72</v>
      </c>
      <c r="J2522" s="10"/>
      <c r="K2522" s="10"/>
      <c r="L2522" s="50"/>
      <c r="M2522" s="10"/>
      <c r="N2522" s="9">
        <v>2024</v>
      </c>
      <c r="O2522" s="9" t="s">
        <v>12749</v>
      </c>
      <c r="P2522" s="9" t="s">
        <v>83</v>
      </c>
      <c r="Q2522" s="9" t="s">
        <v>53</v>
      </c>
      <c r="R2522" s="9" t="s">
        <v>12750</v>
      </c>
      <c r="S2522" s="9"/>
      <c r="T2522" s="9"/>
      <c r="V2522" s="9"/>
      <c r="AC2522" s="9" t="s">
        <v>12751</v>
      </c>
      <c r="AH2522" s="9">
        <v>2320</v>
      </c>
      <c r="AI2522" s="9" t="s">
        <v>77</v>
      </c>
      <c r="AJ2522" s="9" t="s">
        <v>301</v>
      </c>
      <c r="AK2522" s="23" t="str">
        <f t="shared" si="18"/>
        <v>2024GBP</v>
      </c>
      <c r="AL2522" s="23">
        <f>VLOOKUP(AK2522, Exchange_rates!$C:$D, 2, FALSE)</f>
        <v>1</v>
      </c>
      <c r="AM2522" s="26">
        <f t="shared" si="19"/>
        <v>2784</v>
      </c>
      <c r="AN2522" s="9"/>
      <c r="AO2522" s="9"/>
      <c r="AP2522" s="9"/>
      <c r="AQ2522" s="15" t="s">
        <v>49</v>
      </c>
      <c r="AR2522" t="s">
        <v>420</v>
      </c>
      <c r="AS2522" s="16" t="s">
        <v>421</v>
      </c>
    </row>
    <row r="2523" spans="1:60" ht="14.5">
      <c r="A2523" s="9" t="s">
        <v>12752</v>
      </c>
      <c r="B2523" s="9" t="s">
        <v>12753</v>
      </c>
      <c r="C2523" s="9" t="s">
        <v>12754</v>
      </c>
      <c r="D2523" s="9" t="s">
        <v>361</v>
      </c>
      <c r="E2523" s="9" t="s">
        <v>49</v>
      </c>
      <c r="F2523" s="9" t="s">
        <v>69</v>
      </c>
      <c r="G2523" s="9" t="s">
        <v>70</v>
      </c>
      <c r="H2523" s="9" t="s">
        <v>12579</v>
      </c>
      <c r="I2523" s="20" t="s">
        <v>72</v>
      </c>
      <c r="J2523" s="10"/>
      <c r="K2523" s="10"/>
      <c r="L2523" s="50"/>
      <c r="M2523" s="10"/>
      <c r="N2523" s="9">
        <v>2024</v>
      </c>
      <c r="O2523" s="9" t="s">
        <v>12749</v>
      </c>
      <c r="P2523" s="9" t="s">
        <v>53</v>
      </c>
      <c r="Q2523" s="9" t="s">
        <v>53</v>
      </c>
      <c r="R2523" s="9" t="s">
        <v>11013</v>
      </c>
      <c r="S2523" s="9"/>
      <c r="T2523" s="9"/>
      <c r="V2523" s="9"/>
      <c r="AC2523" s="9" t="s">
        <v>12755</v>
      </c>
      <c r="AH2523" s="9">
        <v>2320</v>
      </c>
      <c r="AI2523" s="9" t="s">
        <v>77</v>
      </c>
      <c r="AJ2523" s="9" t="s">
        <v>301</v>
      </c>
      <c r="AK2523" s="23" t="str">
        <f t="shared" si="18"/>
        <v>2024GBP</v>
      </c>
      <c r="AL2523" s="23">
        <f>VLOOKUP(AK2523, Exchange_rates!$C:$D, 2, FALSE)</f>
        <v>1</v>
      </c>
      <c r="AM2523" s="26">
        <f t="shared" si="19"/>
        <v>2784</v>
      </c>
      <c r="AN2523" s="9"/>
      <c r="AO2523" s="9"/>
      <c r="AP2523" s="9"/>
      <c r="AQ2523" s="15" t="s">
        <v>49</v>
      </c>
      <c r="AR2523" t="s">
        <v>12756</v>
      </c>
      <c r="AS2523" s="16" t="s">
        <v>12757</v>
      </c>
    </row>
    <row r="2524" spans="1:60" ht="14.5">
      <c r="A2524" s="20" t="s">
        <v>12758</v>
      </c>
      <c r="B2524" s="20" t="s">
        <v>12759</v>
      </c>
      <c r="C2524" s="20" t="s">
        <v>12760</v>
      </c>
      <c r="D2524" s="20" t="s">
        <v>361</v>
      </c>
      <c r="E2524" s="20" t="s">
        <v>49</v>
      </c>
      <c r="F2524" s="20" t="s">
        <v>69</v>
      </c>
      <c r="G2524" s="20" t="s">
        <v>70</v>
      </c>
      <c r="H2524" s="20" t="s">
        <v>12579</v>
      </c>
      <c r="I2524" s="20" t="s">
        <v>72</v>
      </c>
      <c r="J2524" s="22"/>
      <c r="K2524" s="22"/>
      <c r="L2524" s="51"/>
      <c r="M2524" s="22"/>
      <c r="N2524" s="20">
        <v>2024</v>
      </c>
      <c r="O2524" s="20" t="s">
        <v>12749</v>
      </c>
      <c r="P2524" s="20" t="s">
        <v>53</v>
      </c>
      <c r="Q2524" s="20" t="s">
        <v>53</v>
      </c>
      <c r="R2524" s="20" t="s">
        <v>11013</v>
      </c>
      <c r="S2524" s="20"/>
      <c r="T2524" s="20"/>
      <c r="U2524" s="20"/>
      <c r="V2524" s="20"/>
      <c r="W2524" s="20"/>
      <c r="X2524" s="20"/>
      <c r="Y2524" s="20"/>
      <c r="Z2524" s="20"/>
      <c r="AA2524" s="20"/>
      <c r="AB2524" s="20"/>
      <c r="AC2524" s="20" t="s">
        <v>12761</v>
      </c>
      <c r="AD2524" s="20"/>
      <c r="AE2524" s="20"/>
      <c r="AF2524" s="20"/>
      <c r="AG2524" s="20"/>
      <c r="AH2524" s="20">
        <v>2320</v>
      </c>
      <c r="AI2524" s="20" t="s">
        <v>77</v>
      </c>
      <c r="AJ2524" s="20" t="s">
        <v>301</v>
      </c>
      <c r="AK2524" s="23" t="str">
        <f t="shared" si="18"/>
        <v>2024GBP</v>
      </c>
      <c r="AL2524" s="23">
        <f>VLOOKUP(AK2524, Exchange_rates!$C:$D, 2, FALSE)</f>
        <v>1</v>
      </c>
      <c r="AM2524" s="26">
        <f t="shared" si="19"/>
        <v>2784</v>
      </c>
      <c r="AN2524" s="20"/>
      <c r="AO2524" s="20"/>
      <c r="AP2524" s="20"/>
      <c r="AQ2524" s="27" t="s">
        <v>49</v>
      </c>
      <c r="AR2524" t="s">
        <v>12762</v>
      </c>
      <c r="AS2524" s="16" t="s">
        <v>12763</v>
      </c>
      <c r="AT2524" s="20"/>
      <c r="AU2524" s="20"/>
      <c r="AV2524" s="20"/>
      <c r="AW2524" s="20"/>
      <c r="AX2524" s="20"/>
      <c r="AY2524" s="20"/>
      <c r="AZ2524" s="20"/>
      <c r="BA2524" s="20"/>
      <c r="BB2524" s="20"/>
      <c r="BC2524" s="20"/>
      <c r="BD2524" s="20"/>
      <c r="BE2524" s="20"/>
      <c r="BF2524" s="20"/>
      <c r="BG2524" s="20"/>
      <c r="BH2524" s="20"/>
    </row>
    <row r="2525" spans="1:60" ht="14.5">
      <c r="A2525" s="9" t="s">
        <v>12764</v>
      </c>
      <c r="B2525" s="9" t="s">
        <v>12765</v>
      </c>
      <c r="C2525" s="9" t="s">
        <v>2508</v>
      </c>
      <c r="D2525" s="9" t="s">
        <v>2479</v>
      </c>
      <c r="E2525" s="9" t="s">
        <v>49</v>
      </c>
      <c r="F2525" s="9" t="s">
        <v>69</v>
      </c>
      <c r="G2525" s="9" t="s">
        <v>70</v>
      </c>
      <c r="H2525" s="9" t="s">
        <v>12550</v>
      </c>
      <c r="I2525" s="20" t="s">
        <v>72</v>
      </c>
      <c r="J2525" s="10">
        <v>45170</v>
      </c>
      <c r="K2525" s="10">
        <v>45337</v>
      </c>
      <c r="L2525" s="50"/>
      <c r="M2525" s="10">
        <v>45409</v>
      </c>
      <c r="N2525" s="9">
        <v>2024</v>
      </c>
      <c r="O2525" s="9" t="s">
        <v>12766</v>
      </c>
      <c r="P2525" s="9" t="s">
        <v>53</v>
      </c>
      <c r="Q2525" s="9" t="s">
        <v>53</v>
      </c>
      <c r="R2525" s="9" t="s">
        <v>11719</v>
      </c>
      <c r="S2525" s="9"/>
      <c r="T2525" s="9"/>
      <c r="V2525" s="9"/>
      <c r="AC2525" s="9" t="s">
        <v>12767</v>
      </c>
      <c r="AD2525" s="9" t="s">
        <v>9980</v>
      </c>
      <c r="AE2525" s="9" t="s">
        <v>12768</v>
      </c>
      <c r="AH2525" s="9">
        <v>2713.21</v>
      </c>
      <c r="AI2525" s="9" t="s">
        <v>77</v>
      </c>
      <c r="AJ2525" s="9" t="s">
        <v>301</v>
      </c>
      <c r="AK2525" s="23" t="str">
        <f t="shared" si="18"/>
        <v>2024GBP</v>
      </c>
      <c r="AL2525" s="23">
        <f>VLOOKUP(AK2525, Exchange_rates!$C:$D, 2, FALSE)</f>
        <v>1</v>
      </c>
      <c r="AM2525" s="26">
        <f t="shared" si="19"/>
        <v>3255.8519999999999</v>
      </c>
      <c r="AN2525" s="9"/>
      <c r="AO2525" s="9"/>
      <c r="AP2525" s="9"/>
      <c r="AQ2525" s="15" t="s">
        <v>49</v>
      </c>
      <c r="AR2525" s="52" t="s">
        <v>2510</v>
      </c>
      <c r="AS2525" s="16" t="s">
        <v>2511</v>
      </c>
    </row>
    <row r="2526" spans="1:60" ht="14.5">
      <c r="A2526" s="9" t="s">
        <v>12769</v>
      </c>
      <c r="B2526" s="9" t="s">
        <v>12770</v>
      </c>
      <c r="C2526" s="9" t="s">
        <v>12771</v>
      </c>
      <c r="D2526" s="9" t="s">
        <v>2479</v>
      </c>
      <c r="E2526" s="9" t="s">
        <v>49</v>
      </c>
      <c r="F2526" s="9" t="s">
        <v>69</v>
      </c>
      <c r="G2526" s="9" t="s">
        <v>70</v>
      </c>
      <c r="H2526" s="9" t="s">
        <v>12550</v>
      </c>
      <c r="I2526" s="20" t="s">
        <v>72</v>
      </c>
      <c r="J2526" s="10">
        <v>45313</v>
      </c>
      <c r="K2526" s="10">
        <v>45370</v>
      </c>
      <c r="L2526" s="50"/>
      <c r="M2526" s="10">
        <v>45413</v>
      </c>
      <c r="N2526" s="9">
        <v>2024</v>
      </c>
      <c r="O2526" s="9" t="s">
        <v>12766</v>
      </c>
      <c r="P2526" s="9" t="s">
        <v>53</v>
      </c>
      <c r="Q2526" s="9" t="s">
        <v>53</v>
      </c>
      <c r="R2526" s="9" t="s">
        <v>8664</v>
      </c>
      <c r="S2526" s="9"/>
      <c r="T2526" s="9"/>
      <c r="U2526" s="9" t="s">
        <v>12772</v>
      </c>
      <c r="V2526" s="9"/>
      <c r="AC2526" s="9" t="s">
        <v>8473</v>
      </c>
      <c r="AD2526" s="9" t="s">
        <v>8474</v>
      </c>
      <c r="AH2526" s="9">
        <v>2346.56</v>
      </c>
      <c r="AI2526" s="9" t="s">
        <v>77</v>
      </c>
      <c r="AJ2526" s="9" t="s">
        <v>301</v>
      </c>
      <c r="AK2526" s="23" t="str">
        <f t="shared" si="18"/>
        <v>2024GBP</v>
      </c>
      <c r="AL2526" s="23">
        <f>VLOOKUP(AK2526, Exchange_rates!$C:$D, 2, FALSE)</f>
        <v>1</v>
      </c>
      <c r="AM2526" s="26">
        <f t="shared" si="19"/>
        <v>2815.8719999999998</v>
      </c>
      <c r="AN2526" s="9"/>
      <c r="AO2526" s="9"/>
      <c r="AP2526" s="9"/>
      <c r="AQ2526" s="15" t="s">
        <v>49</v>
      </c>
      <c r="AR2526" s="52" t="s">
        <v>12773</v>
      </c>
      <c r="AS2526" s="16"/>
    </row>
    <row r="2527" spans="1:60" ht="14.5">
      <c r="A2527" s="9" t="s">
        <v>12774</v>
      </c>
      <c r="B2527" s="9" t="s">
        <v>12775</v>
      </c>
      <c r="C2527" s="9" t="s">
        <v>8491</v>
      </c>
      <c r="D2527" s="9" t="s">
        <v>2479</v>
      </c>
      <c r="E2527" s="9" t="s">
        <v>49</v>
      </c>
      <c r="F2527" s="9" t="s">
        <v>69</v>
      </c>
      <c r="G2527" s="9" t="s">
        <v>70</v>
      </c>
      <c r="H2527" s="9" t="s">
        <v>12550</v>
      </c>
      <c r="I2527" s="20" t="s">
        <v>72</v>
      </c>
      <c r="J2527" s="28">
        <v>45251</v>
      </c>
      <c r="K2527" s="10">
        <v>45370</v>
      </c>
      <c r="L2527" s="50"/>
      <c r="M2527" s="10">
        <v>45429</v>
      </c>
      <c r="N2527" s="9">
        <v>2024</v>
      </c>
      <c r="O2527" s="9" t="s">
        <v>12766</v>
      </c>
      <c r="P2527" s="9" t="s">
        <v>53</v>
      </c>
      <c r="Q2527" s="9" t="s">
        <v>53</v>
      </c>
      <c r="R2527" s="9" t="s">
        <v>11719</v>
      </c>
      <c r="S2527" s="9"/>
      <c r="T2527" s="9"/>
      <c r="V2527" s="9"/>
      <c r="AC2527" s="9" t="s">
        <v>12776</v>
      </c>
      <c r="AD2527" s="9" t="s">
        <v>12777</v>
      </c>
      <c r="AF2527" s="9" t="s">
        <v>12778</v>
      </c>
      <c r="AH2527" s="9">
        <v>2713.21</v>
      </c>
      <c r="AI2527" s="9" t="s">
        <v>77</v>
      </c>
      <c r="AJ2527" s="9" t="s">
        <v>301</v>
      </c>
      <c r="AK2527" s="23" t="str">
        <f t="shared" si="18"/>
        <v>2024GBP</v>
      </c>
      <c r="AL2527" s="23">
        <f>VLOOKUP(AK2527, Exchange_rates!$C:$D, 2, FALSE)</f>
        <v>1</v>
      </c>
      <c r="AM2527" s="26">
        <f t="shared" si="19"/>
        <v>3255.8519999999999</v>
      </c>
      <c r="AN2527" s="9"/>
      <c r="AO2527" s="9"/>
      <c r="AP2527" s="9"/>
      <c r="AQ2527" s="15" t="s">
        <v>49</v>
      </c>
      <c r="AR2527" s="52" t="s">
        <v>12779</v>
      </c>
      <c r="AS2527" s="16" t="s">
        <v>2792</v>
      </c>
    </row>
    <row r="2528" spans="1:60" ht="14.5">
      <c r="A2528" s="9" t="s">
        <v>12780</v>
      </c>
      <c r="B2528" s="9" t="s">
        <v>12781</v>
      </c>
      <c r="C2528" s="9" t="s">
        <v>8634</v>
      </c>
      <c r="D2528" s="9" t="s">
        <v>2479</v>
      </c>
      <c r="E2528" s="9" t="s">
        <v>49</v>
      </c>
      <c r="F2528" s="9" t="s">
        <v>69</v>
      </c>
      <c r="G2528" s="9" t="s">
        <v>70</v>
      </c>
      <c r="H2528" s="9" t="s">
        <v>12550</v>
      </c>
      <c r="I2528" s="9" t="s">
        <v>238</v>
      </c>
      <c r="J2528" s="10">
        <v>45055</v>
      </c>
      <c r="K2528" s="10">
        <v>45330</v>
      </c>
      <c r="L2528" s="50"/>
      <c r="M2528" s="10"/>
      <c r="N2528" s="9">
        <v>2024</v>
      </c>
      <c r="O2528" s="9" t="s">
        <v>12766</v>
      </c>
      <c r="P2528" s="9" t="s">
        <v>53</v>
      </c>
      <c r="Q2528" s="9" t="s">
        <v>53</v>
      </c>
      <c r="R2528" s="9" t="s">
        <v>12782</v>
      </c>
      <c r="S2528" s="9"/>
      <c r="T2528" s="9"/>
      <c r="V2528" s="9"/>
      <c r="AC2528" s="9" t="s">
        <v>12783</v>
      </c>
      <c r="AD2528" s="9" t="s">
        <v>12784</v>
      </c>
      <c r="AE2528" s="9" t="s">
        <v>12785</v>
      </c>
      <c r="AF2528" s="9" t="s">
        <v>12786</v>
      </c>
      <c r="AH2528" s="9">
        <v>2713.21</v>
      </c>
      <c r="AI2528" s="9" t="s">
        <v>77</v>
      </c>
      <c r="AJ2528" s="9" t="s">
        <v>301</v>
      </c>
      <c r="AK2528" s="23" t="str">
        <f t="shared" si="18"/>
        <v>2024GBP</v>
      </c>
      <c r="AL2528" s="23">
        <f>VLOOKUP(AK2528, Exchange_rates!$C:$D, 2, FALSE)</f>
        <v>1</v>
      </c>
      <c r="AM2528" s="26">
        <f t="shared" si="19"/>
        <v>3255.8519999999999</v>
      </c>
      <c r="AN2528" s="9"/>
      <c r="AO2528" s="9"/>
      <c r="AP2528" s="9"/>
      <c r="AQ2528" s="15" t="s">
        <v>49</v>
      </c>
      <c r="AR2528" s="52" t="s">
        <v>8637</v>
      </c>
      <c r="AS2528" s="16" t="s">
        <v>8638</v>
      </c>
    </row>
    <row r="2529" spans="1:60" ht="14.5">
      <c r="A2529" s="9" t="s">
        <v>12787</v>
      </c>
      <c r="B2529" s="9" t="s">
        <v>12788</v>
      </c>
      <c r="C2529" s="9" t="s">
        <v>2660</v>
      </c>
      <c r="D2529" s="9" t="s">
        <v>2479</v>
      </c>
      <c r="E2529" s="9" t="s">
        <v>49</v>
      </c>
      <c r="F2529" s="9" t="s">
        <v>69</v>
      </c>
      <c r="G2529" s="9" t="s">
        <v>70</v>
      </c>
      <c r="H2529" s="9" t="s">
        <v>12550</v>
      </c>
      <c r="I2529" s="20" t="s">
        <v>72</v>
      </c>
      <c r="J2529" s="10">
        <v>44792</v>
      </c>
      <c r="K2529" s="10">
        <v>45394</v>
      </c>
      <c r="L2529" s="50"/>
      <c r="M2529" s="10">
        <v>45422</v>
      </c>
      <c r="N2529" s="9">
        <v>2024</v>
      </c>
      <c r="O2529" s="9" t="s">
        <v>12766</v>
      </c>
      <c r="P2529" s="9" t="s">
        <v>83</v>
      </c>
      <c r="Q2529" s="9" t="s">
        <v>53</v>
      </c>
      <c r="R2529" s="9" t="s">
        <v>10680</v>
      </c>
      <c r="S2529" s="9"/>
      <c r="T2529" s="9"/>
      <c r="V2529" s="9"/>
      <c r="AC2529" s="9" t="s">
        <v>10681</v>
      </c>
      <c r="AD2529" s="9" t="s">
        <v>10682</v>
      </c>
      <c r="AE2529" s="9" t="s">
        <v>10683</v>
      </c>
      <c r="AF2529" s="9" t="s">
        <v>9912</v>
      </c>
      <c r="AH2529" s="9">
        <v>2529.89</v>
      </c>
      <c r="AI2529" s="9" t="s">
        <v>77</v>
      </c>
      <c r="AJ2529" s="9" t="s">
        <v>301</v>
      </c>
      <c r="AK2529" s="23" t="str">
        <f t="shared" si="18"/>
        <v>2024GBP</v>
      </c>
      <c r="AL2529" s="23">
        <f>VLOOKUP(AK2529, Exchange_rates!$C:$D, 2, FALSE)</f>
        <v>1</v>
      </c>
      <c r="AM2529" s="26">
        <f t="shared" si="19"/>
        <v>3035.8679999999999</v>
      </c>
      <c r="AN2529" s="9"/>
      <c r="AO2529" s="9"/>
      <c r="AP2529" s="9"/>
      <c r="AQ2529" s="15" t="s">
        <v>49</v>
      </c>
      <c r="AR2529" s="52" t="s">
        <v>2661</v>
      </c>
      <c r="AS2529" s="16" t="s">
        <v>2662</v>
      </c>
    </row>
    <row r="2530" spans="1:60" ht="14.5">
      <c r="A2530" s="9" t="s">
        <v>12789</v>
      </c>
      <c r="B2530" s="9" t="s">
        <v>12790</v>
      </c>
      <c r="C2530" s="9" t="s">
        <v>2808</v>
      </c>
      <c r="D2530" s="9" t="s">
        <v>2479</v>
      </c>
      <c r="E2530" s="20" t="s">
        <v>125</v>
      </c>
      <c r="F2530" s="9" t="s">
        <v>69</v>
      </c>
      <c r="G2530" s="9" t="s">
        <v>70</v>
      </c>
      <c r="H2530" s="9" t="s">
        <v>12550</v>
      </c>
      <c r="I2530" s="20" t="s">
        <v>72</v>
      </c>
      <c r="J2530" s="10">
        <v>45201</v>
      </c>
      <c r="K2530" s="10">
        <v>45413</v>
      </c>
      <c r="L2530" s="50"/>
      <c r="M2530" s="10"/>
      <c r="N2530" s="9">
        <v>2024</v>
      </c>
      <c r="O2530" s="9" t="s">
        <v>12766</v>
      </c>
      <c r="P2530" s="9" t="s">
        <v>53</v>
      </c>
      <c r="Q2530" s="9" t="s">
        <v>53</v>
      </c>
      <c r="R2530" s="9" t="s">
        <v>12791</v>
      </c>
      <c r="S2530" s="9"/>
      <c r="T2530" s="9"/>
      <c r="V2530" s="9"/>
      <c r="AC2530" s="9" t="s">
        <v>11867</v>
      </c>
      <c r="AD2530" s="9" t="s">
        <v>11868</v>
      </c>
      <c r="AE2530" s="9" t="s">
        <v>5892</v>
      </c>
      <c r="AF2530" s="9" t="s">
        <v>12792</v>
      </c>
      <c r="AH2530" s="9">
        <v>1481.4</v>
      </c>
      <c r="AI2530" s="9" t="s">
        <v>77</v>
      </c>
      <c r="AJ2530" s="9" t="s">
        <v>301</v>
      </c>
      <c r="AK2530" s="23" t="str">
        <f t="shared" si="18"/>
        <v>2024GBP</v>
      </c>
      <c r="AL2530" s="23">
        <f>VLOOKUP(AK2530, Exchange_rates!$C:$D, 2, FALSE)</f>
        <v>1</v>
      </c>
      <c r="AM2530" s="26">
        <f t="shared" si="19"/>
        <v>1777.68</v>
      </c>
      <c r="AN2530" s="9"/>
      <c r="AO2530" s="9"/>
      <c r="AP2530" s="9"/>
      <c r="AQ2530" s="15" t="s">
        <v>125</v>
      </c>
      <c r="AR2530" s="52" t="s">
        <v>2810</v>
      </c>
      <c r="AS2530" s="16"/>
    </row>
    <row r="2531" spans="1:60" ht="14.5">
      <c r="A2531" s="9" t="s">
        <v>12793</v>
      </c>
      <c r="B2531" s="9" t="s">
        <v>12794</v>
      </c>
      <c r="C2531" s="9" t="s">
        <v>2568</v>
      </c>
      <c r="D2531" s="9" t="s">
        <v>2479</v>
      </c>
      <c r="E2531" s="9" t="s">
        <v>49</v>
      </c>
      <c r="F2531" s="9" t="s">
        <v>69</v>
      </c>
      <c r="G2531" s="9" t="s">
        <v>70</v>
      </c>
      <c r="H2531" s="9" t="s">
        <v>12550</v>
      </c>
      <c r="I2531" s="9" t="s">
        <v>238</v>
      </c>
      <c r="J2531" s="10">
        <v>45232</v>
      </c>
      <c r="K2531" s="10">
        <v>45415</v>
      </c>
      <c r="L2531" s="50"/>
      <c r="M2531" s="10"/>
      <c r="N2531" s="9">
        <v>2024</v>
      </c>
      <c r="O2531" s="9" t="s">
        <v>12766</v>
      </c>
      <c r="P2531" s="9" t="s">
        <v>53</v>
      </c>
      <c r="Q2531" s="9" t="s">
        <v>53</v>
      </c>
      <c r="R2531" s="9" t="s">
        <v>12795</v>
      </c>
      <c r="S2531" s="9"/>
      <c r="T2531" s="9"/>
      <c r="V2531" s="9"/>
      <c r="AC2531" s="9" t="s">
        <v>12796</v>
      </c>
      <c r="AD2531" s="9" t="s">
        <v>12797</v>
      </c>
      <c r="AE2531" s="9" t="s">
        <v>12798</v>
      </c>
      <c r="AF2531" s="9" t="s">
        <v>12799</v>
      </c>
      <c r="AH2531" s="9">
        <v>3079.86</v>
      </c>
      <c r="AI2531" s="9" t="s">
        <v>77</v>
      </c>
      <c r="AJ2531" s="9" t="s">
        <v>301</v>
      </c>
      <c r="AK2531" s="23" t="str">
        <f t="shared" si="18"/>
        <v>2024GBP</v>
      </c>
      <c r="AL2531" s="23">
        <f>VLOOKUP(AK2531, Exchange_rates!$C:$D, 2, FALSE)</f>
        <v>1</v>
      </c>
      <c r="AM2531" s="26">
        <f t="shared" si="19"/>
        <v>3695.8319999999999</v>
      </c>
      <c r="AN2531" s="9"/>
      <c r="AO2531" s="9"/>
      <c r="AP2531" s="9"/>
      <c r="AQ2531" s="15" t="s">
        <v>49</v>
      </c>
      <c r="AR2531" s="52" t="s">
        <v>2570</v>
      </c>
      <c r="AS2531" s="16" t="s">
        <v>2571</v>
      </c>
    </row>
    <row r="2532" spans="1:60" ht="14.5">
      <c r="A2532" s="9" t="s">
        <v>12800</v>
      </c>
      <c r="B2532" s="9" t="s">
        <v>12801</v>
      </c>
      <c r="C2532" s="9" t="s">
        <v>8170</v>
      </c>
      <c r="D2532" s="9" t="s">
        <v>2479</v>
      </c>
      <c r="E2532" s="9" t="s">
        <v>49</v>
      </c>
      <c r="F2532" s="9" t="s">
        <v>69</v>
      </c>
      <c r="G2532" s="9" t="s">
        <v>70</v>
      </c>
      <c r="H2532" s="9" t="s">
        <v>12550</v>
      </c>
      <c r="I2532" s="20" t="s">
        <v>72</v>
      </c>
      <c r="J2532" s="10">
        <v>45118</v>
      </c>
      <c r="K2532" s="10">
        <v>45416</v>
      </c>
      <c r="L2532" s="50"/>
      <c r="M2532" s="10"/>
      <c r="N2532" s="9">
        <v>2024</v>
      </c>
      <c r="O2532" s="9" t="s">
        <v>12766</v>
      </c>
      <c r="P2532" s="9" t="s">
        <v>53</v>
      </c>
      <c r="Q2532" s="9" t="s">
        <v>53</v>
      </c>
      <c r="S2532" s="9"/>
      <c r="T2532" s="9"/>
      <c r="V2532" s="9"/>
      <c r="AC2532" s="9" t="s">
        <v>7001</v>
      </c>
      <c r="AD2532" s="9" t="s">
        <v>7002</v>
      </c>
      <c r="AE2532" s="9" t="s">
        <v>7003</v>
      </c>
      <c r="AF2532" s="9" t="s">
        <v>12802</v>
      </c>
      <c r="AH2532" s="9">
        <v>2529.89</v>
      </c>
      <c r="AI2532" s="9" t="s">
        <v>77</v>
      </c>
      <c r="AJ2532" s="9" t="s">
        <v>301</v>
      </c>
      <c r="AK2532" s="23" t="str">
        <f t="shared" si="18"/>
        <v>2024GBP</v>
      </c>
      <c r="AL2532" s="23">
        <f>VLOOKUP(AK2532, Exchange_rates!$C:$D, 2, FALSE)</f>
        <v>1</v>
      </c>
      <c r="AM2532" s="26">
        <f t="shared" si="19"/>
        <v>3035.8679999999999</v>
      </c>
      <c r="AN2532" s="9" t="s">
        <v>83</v>
      </c>
      <c r="AO2532" s="9" t="s">
        <v>11431</v>
      </c>
      <c r="AP2532" s="9" t="s">
        <v>12803</v>
      </c>
      <c r="AQ2532" s="15" t="s">
        <v>49</v>
      </c>
      <c r="AR2532" s="52" t="s">
        <v>8173</v>
      </c>
      <c r="AS2532" s="16" t="s">
        <v>8174</v>
      </c>
    </row>
    <row r="2533" spans="1:60" ht="14.5">
      <c r="A2533" s="9" t="s">
        <v>12804</v>
      </c>
      <c r="B2533" s="9" t="s">
        <v>12805</v>
      </c>
      <c r="C2533" s="9" t="s">
        <v>2655</v>
      </c>
      <c r="D2533" s="9" t="s">
        <v>2479</v>
      </c>
      <c r="E2533" s="9" t="s">
        <v>49</v>
      </c>
      <c r="F2533" s="9" t="s">
        <v>69</v>
      </c>
      <c r="G2533" s="9" t="s">
        <v>70</v>
      </c>
      <c r="H2533" s="9" t="s">
        <v>12550</v>
      </c>
      <c r="I2533" s="9" t="s">
        <v>238</v>
      </c>
      <c r="J2533" s="10">
        <v>44717</v>
      </c>
      <c r="K2533" s="10">
        <v>45427</v>
      </c>
      <c r="L2533" s="50"/>
      <c r="M2533" s="10"/>
      <c r="N2533" s="9">
        <v>2024</v>
      </c>
      <c r="O2533" s="9" t="s">
        <v>12766</v>
      </c>
      <c r="P2533" s="9" t="s">
        <v>53</v>
      </c>
      <c r="Q2533" s="9" t="s">
        <v>53</v>
      </c>
      <c r="R2533" s="9" t="s">
        <v>11719</v>
      </c>
      <c r="S2533" s="9"/>
      <c r="T2533" s="9"/>
      <c r="V2533" s="9"/>
      <c r="AC2533" s="9" t="s">
        <v>12806</v>
      </c>
      <c r="AD2533" s="9" t="s">
        <v>12807</v>
      </c>
      <c r="AE2533" s="9" t="s">
        <v>12808</v>
      </c>
      <c r="AF2533" s="9" t="s">
        <v>12809</v>
      </c>
      <c r="AH2533" s="9">
        <v>2713.21</v>
      </c>
      <c r="AI2533" s="9" t="s">
        <v>77</v>
      </c>
      <c r="AJ2533" s="9" t="s">
        <v>301</v>
      </c>
      <c r="AK2533" s="23" t="str">
        <f t="shared" si="18"/>
        <v>2024GBP</v>
      </c>
      <c r="AL2533" s="23">
        <f>VLOOKUP(AK2533, Exchange_rates!$C:$D, 2, FALSE)</f>
        <v>1</v>
      </c>
      <c r="AM2533" s="26">
        <f t="shared" si="19"/>
        <v>3255.8519999999999</v>
      </c>
      <c r="AN2533" s="9"/>
      <c r="AO2533" s="9"/>
      <c r="AP2533" s="9"/>
      <c r="AQ2533" s="15" t="s">
        <v>49</v>
      </c>
      <c r="AR2533" s="52" t="s">
        <v>2656</v>
      </c>
      <c r="AS2533" s="16" t="s">
        <v>2657</v>
      </c>
    </row>
    <row r="2534" spans="1:60" ht="14.5">
      <c r="A2534" s="9" t="s">
        <v>12810</v>
      </c>
      <c r="B2534" s="9" t="s">
        <v>12811</v>
      </c>
      <c r="C2534" s="9" t="s">
        <v>2655</v>
      </c>
      <c r="D2534" s="9" t="s">
        <v>2479</v>
      </c>
      <c r="E2534" s="9" t="s">
        <v>49</v>
      </c>
      <c r="F2534" s="9" t="s">
        <v>69</v>
      </c>
      <c r="G2534" s="9" t="s">
        <v>70</v>
      </c>
      <c r="H2534" s="9" t="s">
        <v>12550</v>
      </c>
      <c r="I2534" s="20" t="s">
        <v>72</v>
      </c>
      <c r="J2534" s="10">
        <v>44992</v>
      </c>
      <c r="K2534" s="10">
        <v>45428</v>
      </c>
      <c r="L2534" s="50"/>
      <c r="M2534" s="10"/>
      <c r="N2534" s="9">
        <v>2024</v>
      </c>
      <c r="O2534" s="9" t="s">
        <v>12766</v>
      </c>
      <c r="P2534" s="9" t="s">
        <v>53</v>
      </c>
      <c r="Q2534" s="9" t="s">
        <v>53</v>
      </c>
      <c r="R2534" s="9" t="s">
        <v>11719</v>
      </c>
      <c r="S2534" s="9"/>
      <c r="T2534" s="9"/>
      <c r="V2534" s="9"/>
      <c r="AC2534" s="9" t="s">
        <v>12812</v>
      </c>
      <c r="AD2534" s="9" t="s">
        <v>5871</v>
      </c>
      <c r="AE2534" s="9" t="s">
        <v>5872</v>
      </c>
      <c r="AF2534" s="9" t="s">
        <v>12813</v>
      </c>
      <c r="AH2534" s="9">
        <v>2713.21</v>
      </c>
      <c r="AI2534" s="9" t="s">
        <v>77</v>
      </c>
      <c r="AJ2534" s="9" t="s">
        <v>301</v>
      </c>
      <c r="AK2534" s="23" t="str">
        <f t="shared" ref="AK2534:AK2536" si="20">CONCATENATE(N2534,AJ2534)</f>
        <v>2024GBP</v>
      </c>
      <c r="AL2534" s="23">
        <f>VLOOKUP(AK2534, Exchange_rates!$C:$D, 2, FALSE)</f>
        <v>1</v>
      </c>
      <c r="AM2534" s="26">
        <f t="shared" ref="AM2534:AM2536" si="21">IFERROR(((AH2534*AL2534)*1.2), "")</f>
        <v>3255.8519999999999</v>
      </c>
      <c r="AN2534" s="9"/>
      <c r="AO2534" s="9"/>
      <c r="AP2534" s="9"/>
      <c r="AQ2534" s="15" t="s">
        <v>49</v>
      </c>
      <c r="AR2534" s="52" t="s">
        <v>2656</v>
      </c>
      <c r="AS2534" s="16" t="s">
        <v>2657</v>
      </c>
    </row>
    <row r="2535" spans="1:60" ht="14.5">
      <c r="A2535" s="9" t="s">
        <v>12814</v>
      </c>
      <c r="B2535" s="9" t="s">
        <v>12815</v>
      </c>
      <c r="C2535" s="9" t="s">
        <v>12816</v>
      </c>
      <c r="D2535" s="9" t="s">
        <v>2479</v>
      </c>
      <c r="E2535" s="9" t="s">
        <v>49</v>
      </c>
      <c r="F2535" s="9" t="s">
        <v>69</v>
      </c>
      <c r="G2535" s="9" t="s">
        <v>70</v>
      </c>
      <c r="H2535" s="9" t="s">
        <v>12550</v>
      </c>
      <c r="I2535" s="20" t="s">
        <v>72</v>
      </c>
      <c r="J2535" s="28">
        <v>45258</v>
      </c>
      <c r="K2535" s="10">
        <v>45433</v>
      </c>
      <c r="L2535" s="50"/>
      <c r="M2535" s="10"/>
      <c r="N2535" s="9">
        <v>2024</v>
      </c>
      <c r="O2535" s="9" t="s">
        <v>12766</v>
      </c>
      <c r="P2535" s="9" t="s">
        <v>53</v>
      </c>
      <c r="Q2535" s="9" t="s">
        <v>53</v>
      </c>
      <c r="R2535" s="9" t="s">
        <v>12817</v>
      </c>
      <c r="S2535" s="9"/>
      <c r="T2535" s="9"/>
      <c r="V2535" s="9"/>
      <c r="AC2535" s="9" t="s">
        <v>12818</v>
      </c>
      <c r="AD2535" s="9" t="s">
        <v>12819</v>
      </c>
      <c r="AE2535" s="9" t="s">
        <v>12820</v>
      </c>
      <c r="AF2535" s="9" t="s">
        <v>12821</v>
      </c>
      <c r="AH2535" s="9">
        <v>2346.56</v>
      </c>
      <c r="AI2535" s="9" t="s">
        <v>77</v>
      </c>
      <c r="AJ2535" s="9" t="s">
        <v>301</v>
      </c>
      <c r="AK2535" s="23" t="str">
        <f t="shared" si="20"/>
        <v>2024GBP</v>
      </c>
      <c r="AL2535" s="23">
        <f>VLOOKUP(AK2535, Exchange_rates!$C:$D, 2, FALSE)</f>
        <v>1</v>
      </c>
      <c r="AM2535" s="26">
        <f t="shared" si="21"/>
        <v>2815.8719999999998</v>
      </c>
      <c r="AN2535" s="9"/>
      <c r="AO2535" s="9"/>
      <c r="AP2535" s="9"/>
      <c r="AQ2535" s="15" t="s">
        <v>49</v>
      </c>
      <c r="AR2535" s="52" t="s">
        <v>12822</v>
      </c>
      <c r="AS2535" s="16" t="s">
        <v>12823</v>
      </c>
    </row>
    <row r="2536" spans="1:60" ht="14.5">
      <c r="A2536" s="20" t="s">
        <v>12824</v>
      </c>
      <c r="B2536" s="20" t="s">
        <v>12825</v>
      </c>
      <c r="C2536" s="20" t="s">
        <v>8606</v>
      </c>
      <c r="D2536" s="20" t="s">
        <v>2479</v>
      </c>
      <c r="E2536" s="20" t="s">
        <v>125</v>
      </c>
      <c r="F2536" s="20" t="s">
        <v>69</v>
      </c>
      <c r="G2536" s="20" t="s">
        <v>70</v>
      </c>
      <c r="H2536" s="20" t="s">
        <v>12550</v>
      </c>
      <c r="I2536" s="20" t="s">
        <v>72</v>
      </c>
      <c r="J2536" s="22">
        <v>45362</v>
      </c>
      <c r="K2536" s="22">
        <v>45439</v>
      </c>
      <c r="L2536" s="51"/>
      <c r="M2536" s="22"/>
      <c r="N2536" s="20">
        <v>2024</v>
      </c>
      <c r="O2536" s="20" t="s">
        <v>12766</v>
      </c>
      <c r="P2536" s="20" t="s">
        <v>53</v>
      </c>
      <c r="Q2536" s="20" t="s">
        <v>53</v>
      </c>
      <c r="R2536" s="20" t="s">
        <v>11080</v>
      </c>
      <c r="S2536" s="20"/>
      <c r="T2536" s="20"/>
      <c r="U2536" s="20"/>
      <c r="V2536" s="20"/>
      <c r="W2536" s="20"/>
      <c r="X2536" s="20"/>
      <c r="Y2536" s="20"/>
      <c r="Z2536" s="20"/>
      <c r="AA2536" s="20"/>
      <c r="AB2536" s="20"/>
      <c r="AC2536" s="20" t="s">
        <v>12826</v>
      </c>
      <c r="AD2536" s="20" t="s">
        <v>12827</v>
      </c>
      <c r="AE2536" s="20" t="s">
        <v>12828</v>
      </c>
      <c r="AF2536" s="20" t="s">
        <v>8607</v>
      </c>
      <c r="AG2536" s="20"/>
      <c r="AH2536" s="20">
        <v>1296.23</v>
      </c>
      <c r="AI2536" s="20" t="s">
        <v>77</v>
      </c>
      <c r="AJ2536" s="20" t="s">
        <v>301</v>
      </c>
      <c r="AK2536" s="23" t="str">
        <f t="shared" si="20"/>
        <v>2024GBP</v>
      </c>
      <c r="AL2536" s="23">
        <f>VLOOKUP(AK2536, Exchange_rates!$C:$D, 2, FALSE)</f>
        <v>1</v>
      </c>
      <c r="AM2536" s="26">
        <f t="shared" si="21"/>
        <v>1555.4759999999999</v>
      </c>
      <c r="AN2536" s="20"/>
      <c r="AO2536" s="20"/>
      <c r="AP2536" s="20"/>
      <c r="AQ2536" s="27" t="s">
        <v>125</v>
      </c>
      <c r="AR2536" s="53" t="s">
        <v>2763</v>
      </c>
      <c r="AS2536" s="16"/>
      <c r="AT2536" s="20"/>
      <c r="AU2536" s="20"/>
      <c r="AV2536" s="20"/>
      <c r="AW2536" s="20"/>
      <c r="AX2536" s="20"/>
      <c r="AY2536" s="20"/>
      <c r="AZ2536" s="20"/>
      <c r="BA2536" s="20"/>
      <c r="BB2536" s="20"/>
      <c r="BC2536" s="20"/>
      <c r="BD2536" s="20"/>
      <c r="BE2536" s="20"/>
      <c r="BF2536" s="20"/>
      <c r="BG2536" s="20"/>
      <c r="BH2536" s="20"/>
    </row>
    <row r="2537" spans="1:60" ht="14.5">
      <c r="A2537" s="9" t="s">
        <v>12829</v>
      </c>
      <c r="B2537" s="9" t="s">
        <v>12830</v>
      </c>
      <c r="C2537" s="9" t="s">
        <v>9255</v>
      </c>
      <c r="D2537" s="9" t="s">
        <v>870</v>
      </c>
      <c r="E2537" s="9" t="s">
        <v>125</v>
      </c>
      <c r="F2537" s="9" t="s">
        <v>69</v>
      </c>
      <c r="G2537" s="9" t="s">
        <v>51</v>
      </c>
      <c r="H2537" s="9"/>
      <c r="I2537" s="20" t="s">
        <v>72</v>
      </c>
      <c r="J2537" s="10"/>
      <c r="K2537" s="10">
        <v>45148</v>
      </c>
      <c r="L2537" s="50">
        <v>45302</v>
      </c>
      <c r="M2537" s="10"/>
      <c r="N2537" s="9">
        <v>2024</v>
      </c>
      <c r="O2537" s="9" t="s">
        <v>12831</v>
      </c>
      <c r="P2537" s="9" t="s">
        <v>83</v>
      </c>
      <c r="Q2537" s="9" t="s">
        <v>83</v>
      </c>
      <c r="R2537" s="9" t="s">
        <v>12832</v>
      </c>
      <c r="S2537" s="9"/>
      <c r="T2537" s="9" t="s">
        <v>279</v>
      </c>
      <c r="U2537" s="9" t="s">
        <v>12833</v>
      </c>
      <c r="V2537" s="9"/>
      <c r="AC2537" s="9" t="s">
        <v>12834</v>
      </c>
      <c r="AH2537" s="9">
        <v>1680</v>
      </c>
      <c r="AI2537" s="9" t="s">
        <v>77</v>
      </c>
      <c r="AJ2537" s="9" t="s">
        <v>301</v>
      </c>
      <c r="AK2537" s="23"/>
      <c r="AL2537" s="23"/>
      <c r="AM2537" s="26"/>
      <c r="AN2537" s="9"/>
      <c r="AO2537" s="9"/>
      <c r="AP2537" s="9"/>
      <c r="AQ2537" s="54" t="str">
        <f t="shared" ref="AQ2537:AQ2791" si="22">E2537</f>
        <v>Fully OA</v>
      </c>
      <c r="AR2537" s="52"/>
      <c r="AS2537" s="52" t="s">
        <v>9257</v>
      </c>
    </row>
    <row r="2538" spans="1:60" ht="14.5">
      <c r="A2538" s="9" t="s">
        <v>12835</v>
      </c>
      <c r="B2538" s="9" t="s">
        <v>12836</v>
      </c>
      <c r="C2538" s="9" t="s">
        <v>12837</v>
      </c>
      <c r="D2538" s="9" t="s">
        <v>870</v>
      </c>
      <c r="E2538" s="9" t="s">
        <v>125</v>
      </c>
      <c r="F2538" s="9" t="s">
        <v>69</v>
      </c>
      <c r="G2538" s="9" t="s">
        <v>51</v>
      </c>
      <c r="H2538" s="9"/>
      <c r="I2538" s="20" t="s">
        <v>72</v>
      </c>
      <c r="J2538" s="10"/>
      <c r="K2538" s="10">
        <v>45275</v>
      </c>
      <c r="L2538" s="50">
        <v>45329</v>
      </c>
      <c r="M2538" s="10"/>
      <c r="N2538" s="9">
        <v>2024</v>
      </c>
      <c r="O2538" s="9" t="s">
        <v>12831</v>
      </c>
      <c r="P2538" s="9" t="s">
        <v>83</v>
      </c>
      <c r="Q2538" s="9" t="s">
        <v>53</v>
      </c>
      <c r="R2538" s="9" t="s">
        <v>12838</v>
      </c>
      <c r="S2538" s="9"/>
      <c r="T2538" s="9" t="s">
        <v>279</v>
      </c>
      <c r="U2538" s="9" t="s">
        <v>12833</v>
      </c>
      <c r="V2538" s="9"/>
      <c r="AC2538" s="9" t="s">
        <v>12839</v>
      </c>
      <c r="AH2538" s="9">
        <v>4630</v>
      </c>
      <c r="AI2538" s="9" t="s">
        <v>77</v>
      </c>
      <c r="AJ2538" s="9" t="s">
        <v>301</v>
      </c>
      <c r="AK2538" s="23"/>
      <c r="AL2538" s="23"/>
      <c r="AM2538" s="26"/>
      <c r="AN2538" s="9"/>
      <c r="AO2538" s="9"/>
      <c r="AP2538" s="9"/>
      <c r="AQ2538" s="54" t="str">
        <f t="shared" si="22"/>
        <v>Fully OA</v>
      </c>
      <c r="AR2538" s="52"/>
      <c r="AS2538" s="52" t="s">
        <v>12840</v>
      </c>
    </row>
    <row r="2539" spans="1:60" ht="14.5">
      <c r="A2539" s="9" t="s">
        <v>12841</v>
      </c>
      <c r="B2539" s="9" t="s">
        <v>12842</v>
      </c>
      <c r="C2539" s="9" t="s">
        <v>12843</v>
      </c>
      <c r="D2539" s="9" t="s">
        <v>870</v>
      </c>
      <c r="E2539" s="9" t="s">
        <v>49</v>
      </c>
      <c r="F2539" s="9" t="s">
        <v>69</v>
      </c>
      <c r="G2539" s="9" t="s">
        <v>70</v>
      </c>
      <c r="H2539" s="9" t="s">
        <v>12285</v>
      </c>
      <c r="I2539" s="20" t="s">
        <v>72</v>
      </c>
      <c r="J2539" s="10"/>
      <c r="K2539" s="10">
        <v>45280</v>
      </c>
      <c r="L2539" s="50">
        <v>45309</v>
      </c>
      <c r="M2539" s="10"/>
      <c r="N2539" s="9">
        <v>2024</v>
      </c>
      <c r="O2539" s="9" t="s">
        <v>12831</v>
      </c>
      <c r="P2539" s="9" t="s">
        <v>83</v>
      </c>
      <c r="Q2539" s="9" t="s">
        <v>53</v>
      </c>
      <c r="R2539" s="9" t="s">
        <v>12844</v>
      </c>
      <c r="S2539" s="9"/>
      <c r="T2539" s="9"/>
      <c r="V2539" s="9"/>
      <c r="AC2539" s="9" t="s">
        <v>12845</v>
      </c>
      <c r="AH2539" s="18">
        <v>7340</v>
      </c>
      <c r="AI2539" s="9" t="s">
        <v>875</v>
      </c>
      <c r="AJ2539" s="9" t="s">
        <v>301</v>
      </c>
      <c r="AK2539" s="23" t="str">
        <f t="shared" ref="AK2539:AK2548" si="23">CONCATENATE(N2539,AJ2539)</f>
        <v>2024GBP</v>
      </c>
      <c r="AL2539" s="23">
        <f>VLOOKUP(AK2539, Exchange_rates!$C:$D, 2, FALSE)</f>
        <v>1</v>
      </c>
      <c r="AM2539" s="26">
        <f t="shared" ref="AM2539:AM2548" si="24">IFERROR(((AH2539*AL2539)*1.2), "")</f>
        <v>8808</v>
      </c>
      <c r="AN2539" s="9"/>
      <c r="AO2539" s="9"/>
      <c r="AP2539" s="9"/>
      <c r="AQ2539" s="54" t="str">
        <f t="shared" si="22"/>
        <v>Hybrid</v>
      </c>
      <c r="AR2539" s="52"/>
      <c r="AS2539" s="52" t="s">
        <v>12846</v>
      </c>
    </row>
    <row r="2540" spans="1:60" ht="14.5">
      <c r="A2540" s="9" t="s">
        <v>12847</v>
      </c>
      <c r="B2540" s="9" t="s">
        <v>12848</v>
      </c>
      <c r="C2540" s="9" t="s">
        <v>12849</v>
      </c>
      <c r="D2540" s="9" t="s">
        <v>870</v>
      </c>
      <c r="E2540" s="9" t="s">
        <v>49</v>
      </c>
      <c r="F2540" s="9" t="s">
        <v>69</v>
      </c>
      <c r="G2540" s="9" t="s">
        <v>70</v>
      </c>
      <c r="H2540" s="9" t="s">
        <v>12285</v>
      </c>
      <c r="I2540" s="20" t="s">
        <v>72</v>
      </c>
      <c r="J2540" s="10"/>
      <c r="K2540" s="10">
        <v>45295</v>
      </c>
      <c r="L2540" s="50">
        <v>45306</v>
      </c>
      <c r="M2540" s="10"/>
      <c r="N2540" s="9">
        <v>2024</v>
      </c>
      <c r="O2540" s="9" t="s">
        <v>12831</v>
      </c>
      <c r="P2540" s="9" t="s">
        <v>53</v>
      </c>
      <c r="Q2540" s="9" t="s">
        <v>53</v>
      </c>
      <c r="R2540" s="9" t="s">
        <v>12588</v>
      </c>
      <c r="S2540" s="9"/>
      <c r="T2540" s="9"/>
      <c r="V2540" s="9"/>
      <c r="AC2540" s="9" t="s">
        <v>12850</v>
      </c>
      <c r="AH2540" s="18">
        <v>3230</v>
      </c>
      <c r="AI2540" s="9" t="s">
        <v>875</v>
      </c>
      <c r="AJ2540" s="9" t="s">
        <v>301</v>
      </c>
      <c r="AK2540" s="23" t="str">
        <f t="shared" si="23"/>
        <v>2024GBP</v>
      </c>
      <c r="AL2540" s="23">
        <f>VLOOKUP(AK2540, Exchange_rates!$C:$D, 2, FALSE)</f>
        <v>1</v>
      </c>
      <c r="AM2540" s="26">
        <f t="shared" si="24"/>
        <v>3876</v>
      </c>
      <c r="AN2540" s="9"/>
      <c r="AO2540" s="9"/>
      <c r="AP2540" s="9"/>
      <c r="AQ2540" s="54" t="str">
        <f t="shared" si="22"/>
        <v>Hybrid</v>
      </c>
      <c r="AR2540" s="52"/>
      <c r="AS2540" s="52" t="s">
        <v>12851</v>
      </c>
    </row>
    <row r="2541" spans="1:60" ht="14.5">
      <c r="A2541" s="9" t="s">
        <v>12852</v>
      </c>
      <c r="B2541" s="9" t="s">
        <v>12853</v>
      </c>
      <c r="C2541" s="9" t="s">
        <v>913</v>
      </c>
      <c r="D2541" s="9" t="s">
        <v>870</v>
      </c>
      <c r="E2541" s="9" t="s">
        <v>49</v>
      </c>
      <c r="F2541" s="9" t="s">
        <v>69</v>
      </c>
      <c r="G2541" s="9" t="s">
        <v>70</v>
      </c>
      <c r="H2541" s="9" t="s">
        <v>12285</v>
      </c>
      <c r="I2541" s="20" t="s">
        <v>72</v>
      </c>
      <c r="J2541" s="10"/>
      <c r="K2541" s="10">
        <v>45299</v>
      </c>
      <c r="L2541" s="50">
        <v>45306</v>
      </c>
      <c r="M2541" s="10"/>
      <c r="N2541" s="9">
        <v>2024</v>
      </c>
      <c r="O2541" s="9" t="s">
        <v>12831</v>
      </c>
      <c r="P2541" s="9" t="s">
        <v>53</v>
      </c>
      <c r="Q2541" s="9" t="s">
        <v>53</v>
      </c>
      <c r="R2541" s="9" t="s">
        <v>12854</v>
      </c>
      <c r="S2541" s="9"/>
      <c r="T2541" s="9"/>
      <c r="V2541" s="9"/>
      <c r="AC2541" s="9" t="s">
        <v>12855</v>
      </c>
      <c r="AH2541" s="18">
        <v>2710</v>
      </c>
      <c r="AI2541" s="9" t="s">
        <v>875</v>
      </c>
      <c r="AJ2541" s="9" t="s">
        <v>301</v>
      </c>
      <c r="AK2541" s="23" t="str">
        <f t="shared" si="23"/>
        <v>2024GBP</v>
      </c>
      <c r="AL2541" s="23">
        <f>VLOOKUP(AK2541, Exchange_rates!$C:$D, 2, FALSE)</f>
        <v>1</v>
      </c>
      <c r="AM2541" s="26">
        <f t="shared" si="24"/>
        <v>3252</v>
      </c>
      <c r="AN2541" s="9"/>
      <c r="AO2541" s="9"/>
      <c r="AP2541" s="9"/>
      <c r="AQ2541" s="54" t="str">
        <f t="shared" si="22"/>
        <v>Hybrid</v>
      </c>
      <c r="AR2541" s="52"/>
      <c r="AS2541" s="52" t="s">
        <v>916</v>
      </c>
    </row>
    <row r="2542" spans="1:60" ht="14.5">
      <c r="A2542" s="9" t="s">
        <v>12856</v>
      </c>
      <c r="B2542" s="9" t="s">
        <v>12857</v>
      </c>
      <c r="C2542" s="9" t="s">
        <v>7670</v>
      </c>
      <c r="D2542" s="9" t="s">
        <v>870</v>
      </c>
      <c r="E2542" s="9" t="s">
        <v>49</v>
      </c>
      <c r="F2542" s="9" t="s">
        <v>69</v>
      </c>
      <c r="G2542" s="9" t="s">
        <v>70</v>
      </c>
      <c r="H2542" s="9" t="s">
        <v>12285</v>
      </c>
      <c r="I2542" s="20" t="s">
        <v>72</v>
      </c>
      <c r="J2542" s="10"/>
      <c r="K2542" s="10">
        <v>45301</v>
      </c>
      <c r="L2542" s="50">
        <v>45314</v>
      </c>
      <c r="M2542" s="10"/>
      <c r="N2542" s="9">
        <v>2024</v>
      </c>
      <c r="O2542" s="9" t="s">
        <v>12831</v>
      </c>
      <c r="P2542" s="9" t="s">
        <v>53</v>
      </c>
      <c r="Q2542" s="9" t="s">
        <v>53</v>
      </c>
      <c r="R2542" s="9" t="s">
        <v>12858</v>
      </c>
      <c r="S2542" s="9"/>
      <c r="T2542" s="9"/>
      <c r="V2542" s="9"/>
      <c r="AC2542" s="9" t="s">
        <v>12859</v>
      </c>
      <c r="AH2542" s="18">
        <v>2400</v>
      </c>
      <c r="AI2542" s="9" t="s">
        <v>875</v>
      </c>
      <c r="AJ2542" s="9" t="s">
        <v>301</v>
      </c>
      <c r="AK2542" s="23" t="str">
        <f t="shared" si="23"/>
        <v>2024GBP</v>
      </c>
      <c r="AL2542" s="23">
        <f>VLOOKUP(AK2542, Exchange_rates!$C:$D, 2, FALSE)</f>
        <v>1</v>
      </c>
      <c r="AM2542" s="26">
        <f t="shared" si="24"/>
        <v>2880</v>
      </c>
      <c r="AN2542" s="9"/>
      <c r="AO2542" s="9"/>
      <c r="AP2542" s="9"/>
      <c r="AQ2542" s="54" t="str">
        <f t="shared" si="22"/>
        <v>Hybrid</v>
      </c>
      <c r="AR2542" s="52"/>
      <c r="AS2542" s="52" t="s">
        <v>7673</v>
      </c>
    </row>
    <row r="2543" spans="1:60" ht="14.5">
      <c r="A2543" s="9" t="s">
        <v>12860</v>
      </c>
      <c r="B2543" s="9" t="s">
        <v>12861</v>
      </c>
      <c r="C2543" s="9" t="s">
        <v>12862</v>
      </c>
      <c r="D2543" s="9" t="s">
        <v>870</v>
      </c>
      <c r="E2543" s="9" t="s">
        <v>49</v>
      </c>
      <c r="F2543" s="9" t="s">
        <v>69</v>
      </c>
      <c r="G2543" s="9" t="s">
        <v>70</v>
      </c>
      <c r="H2543" s="9" t="s">
        <v>12285</v>
      </c>
      <c r="I2543" s="20" t="s">
        <v>72</v>
      </c>
      <c r="J2543" s="10"/>
      <c r="K2543" s="10">
        <v>45306</v>
      </c>
      <c r="L2543" s="50">
        <v>45313</v>
      </c>
      <c r="M2543" s="10"/>
      <c r="N2543" s="9">
        <v>2024</v>
      </c>
      <c r="O2543" s="9" t="s">
        <v>12831</v>
      </c>
      <c r="P2543" s="9" t="s">
        <v>53</v>
      </c>
      <c r="Q2543" s="9" t="s">
        <v>53</v>
      </c>
      <c r="R2543" s="9" t="s">
        <v>12863</v>
      </c>
      <c r="S2543" s="9"/>
      <c r="T2543" s="9"/>
      <c r="V2543" s="9"/>
      <c r="AC2543" s="9" t="s">
        <v>12864</v>
      </c>
      <c r="AH2543" s="18">
        <v>2060</v>
      </c>
      <c r="AI2543" s="9" t="s">
        <v>875</v>
      </c>
      <c r="AJ2543" s="9" t="s">
        <v>301</v>
      </c>
      <c r="AK2543" s="23" t="str">
        <f t="shared" si="23"/>
        <v>2024GBP</v>
      </c>
      <c r="AL2543" s="23">
        <f>VLOOKUP(AK2543, Exchange_rates!$C:$D, 2, FALSE)</f>
        <v>1</v>
      </c>
      <c r="AM2543" s="26">
        <f t="shared" si="24"/>
        <v>2472</v>
      </c>
      <c r="AN2543" s="9"/>
      <c r="AO2543" s="9"/>
      <c r="AP2543" s="9"/>
      <c r="AQ2543" s="54" t="str">
        <f t="shared" si="22"/>
        <v>Hybrid</v>
      </c>
      <c r="AR2543" s="52"/>
      <c r="AS2543" s="52" t="s">
        <v>12865</v>
      </c>
    </row>
    <row r="2544" spans="1:60" ht="14.5">
      <c r="A2544" s="9" t="s">
        <v>12866</v>
      </c>
      <c r="B2544" s="9" t="s">
        <v>12867</v>
      </c>
      <c r="C2544" s="9" t="s">
        <v>12868</v>
      </c>
      <c r="D2544" s="9" t="s">
        <v>870</v>
      </c>
      <c r="E2544" s="9" t="s">
        <v>49</v>
      </c>
      <c r="F2544" s="9" t="s">
        <v>69</v>
      </c>
      <c r="G2544" s="9" t="s">
        <v>70</v>
      </c>
      <c r="H2544" s="9" t="s">
        <v>12285</v>
      </c>
      <c r="I2544" s="9" t="s">
        <v>291</v>
      </c>
      <c r="J2544" s="10"/>
      <c r="K2544" s="10">
        <v>45315</v>
      </c>
      <c r="L2544" s="50">
        <v>45320</v>
      </c>
      <c r="M2544" s="10"/>
      <c r="N2544" s="9">
        <v>2024</v>
      </c>
      <c r="O2544" s="9" t="s">
        <v>12831</v>
      </c>
      <c r="P2544" s="9" t="s">
        <v>53</v>
      </c>
      <c r="Q2544" s="9" t="s">
        <v>53</v>
      </c>
      <c r="R2544" s="9" t="s">
        <v>12869</v>
      </c>
      <c r="S2544" s="9"/>
      <c r="T2544" s="9"/>
      <c r="V2544" s="9"/>
      <c r="AC2544" s="9" t="s">
        <v>12870</v>
      </c>
      <c r="AH2544" s="18">
        <v>2000</v>
      </c>
      <c r="AI2544" s="9" t="s">
        <v>875</v>
      </c>
      <c r="AJ2544" s="9" t="s">
        <v>301</v>
      </c>
      <c r="AK2544" s="23" t="str">
        <f t="shared" si="23"/>
        <v>2024GBP</v>
      </c>
      <c r="AL2544" s="23">
        <f>VLOOKUP(AK2544, Exchange_rates!$C:$D, 2, FALSE)</f>
        <v>1</v>
      </c>
      <c r="AM2544" s="26">
        <f t="shared" si="24"/>
        <v>2400</v>
      </c>
      <c r="AN2544" s="9"/>
      <c r="AO2544" s="9"/>
      <c r="AP2544" s="9"/>
      <c r="AQ2544" s="54" t="str">
        <f t="shared" si="22"/>
        <v>Hybrid</v>
      </c>
      <c r="AR2544" s="52"/>
      <c r="AS2544" s="52" t="s">
        <v>12871</v>
      </c>
    </row>
    <row r="2545" spans="1:45" ht="14.5">
      <c r="A2545" s="9" t="s">
        <v>12872</v>
      </c>
      <c r="B2545" s="9" t="s">
        <v>12873</v>
      </c>
      <c r="C2545" s="9" t="s">
        <v>12874</v>
      </c>
      <c r="D2545" s="9" t="s">
        <v>870</v>
      </c>
      <c r="E2545" s="9" t="s">
        <v>49</v>
      </c>
      <c r="F2545" s="9" t="s">
        <v>69</v>
      </c>
      <c r="G2545" s="9" t="s">
        <v>70</v>
      </c>
      <c r="H2545" s="9" t="s">
        <v>12285</v>
      </c>
      <c r="I2545" s="20" t="s">
        <v>72</v>
      </c>
      <c r="J2545" s="10"/>
      <c r="K2545" s="10">
        <v>45316</v>
      </c>
      <c r="L2545" s="50">
        <v>45330</v>
      </c>
      <c r="M2545" s="10"/>
      <c r="N2545" s="9">
        <v>2024</v>
      </c>
      <c r="O2545" s="9" t="s">
        <v>12831</v>
      </c>
      <c r="P2545" s="9" t="s">
        <v>53</v>
      </c>
      <c r="Q2545" s="9" t="s">
        <v>53</v>
      </c>
      <c r="R2545" s="9" t="s">
        <v>12588</v>
      </c>
      <c r="S2545" s="9"/>
      <c r="T2545" s="9"/>
      <c r="V2545" s="9"/>
      <c r="AC2545" s="9" t="s">
        <v>12875</v>
      </c>
      <c r="AH2545" s="18">
        <v>2230</v>
      </c>
      <c r="AI2545" s="9" t="s">
        <v>875</v>
      </c>
      <c r="AJ2545" s="9" t="s">
        <v>301</v>
      </c>
      <c r="AK2545" s="23" t="str">
        <f t="shared" si="23"/>
        <v>2024GBP</v>
      </c>
      <c r="AL2545" s="23">
        <f>VLOOKUP(AK2545, Exchange_rates!$C:$D, 2, FALSE)</f>
        <v>1</v>
      </c>
      <c r="AM2545" s="26">
        <f t="shared" si="24"/>
        <v>2676</v>
      </c>
      <c r="AN2545" s="9"/>
      <c r="AO2545" s="9"/>
      <c r="AP2545" s="9"/>
      <c r="AQ2545" s="54" t="str">
        <f t="shared" si="22"/>
        <v>Hybrid</v>
      </c>
      <c r="AR2545" s="52"/>
      <c r="AS2545" s="52" t="s">
        <v>12876</v>
      </c>
    </row>
    <row r="2546" spans="1:45" ht="14.5">
      <c r="A2546" s="9" t="s">
        <v>12877</v>
      </c>
      <c r="B2546" s="9" t="s">
        <v>12878</v>
      </c>
      <c r="C2546" s="9" t="s">
        <v>1135</v>
      </c>
      <c r="D2546" s="9" t="s">
        <v>870</v>
      </c>
      <c r="E2546" s="9" t="s">
        <v>49</v>
      </c>
      <c r="F2546" s="9" t="s">
        <v>69</v>
      </c>
      <c r="G2546" s="9" t="s">
        <v>70</v>
      </c>
      <c r="H2546" s="9" t="s">
        <v>12285</v>
      </c>
      <c r="I2546" s="20" t="s">
        <v>72</v>
      </c>
      <c r="J2546" s="10"/>
      <c r="K2546" s="10">
        <v>45319</v>
      </c>
      <c r="L2546" s="50">
        <v>45323</v>
      </c>
      <c r="M2546" s="10"/>
      <c r="N2546" s="9">
        <v>2024</v>
      </c>
      <c r="O2546" s="9" t="s">
        <v>12831</v>
      </c>
      <c r="P2546" s="9" t="s">
        <v>83</v>
      </c>
      <c r="Q2546" s="9" t="s">
        <v>53</v>
      </c>
      <c r="R2546" s="9" t="s">
        <v>12879</v>
      </c>
      <c r="S2546" s="9"/>
      <c r="T2546" s="9"/>
      <c r="V2546" s="9"/>
      <c r="AC2546" s="9" t="s">
        <v>966</v>
      </c>
      <c r="AH2546" s="18">
        <v>2640</v>
      </c>
      <c r="AI2546" s="9" t="s">
        <v>875</v>
      </c>
      <c r="AJ2546" s="9" t="s">
        <v>301</v>
      </c>
      <c r="AK2546" s="23" t="str">
        <f t="shared" si="23"/>
        <v>2024GBP</v>
      </c>
      <c r="AL2546" s="23">
        <f>VLOOKUP(AK2546, Exchange_rates!$C:$D, 2, FALSE)</f>
        <v>1</v>
      </c>
      <c r="AM2546" s="26">
        <f t="shared" si="24"/>
        <v>3168</v>
      </c>
      <c r="AN2546" s="9"/>
      <c r="AO2546" s="9"/>
      <c r="AP2546" s="9"/>
      <c r="AQ2546" s="54" t="str">
        <f t="shared" si="22"/>
        <v>Hybrid</v>
      </c>
      <c r="AR2546" s="52"/>
      <c r="AS2546" s="52" t="s">
        <v>1137</v>
      </c>
    </row>
    <row r="2547" spans="1:45" ht="14.5">
      <c r="A2547" s="9" t="s">
        <v>12880</v>
      </c>
      <c r="B2547" s="9" t="s">
        <v>12881</v>
      </c>
      <c r="C2547" s="9" t="s">
        <v>9347</v>
      </c>
      <c r="D2547" s="9" t="s">
        <v>870</v>
      </c>
      <c r="E2547" s="9" t="s">
        <v>49</v>
      </c>
      <c r="F2547" s="9" t="s">
        <v>69</v>
      </c>
      <c r="G2547" s="9" t="s">
        <v>70</v>
      </c>
      <c r="H2547" s="9" t="s">
        <v>12285</v>
      </c>
      <c r="I2547" s="20" t="s">
        <v>72</v>
      </c>
      <c r="J2547" s="10"/>
      <c r="K2547" s="10">
        <v>45315</v>
      </c>
      <c r="L2547" s="50">
        <v>45328</v>
      </c>
      <c r="M2547" s="10"/>
      <c r="N2547" s="9">
        <v>2024</v>
      </c>
      <c r="O2547" s="9" t="s">
        <v>12831</v>
      </c>
      <c r="P2547" s="9" t="s">
        <v>53</v>
      </c>
      <c r="Q2547" s="9" t="s">
        <v>53</v>
      </c>
      <c r="R2547" s="9" t="s">
        <v>12882</v>
      </c>
      <c r="S2547" s="9"/>
      <c r="T2547" s="9"/>
      <c r="V2547" s="9"/>
      <c r="AC2547" s="9" t="s">
        <v>12883</v>
      </c>
      <c r="AH2547" s="18">
        <v>2110</v>
      </c>
      <c r="AI2547" s="9" t="s">
        <v>875</v>
      </c>
      <c r="AJ2547" s="9" t="s">
        <v>301</v>
      </c>
      <c r="AK2547" s="23" t="str">
        <f t="shared" si="23"/>
        <v>2024GBP</v>
      </c>
      <c r="AL2547" s="23">
        <f>VLOOKUP(AK2547, Exchange_rates!$C:$D, 2, FALSE)</f>
        <v>1</v>
      </c>
      <c r="AM2547" s="26">
        <f t="shared" si="24"/>
        <v>2532</v>
      </c>
      <c r="AN2547" s="9"/>
      <c r="AO2547" s="9"/>
      <c r="AP2547" s="9"/>
      <c r="AQ2547" s="54" t="str">
        <f t="shared" si="22"/>
        <v>Hybrid</v>
      </c>
      <c r="AR2547" s="52"/>
      <c r="AS2547" s="52" t="s">
        <v>9349</v>
      </c>
    </row>
    <row r="2548" spans="1:45" ht="14.5">
      <c r="A2548" s="9" t="s">
        <v>12884</v>
      </c>
      <c r="B2548" s="9" t="s">
        <v>12885</v>
      </c>
      <c r="C2548" s="9" t="s">
        <v>12886</v>
      </c>
      <c r="D2548" s="9" t="s">
        <v>870</v>
      </c>
      <c r="E2548" s="9" t="s">
        <v>49</v>
      </c>
      <c r="F2548" s="9" t="s">
        <v>69</v>
      </c>
      <c r="G2548" s="9" t="s">
        <v>70</v>
      </c>
      <c r="H2548" s="9" t="s">
        <v>12285</v>
      </c>
      <c r="I2548" s="20" t="s">
        <v>72</v>
      </c>
      <c r="J2548" s="10"/>
      <c r="K2548" s="10">
        <v>45318</v>
      </c>
      <c r="L2548" s="50">
        <v>45324</v>
      </c>
      <c r="M2548" s="10"/>
      <c r="N2548" s="9">
        <v>2024</v>
      </c>
      <c r="O2548" s="9" t="s">
        <v>12831</v>
      </c>
      <c r="P2548" s="9" t="s">
        <v>53</v>
      </c>
      <c r="Q2548" s="9" t="s">
        <v>53</v>
      </c>
      <c r="R2548" s="9" t="s">
        <v>12588</v>
      </c>
      <c r="S2548" s="9"/>
      <c r="T2548" s="9"/>
      <c r="V2548" s="9"/>
      <c r="AC2548" s="9" t="s">
        <v>12887</v>
      </c>
      <c r="AH2548" s="18">
        <v>2250</v>
      </c>
      <c r="AI2548" s="9" t="s">
        <v>875</v>
      </c>
      <c r="AJ2548" s="9" t="s">
        <v>301</v>
      </c>
      <c r="AK2548" s="23" t="str">
        <f t="shared" si="23"/>
        <v>2024GBP</v>
      </c>
      <c r="AL2548" s="23">
        <f>VLOOKUP(AK2548, Exchange_rates!$C:$D, 2, FALSE)</f>
        <v>1</v>
      </c>
      <c r="AM2548" s="26">
        <f t="shared" si="24"/>
        <v>2700</v>
      </c>
      <c r="AN2548" s="9"/>
      <c r="AO2548" s="9"/>
      <c r="AP2548" s="9"/>
      <c r="AQ2548" s="54" t="str">
        <f t="shared" si="22"/>
        <v>Hybrid</v>
      </c>
      <c r="AR2548" s="52"/>
      <c r="AS2548" s="52" t="s">
        <v>12888</v>
      </c>
    </row>
    <row r="2549" spans="1:45" ht="14.5">
      <c r="A2549" s="9" t="s">
        <v>12889</v>
      </c>
      <c r="B2549" s="9" t="s">
        <v>12890</v>
      </c>
      <c r="C2549" s="9" t="s">
        <v>9255</v>
      </c>
      <c r="D2549" s="9" t="s">
        <v>870</v>
      </c>
      <c r="E2549" s="9" t="s">
        <v>125</v>
      </c>
      <c r="F2549" s="9" t="s">
        <v>69</v>
      </c>
      <c r="G2549" s="9" t="s">
        <v>51</v>
      </c>
      <c r="H2549" s="9"/>
      <c r="I2549" s="20" t="s">
        <v>72</v>
      </c>
      <c r="J2549" s="10"/>
      <c r="K2549" s="10">
        <v>45317</v>
      </c>
      <c r="L2549" s="50">
        <v>45323</v>
      </c>
      <c r="M2549" s="10"/>
      <c r="N2549" s="9">
        <v>2024</v>
      </c>
      <c r="O2549" s="9" t="s">
        <v>12831</v>
      </c>
      <c r="P2549" s="9" t="s">
        <v>83</v>
      </c>
      <c r="Q2549" s="9" t="s">
        <v>53</v>
      </c>
      <c r="R2549" s="9" t="s">
        <v>12891</v>
      </c>
      <c r="S2549" s="9"/>
      <c r="T2549" s="9" t="s">
        <v>279</v>
      </c>
      <c r="U2549" s="9" t="s">
        <v>12833</v>
      </c>
      <c r="V2549" s="9"/>
      <c r="AC2549" s="9" t="s">
        <v>12892</v>
      </c>
      <c r="AH2549" s="9">
        <v>1680</v>
      </c>
      <c r="AI2549" s="9" t="s">
        <v>77</v>
      </c>
      <c r="AJ2549" s="9" t="s">
        <v>301</v>
      </c>
      <c r="AK2549" s="23"/>
      <c r="AL2549" s="23"/>
      <c r="AM2549" s="26"/>
      <c r="AN2549" s="9"/>
      <c r="AO2549" s="9"/>
      <c r="AP2549" s="9"/>
      <c r="AQ2549" s="54" t="str">
        <f t="shared" si="22"/>
        <v>Fully OA</v>
      </c>
      <c r="AR2549" s="52"/>
      <c r="AS2549" s="52" t="s">
        <v>9257</v>
      </c>
    </row>
    <row r="2550" spans="1:45" ht="14.5">
      <c r="A2550" s="9" t="s">
        <v>12893</v>
      </c>
      <c r="B2550" s="9" t="s">
        <v>12894</v>
      </c>
      <c r="C2550" s="9" t="s">
        <v>9173</v>
      </c>
      <c r="D2550" s="9" t="s">
        <v>870</v>
      </c>
      <c r="E2550" s="9" t="s">
        <v>49</v>
      </c>
      <c r="F2550" s="9" t="s">
        <v>69</v>
      </c>
      <c r="G2550" s="9" t="s">
        <v>70</v>
      </c>
      <c r="H2550" s="9" t="s">
        <v>12285</v>
      </c>
      <c r="I2550" s="20" t="s">
        <v>72</v>
      </c>
      <c r="J2550" s="10"/>
      <c r="K2550" s="10">
        <v>45320</v>
      </c>
      <c r="L2550" s="50">
        <v>45327</v>
      </c>
      <c r="M2550" s="10"/>
      <c r="N2550" s="9">
        <v>2024</v>
      </c>
      <c r="O2550" s="9" t="s">
        <v>12831</v>
      </c>
      <c r="P2550" s="9" t="s">
        <v>53</v>
      </c>
      <c r="Q2550" s="9" t="s">
        <v>53</v>
      </c>
      <c r="R2550" s="9" t="s">
        <v>12895</v>
      </c>
      <c r="S2550" s="9"/>
      <c r="T2550" s="9"/>
      <c r="V2550" s="9"/>
      <c r="AC2550" s="9" t="s">
        <v>12896</v>
      </c>
      <c r="AH2550" s="18">
        <v>2560</v>
      </c>
      <c r="AI2550" s="9" t="s">
        <v>875</v>
      </c>
      <c r="AJ2550" s="9" t="s">
        <v>301</v>
      </c>
      <c r="AK2550" s="23" t="str">
        <f t="shared" ref="AK2550:AK2554" si="25">CONCATENATE(N2550,AJ2550)</f>
        <v>2024GBP</v>
      </c>
      <c r="AL2550" s="23">
        <f>VLOOKUP(AK2550, Exchange_rates!$C:$D, 2, FALSE)</f>
        <v>1</v>
      </c>
      <c r="AM2550" s="26">
        <f t="shared" ref="AM2550:AM2554" si="26">IFERROR(((AH2550*AL2550)*1.2), "")</f>
        <v>3072</v>
      </c>
      <c r="AN2550" s="9"/>
      <c r="AO2550" s="9"/>
      <c r="AP2550" s="9"/>
      <c r="AQ2550" s="54" t="str">
        <f t="shared" si="22"/>
        <v>Hybrid</v>
      </c>
      <c r="AR2550" s="52"/>
      <c r="AS2550" s="52" t="s">
        <v>9177</v>
      </c>
    </row>
    <row r="2551" spans="1:45" ht="14.5">
      <c r="A2551" s="9" t="s">
        <v>12897</v>
      </c>
      <c r="B2551" s="9" t="s">
        <v>12898</v>
      </c>
      <c r="C2551" s="9" t="s">
        <v>11317</v>
      </c>
      <c r="D2551" s="9" t="s">
        <v>870</v>
      </c>
      <c r="E2551" s="9" t="s">
        <v>49</v>
      </c>
      <c r="F2551" s="9" t="s">
        <v>69</v>
      </c>
      <c r="G2551" s="9" t="s">
        <v>70</v>
      </c>
      <c r="H2551" s="9" t="s">
        <v>12285</v>
      </c>
      <c r="I2551" s="9" t="s">
        <v>291</v>
      </c>
      <c r="J2551" s="10"/>
      <c r="K2551" s="10">
        <v>45322</v>
      </c>
      <c r="L2551" s="50">
        <v>45331</v>
      </c>
      <c r="M2551" s="10"/>
      <c r="N2551" s="9">
        <v>2024</v>
      </c>
      <c r="O2551" s="9" t="s">
        <v>12831</v>
      </c>
      <c r="P2551" s="9" t="s">
        <v>53</v>
      </c>
      <c r="Q2551" s="9" t="s">
        <v>53</v>
      </c>
      <c r="R2551" s="9" t="s">
        <v>12899</v>
      </c>
      <c r="S2551" s="9"/>
      <c r="T2551" s="9"/>
      <c r="V2551" s="9"/>
      <c r="AC2551" s="9" t="s">
        <v>12900</v>
      </c>
      <c r="AH2551" s="18">
        <v>2530</v>
      </c>
      <c r="AI2551" s="9" t="s">
        <v>875</v>
      </c>
      <c r="AJ2551" s="9" t="s">
        <v>301</v>
      </c>
      <c r="AK2551" s="23" t="str">
        <f t="shared" si="25"/>
        <v>2024GBP</v>
      </c>
      <c r="AL2551" s="23">
        <f>VLOOKUP(AK2551, Exchange_rates!$C:$D, 2, FALSE)</f>
        <v>1</v>
      </c>
      <c r="AM2551" s="26">
        <f t="shared" si="26"/>
        <v>3036</v>
      </c>
      <c r="AN2551" s="9"/>
      <c r="AO2551" s="9"/>
      <c r="AP2551" s="9"/>
      <c r="AQ2551" s="54" t="str">
        <f t="shared" si="22"/>
        <v>Hybrid</v>
      </c>
      <c r="AR2551" s="52"/>
      <c r="AS2551" s="52" t="s">
        <v>11318</v>
      </c>
    </row>
    <row r="2552" spans="1:45" ht="14.5">
      <c r="A2552" s="9" t="s">
        <v>12901</v>
      </c>
      <c r="B2552" s="9" t="s">
        <v>12902</v>
      </c>
      <c r="C2552" s="9" t="s">
        <v>884</v>
      </c>
      <c r="D2552" s="9" t="s">
        <v>870</v>
      </c>
      <c r="E2552" s="9" t="s">
        <v>49</v>
      </c>
      <c r="F2552" s="9" t="s">
        <v>69</v>
      </c>
      <c r="G2552" s="9" t="s">
        <v>70</v>
      </c>
      <c r="H2552" s="9" t="s">
        <v>12285</v>
      </c>
      <c r="I2552" s="20" t="s">
        <v>72</v>
      </c>
      <c r="J2552" s="10"/>
      <c r="K2552" s="10">
        <v>45327</v>
      </c>
      <c r="L2552" s="50">
        <v>45329</v>
      </c>
      <c r="M2552" s="10"/>
      <c r="N2552" s="9">
        <v>2024</v>
      </c>
      <c r="O2552" s="9" t="s">
        <v>12831</v>
      </c>
      <c r="P2552" s="9" t="s">
        <v>53</v>
      </c>
      <c r="Q2552" s="9" t="s">
        <v>53</v>
      </c>
      <c r="R2552" s="9" t="s">
        <v>12903</v>
      </c>
      <c r="S2552" s="9"/>
      <c r="T2552" s="9"/>
      <c r="V2552" s="9"/>
      <c r="AC2552" s="9" t="s">
        <v>12904</v>
      </c>
      <c r="AH2552" s="18">
        <v>3470</v>
      </c>
      <c r="AI2552" s="9" t="s">
        <v>875</v>
      </c>
      <c r="AJ2552" s="9" t="s">
        <v>301</v>
      </c>
      <c r="AK2552" s="23" t="str">
        <f t="shared" si="25"/>
        <v>2024GBP</v>
      </c>
      <c r="AL2552" s="23">
        <f>VLOOKUP(AK2552, Exchange_rates!$C:$D, 2, FALSE)</f>
        <v>1</v>
      </c>
      <c r="AM2552" s="26">
        <f t="shared" si="26"/>
        <v>4164</v>
      </c>
      <c r="AN2552" s="9"/>
      <c r="AO2552" s="9"/>
      <c r="AP2552" s="9"/>
      <c r="AQ2552" s="54" t="str">
        <f t="shared" si="22"/>
        <v>Hybrid</v>
      </c>
      <c r="AR2552" s="52"/>
      <c r="AS2552" s="52" t="s">
        <v>887</v>
      </c>
    </row>
    <row r="2553" spans="1:45" ht="14.5">
      <c r="A2553" s="9" t="s">
        <v>12905</v>
      </c>
      <c r="B2553" s="9" t="s">
        <v>12906</v>
      </c>
      <c r="C2553" s="9" t="s">
        <v>1033</v>
      </c>
      <c r="D2553" s="9" t="s">
        <v>870</v>
      </c>
      <c r="E2553" s="9" t="s">
        <v>49</v>
      </c>
      <c r="F2553" s="9" t="s">
        <v>69</v>
      </c>
      <c r="G2553" s="9" t="s">
        <v>70</v>
      </c>
      <c r="H2553" s="9" t="s">
        <v>12285</v>
      </c>
      <c r="I2553" s="20" t="s">
        <v>72</v>
      </c>
      <c r="J2553" s="10"/>
      <c r="K2553" s="10">
        <v>45327</v>
      </c>
      <c r="L2553" s="50">
        <v>45341</v>
      </c>
      <c r="M2553" s="10"/>
      <c r="N2553" s="9">
        <v>2024</v>
      </c>
      <c r="O2553" s="9" t="s">
        <v>12831</v>
      </c>
      <c r="P2553" s="9" t="s">
        <v>83</v>
      </c>
      <c r="Q2553" s="9" t="s">
        <v>83</v>
      </c>
      <c r="R2553" s="9" t="s">
        <v>12907</v>
      </c>
      <c r="S2553" s="9"/>
      <c r="T2553" s="9"/>
      <c r="V2553" s="9"/>
      <c r="AC2553" s="9" t="s">
        <v>12908</v>
      </c>
      <c r="AH2553" s="18">
        <v>5630</v>
      </c>
      <c r="AI2553" s="9" t="s">
        <v>875</v>
      </c>
      <c r="AJ2553" s="9" t="s">
        <v>301</v>
      </c>
      <c r="AK2553" s="23" t="str">
        <f t="shared" si="25"/>
        <v>2024GBP</v>
      </c>
      <c r="AL2553" s="23">
        <f>VLOOKUP(AK2553, Exchange_rates!$C:$D, 2, FALSE)</f>
        <v>1</v>
      </c>
      <c r="AM2553" s="26">
        <f t="shared" si="26"/>
        <v>6756</v>
      </c>
      <c r="AN2553" s="9"/>
      <c r="AO2553" s="9"/>
      <c r="AP2553" s="9"/>
      <c r="AQ2553" s="54" t="str">
        <f t="shared" si="22"/>
        <v>Hybrid</v>
      </c>
      <c r="AR2553" s="52"/>
      <c r="AS2553" s="52" t="s">
        <v>1036</v>
      </c>
    </row>
    <row r="2554" spans="1:45" ht="14.5">
      <c r="A2554" s="9" t="s">
        <v>12909</v>
      </c>
      <c r="B2554" s="9" t="s">
        <v>12910</v>
      </c>
      <c r="C2554" s="9" t="s">
        <v>12911</v>
      </c>
      <c r="D2554" s="9" t="s">
        <v>870</v>
      </c>
      <c r="E2554" s="9" t="s">
        <v>49</v>
      </c>
      <c r="F2554" s="9" t="s">
        <v>69</v>
      </c>
      <c r="G2554" s="9" t="s">
        <v>70</v>
      </c>
      <c r="H2554" s="9" t="s">
        <v>12285</v>
      </c>
      <c r="I2554" s="20" t="s">
        <v>72</v>
      </c>
      <c r="J2554" s="10"/>
      <c r="K2554" s="10">
        <v>45322</v>
      </c>
      <c r="L2554" s="50">
        <v>45337</v>
      </c>
      <c r="M2554" s="10"/>
      <c r="N2554" s="9">
        <v>2024</v>
      </c>
      <c r="O2554" s="9" t="s">
        <v>12831</v>
      </c>
      <c r="P2554" s="9" t="s">
        <v>83</v>
      </c>
      <c r="Q2554" s="9" t="s">
        <v>53</v>
      </c>
      <c r="R2554" s="9" t="s">
        <v>12912</v>
      </c>
      <c r="S2554" s="9"/>
      <c r="T2554" s="9"/>
      <c r="V2554" s="9"/>
      <c r="AC2554" s="9" t="s">
        <v>12913</v>
      </c>
      <c r="AH2554" s="18">
        <v>3320</v>
      </c>
      <c r="AI2554" s="9" t="s">
        <v>875</v>
      </c>
      <c r="AJ2554" s="9" t="s">
        <v>301</v>
      </c>
      <c r="AK2554" s="23" t="str">
        <f t="shared" si="25"/>
        <v>2024GBP</v>
      </c>
      <c r="AL2554" s="23">
        <f>VLOOKUP(AK2554, Exchange_rates!$C:$D, 2, FALSE)</f>
        <v>1</v>
      </c>
      <c r="AM2554" s="26">
        <f t="shared" si="26"/>
        <v>3984</v>
      </c>
      <c r="AN2554" s="9"/>
      <c r="AO2554" s="9"/>
      <c r="AP2554" s="9"/>
      <c r="AQ2554" s="54" t="str">
        <f t="shared" si="22"/>
        <v>Hybrid</v>
      </c>
      <c r="AR2554" s="52"/>
      <c r="AS2554" s="52" t="s">
        <v>12914</v>
      </c>
    </row>
    <row r="2555" spans="1:45" ht="14.5">
      <c r="A2555" s="9" t="s">
        <v>12915</v>
      </c>
      <c r="B2555" s="9" t="s">
        <v>12916</v>
      </c>
      <c r="C2555" s="9" t="s">
        <v>12917</v>
      </c>
      <c r="D2555" s="9" t="s">
        <v>870</v>
      </c>
      <c r="E2555" s="9" t="s">
        <v>125</v>
      </c>
      <c r="F2555" s="9" t="s">
        <v>69</v>
      </c>
      <c r="G2555" s="9" t="s">
        <v>51</v>
      </c>
      <c r="H2555" s="9"/>
      <c r="I2555" s="20" t="s">
        <v>72</v>
      </c>
      <c r="J2555" s="10"/>
      <c r="K2555" s="10">
        <v>45318</v>
      </c>
      <c r="L2555" s="50">
        <v>45337</v>
      </c>
      <c r="M2555" s="10"/>
      <c r="N2555" s="9">
        <v>2024</v>
      </c>
      <c r="O2555" s="9" t="s">
        <v>12831</v>
      </c>
      <c r="P2555" s="9" t="s">
        <v>53</v>
      </c>
      <c r="Q2555" s="9" t="s">
        <v>53</v>
      </c>
      <c r="R2555" s="9" t="s">
        <v>12918</v>
      </c>
      <c r="S2555" s="9"/>
      <c r="T2555" s="9" t="s">
        <v>279</v>
      </c>
      <c r="U2555" s="9" t="s">
        <v>12833</v>
      </c>
      <c r="V2555" s="9"/>
      <c r="AC2555" s="9" t="s">
        <v>12919</v>
      </c>
      <c r="AH2555" s="9">
        <v>1180</v>
      </c>
      <c r="AI2555" s="9" t="s">
        <v>77</v>
      </c>
      <c r="AJ2555" s="9" t="s">
        <v>301</v>
      </c>
      <c r="AK2555" s="23"/>
      <c r="AL2555" s="23"/>
      <c r="AM2555" s="26"/>
      <c r="AN2555" s="9"/>
      <c r="AO2555" s="9"/>
      <c r="AP2555" s="9"/>
      <c r="AQ2555" s="54" t="str">
        <f t="shared" si="22"/>
        <v>Fully OA</v>
      </c>
      <c r="AR2555" s="52"/>
      <c r="AS2555" s="52" t="s">
        <v>12920</v>
      </c>
    </row>
    <row r="2556" spans="1:45" ht="14.5">
      <c r="A2556" s="9" t="s">
        <v>12921</v>
      </c>
      <c r="B2556" s="9" t="s">
        <v>12922</v>
      </c>
      <c r="C2556" s="9" t="s">
        <v>12923</v>
      </c>
      <c r="D2556" s="9" t="s">
        <v>870</v>
      </c>
      <c r="E2556" s="9" t="s">
        <v>125</v>
      </c>
      <c r="F2556" s="9" t="s">
        <v>69</v>
      </c>
      <c r="G2556" s="9" t="s">
        <v>51</v>
      </c>
      <c r="H2556" s="9"/>
      <c r="I2556" s="20" t="s">
        <v>72</v>
      </c>
      <c r="J2556" s="10"/>
      <c r="K2556" s="10">
        <v>45329</v>
      </c>
      <c r="L2556" s="50">
        <v>45335</v>
      </c>
      <c r="M2556" s="10"/>
      <c r="N2556" s="9">
        <v>2024</v>
      </c>
      <c r="O2556" s="9" t="s">
        <v>12831</v>
      </c>
      <c r="P2556" s="9" t="s">
        <v>83</v>
      </c>
      <c r="Q2556" s="9" t="s">
        <v>83</v>
      </c>
      <c r="R2556" s="9" t="s">
        <v>12924</v>
      </c>
      <c r="S2556" s="9"/>
      <c r="T2556" s="9" t="s">
        <v>279</v>
      </c>
      <c r="U2556" s="9" t="s">
        <v>12833</v>
      </c>
      <c r="V2556" s="9"/>
      <c r="AC2556" s="9" t="s">
        <v>12925</v>
      </c>
      <c r="AH2556" s="9">
        <v>2110</v>
      </c>
      <c r="AI2556" s="9" t="s">
        <v>77</v>
      </c>
      <c r="AJ2556" s="9" t="s">
        <v>301</v>
      </c>
      <c r="AK2556" s="23"/>
      <c r="AL2556" s="23"/>
      <c r="AM2556" s="26"/>
      <c r="AN2556" s="9"/>
      <c r="AO2556" s="9"/>
      <c r="AP2556" s="9"/>
      <c r="AQ2556" s="54" t="str">
        <f t="shared" si="22"/>
        <v>Fully OA</v>
      </c>
      <c r="AR2556" s="52"/>
      <c r="AS2556" s="52" t="s">
        <v>12926</v>
      </c>
    </row>
    <row r="2557" spans="1:45" ht="14.5">
      <c r="A2557" s="9" t="s">
        <v>12927</v>
      </c>
      <c r="B2557" s="9" t="s">
        <v>12928</v>
      </c>
      <c r="C2557" s="9" t="s">
        <v>12929</v>
      </c>
      <c r="D2557" s="9" t="s">
        <v>870</v>
      </c>
      <c r="E2557" s="9" t="s">
        <v>49</v>
      </c>
      <c r="F2557" s="9" t="s">
        <v>69</v>
      </c>
      <c r="G2557" s="9" t="s">
        <v>70</v>
      </c>
      <c r="H2557" s="9" t="s">
        <v>12285</v>
      </c>
      <c r="I2557" s="9" t="s">
        <v>291</v>
      </c>
      <c r="J2557" s="10"/>
      <c r="K2557" s="10">
        <v>45327</v>
      </c>
      <c r="L2557" s="50">
        <v>45341</v>
      </c>
      <c r="M2557" s="10"/>
      <c r="N2557" s="9">
        <v>2024</v>
      </c>
      <c r="O2557" s="9" t="s">
        <v>12831</v>
      </c>
      <c r="P2557" s="9" t="s">
        <v>53</v>
      </c>
      <c r="Q2557" s="9" t="s">
        <v>53</v>
      </c>
      <c r="R2557" s="9" t="s">
        <v>12930</v>
      </c>
      <c r="S2557" s="9"/>
      <c r="T2557" s="9"/>
      <c r="V2557" s="9"/>
      <c r="AC2557" s="9" t="s">
        <v>12931</v>
      </c>
      <c r="AH2557" s="18">
        <v>2390</v>
      </c>
      <c r="AI2557" s="9" t="s">
        <v>875</v>
      </c>
      <c r="AJ2557" s="9" t="s">
        <v>301</v>
      </c>
      <c r="AK2557" s="23" t="str">
        <f t="shared" ref="AK2557:AK2558" si="27">CONCATENATE(N2557,AJ2557)</f>
        <v>2024GBP</v>
      </c>
      <c r="AL2557" s="23">
        <f>VLOOKUP(AK2557, Exchange_rates!$C:$D, 2, FALSE)</f>
        <v>1</v>
      </c>
      <c r="AM2557" s="26">
        <f t="shared" ref="AM2557:AM2558" si="28">IFERROR(((AH2557*AL2557)*1.2), "")</f>
        <v>2868</v>
      </c>
      <c r="AN2557" s="9"/>
      <c r="AO2557" s="9"/>
      <c r="AP2557" s="9"/>
      <c r="AQ2557" s="54" t="str">
        <f t="shared" si="22"/>
        <v>Hybrid</v>
      </c>
      <c r="AR2557" s="52"/>
      <c r="AS2557" s="52" t="s">
        <v>12932</v>
      </c>
    </row>
    <row r="2558" spans="1:45" ht="14.5">
      <c r="A2558" s="9" t="s">
        <v>12933</v>
      </c>
      <c r="B2558" s="9" t="s">
        <v>12934</v>
      </c>
      <c r="C2558" s="9" t="s">
        <v>9218</v>
      </c>
      <c r="D2558" s="9" t="s">
        <v>870</v>
      </c>
      <c r="E2558" s="9" t="s">
        <v>49</v>
      </c>
      <c r="F2558" s="9" t="s">
        <v>69</v>
      </c>
      <c r="G2558" s="9" t="s">
        <v>70</v>
      </c>
      <c r="H2558" s="9" t="s">
        <v>12285</v>
      </c>
      <c r="I2558" s="20" t="s">
        <v>72</v>
      </c>
      <c r="J2558" s="10"/>
      <c r="K2558" s="10">
        <v>45332</v>
      </c>
      <c r="L2558" s="50">
        <v>45341</v>
      </c>
      <c r="M2558" s="10"/>
      <c r="N2558" s="9">
        <v>2024</v>
      </c>
      <c r="O2558" s="9" t="s">
        <v>12831</v>
      </c>
      <c r="P2558" s="9" t="s">
        <v>53</v>
      </c>
      <c r="Q2558" s="9" t="s">
        <v>53</v>
      </c>
      <c r="R2558" s="9" t="s">
        <v>12935</v>
      </c>
      <c r="S2558" s="9"/>
      <c r="T2558" s="9"/>
      <c r="V2558" s="9"/>
      <c r="AC2558" s="9" t="s">
        <v>12936</v>
      </c>
      <c r="AH2558" s="18">
        <v>2980</v>
      </c>
      <c r="AI2558" s="9" t="s">
        <v>875</v>
      </c>
      <c r="AJ2558" s="9" t="s">
        <v>301</v>
      </c>
      <c r="AK2558" s="23" t="str">
        <f t="shared" si="27"/>
        <v>2024GBP</v>
      </c>
      <c r="AL2558" s="23">
        <f>VLOOKUP(AK2558, Exchange_rates!$C:$D, 2, FALSE)</f>
        <v>1</v>
      </c>
      <c r="AM2558" s="26">
        <f t="shared" si="28"/>
        <v>3576</v>
      </c>
      <c r="AN2558" s="9"/>
      <c r="AO2558" s="9"/>
      <c r="AP2558" s="9"/>
      <c r="AQ2558" s="54" t="str">
        <f t="shared" si="22"/>
        <v>Hybrid</v>
      </c>
      <c r="AR2558" s="52"/>
      <c r="AS2558" s="52" t="s">
        <v>9221</v>
      </c>
    </row>
    <row r="2559" spans="1:45" ht="14.5">
      <c r="A2559" s="9" t="s">
        <v>12937</v>
      </c>
      <c r="B2559" s="9" t="s">
        <v>12938</v>
      </c>
      <c r="C2559" s="9" t="s">
        <v>12939</v>
      </c>
      <c r="D2559" s="9" t="s">
        <v>870</v>
      </c>
      <c r="E2559" s="9" t="s">
        <v>125</v>
      </c>
      <c r="F2559" s="9" t="s">
        <v>69</v>
      </c>
      <c r="G2559" s="9" t="s">
        <v>51</v>
      </c>
      <c r="H2559" s="9"/>
      <c r="I2559" s="20" t="s">
        <v>72</v>
      </c>
      <c r="J2559" s="10"/>
      <c r="K2559" s="10">
        <v>45323</v>
      </c>
      <c r="L2559" s="50">
        <v>45342</v>
      </c>
      <c r="M2559" s="10"/>
      <c r="N2559" s="9">
        <v>2024</v>
      </c>
      <c r="O2559" s="9" t="s">
        <v>12831</v>
      </c>
      <c r="P2559" s="9" t="s">
        <v>53</v>
      </c>
      <c r="Q2559" s="9" t="s">
        <v>53</v>
      </c>
      <c r="R2559" s="9" t="s">
        <v>12940</v>
      </c>
      <c r="S2559" s="9"/>
      <c r="T2559" s="9" t="s">
        <v>279</v>
      </c>
      <c r="U2559" s="9" t="s">
        <v>12833</v>
      </c>
      <c r="V2559" s="9"/>
      <c r="AC2559" s="9" t="s">
        <v>12941</v>
      </c>
      <c r="AH2559" s="9">
        <v>3200</v>
      </c>
      <c r="AI2559" s="9" t="s">
        <v>77</v>
      </c>
      <c r="AJ2559" s="9" t="s">
        <v>301</v>
      </c>
      <c r="AK2559" s="23"/>
      <c r="AL2559" s="23"/>
      <c r="AM2559" s="26"/>
      <c r="AN2559" s="9"/>
      <c r="AO2559" s="9"/>
      <c r="AP2559" s="9"/>
      <c r="AQ2559" s="54" t="str">
        <f t="shared" si="22"/>
        <v>Fully OA</v>
      </c>
      <c r="AR2559" s="52"/>
      <c r="AS2559" s="52" t="s">
        <v>12942</v>
      </c>
    </row>
    <row r="2560" spans="1:45" ht="14.5">
      <c r="A2560" s="9" t="s">
        <v>12943</v>
      </c>
      <c r="B2560" s="9" t="s">
        <v>12944</v>
      </c>
      <c r="C2560" s="9" t="s">
        <v>12945</v>
      </c>
      <c r="D2560" s="9" t="s">
        <v>870</v>
      </c>
      <c r="E2560" s="9" t="s">
        <v>49</v>
      </c>
      <c r="F2560" s="9" t="s">
        <v>69</v>
      </c>
      <c r="G2560" s="9" t="s">
        <v>70</v>
      </c>
      <c r="H2560" s="9" t="s">
        <v>12285</v>
      </c>
      <c r="I2560" s="9" t="s">
        <v>238</v>
      </c>
      <c r="J2560" s="10"/>
      <c r="K2560" s="10">
        <v>45334</v>
      </c>
      <c r="L2560" s="50">
        <v>45350</v>
      </c>
      <c r="M2560" s="10"/>
      <c r="N2560" s="9">
        <v>2024</v>
      </c>
      <c r="O2560" s="9" t="s">
        <v>12831</v>
      </c>
      <c r="P2560" s="9" t="s">
        <v>53</v>
      </c>
      <c r="Q2560" s="9" t="s">
        <v>53</v>
      </c>
      <c r="R2560" s="9" t="s">
        <v>12588</v>
      </c>
      <c r="S2560" s="9"/>
      <c r="T2560" s="9"/>
      <c r="V2560" s="9"/>
      <c r="AC2560" s="9" t="s">
        <v>12946</v>
      </c>
      <c r="AH2560" s="18">
        <v>2230</v>
      </c>
      <c r="AI2560" s="9" t="s">
        <v>875</v>
      </c>
      <c r="AJ2560" s="9" t="s">
        <v>301</v>
      </c>
      <c r="AK2560" s="23" t="str">
        <f t="shared" ref="AK2560:AK2562" si="29">CONCATENATE(N2560,AJ2560)</f>
        <v>2024GBP</v>
      </c>
      <c r="AL2560" s="23">
        <f>VLOOKUP(AK2560, Exchange_rates!$C:$D, 2, FALSE)</f>
        <v>1</v>
      </c>
      <c r="AM2560" s="26">
        <f t="shared" ref="AM2560:AM2562" si="30">IFERROR(((AH2560*AL2560)*1.2), "")</f>
        <v>2676</v>
      </c>
      <c r="AN2560" s="9"/>
      <c r="AO2560" s="9"/>
      <c r="AP2560" s="9"/>
      <c r="AQ2560" s="54" t="str">
        <f t="shared" si="22"/>
        <v>Hybrid</v>
      </c>
      <c r="AR2560" s="52"/>
      <c r="AS2560" s="52" t="s">
        <v>12947</v>
      </c>
    </row>
    <row r="2561" spans="1:45" ht="14.5">
      <c r="A2561" s="9" t="s">
        <v>12948</v>
      </c>
      <c r="B2561" s="9" t="s">
        <v>12949</v>
      </c>
      <c r="C2561" s="9" t="s">
        <v>9207</v>
      </c>
      <c r="D2561" s="9" t="s">
        <v>870</v>
      </c>
      <c r="E2561" s="9" t="s">
        <v>49</v>
      </c>
      <c r="F2561" s="9" t="s">
        <v>69</v>
      </c>
      <c r="G2561" s="9" t="s">
        <v>70</v>
      </c>
      <c r="H2561" s="9" t="s">
        <v>12285</v>
      </c>
      <c r="I2561" s="20" t="s">
        <v>72</v>
      </c>
      <c r="J2561" s="10"/>
      <c r="K2561" s="10">
        <v>45341</v>
      </c>
      <c r="L2561" s="50">
        <v>45350</v>
      </c>
      <c r="M2561" s="10"/>
      <c r="N2561" s="9">
        <v>2024</v>
      </c>
      <c r="O2561" s="9" t="s">
        <v>12831</v>
      </c>
      <c r="P2561" s="9" t="s">
        <v>53</v>
      </c>
      <c r="Q2561" s="9" t="s">
        <v>53</v>
      </c>
      <c r="R2561" s="9" t="s">
        <v>12950</v>
      </c>
      <c r="S2561" s="9"/>
      <c r="T2561" s="9"/>
      <c r="V2561" s="9"/>
      <c r="AC2561" s="9" t="s">
        <v>12951</v>
      </c>
      <c r="AH2561" s="18">
        <v>2570</v>
      </c>
      <c r="AI2561" s="9" t="s">
        <v>875</v>
      </c>
      <c r="AJ2561" s="9" t="s">
        <v>301</v>
      </c>
      <c r="AK2561" s="23" t="str">
        <f t="shared" si="29"/>
        <v>2024GBP</v>
      </c>
      <c r="AL2561" s="23">
        <f>VLOOKUP(AK2561, Exchange_rates!$C:$D, 2, FALSE)</f>
        <v>1</v>
      </c>
      <c r="AM2561" s="26">
        <f t="shared" si="30"/>
        <v>3084</v>
      </c>
      <c r="AN2561" s="9"/>
      <c r="AO2561" s="9"/>
      <c r="AP2561" s="9"/>
      <c r="AQ2561" s="54" t="str">
        <f t="shared" si="22"/>
        <v>Hybrid</v>
      </c>
      <c r="AR2561" s="52"/>
      <c r="AS2561" s="52" t="s">
        <v>9209</v>
      </c>
    </row>
    <row r="2562" spans="1:45" ht="14.5">
      <c r="A2562" s="9" t="s">
        <v>12952</v>
      </c>
      <c r="B2562" s="9" t="s">
        <v>12953</v>
      </c>
      <c r="C2562" s="9" t="s">
        <v>12954</v>
      </c>
      <c r="D2562" s="9" t="s">
        <v>870</v>
      </c>
      <c r="E2562" s="9" t="s">
        <v>49</v>
      </c>
      <c r="F2562" s="9" t="s">
        <v>69</v>
      </c>
      <c r="G2562" s="9" t="s">
        <v>70</v>
      </c>
      <c r="H2562" s="9" t="s">
        <v>12285</v>
      </c>
      <c r="I2562" s="20" t="s">
        <v>72</v>
      </c>
      <c r="J2562" s="10"/>
      <c r="K2562" s="10">
        <v>45346</v>
      </c>
      <c r="L2562" s="50">
        <v>45359</v>
      </c>
      <c r="M2562" s="10"/>
      <c r="N2562" s="9">
        <v>2024</v>
      </c>
      <c r="O2562" s="9" t="s">
        <v>12831</v>
      </c>
      <c r="P2562" s="9" t="s">
        <v>53</v>
      </c>
      <c r="Q2562" s="9" t="s">
        <v>53</v>
      </c>
      <c r="R2562" s="9" t="s">
        <v>12955</v>
      </c>
      <c r="S2562" s="9"/>
      <c r="T2562" s="9"/>
      <c r="V2562" s="9"/>
      <c r="AC2562" s="9" t="s">
        <v>12956</v>
      </c>
      <c r="AH2562" s="18">
        <v>2770</v>
      </c>
      <c r="AI2562" s="9" t="s">
        <v>875</v>
      </c>
      <c r="AJ2562" s="9" t="s">
        <v>301</v>
      </c>
      <c r="AK2562" s="23" t="str">
        <f t="shared" si="29"/>
        <v>2024GBP</v>
      </c>
      <c r="AL2562" s="23">
        <f>VLOOKUP(AK2562, Exchange_rates!$C:$D, 2, FALSE)</f>
        <v>1</v>
      </c>
      <c r="AM2562" s="26">
        <f t="shared" si="30"/>
        <v>3324</v>
      </c>
      <c r="AN2562" s="9"/>
      <c r="AO2562" s="9"/>
      <c r="AP2562" s="9"/>
      <c r="AQ2562" s="54" t="str">
        <f t="shared" si="22"/>
        <v>Hybrid</v>
      </c>
      <c r="AR2562" s="52"/>
      <c r="AS2562" s="52" t="s">
        <v>12957</v>
      </c>
    </row>
    <row r="2563" spans="1:45" ht="14.5">
      <c r="A2563" s="9" t="s">
        <v>12958</v>
      </c>
      <c r="B2563" s="9" t="s">
        <v>12959</v>
      </c>
      <c r="C2563" s="9" t="s">
        <v>12960</v>
      </c>
      <c r="D2563" s="9" t="s">
        <v>870</v>
      </c>
      <c r="E2563" s="9" t="s">
        <v>125</v>
      </c>
      <c r="F2563" s="9" t="s">
        <v>69</v>
      </c>
      <c r="G2563" s="9" t="s">
        <v>51</v>
      </c>
      <c r="H2563" s="9"/>
      <c r="I2563" s="20" t="s">
        <v>72</v>
      </c>
      <c r="J2563" s="10"/>
      <c r="K2563" s="10">
        <v>45327</v>
      </c>
      <c r="L2563" s="50">
        <v>45441</v>
      </c>
      <c r="M2563" s="10"/>
      <c r="N2563" s="9">
        <v>2024</v>
      </c>
      <c r="O2563" s="9" t="s">
        <v>12831</v>
      </c>
      <c r="P2563" s="9" t="s">
        <v>83</v>
      </c>
      <c r="Q2563" s="9" t="s">
        <v>83</v>
      </c>
      <c r="R2563" s="9" t="s">
        <v>12961</v>
      </c>
      <c r="S2563" s="9"/>
      <c r="T2563" s="9" t="s">
        <v>279</v>
      </c>
      <c r="U2563" s="9" t="s">
        <v>12833</v>
      </c>
      <c r="V2563" s="9"/>
      <c r="AC2563" s="9" t="s">
        <v>12962</v>
      </c>
      <c r="AH2563" s="9">
        <v>4630</v>
      </c>
      <c r="AI2563" s="9" t="s">
        <v>77</v>
      </c>
      <c r="AJ2563" s="9" t="s">
        <v>301</v>
      </c>
      <c r="AK2563" s="23"/>
      <c r="AL2563" s="23"/>
      <c r="AM2563" s="26"/>
      <c r="AN2563" s="9"/>
      <c r="AO2563" s="9"/>
      <c r="AP2563" s="9"/>
      <c r="AQ2563" s="54" t="str">
        <f t="shared" si="22"/>
        <v>Fully OA</v>
      </c>
      <c r="AR2563" s="52"/>
      <c r="AS2563" s="52" t="s">
        <v>12963</v>
      </c>
    </row>
    <row r="2564" spans="1:45" ht="14.5">
      <c r="A2564" s="9" t="s">
        <v>12964</v>
      </c>
      <c r="B2564" s="9" t="s">
        <v>12965</v>
      </c>
      <c r="C2564" s="9" t="s">
        <v>9336</v>
      </c>
      <c r="D2564" s="9" t="s">
        <v>870</v>
      </c>
      <c r="E2564" s="9" t="s">
        <v>49</v>
      </c>
      <c r="F2564" s="9" t="s">
        <v>69</v>
      </c>
      <c r="G2564" s="9" t="s">
        <v>70</v>
      </c>
      <c r="H2564" s="9" t="s">
        <v>12285</v>
      </c>
      <c r="I2564" s="20" t="s">
        <v>72</v>
      </c>
      <c r="J2564" s="10"/>
      <c r="K2564" s="10">
        <v>45348</v>
      </c>
      <c r="L2564" s="50">
        <v>45351</v>
      </c>
      <c r="M2564" s="10"/>
      <c r="N2564" s="9">
        <v>2024</v>
      </c>
      <c r="O2564" s="9" t="s">
        <v>12831</v>
      </c>
      <c r="P2564" s="9" t="s">
        <v>53</v>
      </c>
      <c r="Q2564" s="9" t="s">
        <v>53</v>
      </c>
      <c r="R2564" s="9" t="s">
        <v>12966</v>
      </c>
      <c r="S2564" s="9"/>
      <c r="T2564" s="9"/>
      <c r="V2564" s="9"/>
      <c r="AC2564" s="9" t="s">
        <v>12967</v>
      </c>
      <c r="AH2564" s="18">
        <v>2680</v>
      </c>
      <c r="AI2564" s="9" t="s">
        <v>875</v>
      </c>
      <c r="AJ2564" s="9" t="s">
        <v>301</v>
      </c>
      <c r="AK2564" s="23" t="str">
        <f>CONCATENATE(N2564,AJ2564)</f>
        <v>2024GBP</v>
      </c>
      <c r="AL2564" s="23">
        <f>VLOOKUP(AK2564, Exchange_rates!$C:$D, 2, FALSE)</f>
        <v>1</v>
      </c>
      <c r="AM2564" s="26">
        <f>IFERROR(((AH2564*AL2564)*1.2), "")</f>
        <v>3216</v>
      </c>
      <c r="AN2564" s="9"/>
      <c r="AO2564" s="9"/>
      <c r="AP2564" s="9"/>
      <c r="AQ2564" s="54" t="str">
        <f t="shared" si="22"/>
        <v>Hybrid</v>
      </c>
      <c r="AR2564" s="52"/>
      <c r="AS2564" s="52" t="s">
        <v>9338</v>
      </c>
    </row>
    <row r="2565" spans="1:45" ht="14.5">
      <c r="A2565" s="9" t="s">
        <v>12968</v>
      </c>
      <c r="B2565" s="9" t="s">
        <v>12969</v>
      </c>
      <c r="C2565" s="9" t="s">
        <v>11370</v>
      </c>
      <c r="D2565" s="9" t="s">
        <v>870</v>
      </c>
      <c r="E2565" s="9" t="s">
        <v>125</v>
      </c>
      <c r="F2565" s="9" t="s">
        <v>69</v>
      </c>
      <c r="G2565" s="9" t="s">
        <v>51</v>
      </c>
      <c r="H2565" s="9"/>
      <c r="I2565" s="20" t="s">
        <v>72</v>
      </c>
      <c r="J2565" s="10"/>
      <c r="K2565" s="10">
        <v>45355</v>
      </c>
      <c r="L2565" s="50">
        <v>45364</v>
      </c>
      <c r="M2565" s="10"/>
      <c r="N2565" s="9">
        <v>2024</v>
      </c>
      <c r="O2565" s="9" t="s">
        <v>12831</v>
      </c>
      <c r="P2565" s="9" t="s">
        <v>53</v>
      </c>
      <c r="Q2565" s="9" t="s">
        <v>53</v>
      </c>
      <c r="R2565" s="9" t="s">
        <v>12588</v>
      </c>
      <c r="S2565" s="9"/>
      <c r="T2565" s="9" t="s">
        <v>279</v>
      </c>
      <c r="U2565" s="9" t="s">
        <v>12833</v>
      </c>
      <c r="V2565" s="9"/>
      <c r="AC2565" s="9" t="s">
        <v>12970</v>
      </c>
      <c r="AH2565" s="9">
        <v>3190</v>
      </c>
      <c r="AI2565" s="9" t="s">
        <v>77</v>
      </c>
      <c r="AJ2565" s="9" t="s">
        <v>301</v>
      </c>
      <c r="AK2565" s="23"/>
      <c r="AL2565" s="23"/>
      <c r="AM2565" s="26"/>
      <c r="AN2565" s="9"/>
      <c r="AO2565" s="9"/>
      <c r="AP2565" s="9"/>
      <c r="AQ2565" s="54" t="str">
        <f t="shared" si="22"/>
        <v>Fully OA</v>
      </c>
      <c r="AR2565" s="52"/>
      <c r="AS2565" s="52" t="s">
        <v>11372</v>
      </c>
    </row>
    <row r="2566" spans="1:45" ht="14.5">
      <c r="A2566" s="9" t="s">
        <v>12971</v>
      </c>
      <c r="B2566" s="9" t="s">
        <v>12972</v>
      </c>
      <c r="C2566" s="9" t="s">
        <v>12973</v>
      </c>
      <c r="D2566" s="9" t="s">
        <v>870</v>
      </c>
      <c r="E2566" s="9" t="s">
        <v>49</v>
      </c>
      <c r="F2566" s="9" t="s">
        <v>69</v>
      </c>
      <c r="G2566" s="9" t="s">
        <v>70</v>
      </c>
      <c r="H2566" s="9" t="s">
        <v>12285</v>
      </c>
      <c r="I2566" s="20" t="s">
        <v>72</v>
      </c>
      <c r="J2566" s="10"/>
      <c r="K2566" s="10">
        <v>45356</v>
      </c>
      <c r="L2566" s="50">
        <v>45365</v>
      </c>
      <c r="M2566" s="10"/>
      <c r="N2566" s="9">
        <v>2024</v>
      </c>
      <c r="O2566" s="9" t="s">
        <v>12831</v>
      </c>
      <c r="P2566" s="9" t="s">
        <v>53</v>
      </c>
      <c r="Q2566" s="9" t="s">
        <v>53</v>
      </c>
      <c r="R2566" s="9" t="s">
        <v>12974</v>
      </c>
      <c r="S2566" s="9"/>
      <c r="T2566" s="9"/>
      <c r="V2566" s="9"/>
      <c r="AC2566" s="9" t="s">
        <v>12975</v>
      </c>
      <c r="AH2566" s="18">
        <v>2440</v>
      </c>
      <c r="AI2566" s="9" t="s">
        <v>875</v>
      </c>
      <c r="AJ2566" s="9" t="s">
        <v>301</v>
      </c>
      <c r="AK2566" s="23" t="str">
        <f t="shared" ref="AK2566:AK2569" si="31">CONCATENATE(N2566,AJ2566)</f>
        <v>2024GBP</v>
      </c>
      <c r="AL2566" s="23">
        <f>VLOOKUP(AK2566, Exchange_rates!$C:$D, 2, FALSE)</f>
        <v>1</v>
      </c>
      <c r="AM2566" s="26">
        <f t="shared" ref="AM2566:AM2569" si="32">IFERROR(((AH2566*AL2566)*1.2), "")</f>
        <v>2928</v>
      </c>
      <c r="AN2566" s="9"/>
      <c r="AO2566" s="9"/>
      <c r="AP2566" s="9"/>
      <c r="AQ2566" s="54" t="str">
        <f t="shared" si="22"/>
        <v>Hybrid</v>
      </c>
      <c r="AR2566" s="52"/>
      <c r="AS2566" s="52" t="s">
        <v>12976</v>
      </c>
    </row>
    <row r="2567" spans="1:45" ht="14.5">
      <c r="A2567" s="9" t="s">
        <v>12977</v>
      </c>
      <c r="B2567" s="9" t="s">
        <v>12978</v>
      </c>
      <c r="C2567" s="9" t="s">
        <v>9173</v>
      </c>
      <c r="D2567" s="9" t="s">
        <v>870</v>
      </c>
      <c r="E2567" s="9" t="s">
        <v>49</v>
      </c>
      <c r="F2567" s="9" t="s">
        <v>69</v>
      </c>
      <c r="G2567" s="9" t="s">
        <v>70</v>
      </c>
      <c r="H2567" s="9" t="s">
        <v>12285</v>
      </c>
      <c r="I2567" s="20" t="s">
        <v>72</v>
      </c>
      <c r="J2567" s="10"/>
      <c r="K2567" s="10">
        <v>45342</v>
      </c>
      <c r="L2567" s="50">
        <v>45358</v>
      </c>
      <c r="M2567" s="10"/>
      <c r="N2567" s="9">
        <v>2024</v>
      </c>
      <c r="O2567" s="9" t="s">
        <v>12831</v>
      </c>
      <c r="P2567" s="9" t="s">
        <v>53</v>
      </c>
      <c r="Q2567" s="9" t="s">
        <v>53</v>
      </c>
      <c r="R2567" s="9" t="s">
        <v>12979</v>
      </c>
      <c r="S2567" s="9"/>
      <c r="T2567" s="9"/>
      <c r="V2567" s="9"/>
      <c r="AC2567" s="9" t="s">
        <v>12980</v>
      </c>
      <c r="AH2567" s="18">
        <v>2560</v>
      </c>
      <c r="AI2567" s="9" t="s">
        <v>875</v>
      </c>
      <c r="AJ2567" s="9" t="s">
        <v>301</v>
      </c>
      <c r="AK2567" s="23" t="str">
        <f t="shared" si="31"/>
        <v>2024GBP</v>
      </c>
      <c r="AL2567" s="23">
        <f>VLOOKUP(AK2567, Exchange_rates!$C:$D, 2, FALSE)</f>
        <v>1</v>
      </c>
      <c r="AM2567" s="26">
        <f t="shared" si="32"/>
        <v>3072</v>
      </c>
      <c r="AN2567" s="9"/>
      <c r="AO2567" s="9"/>
      <c r="AP2567" s="9"/>
      <c r="AQ2567" s="54" t="str">
        <f t="shared" si="22"/>
        <v>Hybrid</v>
      </c>
      <c r="AR2567" s="52"/>
      <c r="AS2567" s="52" t="s">
        <v>9177</v>
      </c>
    </row>
    <row r="2568" spans="1:45" ht="14.5">
      <c r="A2568" s="9" t="s">
        <v>12981</v>
      </c>
      <c r="B2568" s="9" t="s">
        <v>12982</v>
      </c>
      <c r="C2568" s="9" t="s">
        <v>12983</v>
      </c>
      <c r="D2568" s="9" t="s">
        <v>870</v>
      </c>
      <c r="E2568" s="9" t="s">
        <v>49</v>
      </c>
      <c r="F2568" s="9" t="s">
        <v>69</v>
      </c>
      <c r="G2568" s="9" t="s">
        <v>70</v>
      </c>
      <c r="H2568" s="9" t="s">
        <v>12285</v>
      </c>
      <c r="I2568" s="20" t="s">
        <v>72</v>
      </c>
      <c r="J2568" s="10"/>
      <c r="K2568" s="10">
        <v>45361</v>
      </c>
      <c r="L2568" s="50">
        <v>45364</v>
      </c>
      <c r="M2568" s="10"/>
      <c r="N2568" s="9">
        <v>2024</v>
      </c>
      <c r="O2568" s="9" t="s">
        <v>12831</v>
      </c>
      <c r="P2568" s="9" t="s">
        <v>53</v>
      </c>
      <c r="Q2568" s="9" t="s">
        <v>53</v>
      </c>
      <c r="R2568" s="9" t="s">
        <v>12588</v>
      </c>
      <c r="S2568" s="9"/>
      <c r="T2568" s="9"/>
      <c r="V2568" s="9"/>
      <c r="AC2568" s="9" t="s">
        <v>12984</v>
      </c>
      <c r="AH2568" s="18">
        <v>3620</v>
      </c>
      <c r="AI2568" s="9" t="s">
        <v>875</v>
      </c>
      <c r="AJ2568" s="9" t="s">
        <v>301</v>
      </c>
      <c r="AK2568" s="23" t="str">
        <f t="shared" si="31"/>
        <v>2024GBP</v>
      </c>
      <c r="AL2568" s="23">
        <f>VLOOKUP(AK2568, Exchange_rates!$C:$D, 2, FALSE)</f>
        <v>1</v>
      </c>
      <c r="AM2568" s="26">
        <f t="shared" si="32"/>
        <v>4344</v>
      </c>
      <c r="AN2568" s="9"/>
      <c r="AO2568" s="9"/>
      <c r="AP2568" s="9"/>
      <c r="AQ2568" s="54" t="str">
        <f t="shared" si="22"/>
        <v>Hybrid</v>
      </c>
      <c r="AR2568" s="52"/>
      <c r="AS2568" s="52" t="s">
        <v>12985</v>
      </c>
    </row>
    <row r="2569" spans="1:45" ht="14.5">
      <c r="A2569" s="9" t="s">
        <v>12986</v>
      </c>
      <c r="B2569" s="9" t="s">
        <v>12987</v>
      </c>
      <c r="C2569" s="9" t="s">
        <v>7506</v>
      </c>
      <c r="D2569" s="9" t="s">
        <v>870</v>
      </c>
      <c r="E2569" s="9" t="s">
        <v>49</v>
      </c>
      <c r="F2569" s="9" t="s">
        <v>69</v>
      </c>
      <c r="G2569" s="9" t="s">
        <v>70</v>
      </c>
      <c r="H2569" s="9" t="s">
        <v>12285</v>
      </c>
      <c r="I2569" s="20" t="s">
        <v>72</v>
      </c>
      <c r="J2569" s="10"/>
      <c r="K2569" s="10">
        <v>45362</v>
      </c>
      <c r="L2569" s="50">
        <v>45376</v>
      </c>
      <c r="M2569" s="10"/>
      <c r="N2569" s="9">
        <v>2024</v>
      </c>
      <c r="O2569" s="9" t="s">
        <v>12831</v>
      </c>
      <c r="P2569" s="9" t="s">
        <v>53</v>
      </c>
      <c r="Q2569" s="9" t="s">
        <v>53</v>
      </c>
      <c r="R2569" s="9" t="s">
        <v>12988</v>
      </c>
      <c r="S2569" s="9"/>
      <c r="T2569" s="9"/>
      <c r="V2569" s="9"/>
      <c r="AC2569" s="9" t="s">
        <v>7508</v>
      </c>
      <c r="AH2569" s="18">
        <v>3260</v>
      </c>
      <c r="AI2569" s="9" t="s">
        <v>875</v>
      </c>
      <c r="AJ2569" s="9" t="s">
        <v>301</v>
      </c>
      <c r="AK2569" s="23" t="str">
        <f t="shared" si="31"/>
        <v>2024GBP</v>
      </c>
      <c r="AL2569" s="23">
        <f>VLOOKUP(AK2569, Exchange_rates!$C:$D, 2, FALSE)</f>
        <v>1</v>
      </c>
      <c r="AM2569" s="26">
        <f t="shared" si="32"/>
        <v>3912</v>
      </c>
      <c r="AN2569" s="9"/>
      <c r="AO2569" s="9"/>
      <c r="AP2569" s="9"/>
      <c r="AQ2569" s="54" t="str">
        <f t="shared" si="22"/>
        <v>Hybrid</v>
      </c>
      <c r="AR2569" s="52"/>
      <c r="AS2569" s="52" t="s">
        <v>7509</v>
      </c>
    </row>
    <row r="2570" spans="1:45" ht="14.5">
      <c r="A2570" s="9" t="s">
        <v>12989</v>
      </c>
      <c r="B2570" s="9" t="s">
        <v>12990</v>
      </c>
      <c r="C2570" s="9" t="s">
        <v>12991</v>
      </c>
      <c r="D2570" s="9" t="s">
        <v>870</v>
      </c>
      <c r="E2570" s="9" t="s">
        <v>125</v>
      </c>
      <c r="F2570" s="9" t="s">
        <v>69</v>
      </c>
      <c r="G2570" s="9" t="s">
        <v>51</v>
      </c>
      <c r="H2570" s="9"/>
      <c r="I2570" s="20" t="s">
        <v>72</v>
      </c>
      <c r="J2570" s="10"/>
      <c r="K2570" s="10">
        <v>45368</v>
      </c>
      <c r="L2570" s="50">
        <v>45376</v>
      </c>
      <c r="M2570" s="10"/>
      <c r="N2570" s="9">
        <v>2024</v>
      </c>
      <c r="O2570" s="9" t="s">
        <v>12831</v>
      </c>
      <c r="P2570" s="9" t="s">
        <v>53</v>
      </c>
      <c r="Q2570" s="9" t="s">
        <v>53</v>
      </c>
      <c r="R2570" s="9" t="s">
        <v>12992</v>
      </c>
      <c r="S2570" s="9"/>
      <c r="T2570" s="9" t="s">
        <v>279</v>
      </c>
      <c r="U2570" s="9" t="s">
        <v>12833</v>
      </c>
      <c r="V2570" s="9"/>
      <c r="AC2570" s="9" t="s">
        <v>12904</v>
      </c>
      <c r="AH2570" s="9">
        <v>2390</v>
      </c>
      <c r="AI2570" s="9" t="s">
        <v>77</v>
      </c>
      <c r="AJ2570" s="9" t="s">
        <v>301</v>
      </c>
      <c r="AK2570" s="23"/>
      <c r="AL2570" s="23"/>
      <c r="AM2570" s="26"/>
      <c r="AN2570" s="9"/>
      <c r="AO2570" s="9"/>
      <c r="AP2570" s="9"/>
      <c r="AQ2570" s="54" t="str">
        <f t="shared" si="22"/>
        <v>Fully OA</v>
      </c>
      <c r="AR2570" s="52"/>
      <c r="AS2570" s="52" t="s">
        <v>12993</v>
      </c>
    </row>
    <row r="2571" spans="1:45" ht="14.5">
      <c r="A2571" s="9" t="s">
        <v>12994</v>
      </c>
      <c r="B2571" s="9" t="s">
        <v>12995</v>
      </c>
      <c r="C2571" s="9" t="s">
        <v>7964</v>
      </c>
      <c r="D2571" s="9" t="s">
        <v>870</v>
      </c>
      <c r="E2571" s="9" t="s">
        <v>49</v>
      </c>
      <c r="F2571" s="9" t="s">
        <v>69</v>
      </c>
      <c r="G2571" s="9" t="s">
        <v>70</v>
      </c>
      <c r="H2571" s="9" t="s">
        <v>12285</v>
      </c>
      <c r="I2571" s="20" t="s">
        <v>72</v>
      </c>
      <c r="J2571" s="10"/>
      <c r="K2571" s="10">
        <v>45375</v>
      </c>
      <c r="L2571" s="50">
        <v>45384</v>
      </c>
      <c r="M2571" s="10"/>
      <c r="N2571" s="9">
        <v>2024</v>
      </c>
      <c r="O2571" s="9" t="s">
        <v>12831</v>
      </c>
      <c r="P2571" s="9" t="s">
        <v>83</v>
      </c>
      <c r="Q2571" s="9" t="s">
        <v>53</v>
      </c>
      <c r="R2571" s="9" t="s">
        <v>12996</v>
      </c>
      <c r="S2571" s="9"/>
      <c r="T2571" s="9"/>
      <c r="V2571" s="9"/>
      <c r="AC2571" s="9" t="s">
        <v>7966</v>
      </c>
      <c r="AH2571" s="18">
        <v>2280</v>
      </c>
      <c r="AI2571" s="9" t="s">
        <v>875</v>
      </c>
      <c r="AJ2571" s="9" t="s">
        <v>301</v>
      </c>
      <c r="AK2571" s="23" t="str">
        <f t="shared" ref="AK2571:AK2585" si="33">CONCATENATE(N2571,AJ2571)</f>
        <v>2024GBP</v>
      </c>
      <c r="AL2571" s="23">
        <f>VLOOKUP(AK2571, Exchange_rates!$C:$D, 2, FALSE)</f>
        <v>1</v>
      </c>
      <c r="AM2571" s="26">
        <f t="shared" ref="AM2571:AM2585" si="34">IFERROR(((AH2571*AL2571)*1.2), "")</f>
        <v>2736</v>
      </c>
      <c r="AN2571" s="9"/>
      <c r="AO2571" s="9"/>
      <c r="AP2571" s="9"/>
      <c r="AQ2571" s="54" t="str">
        <f t="shared" si="22"/>
        <v>Hybrid</v>
      </c>
      <c r="AR2571" s="52"/>
      <c r="AS2571" s="52" t="s">
        <v>7967</v>
      </c>
    </row>
    <row r="2572" spans="1:45" ht="14.5">
      <c r="A2572" s="9" t="s">
        <v>12997</v>
      </c>
      <c r="B2572" s="9" t="s">
        <v>12998</v>
      </c>
      <c r="C2572" s="9" t="s">
        <v>12999</v>
      </c>
      <c r="D2572" s="9" t="s">
        <v>870</v>
      </c>
      <c r="E2572" s="9" t="s">
        <v>49</v>
      </c>
      <c r="F2572" s="9" t="s">
        <v>69</v>
      </c>
      <c r="G2572" s="9" t="s">
        <v>70</v>
      </c>
      <c r="H2572" s="9" t="s">
        <v>12285</v>
      </c>
      <c r="I2572" s="20" t="s">
        <v>72</v>
      </c>
      <c r="J2572" s="10"/>
      <c r="K2572" s="10">
        <v>45372</v>
      </c>
      <c r="L2572" s="50">
        <v>45386</v>
      </c>
      <c r="M2572" s="10"/>
      <c r="N2572" s="9">
        <v>2024</v>
      </c>
      <c r="O2572" s="9" t="s">
        <v>12831</v>
      </c>
      <c r="P2572" s="9" t="s">
        <v>53</v>
      </c>
      <c r="Q2572" s="9" t="s">
        <v>53</v>
      </c>
      <c r="R2572" s="9" t="s">
        <v>13000</v>
      </c>
      <c r="S2572" s="9"/>
      <c r="T2572" s="9"/>
      <c r="V2572" s="9"/>
      <c r="AC2572" s="9" t="s">
        <v>13001</v>
      </c>
      <c r="AH2572" s="18">
        <v>2720</v>
      </c>
      <c r="AI2572" s="9" t="s">
        <v>875</v>
      </c>
      <c r="AJ2572" s="9" t="s">
        <v>301</v>
      </c>
      <c r="AK2572" s="23" t="str">
        <f t="shared" si="33"/>
        <v>2024GBP</v>
      </c>
      <c r="AL2572" s="23">
        <f>VLOOKUP(AK2572, Exchange_rates!$C:$D, 2, FALSE)</f>
        <v>1</v>
      </c>
      <c r="AM2572" s="26">
        <f t="shared" si="34"/>
        <v>3264</v>
      </c>
      <c r="AN2572" s="9"/>
      <c r="AO2572" s="9"/>
      <c r="AP2572" s="9"/>
      <c r="AQ2572" s="54" t="str">
        <f t="shared" si="22"/>
        <v>Hybrid</v>
      </c>
      <c r="AR2572" s="52"/>
      <c r="AS2572" s="52" t="s">
        <v>13002</v>
      </c>
    </row>
    <row r="2573" spans="1:45" ht="14.5">
      <c r="A2573" s="9" t="s">
        <v>13003</v>
      </c>
      <c r="B2573" s="9" t="s">
        <v>13004</v>
      </c>
      <c r="C2573" s="9" t="s">
        <v>9173</v>
      </c>
      <c r="D2573" s="9" t="s">
        <v>870</v>
      </c>
      <c r="E2573" s="9" t="s">
        <v>49</v>
      </c>
      <c r="F2573" s="9" t="s">
        <v>69</v>
      </c>
      <c r="G2573" s="9" t="s">
        <v>70</v>
      </c>
      <c r="H2573" s="9" t="s">
        <v>12285</v>
      </c>
      <c r="I2573" s="20" t="s">
        <v>72</v>
      </c>
      <c r="J2573" s="10"/>
      <c r="K2573" s="10">
        <v>45365</v>
      </c>
      <c r="L2573" s="50">
        <v>45377</v>
      </c>
      <c r="M2573" s="10"/>
      <c r="N2573" s="9">
        <v>2024</v>
      </c>
      <c r="O2573" s="9" t="s">
        <v>12831</v>
      </c>
      <c r="P2573" s="9" t="s">
        <v>53</v>
      </c>
      <c r="Q2573" s="9" t="s">
        <v>53</v>
      </c>
      <c r="R2573" s="9" t="s">
        <v>13005</v>
      </c>
      <c r="S2573" s="9"/>
      <c r="T2573" s="9"/>
      <c r="V2573" s="9"/>
      <c r="AC2573" s="9" t="s">
        <v>13006</v>
      </c>
      <c r="AH2573" s="18">
        <v>2560</v>
      </c>
      <c r="AI2573" s="9" t="s">
        <v>875</v>
      </c>
      <c r="AJ2573" s="9" t="s">
        <v>301</v>
      </c>
      <c r="AK2573" s="23" t="str">
        <f t="shared" si="33"/>
        <v>2024GBP</v>
      </c>
      <c r="AL2573" s="23">
        <f>VLOOKUP(AK2573, Exchange_rates!$C:$D, 2, FALSE)</f>
        <v>1</v>
      </c>
      <c r="AM2573" s="26">
        <f t="shared" si="34"/>
        <v>3072</v>
      </c>
      <c r="AN2573" s="9"/>
      <c r="AO2573" s="9"/>
      <c r="AP2573" s="9"/>
      <c r="AQ2573" s="54" t="str">
        <f t="shared" si="22"/>
        <v>Hybrid</v>
      </c>
      <c r="AR2573" s="52"/>
      <c r="AS2573" s="52" t="s">
        <v>9177</v>
      </c>
    </row>
    <row r="2574" spans="1:45" ht="14.5">
      <c r="A2574" s="9" t="s">
        <v>13007</v>
      </c>
      <c r="B2574" s="9" t="s">
        <v>13008</v>
      </c>
      <c r="C2574" s="9" t="s">
        <v>13009</v>
      </c>
      <c r="D2574" s="9" t="s">
        <v>870</v>
      </c>
      <c r="E2574" s="9" t="s">
        <v>49</v>
      </c>
      <c r="F2574" s="9" t="s">
        <v>69</v>
      </c>
      <c r="G2574" s="9" t="s">
        <v>70</v>
      </c>
      <c r="H2574" s="9" t="s">
        <v>12285</v>
      </c>
      <c r="I2574" s="9" t="s">
        <v>291</v>
      </c>
      <c r="J2574" s="10"/>
      <c r="K2574" s="10">
        <v>45382</v>
      </c>
      <c r="L2574" s="50">
        <v>45391</v>
      </c>
      <c r="M2574" s="10"/>
      <c r="N2574" s="9">
        <v>2024</v>
      </c>
      <c r="O2574" s="9" t="s">
        <v>12831</v>
      </c>
      <c r="P2574" s="9" t="s">
        <v>53</v>
      </c>
      <c r="Q2574" s="9" t="s">
        <v>53</v>
      </c>
      <c r="R2574" s="9" t="s">
        <v>13010</v>
      </c>
      <c r="S2574" s="9"/>
      <c r="T2574" s="9"/>
      <c r="V2574" s="9"/>
      <c r="AC2574" s="9" t="s">
        <v>13011</v>
      </c>
      <c r="AH2574" s="18">
        <v>2730</v>
      </c>
      <c r="AI2574" s="9" t="s">
        <v>875</v>
      </c>
      <c r="AJ2574" s="9" t="s">
        <v>301</v>
      </c>
      <c r="AK2574" s="23" t="str">
        <f t="shared" si="33"/>
        <v>2024GBP</v>
      </c>
      <c r="AL2574" s="23">
        <f>VLOOKUP(AK2574, Exchange_rates!$C:$D, 2, FALSE)</f>
        <v>1</v>
      </c>
      <c r="AM2574" s="26">
        <f t="shared" si="34"/>
        <v>3276</v>
      </c>
      <c r="AN2574" s="9"/>
      <c r="AO2574" s="9"/>
      <c r="AP2574" s="9"/>
      <c r="AQ2574" s="54" t="str">
        <f t="shared" si="22"/>
        <v>Hybrid</v>
      </c>
      <c r="AR2574" s="52"/>
      <c r="AS2574" s="52" t="s">
        <v>13012</v>
      </c>
    </row>
    <row r="2575" spans="1:45" ht="14.5">
      <c r="A2575" s="9" t="s">
        <v>13013</v>
      </c>
      <c r="B2575" s="9" t="s">
        <v>13014</v>
      </c>
      <c r="C2575" s="9" t="s">
        <v>11365</v>
      </c>
      <c r="D2575" s="9" t="s">
        <v>870</v>
      </c>
      <c r="E2575" s="9" t="s">
        <v>49</v>
      </c>
      <c r="F2575" s="9" t="s">
        <v>69</v>
      </c>
      <c r="G2575" s="9" t="s">
        <v>70</v>
      </c>
      <c r="H2575" s="9" t="s">
        <v>12285</v>
      </c>
      <c r="I2575" s="20" t="s">
        <v>72</v>
      </c>
      <c r="J2575" s="10"/>
      <c r="K2575" s="10">
        <v>45351</v>
      </c>
      <c r="L2575" s="50">
        <v>45398</v>
      </c>
      <c r="M2575" s="10"/>
      <c r="N2575" s="9">
        <v>2024</v>
      </c>
      <c r="O2575" s="9" t="s">
        <v>12831</v>
      </c>
      <c r="P2575" s="9" t="s">
        <v>83</v>
      </c>
      <c r="Q2575" s="9" t="s">
        <v>53</v>
      </c>
      <c r="R2575" s="9" t="s">
        <v>13015</v>
      </c>
      <c r="S2575" s="9"/>
      <c r="T2575" s="9"/>
      <c r="V2575" s="9"/>
      <c r="AC2575" s="9" t="s">
        <v>13016</v>
      </c>
      <c r="AH2575" s="18">
        <v>2430</v>
      </c>
      <c r="AI2575" s="9" t="s">
        <v>875</v>
      </c>
      <c r="AJ2575" s="9" t="s">
        <v>301</v>
      </c>
      <c r="AK2575" s="23" t="str">
        <f t="shared" si="33"/>
        <v>2024GBP</v>
      </c>
      <c r="AL2575" s="23">
        <f>VLOOKUP(AK2575, Exchange_rates!$C:$D, 2, FALSE)</f>
        <v>1</v>
      </c>
      <c r="AM2575" s="26">
        <f t="shared" si="34"/>
        <v>2916</v>
      </c>
      <c r="AN2575" s="9"/>
      <c r="AO2575" s="9"/>
      <c r="AP2575" s="9"/>
      <c r="AQ2575" s="54" t="str">
        <f t="shared" si="22"/>
        <v>Hybrid</v>
      </c>
      <c r="AR2575" s="52"/>
      <c r="AS2575" s="52" t="s">
        <v>11367</v>
      </c>
    </row>
    <row r="2576" spans="1:45" ht="14.5">
      <c r="A2576" s="9" t="s">
        <v>13017</v>
      </c>
      <c r="B2576" s="9" t="s">
        <v>13018</v>
      </c>
      <c r="C2576" s="9" t="s">
        <v>975</v>
      </c>
      <c r="D2576" s="9" t="s">
        <v>870</v>
      </c>
      <c r="E2576" s="9" t="s">
        <v>49</v>
      </c>
      <c r="F2576" s="9" t="s">
        <v>69</v>
      </c>
      <c r="G2576" s="9" t="s">
        <v>70</v>
      </c>
      <c r="H2576" s="9" t="s">
        <v>12285</v>
      </c>
      <c r="I2576" s="20" t="s">
        <v>72</v>
      </c>
      <c r="J2576" s="10"/>
      <c r="K2576" s="10">
        <v>45387</v>
      </c>
      <c r="L2576" s="50">
        <v>45391</v>
      </c>
      <c r="M2576" s="10"/>
      <c r="N2576" s="9">
        <v>2024</v>
      </c>
      <c r="O2576" s="9" t="s">
        <v>12831</v>
      </c>
      <c r="P2576" s="9" t="s">
        <v>53</v>
      </c>
      <c r="Q2576" s="9" t="s">
        <v>53</v>
      </c>
      <c r="R2576" s="9" t="s">
        <v>12588</v>
      </c>
      <c r="S2576" s="9"/>
      <c r="T2576" s="9"/>
      <c r="V2576" s="9"/>
      <c r="AC2576" s="9" t="s">
        <v>13019</v>
      </c>
      <c r="AH2576" s="18">
        <v>2500</v>
      </c>
      <c r="AI2576" s="9" t="s">
        <v>875</v>
      </c>
      <c r="AJ2576" s="9" t="s">
        <v>301</v>
      </c>
      <c r="AK2576" s="23" t="str">
        <f t="shared" si="33"/>
        <v>2024GBP</v>
      </c>
      <c r="AL2576" s="23">
        <f>VLOOKUP(AK2576, Exchange_rates!$C:$D, 2, FALSE)</f>
        <v>1</v>
      </c>
      <c r="AM2576" s="26">
        <f t="shared" si="34"/>
        <v>3000</v>
      </c>
      <c r="AN2576" s="9"/>
      <c r="AO2576" s="9"/>
      <c r="AP2576" s="9"/>
      <c r="AQ2576" s="54" t="str">
        <f t="shared" si="22"/>
        <v>Hybrid</v>
      </c>
      <c r="AR2576" s="52"/>
      <c r="AS2576" s="52" t="s">
        <v>978</v>
      </c>
    </row>
    <row r="2577" spans="1:45" ht="14.5">
      <c r="A2577" s="9" t="s">
        <v>13020</v>
      </c>
      <c r="B2577" s="9" t="s">
        <v>13021</v>
      </c>
      <c r="C2577" s="9" t="s">
        <v>13022</v>
      </c>
      <c r="D2577" s="9" t="s">
        <v>870</v>
      </c>
      <c r="E2577" s="9" t="s">
        <v>49</v>
      </c>
      <c r="F2577" s="9" t="s">
        <v>69</v>
      </c>
      <c r="G2577" s="9" t="s">
        <v>70</v>
      </c>
      <c r="H2577" s="9" t="s">
        <v>12285</v>
      </c>
      <c r="I2577" s="20" t="s">
        <v>72</v>
      </c>
      <c r="J2577" s="10"/>
      <c r="K2577" s="10">
        <v>45377</v>
      </c>
      <c r="L2577" s="50">
        <v>45390</v>
      </c>
      <c r="M2577" s="10"/>
      <c r="N2577" s="9">
        <v>2024</v>
      </c>
      <c r="O2577" s="9" t="s">
        <v>12831</v>
      </c>
      <c r="P2577" s="9" t="s">
        <v>83</v>
      </c>
      <c r="Q2577" s="9" t="s">
        <v>83</v>
      </c>
      <c r="R2577" s="9" t="s">
        <v>13023</v>
      </c>
      <c r="S2577" s="9"/>
      <c r="T2577" s="9"/>
      <c r="V2577" s="9"/>
      <c r="AC2577" s="9" t="s">
        <v>13024</v>
      </c>
      <c r="AH2577" s="18">
        <v>2610</v>
      </c>
      <c r="AI2577" s="9" t="s">
        <v>875</v>
      </c>
      <c r="AJ2577" s="9" t="s">
        <v>301</v>
      </c>
      <c r="AK2577" s="23" t="str">
        <f t="shared" si="33"/>
        <v>2024GBP</v>
      </c>
      <c r="AL2577" s="23">
        <f>VLOOKUP(AK2577, Exchange_rates!$C:$D, 2, FALSE)</f>
        <v>1</v>
      </c>
      <c r="AM2577" s="26">
        <f t="shared" si="34"/>
        <v>3132</v>
      </c>
      <c r="AN2577" s="9"/>
      <c r="AO2577" s="9"/>
      <c r="AP2577" s="9"/>
      <c r="AQ2577" s="54" t="str">
        <f t="shared" si="22"/>
        <v>Hybrid</v>
      </c>
      <c r="AR2577" s="52"/>
      <c r="AS2577" s="52" t="s">
        <v>13025</v>
      </c>
    </row>
    <row r="2578" spans="1:45" ht="14.5">
      <c r="A2578" s="9" t="s">
        <v>13026</v>
      </c>
      <c r="B2578" s="9" t="s">
        <v>13027</v>
      </c>
      <c r="C2578" s="9" t="s">
        <v>7518</v>
      </c>
      <c r="D2578" s="9" t="s">
        <v>870</v>
      </c>
      <c r="E2578" s="9" t="s">
        <v>49</v>
      </c>
      <c r="F2578" s="9" t="s">
        <v>69</v>
      </c>
      <c r="G2578" s="9" t="s">
        <v>70</v>
      </c>
      <c r="H2578" s="9" t="s">
        <v>12285</v>
      </c>
      <c r="I2578" s="20" t="s">
        <v>72</v>
      </c>
      <c r="J2578" s="10"/>
      <c r="K2578" s="10">
        <v>45356</v>
      </c>
      <c r="L2578" s="50">
        <v>45393</v>
      </c>
      <c r="M2578" s="10"/>
      <c r="N2578" s="9">
        <v>2024</v>
      </c>
      <c r="O2578" s="9" t="s">
        <v>12831</v>
      </c>
      <c r="P2578" s="9" t="s">
        <v>53</v>
      </c>
      <c r="Q2578" s="9" t="s">
        <v>53</v>
      </c>
      <c r="R2578" s="9" t="s">
        <v>13028</v>
      </c>
      <c r="S2578" s="9"/>
      <c r="T2578" s="9"/>
      <c r="V2578" s="9"/>
      <c r="AC2578" s="9" t="s">
        <v>13029</v>
      </c>
      <c r="AH2578" s="18">
        <v>2510</v>
      </c>
      <c r="AI2578" s="9" t="s">
        <v>875</v>
      </c>
      <c r="AJ2578" s="9" t="s">
        <v>301</v>
      </c>
      <c r="AK2578" s="23" t="str">
        <f t="shared" si="33"/>
        <v>2024GBP</v>
      </c>
      <c r="AL2578" s="23">
        <f>VLOOKUP(AK2578, Exchange_rates!$C:$D, 2, FALSE)</f>
        <v>1</v>
      </c>
      <c r="AM2578" s="26">
        <f t="shared" si="34"/>
        <v>3012</v>
      </c>
      <c r="AN2578" s="9"/>
      <c r="AO2578" s="9"/>
      <c r="AP2578" s="9"/>
      <c r="AQ2578" s="54" t="str">
        <f t="shared" si="22"/>
        <v>Hybrid</v>
      </c>
      <c r="AR2578" s="52"/>
      <c r="AS2578" s="52" t="s">
        <v>7521</v>
      </c>
    </row>
    <row r="2579" spans="1:45" ht="14.5">
      <c r="A2579" s="9" t="s">
        <v>13030</v>
      </c>
      <c r="B2579" s="9" t="s">
        <v>13031</v>
      </c>
      <c r="C2579" s="9" t="s">
        <v>13032</v>
      </c>
      <c r="D2579" s="9" t="s">
        <v>870</v>
      </c>
      <c r="E2579" s="9" t="s">
        <v>49</v>
      </c>
      <c r="F2579" s="9" t="s">
        <v>69</v>
      </c>
      <c r="G2579" s="9" t="s">
        <v>70</v>
      </c>
      <c r="H2579" s="9" t="s">
        <v>12285</v>
      </c>
      <c r="I2579" s="20" t="s">
        <v>72</v>
      </c>
      <c r="J2579" s="10"/>
      <c r="K2579" s="10">
        <v>45385</v>
      </c>
      <c r="L2579" s="50">
        <v>45392</v>
      </c>
      <c r="M2579" s="10"/>
      <c r="N2579" s="9">
        <v>2024</v>
      </c>
      <c r="O2579" s="9" t="s">
        <v>12831</v>
      </c>
      <c r="P2579" s="9" t="s">
        <v>53</v>
      </c>
      <c r="Q2579" s="9" t="s">
        <v>53</v>
      </c>
      <c r="R2579" s="9" t="s">
        <v>12588</v>
      </c>
      <c r="S2579" s="9"/>
      <c r="T2579" s="9"/>
      <c r="V2579" s="9"/>
      <c r="AC2579" s="9" t="s">
        <v>13033</v>
      </c>
      <c r="AH2579" s="18">
        <v>3230</v>
      </c>
      <c r="AI2579" s="9" t="s">
        <v>875</v>
      </c>
      <c r="AJ2579" s="9" t="s">
        <v>301</v>
      </c>
      <c r="AK2579" s="23" t="str">
        <f t="shared" si="33"/>
        <v>2024GBP</v>
      </c>
      <c r="AL2579" s="23">
        <f>VLOOKUP(AK2579, Exchange_rates!$C:$D, 2, FALSE)</f>
        <v>1</v>
      </c>
      <c r="AM2579" s="26">
        <f t="shared" si="34"/>
        <v>3876</v>
      </c>
      <c r="AN2579" s="9"/>
      <c r="AO2579" s="9"/>
      <c r="AP2579" s="9"/>
      <c r="AQ2579" s="54" t="str">
        <f t="shared" si="22"/>
        <v>Hybrid</v>
      </c>
      <c r="AR2579" s="52"/>
      <c r="AS2579" s="52" t="s">
        <v>13034</v>
      </c>
    </row>
    <row r="2580" spans="1:45" ht="14.5">
      <c r="A2580" s="9" t="s">
        <v>13035</v>
      </c>
      <c r="B2580" s="9" t="s">
        <v>13036</v>
      </c>
      <c r="C2580" s="9" t="s">
        <v>7547</v>
      </c>
      <c r="D2580" s="9" t="s">
        <v>870</v>
      </c>
      <c r="E2580" s="9" t="s">
        <v>49</v>
      </c>
      <c r="F2580" s="9" t="s">
        <v>69</v>
      </c>
      <c r="G2580" s="9" t="s">
        <v>70</v>
      </c>
      <c r="H2580" s="9" t="s">
        <v>12285</v>
      </c>
      <c r="I2580" s="20" t="s">
        <v>72</v>
      </c>
      <c r="J2580" s="10"/>
      <c r="K2580" s="10">
        <v>45392</v>
      </c>
      <c r="L2580" s="50">
        <v>45411</v>
      </c>
      <c r="M2580" s="10"/>
      <c r="N2580" s="9">
        <v>2024</v>
      </c>
      <c r="O2580" s="9" t="s">
        <v>12831</v>
      </c>
      <c r="P2580" s="9" t="s">
        <v>53</v>
      </c>
      <c r="Q2580" s="9" t="s">
        <v>53</v>
      </c>
      <c r="R2580" s="9" t="s">
        <v>12588</v>
      </c>
      <c r="S2580" s="9"/>
      <c r="T2580" s="9"/>
      <c r="V2580" s="9"/>
      <c r="AC2580" s="9" t="s">
        <v>13037</v>
      </c>
      <c r="AH2580" s="18">
        <v>3270</v>
      </c>
      <c r="AI2580" s="9" t="s">
        <v>875</v>
      </c>
      <c r="AJ2580" s="9" t="s">
        <v>301</v>
      </c>
      <c r="AK2580" s="23" t="str">
        <f t="shared" si="33"/>
        <v>2024GBP</v>
      </c>
      <c r="AL2580" s="23">
        <f>VLOOKUP(AK2580, Exchange_rates!$C:$D, 2, FALSE)</f>
        <v>1</v>
      </c>
      <c r="AM2580" s="26">
        <f t="shared" si="34"/>
        <v>3924</v>
      </c>
      <c r="AN2580" s="9"/>
      <c r="AO2580" s="9"/>
      <c r="AP2580" s="9"/>
      <c r="AQ2580" s="54" t="str">
        <f t="shared" si="22"/>
        <v>Hybrid</v>
      </c>
      <c r="AR2580" s="52"/>
      <c r="AS2580" s="52" t="s">
        <v>7550</v>
      </c>
    </row>
    <row r="2581" spans="1:45" ht="14.5">
      <c r="A2581" s="9" t="s">
        <v>13038</v>
      </c>
      <c r="B2581" s="9" t="s">
        <v>13039</v>
      </c>
      <c r="C2581" s="9" t="s">
        <v>13040</v>
      </c>
      <c r="D2581" s="9" t="s">
        <v>870</v>
      </c>
      <c r="E2581" s="9" t="s">
        <v>49</v>
      </c>
      <c r="F2581" s="9" t="s">
        <v>69</v>
      </c>
      <c r="G2581" s="9" t="s">
        <v>70</v>
      </c>
      <c r="H2581" s="9" t="s">
        <v>12285</v>
      </c>
      <c r="I2581" s="20" t="s">
        <v>72</v>
      </c>
      <c r="J2581" s="10"/>
      <c r="K2581" s="10">
        <v>45393</v>
      </c>
      <c r="L2581" s="50">
        <v>45398</v>
      </c>
      <c r="M2581" s="10"/>
      <c r="N2581" s="9">
        <v>2024</v>
      </c>
      <c r="O2581" s="9" t="s">
        <v>12831</v>
      </c>
      <c r="P2581" s="9" t="s">
        <v>53</v>
      </c>
      <c r="Q2581" s="9" t="s">
        <v>53</v>
      </c>
      <c r="R2581" s="9" t="s">
        <v>13041</v>
      </c>
      <c r="S2581" s="9"/>
      <c r="T2581" s="9"/>
      <c r="V2581" s="9"/>
      <c r="AC2581" s="9" t="s">
        <v>13042</v>
      </c>
      <c r="AH2581" s="18">
        <v>2760</v>
      </c>
      <c r="AI2581" s="9" t="s">
        <v>875</v>
      </c>
      <c r="AJ2581" s="9" t="s">
        <v>301</v>
      </c>
      <c r="AK2581" s="23" t="str">
        <f t="shared" si="33"/>
        <v>2024GBP</v>
      </c>
      <c r="AL2581" s="23">
        <f>VLOOKUP(AK2581, Exchange_rates!$C:$D, 2, FALSE)</f>
        <v>1</v>
      </c>
      <c r="AM2581" s="26">
        <f t="shared" si="34"/>
        <v>3312</v>
      </c>
      <c r="AN2581" s="9"/>
      <c r="AO2581" s="9"/>
      <c r="AP2581" s="9"/>
      <c r="AQ2581" s="54" t="str">
        <f t="shared" si="22"/>
        <v>Hybrid</v>
      </c>
      <c r="AR2581" s="52"/>
      <c r="AS2581" s="52" t="s">
        <v>13043</v>
      </c>
    </row>
    <row r="2582" spans="1:45" ht="14.5">
      <c r="A2582" s="9" t="s">
        <v>13044</v>
      </c>
      <c r="B2582" s="9" t="s">
        <v>13045</v>
      </c>
      <c r="C2582" s="9" t="s">
        <v>11347</v>
      </c>
      <c r="D2582" s="9" t="s">
        <v>870</v>
      </c>
      <c r="E2582" s="9" t="s">
        <v>49</v>
      </c>
      <c r="F2582" s="9" t="s">
        <v>69</v>
      </c>
      <c r="G2582" s="9" t="s">
        <v>70</v>
      </c>
      <c r="H2582" s="9" t="s">
        <v>12285</v>
      </c>
      <c r="I2582" s="20" t="s">
        <v>72</v>
      </c>
      <c r="J2582" s="10"/>
      <c r="K2582" s="10">
        <v>45386</v>
      </c>
      <c r="L2582" s="50">
        <v>45397</v>
      </c>
      <c r="M2582" s="10"/>
      <c r="N2582" s="9">
        <v>2024</v>
      </c>
      <c r="O2582" s="9" t="s">
        <v>12831</v>
      </c>
      <c r="P2582" s="9" t="s">
        <v>83</v>
      </c>
      <c r="Q2582" s="9" t="s">
        <v>53</v>
      </c>
      <c r="R2582" s="9" t="s">
        <v>13046</v>
      </c>
      <c r="S2582" s="9"/>
      <c r="T2582" s="9"/>
      <c r="V2582" s="9"/>
      <c r="AC2582" s="9" t="s">
        <v>13047</v>
      </c>
      <c r="AH2582" s="18">
        <v>1970</v>
      </c>
      <c r="AI2582" s="9" t="s">
        <v>875</v>
      </c>
      <c r="AJ2582" s="9" t="s">
        <v>301</v>
      </c>
      <c r="AK2582" s="23" t="str">
        <f t="shared" si="33"/>
        <v>2024GBP</v>
      </c>
      <c r="AL2582" s="23">
        <f>VLOOKUP(AK2582, Exchange_rates!$C:$D, 2, FALSE)</f>
        <v>1</v>
      </c>
      <c r="AM2582" s="26">
        <f t="shared" si="34"/>
        <v>2364</v>
      </c>
      <c r="AN2582" s="9"/>
      <c r="AO2582" s="9"/>
      <c r="AP2582" s="9"/>
      <c r="AQ2582" s="54" t="str">
        <f t="shared" si="22"/>
        <v>Hybrid</v>
      </c>
      <c r="AR2582" s="52"/>
      <c r="AS2582" s="52" t="s">
        <v>11349</v>
      </c>
    </row>
    <row r="2583" spans="1:45" ht="14.5">
      <c r="A2583" s="9" t="s">
        <v>13048</v>
      </c>
      <c r="B2583" s="9" t="s">
        <v>13049</v>
      </c>
      <c r="C2583" s="9" t="s">
        <v>13009</v>
      </c>
      <c r="D2583" s="9" t="s">
        <v>870</v>
      </c>
      <c r="E2583" s="9" t="s">
        <v>49</v>
      </c>
      <c r="F2583" s="9" t="s">
        <v>69</v>
      </c>
      <c r="G2583" s="9" t="s">
        <v>70</v>
      </c>
      <c r="H2583" s="9" t="s">
        <v>12285</v>
      </c>
      <c r="I2583" s="20" t="s">
        <v>72</v>
      </c>
      <c r="J2583" s="10"/>
      <c r="K2583" s="10">
        <v>45397</v>
      </c>
      <c r="L2583" s="50">
        <v>45419</v>
      </c>
      <c r="M2583" s="10"/>
      <c r="N2583" s="9">
        <v>2024</v>
      </c>
      <c r="O2583" s="9" t="s">
        <v>12831</v>
      </c>
      <c r="P2583" s="9" t="s">
        <v>53</v>
      </c>
      <c r="Q2583" s="9" t="s">
        <v>53</v>
      </c>
      <c r="R2583" s="9" t="s">
        <v>13050</v>
      </c>
      <c r="S2583" s="9"/>
      <c r="T2583" s="9"/>
      <c r="V2583" s="9"/>
      <c r="AC2583" s="9" t="s">
        <v>13051</v>
      </c>
      <c r="AH2583" s="18">
        <v>2730</v>
      </c>
      <c r="AI2583" s="9" t="s">
        <v>875</v>
      </c>
      <c r="AJ2583" s="9" t="s">
        <v>301</v>
      </c>
      <c r="AK2583" s="23" t="str">
        <f t="shared" si="33"/>
        <v>2024GBP</v>
      </c>
      <c r="AL2583" s="23">
        <f>VLOOKUP(AK2583, Exchange_rates!$C:$D, 2, FALSE)</f>
        <v>1</v>
      </c>
      <c r="AM2583" s="26">
        <f t="shared" si="34"/>
        <v>3276</v>
      </c>
      <c r="AN2583" s="9"/>
      <c r="AO2583" s="9"/>
      <c r="AP2583" s="9"/>
      <c r="AQ2583" s="54" t="str">
        <f t="shared" si="22"/>
        <v>Hybrid</v>
      </c>
      <c r="AR2583" s="52"/>
      <c r="AS2583" s="52" t="s">
        <v>13012</v>
      </c>
    </row>
    <row r="2584" spans="1:45" ht="14.5">
      <c r="A2584" s="9" t="s">
        <v>13052</v>
      </c>
      <c r="B2584" s="9" t="s">
        <v>13053</v>
      </c>
      <c r="C2584" s="9" t="s">
        <v>7970</v>
      </c>
      <c r="D2584" s="9" t="s">
        <v>870</v>
      </c>
      <c r="E2584" s="9" t="s">
        <v>49</v>
      </c>
      <c r="F2584" s="9" t="s">
        <v>69</v>
      </c>
      <c r="G2584" s="9" t="s">
        <v>70</v>
      </c>
      <c r="H2584" s="9" t="s">
        <v>12285</v>
      </c>
      <c r="I2584" s="20" t="s">
        <v>72</v>
      </c>
      <c r="J2584" s="10"/>
      <c r="K2584" s="10">
        <v>45406</v>
      </c>
      <c r="L2584" s="50">
        <v>45425</v>
      </c>
      <c r="M2584" s="10"/>
      <c r="N2584" s="9">
        <v>2024</v>
      </c>
      <c r="O2584" s="9" t="s">
        <v>12831</v>
      </c>
      <c r="P2584" s="9" t="s">
        <v>53</v>
      </c>
      <c r="Q2584" s="9" t="s">
        <v>53</v>
      </c>
      <c r="R2584" s="9" t="s">
        <v>13054</v>
      </c>
      <c r="S2584" s="9"/>
      <c r="T2584" s="9"/>
      <c r="V2584" s="9"/>
      <c r="AC2584" s="9" t="s">
        <v>7972</v>
      </c>
      <c r="AH2584" s="18">
        <v>2750</v>
      </c>
      <c r="AI2584" s="9" t="s">
        <v>875</v>
      </c>
      <c r="AJ2584" s="9" t="s">
        <v>301</v>
      </c>
      <c r="AK2584" s="23" t="str">
        <f t="shared" si="33"/>
        <v>2024GBP</v>
      </c>
      <c r="AL2584" s="23">
        <f>VLOOKUP(AK2584, Exchange_rates!$C:$D, 2, FALSE)</f>
        <v>1</v>
      </c>
      <c r="AM2584" s="26">
        <f t="shared" si="34"/>
        <v>3300</v>
      </c>
      <c r="AN2584" s="9"/>
      <c r="AO2584" s="9"/>
      <c r="AP2584" s="9"/>
      <c r="AQ2584" s="54" t="str">
        <f t="shared" si="22"/>
        <v>Hybrid</v>
      </c>
      <c r="AR2584" s="52"/>
      <c r="AS2584" s="52" t="s">
        <v>7973</v>
      </c>
    </row>
    <row r="2585" spans="1:45" ht="14.5">
      <c r="A2585" s="9" t="s">
        <v>13055</v>
      </c>
      <c r="B2585" s="9" t="s">
        <v>13056</v>
      </c>
      <c r="C2585" s="9" t="s">
        <v>7473</v>
      </c>
      <c r="D2585" s="9" t="s">
        <v>870</v>
      </c>
      <c r="E2585" s="9" t="s">
        <v>49</v>
      </c>
      <c r="F2585" s="9" t="s">
        <v>69</v>
      </c>
      <c r="G2585" s="9" t="s">
        <v>70</v>
      </c>
      <c r="H2585" s="9" t="s">
        <v>12285</v>
      </c>
      <c r="I2585" s="20" t="s">
        <v>72</v>
      </c>
      <c r="J2585" s="10"/>
      <c r="K2585" s="10">
        <v>45397</v>
      </c>
      <c r="L2585" s="50">
        <v>45411</v>
      </c>
      <c r="M2585" s="10"/>
      <c r="N2585" s="9">
        <v>2024</v>
      </c>
      <c r="O2585" s="9" t="s">
        <v>12831</v>
      </c>
      <c r="P2585" s="9" t="s">
        <v>53</v>
      </c>
      <c r="Q2585" s="9" t="s">
        <v>83</v>
      </c>
      <c r="R2585" s="9" t="s">
        <v>13057</v>
      </c>
      <c r="S2585" s="9"/>
      <c r="T2585" s="9"/>
      <c r="V2585" s="9"/>
      <c r="AC2585" s="9" t="s">
        <v>13058</v>
      </c>
      <c r="AH2585" s="18">
        <v>2540</v>
      </c>
      <c r="AI2585" s="9" t="s">
        <v>875</v>
      </c>
      <c r="AJ2585" s="9" t="s">
        <v>301</v>
      </c>
      <c r="AK2585" s="23" t="str">
        <f t="shared" si="33"/>
        <v>2024GBP</v>
      </c>
      <c r="AL2585" s="23">
        <f>VLOOKUP(AK2585, Exchange_rates!$C:$D, 2, FALSE)</f>
        <v>1</v>
      </c>
      <c r="AM2585" s="26">
        <f t="shared" si="34"/>
        <v>3048</v>
      </c>
      <c r="AN2585" s="9"/>
      <c r="AO2585" s="9"/>
      <c r="AP2585" s="9"/>
      <c r="AQ2585" s="54" t="str">
        <f t="shared" si="22"/>
        <v>Hybrid</v>
      </c>
      <c r="AR2585" s="52"/>
      <c r="AS2585" s="52" t="s">
        <v>7475</v>
      </c>
    </row>
    <row r="2586" spans="1:45" ht="14.5">
      <c r="A2586" s="9" t="s">
        <v>13059</v>
      </c>
      <c r="B2586" s="9" t="s">
        <v>13060</v>
      </c>
      <c r="C2586" s="9" t="s">
        <v>7512</v>
      </c>
      <c r="D2586" s="9" t="s">
        <v>870</v>
      </c>
      <c r="E2586" s="9" t="s">
        <v>125</v>
      </c>
      <c r="F2586" s="9" t="s">
        <v>69</v>
      </c>
      <c r="G2586" s="9" t="s">
        <v>51</v>
      </c>
      <c r="H2586" s="9"/>
      <c r="I2586" s="20" t="s">
        <v>72</v>
      </c>
      <c r="J2586" s="10"/>
      <c r="K2586" s="10">
        <v>45407</v>
      </c>
      <c r="L2586" s="50">
        <v>45419</v>
      </c>
      <c r="M2586" s="10"/>
      <c r="N2586" s="9">
        <v>2024</v>
      </c>
      <c r="O2586" s="9" t="s">
        <v>12831</v>
      </c>
      <c r="P2586" s="9" t="s">
        <v>83</v>
      </c>
      <c r="Q2586" s="9" t="s">
        <v>53</v>
      </c>
      <c r="R2586" s="9" t="s">
        <v>13061</v>
      </c>
      <c r="S2586" s="9"/>
      <c r="T2586" s="9" t="s">
        <v>279</v>
      </c>
      <c r="U2586" s="9" t="s">
        <v>12833</v>
      </c>
      <c r="V2586" s="9"/>
      <c r="AC2586" s="9" t="s">
        <v>13062</v>
      </c>
      <c r="AH2586" s="9">
        <v>2520</v>
      </c>
      <c r="AI2586" s="9" t="s">
        <v>77</v>
      </c>
      <c r="AJ2586" s="9" t="s">
        <v>301</v>
      </c>
      <c r="AK2586" s="23"/>
      <c r="AL2586" s="23"/>
      <c r="AM2586" s="26"/>
      <c r="AN2586" s="9"/>
      <c r="AO2586" s="9"/>
      <c r="AP2586" s="9"/>
      <c r="AQ2586" s="54" t="str">
        <f t="shared" si="22"/>
        <v>Fully OA</v>
      </c>
      <c r="AR2586" s="52"/>
      <c r="AS2586" s="52" t="s">
        <v>7515</v>
      </c>
    </row>
    <row r="2587" spans="1:45" ht="14.5">
      <c r="A2587" s="9" t="s">
        <v>13063</v>
      </c>
      <c r="B2587" s="9" t="s">
        <v>13064</v>
      </c>
      <c r="C2587" s="9" t="s">
        <v>13065</v>
      </c>
      <c r="D2587" s="9" t="s">
        <v>870</v>
      </c>
      <c r="E2587" s="9" t="s">
        <v>49</v>
      </c>
      <c r="F2587" s="9" t="s">
        <v>69</v>
      </c>
      <c r="G2587" s="9" t="s">
        <v>70</v>
      </c>
      <c r="H2587" s="9" t="s">
        <v>12285</v>
      </c>
      <c r="I2587" s="20" t="s">
        <v>72</v>
      </c>
      <c r="J2587" s="10"/>
      <c r="K2587" s="10">
        <v>45413</v>
      </c>
      <c r="L2587" s="50">
        <v>45432</v>
      </c>
      <c r="M2587" s="10"/>
      <c r="N2587" s="9">
        <v>2024</v>
      </c>
      <c r="O2587" s="9" t="s">
        <v>12831</v>
      </c>
      <c r="P2587" s="9" t="s">
        <v>53</v>
      </c>
      <c r="Q2587" s="9" t="s">
        <v>53</v>
      </c>
      <c r="R2587" s="9" t="s">
        <v>13066</v>
      </c>
      <c r="S2587" s="9"/>
      <c r="T2587" s="9"/>
      <c r="V2587" s="9"/>
      <c r="AC2587" s="9" t="s">
        <v>13067</v>
      </c>
      <c r="AH2587" s="18">
        <v>2420</v>
      </c>
      <c r="AI2587" s="9" t="s">
        <v>875</v>
      </c>
      <c r="AJ2587" s="9" t="s">
        <v>301</v>
      </c>
      <c r="AK2587" s="23" t="str">
        <f t="shared" ref="AK2587:AK2588" si="35">CONCATENATE(N2587,AJ2587)</f>
        <v>2024GBP</v>
      </c>
      <c r="AL2587" s="23">
        <f>VLOOKUP(AK2587, Exchange_rates!$C:$D, 2, FALSE)</f>
        <v>1</v>
      </c>
      <c r="AM2587" s="26">
        <f t="shared" ref="AM2587:AM2588" si="36">IFERROR(((AH2587*AL2587)*1.2), "")</f>
        <v>2904</v>
      </c>
      <c r="AN2587" s="9"/>
      <c r="AO2587" s="9"/>
      <c r="AP2587" s="9"/>
      <c r="AQ2587" s="54" t="str">
        <f t="shared" si="22"/>
        <v>Hybrid</v>
      </c>
      <c r="AR2587" s="52"/>
      <c r="AS2587" s="52" t="s">
        <v>13068</v>
      </c>
    </row>
    <row r="2588" spans="1:45" ht="14.5">
      <c r="A2588" s="9" t="s">
        <v>13069</v>
      </c>
      <c r="B2588" s="9" t="s">
        <v>13070</v>
      </c>
      <c r="C2588" s="9" t="s">
        <v>11381</v>
      </c>
      <c r="D2588" s="9" t="s">
        <v>870</v>
      </c>
      <c r="E2588" s="9" t="s">
        <v>49</v>
      </c>
      <c r="F2588" s="9" t="s">
        <v>69</v>
      </c>
      <c r="G2588" s="9" t="s">
        <v>70</v>
      </c>
      <c r="H2588" s="9" t="s">
        <v>12285</v>
      </c>
      <c r="I2588" s="20" t="s">
        <v>72</v>
      </c>
      <c r="J2588" s="10"/>
      <c r="K2588" s="10">
        <v>45411</v>
      </c>
      <c r="L2588" s="50">
        <v>45428</v>
      </c>
      <c r="M2588" s="10"/>
      <c r="N2588" s="9">
        <v>2024</v>
      </c>
      <c r="O2588" s="9" t="s">
        <v>12831</v>
      </c>
      <c r="P2588" s="9" t="s">
        <v>53</v>
      </c>
      <c r="Q2588" s="9" t="s">
        <v>53</v>
      </c>
      <c r="R2588" s="9" t="s">
        <v>12588</v>
      </c>
      <c r="S2588" s="9"/>
      <c r="T2588" s="9"/>
      <c r="V2588" s="9"/>
      <c r="AC2588" s="9" t="s">
        <v>13071</v>
      </c>
      <c r="AH2588" s="18">
        <v>2880</v>
      </c>
      <c r="AI2588" s="9" t="s">
        <v>875</v>
      </c>
      <c r="AJ2588" s="9" t="s">
        <v>301</v>
      </c>
      <c r="AK2588" s="23" t="str">
        <f t="shared" si="35"/>
        <v>2024GBP</v>
      </c>
      <c r="AL2588" s="23">
        <f>VLOOKUP(AK2588, Exchange_rates!$C:$D, 2, FALSE)</f>
        <v>1</v>
      </c>
      <c r="AM2588" s="26">
        <f t="shared" si="36"/>
        <v>3456</v>
      </c>
      <c r="AN2588" s="9"/>
      <c r="AO2588" s="9"/>
      <c r="AP2588" s="9"/>
      <c r="AQ2588" s="54" t="str">
        <f t="shared" si="22"/>
        <v>Hybrid</v>
      </c>
      <c r="AR2588" s="52"/>
      <c r="AS2588" s="52" t="s">
        <v>11382</v>
      </c>
    </row>
    <row r="2589" spans="1:45" ht="14.5">
      <c r="A2589" s="9" t="s">
        <v>13072</v>
      </c>
      <c r="B2589" s="9" t="s">
        <v>13073</v>
      </c>
      <c r="C2589" s="9" t="s">
        <v>7541</v>
      </c>
      <c r="D2589" s="9" t="s">
        <v>870</v>
      </c>
      <c r="E2589" s="9" t="s">
        <v>125</v>
      </c>
      <c r="F2589" s="9" t="s">
        <v>69</v>
      </c>
      <c r="G2589" s="9" t="s">
        <v>51</v>
      </c>
      <c r="H2589" s="9"/>
      <c r="I2589" s="20" t="s">
        <v>72</v>
      </c>
      <c r="J2589" s="10"/>
      <c r="K2589" s="10">
        <v>45411</v>
      </c>
      <c r="L2589" s="50">
        <v>45433</v>
      </c>
      <c r="M2589" s="10"/>
      <c r="N2589" s="9">
        <v>2024</v>
      </c>
      <c r="O2589" s="9" t="s">
        <v>12831</v>
      </c>
      <c r="P2589" s="9" t="s">
        <v>53</v>
      </c>
      <c r="Q2589" s="9" t="s">
        <v>53</v>
      </c>
      <c r="R2589" s="9" t="s">
        <v>13074</v>
      </c>
      <c r="S2589" s="9"/>
      <c r="T2589" s="9" t="s">
        <v>279</v>
      </c>
      <c r="U2589" s="9" t="s">
        <v>12833</v>
      </c>
      <c r="V2589" s="9"/>
      <c r="AC2589" s="9" t="s">
        <v>13075</v>
      </c>
      <c r="AH2589" s="9">
        <v>660</v>
      </c>
      <c r="AI2589" s="9" t="s">
        <v>77</v>
      </c>
      <c r="AJ2589" s="9" t="s">
        <v>301</v>
      </c>
      <c r="AK2589" s="23"/>
      <c r="AL2589" s="23"/>
      <c r="AM2589" s="26"/>
      <c r="AN2589" s="9"/>
      <c r="AO2589" s="9"/>
      <c r="AP2589" s="9"/>
      <c r="AQ2589" s="54" t="str">
        <f t="shared" si="22"/>
        <v>Fully OA</v>
      </c>
      <c r="AR2589" s="52"/>
      <c r="AS2589" s="52" t="s">
        <v>7544</v>
      </c>
    </row>
    <row r="2590" spans="1:45" ht="14.5">
      <c r="A2590" s="9" t="s">
        <v>13076</v>
      </c>
      <c r="B2590" s="9" t="s">
        <v>13077</v>
      </c>
      <c r="C2590" s="9" t="s">
        <v>13078</v>
      </c>
      <c r="D2590" s="9" t="s">
        <v>870</v>
      </c>
      <c r="E2590" s="9" t="s">
        <v>49</v>
      </c>
      <c r="F2590" s="9" t="s">
        <v>69</v>
      </c>
      <c r="G2590" s="9" t="s">
        <v>70</v>
      </c>
      <c r="H2590" s="9" t="s">
        <v>12285</v>
      </c>
      <c r="I2590" s="20" t="s">
        <v>72</v>
      </c>
      <c r="J2590" s="10"/>
      <c r="K2590" s="10">
        <v>45419</v>
      </c>
      <c r="L2590" s="50">
        <v>45440</v>
      </c>
      <c r="M2590" s="10"/>
      <c r="N2590" s="9">
        <v>2024</v>
      </c>
      <c r="O2590" s="9" t="s">
        <v>12831</v>
      </c>
      <c r="P2590" s="9" t="s">
        <v>83</v>
      </c>
      <c r="Q2590" s="9" t="s">
        <v>83</v>
      </c>
      <c r="R2590" s="9" t="s">
        <v>13079</v>
      </c>
      <c r="S2590" s="9"/>
      <c r="T2590" s="9"/>
      <c r="V2590" s="9"/>
      <c r="AC2590" s="9" t="s">
        <v>13080</v>
      </c>
      <c r="AH2590" s="18">
        <v>5630</v>
      </c>
      <c r="AI2590" s="9" t="s">
        <v>875</v>
      </c>
      <c r="AJ2590" s="9" t="s">
        <v>301</v>
      </c>
      <c r="AK2590" s="23" t="str">
        <f>CONCATENATE(N2590,AJ2590)</f>
        <v>2024GBP</v>
      </c>
      <c r="AL2590" s="23">
        <f>VLOOKUP(AK2590, Exchange_rates!$C:$D, 2, FALSE)</f>
        <v>1</v>
      </c>
      <c r="AM2590" s="26">
        <f>IFERROR(((AH2590*AL2590)*1.2), "")</f>
        <v>6756</v>
      </c>
      <c r="AN2590" s="9"/>
      <c r="AO2590" s="9"/>
      <c r="AP2590" s="9"/>
      <c r="AQ2590" s="54" t="str">
        <f t="shared" si="22"/>
        <v>Hybrid</v>
      </c>
      <c r="AR2590" s="52"/>
      <c r="AS2590" s="52" t="s">
        <v>13081</v>
      </c>
    </row>
    <row r="2591" spans="1:45" ht="14.5">
      <c r="A2591" s="9" t="s">
        <v>13082</v>
      </c>
      <c r="B2591" s="9" t="s">
        <v>13083</v>
      </c>
      <c r="C2591" s="9" t="s">
        <v>13084</v>
      </c>
      <c r="D2591" s="9" t="s">
        <v>870</v>
      </c>
      <c r="E2591" s="9" t="s">
        <v>125</v>
      </c>
      <c r="F2591" s="9" t="s">
        <v>69</v>
      </c>
      <c r="G2591" s="9" t="s">
        <v>51</v>
      </c>
      <c r="H2591" s="9"/>
      <c r="I2591" s="20" t="s">
        <v>72</v>
      </c>
      <c r="J2591" s="10"/>
      <c r="K2591" s="10">
        <v>45421</v>
      </c>
      <c r="L2591" s="50">
        <v>45427</v>
      </c>
      <c r="M2591" s="10"/>
      <c r="N2591" s="9">
        <v>2024</v>
      </c>
      <c r="O2591" s="9" t="s">
        <v>12831</v>
      </c>
      <c r="P2591" s="9" t="s">
        <v>53</v>
      </c>
      <c r="Q2591" s="9" t="s">
        <v>53</v>
      </c>
      <c r="R2591" s="9" t="s">
        <v>13085</v>
      </c>
      <c r="S2591" s="9"/>
      <c r="T2591" s="9" t="s">
        <v>279</v>
      </c>
      <c r="U2591" s="9" t="s">
        <v>12833</v>
      </c>
      <c r="V2591" s="9"/>
      <c r="AC2591" s="9" t="s">
        <v>13086</v>
      </c>
      <c r="AH2591" s="9">
        <v>1400</v>
      </c>
      <c r="AI2591" s="9" t="s">
        <v>77</v>
      </c>
      <c r="AJ2591" s="9" t="s">
        <v>301</v>
      </c>
      <c r="AK2591" s="23"/>
      <c r="AL2591" s="23"/>
      <c r="AM2591" s="26"/>
      <c r="AN2591" s="9"/>
      <c r="AO2591" s="9"/>
      <c r="AP2591" s="9"/>
      <c r="AQ2591" s="54" t="str">
        <f t="shared" si="22"/>
        <v>Fully OA</v>
      </c>
      <c r="AR2591" s="52"/>
      <c r="AS2591" s="52" t="s">
        <v>13087</v>
      </c>
    </row>
    <row r="2592" spans="1:45" ht="14.5">
      <c r="A2592" s="9" t="s">
        <v>13088</v>
      </c>
      <c r="B2592" s="9" t="s">
        <v>13089</v>
      </c>
      <c r="C2592" s="9" t="s">
        <v>13090</v>
      </c>
      <c r="D2592" s="9" t="s">
        <v>870</v>
      </c>
      <c r="E2592" s="9" t="s">
        <v>49</v>
      </c>
      <c r="F2592" s="9" t="s">
        <v>69</v>
      </c>
      <c r="G2592" s="9" t="s">
        <v>70</v>
      </c>
      <c r="H2592" s="9" t="s">
        <v>12285</v>
      </c>
      <c r="I2592" s="20" t="s">
        <v>72</v>
      </c>
      <c r="J2592" s="10"/>
      <c r="K2592" s="10">
        <v>45421</v>
      </c>
      <c r="L2592" s="50">
        <v>45447</v>
      </c>
      <c r="M2592" s="10"/>
      <c r="N2592" s="9">
        <v>2024</v>
      </c>
      <c r="O2592" s="9" t="s">
        <v>12831</v>
      </c>
      <c r="P2592" s="9" t="s">
        <v>83</v>
      </c>
      <c r="Q2592" s="9" t="s">
        <v>53</v>
      </c>
      <c r="R2592" s="9" t="s">
        <v>13091</v>
      </c>
      <c r="S2592" s="9"/>
      <c r="T2592" s="9"/>
      <c r="V2592" s="9"/>
      <c r="AC2592" s="9" t="s">
        <v>13092</v>
      </c>
      <c r="AH2592" s="18">
        <v>3910</v>
      </c>
      <c r="AI2592" s="9" t="s">
        <v>875</v>
      </c>
      <c r="AJ2592" s="9" t="s">
        <v>301</v>
      </c>
      <c r="AK2592" s="23" t="str">
        <f t="shared" ref="AK2592:AK2598" si="37">CONCATENATE(N2592,AJ2592)</f>
        <v>2024GBP</v>
      </c>
      <c r="AL2592" s="23">
        <f>VLOOKUP(AK2592, Exchange_rates!$C:$D, 2, FALSE)</f>
        <v>1</v>
      </c>
      <c r="AM2592" s="26">
        <f t="shared" ref="AM2592:AM2598" si="38">IFERROR(((AH2592*AL2592)*1.2), "")</f>
        <v>4692</v>
      </c>
      <c r="AN2592" s="9"/>
      <c r="AO2592" s="9"/>
      <c r="AP2592" s="9"/>
      <c r="AQ2592" s="54" t="str">
        <f t="shared" si="22"/>
        <v>Hybrid</v>
      </c>
      <c r="AR2592" s="52"/>
      <c r="AS2592" s="52" t="s">
        <v>13093</v>
      </c>
    </row>
    <row r="2593" spans="1:60" ht="14.5">
      <c r="A2593" s="9" t="s">
        <v>13094</v>
      </c>
      <c r="B2593" s="9" t="s">
        <v>13095</v>
      </c>
      <c r="C2593" s="9" t="s">
        <v>986</v>
      </c>
      <c r="D2593" s="9" t="s">
        <v>870</v>
      </c>
      <c r="E2593" s="9" t="s">
        <v>49</v>
      </c>
      <c r="F2593" s="9" t="s">
        <v>69</v>
      </c>
      <c r="G2593" s="9" t="s">
        <v>70</v>
      </c>
      <c r="H2593" s="9" t="s">
        <v>12285</v>
      </c>
      <c r="I2593" s="20" t="s">
        <v>72</v>
      </c>
      <c r="J2593" s="10"/>
      <c r="K2593" s="10">
        <v>45422</v>
      </c>
      <c r="L2593" s="50">
        <v>45440</v>
      </c>
      <c r="M2593" s="10"/>
      <c r="N2593" s="9">
        <v>2024</v>
      </c>
      <c r="O2593" s="9" t="s">
        <v>12831</v>
      </c>
      <c r="P2593" s="9" t="s">
        <v>53</v>
      </c>
      <c r="Q2593" s="9" t="s">
        <v>53</v>
      </c>
      <c r="R2593" s="9" t="s">
        <v>13096</v>
      </c>
      <c r="S2593" s="9"/>
      <c r="T2593" s="9"/>
      <c r="V2593" s="9"/>
      <c r="AC2593" s="9" t="s">
        <v>13097</v>
      </c>
      <c r="AH2593" s="18">
        <v>2120</v>
      </c>
      <c r="AI2593" s="9" t="s">
        <v>875</v>
      </c>
      <c r="AJ2593" s="9" t="s">
        <v>301</v>
      </c>
      <c r="AK2593" s="23" t="str">
        <f t="shared" si="37"/>
        <v>2024GBP</v>
      </c>
      <c r="AL2593" s="23">
        <f>VLOOKUP(AK2593, Exchange_rates!$C:$D, 2, FALSE)</f>
        <v>1</v>
      </c>
      <c r="AM2593" s="26">
        <f t="shared" si="38"/>
        <v>2544</v>
      </c>
      <c r="AN2593" s="9"/>
      <c r="AO2593" s="9"/>
      <c r="AP2593" s="9"/>
      <c r="AQ2593" s="54" t="str">
        <f t="shared" si="22"/>
        <v>Hybrid</v>
      </c>
      <c r="AR2593" s="52"/>
      <c r="AS2593" s="52" t="s">
        <v>988</v>
      </c>
    </row>
    <row r="2594" spans="1:60" ht="14.5">
      <c r="A2594" s="9" t="s">
        <v>13098</v>
      </c>
      <c r="B2594" s="9" t="s">
        <v>13099</v>
      </c>
      <c r="C2594" s="9" t="s">
        <v>1213</v>
      </c>
      <c r="D2594" s="9" t="s">
        <v>870</v>
      </c>
      <c r="E2594" s="9" t="s">
        <v>49</v>
      </c>
      <c r="F2594" s="9" t="s">
        <v>69</v>
      </c>
      <c r="G2594" s="9" t="s">
        <v>70</v>
      </c>
      <c r="H2594" s="9" t="s">
        <v>12285</v>
      </c>
      <c r="I2594" s="20" t="s">
        <v>72</v>
      </c>
      <c r="J2594" s="10"/>
      <c r="K2594" s="10">
        <v>45427</v>
      </c>
      <c r="L2594" s="50">
        <v>45432</v>
      </c>
      <c r="M2594" s="10"/>
      <c r="N2594" s="9">
        <v>2024</v>
      </c>
      <c r="O2594" s="9" t="s">
        <v>12831</v>
      </c>
      <c r="P2594" s="9" t="s">
        <v>83</v>
      </c>
      <c r="Q2594" s="9" t="s">
        <v>83</v>
      </c>
      <c r="R2594" s="9" t="s">
        <v>13100</v>
      </c>
      <c r="S2594" s="9"/>
      <c r="T2594" s="9"/>
      <c r="V2594" s="9"/>
      <c r="AC2594" s="9" t="s">
        <v>1214</v>
      </c>
      <c r="AH2594" s="18">
        <v>2400</v>
      </c>
      <c r="AI2594" s="9" t="s">
        <v>875</v>
      </c>
      <c r="AJ2594" s="9" t="s">
        <v>301</v>
      </c>
      <c r="AK2594" s="23" t="str">
        <f t="shared" si="37"/>
        <v>2024GBP</v>
      </c>
      <c r="AL2594" s="23">
        <f>VLOOKUP(AK2594, Exchange_rates!$C:$D, 2, FALSE)</f>
        <v>1</v>
      </c>
      <c r="AM2594" s="26">
        <f t="shared" si="38"/>
        <v>2880</v>
      </c>
      <c r="AN2594" s="9"/>
      <c r="AO2594" s="9"/>
      <c r="AP2594" s="9"/>
      <c r="AQ2594" s="54" t="str">
        <f t="shared" si="22"/>
        <v>Hybrid</v>
      </c>
      <c r="AR2594" s="52"/>
      <c r="AS2594" s="52" t="s">
        <v>1215</v>
      </c>
    </row>
    <row r="2595" spans="1:60" ht="14.5">
      <c r="A2595" s="9" t="s">
        <v>13101</v>
      </c>
      <c r="B2595" s="9" t="s">
        <v>13102</v>
      </c>
      <c r="C2595" s="9" t="s">
        <v>13103</v>
      </c>
      <c r="D2595" s="9" t="s">
        <v>870</v>
      </c>
      <c r="E2595" s="9" t="s">
        <v>49</v>
      </c>
      <c r="F2595" s="9" t="s">
        <v>69</v>
      </c>
      <c r="G2595" s="9" t="s">
        <v>70</v>
      </c>
      <c r="H2595" s="9" t="s">
        <v>12285</v>
      </c>
      <c r="I2595" s="20" t="s">
        <v>72</v>
      </c>
      <c r="J2595" s="10"/>
      <c r="K2595" s="10">
        <v>45423</v>
      </c>
      <c r="L2595" s="50">
        <v>45432</v>
      </c>
      <c r="M2595" s="10"/>
      <c r="N2595" s="9">
        <v>2024</v>
      </c>
      <c r="O2595" s="9" t="s">
        <v>12831</v>
      </c>
      <c r="P2595" s="9" t="s">
        <v>53</v>
      </c>
      <c r="Q2595" s="9" t="s">
        <v>53</v>
      </c>
      <c r="R2595" s="9" t="s">
        <v>13104</v>
      </c>
      <c r="S2595" s="9"/>
      <c r="T2595" s="9"/>
      <c r="V2595" s="9"/>
      <c r="AC2595" s="9" t="s">
        <v>13105</v>
      </c>
      <c r="AH2595" s="18">
        <v>3270</v>
      </c>
      <c r="AI2595" s="9" t="s">
        <v>875</v>
      </c>
      <c r="AJ2595" s="9" t="s">
        <v>301</v>
      </c>
      <c r="AK2595" s="23" t="str">
        <f t="shared" si="37"/>
        <v>2024GBP</v>
      </c>
      <c r="AL2595" s="23">
        <f>VLOOKUP(AK2595, Exchange_rates!$C:$D, 2, FALSE)</f>
        <v>1</v>
      </c>
      <c r="AM2595" s="26">
        <f t="shared" si="38"/>
        <v>3924</v>
      </c>
      <c r="AN2595" s="9"/>
      <c r="AO2595" s="9"/>
      <c r="AP2595" s="9"/>
      <c r="AQ2595" s="54" t="str">
        <f t="shared" si="22"/>
        <v>Hybrid</v>
      </c>
      <c r="AR2595" s="52"/>
      <c r="AS2595" s="52" t="s">
        <v>13106</v>
      </c>
    </row>
    <row r="2596" spans="1:60" ht="14.5">
      <c r="A2596" s="9" t="s">
        <v>13107</v>
      </c>
      <c r="B2596" s="9" t="s">
        <v>13108</v>
      </c>
      <c r="C2596" s="9" t="s">
        <v>13109</v>
      </c>
      <c r="D2596" s="9" t="s">
        <v>870</v>
      </c>
      <c r="E2596" s="9" t="s">
        <v>49</v>
      </c>
      <c r="F2596" s="9" t="s">
        <v>69</v>
      </c>
      <c r="G2596" s="9" t="s">
        <v>70</v>
      </c>
      <c r="H2596" s="9" t="s">
        <v>12285</v>
      </c>
      <c r="I2596" s="9" t="s">
        <v>238</v>
      </c>
      <c r="J2596" s="10"/>
      <c r="K2596" s="10">
        <v>45412</v>
      </c>
      <c r="L2596" s="50">
        <v>45440</v>
      </c>
      <c r="M2596" s="10"/>
      <c r="N2596" s="9">
        <v>2024</v>
      </c>
      <c r="O2596" s="9" t="s">
        <v>12831</v>
      </c>
      <c r="P2596" s="9" t="s">
        <v>53</v>
      </c>
      <c r="Q2596" s="9" t="s">
        <v>53</v>
      </c>
      <c r="R2596" s="9" t="s">
        <v>13110</v>
      </c>
      <c r="S2596" s="9"/>
      <c r="T2596" s="9"/>
      <c r="V2596" s="9"/>
      <c r="AC2596" s="9" t="s">
        <v>13111</v>
      </c>
      <c r="AH2596" s="18">
        <v>4310</v>
      </c>
      <c r="AI2596" s="9" t="s">
        <v>875</v>
      </c>
      <c r="AJ2596" s="9" t="s">
        <v>301</v>
      </c>
      <c r="AK2596" s="23" t="str">
        <f t="shared" si="37"/>
        <v>2024GBP</v>
      </c>
      <c r="AL2596" s="23">
        <f>VLOOKUP(AK2596, Exchange_rates!$C:$D, 2, FALSE)</f>
        <v>1</v>
      </c>
      <c r="AM2596" s="26">
        <f t="shared" si="38"/>
        <v>5172</v>
      </c>
      <c r="AN2596" s="9"/>
      <c r="AO2596" s="9"/>
      <c r="AP2596" s="9"/>
      <c r="AQ2596" s="54" t="str">
        <f t="shared" si="22"/>
        <v>Hybrid</v>
      </c>
      <c r="AR2596" s="52"/>
      <c r="AS2596" s="52" t="s">
        <v>13112</v>
      </c>
    </row>
    <row r="2597" spans="1:60" ht="14.5">
      <c r="A2597" s="9" t="s">
        <v>13113</v>
      </c>
      <c r="B2597" s="9" t="s">
        <v>13114</v>
      </c>
      <c r="C2597" s="9" t="s">
        <v>13115</v>
      </c>
      <c r="D2597" s="9" t="s">
        <v>870</v>
      </c>
      <c r="E2597" s="9" t="s">
        <v>49</v>
      </c>
      <c r="F2597" s="9" t="s">
        <v>69</v>
      </c>
      <c r="G2597" s="9" t="s">
        <v>70</v>
      </c>
      <c r="H2597" s="9" t="s">
        <v>12285</v>
      </c>
      <c r="I2597" s="20" t="s">
        <v>72</v>
      </c>
      <c r="J2597" s="10"/>
      <c r="K2597" s="10">
        <v>45430</v>
      </c>
      <c r="L2597" s="50">
        <v>45440</v>
      </c>
      <c r="M2597" s="10"/>
      <c r="N2597" s="9">
        <v>2024</v>
      </c>
      <c r="O2597" s="9" t="s">
        <v>12831</v>
      </c>
      <c r="P2597" s="9" t="s">
        <v>53</v>
      </c>
      <c r="Q2597" s="9" t="s">
        <v>53</v>
      </c>
      <c r="R2597" s="9" t="s">
        <v>13116</v>
      </c>
      <c r="S2597" s="9"/>
      <c r="T2597" s="9"/>
      <c r="V2597" s="9"/>
      <c r="AC2597" s="9" t="s">
        <v>13117</v>
      </c>
      <c r="AH2597" s="18">
        <v>2870</v>
      </c>
      <c r="AI2597" s="9" t="s">
        <v>875</v>
      </c>
      <c r="AJ2597" s="9" t="s">
        <v>301</v>
      </c>
      <c r="AK2597" s="23" t="str">
        <f t="shared" si="37"/>
        <v>2024GBP</v>
      </c>
      <c r="AL2597" s="23">
        <f>VLOOKUP(AK2597, Exchange_rates!$C:$D, 2, FALSE)</f>
        <v>1</v>
      </c>
      <c r="AM2597" s="26">
        <f t="shared" si="38"/>
        <v>3444</v>
      </c>
      <c r="AN2597" s="9"/>
      <c r="AO2597" s="9"/>
      <c r="AP2597" s="9"/>
      <c r="AQ2597" s="54" t="str">
        <f t="shared" si="22"/>
        <v>Hybrid</v>
      </c>
      <c r="AR2597" s="52"/>
      <c r="AS2597" s="52" t="s">
        <v>13118</v>
      </c>
    </row>
    <row r="2598" spans="1:60" ht="14.5">
      <c r="A2598" s="20" t="s">
        <v>13119</v>
      </c>
      <c r="B2598" s="20" t="s">
        <v>13120</v>
      </c>
      <c r="C2598" s="20" t="s">
        <v>11329</v>
      </c>
      <c r="D2598" s="20" t="s">
        <v>870</v>
      </c>
      <c r="E2598" s="20" t="s">
        <v>49</v>
      </c>
      <c r="F2598" s="20" t="s">
        <v>69</v>
      </c>
      <c r="G2598" s="20" t="s">
        <v>70</v>
      </c>
      <c r="H2598" s="20" t="s">
        <v>12285</v>
      </c>
      <c r="I2598" s="20" t="s">
        <v>72</v>
      </c>
      <c r="J2598" s="22"/>
      <c r="K2598" s="22">
        <v>45421</v>
      </c>
      <c r="L2598" s="51">
        <v>45432</v>
      </c>
      <c r="M2598" s="22"/>
      <c r="N2598" s="20">
        <v>2024</v>
      </c>
      <c r="O2598" s="20" t="s">
        <v>12831</v>
      </c>
      <c r="P2598" s="20" t="s">
        <v>83</v>
      </c>
      <c r="Q2598" s="20" t="s">
        <v>53</v>
      </c>
      <c r="R2598" s="20" t="s">
        <v>13121</v>
      </c>
      <c r="S2598" s="20"/>
      <c r="T2598" s="20"/>
      <c r="U2598" s="20"/>
      <c r="V2598" s="20"/>
      <c r="W2598" s="20"/>
      <c r="X2598" s="20"/>
      <c r="Y2598" s="20"/>
      <c r="Z2598" s="20"/>
      <c r="AA2598" s="20"/>
      <c r="AB2598" s="20"/>
      <c r="AC2598" s="20" t="s">
        <v>13122</v>
      </c>
      <c r="AD2598" s="20"/>
      <c r="AE2598" s="20"/>
      <c r="AF2598" s="20"/>
      <c r="AG2598" s="20"/>
      <c r="AH2598" s="49">
        <v>2710</v>
      </c>
      <c r="AI2598" s="20" t="s">
        <v>875</v>
      </c>
      <c r="AJ2598" s="20" t="s">
        <v>301</v>
      </c>
      <c r="AK2598" s="23" t="str">
        <f t="shared" si="37"/>
        <v>2024GBP</v>
      </c>
      <c r="AL2598" s="23">
        <f>VLOOKUP(AK2598, Exchange_rates!$C:$D, 2, FALSE)</f>
        <v>1</v>
      </c>
      <c r="AM2598" s="26">
        <f t="shared" si="38"/>
        <v>3252</v>
      </c>
      <c r="AN2598" s="20"/>
      <c r="AO2598" s="20"/>
      <c r="AP2598" s="20"/>
      <c r="AQ2598" s="54" t="str">
        <f t="shared" si="22"/>
        <v>Hybrid</v>
      </c>
      <c r="AR2598" s="53"/>
      <c r="AS2598" s="53" t="s">
        <v>11331</v>
      </c>
      <c r="AT2598" s="20"/>
      <c r="AU2598" s="20"/>
      <c r="AV2598" s="20"/>
      <c r="AW2598" s="20"/>
      <c r="AX2598" s="20"/>
      <c r="AY2598" s="20"/>
      <c r="AZ2598" s="20"/>
      <c r="BA2598" s="20"/>
      <c r="BB2598" s="20"/>
      <c r="BC2598" s="20"/>
      <c r="BD2598" s="20"/>
      <c r="BE2598" s="20"/>
      <c r="BF2598" s="20"/>
      <c r="BG2598" s="20"/>
      <c r="BH2598" s="20"/>
    </row>
    <row r="2599" spans="1:60" ht="14.5">
      <c r="A2599" s="9" t="s">
        <v>13123</v>
      </c>
      <c r="B2599" s="55" t="s">
        <v>13124</v>
      </c>
      <c r="C2599" s="9" t="s">
        <v>9173</v>
      </c>
      <c r="D2599" s="9" t="s">
        <v>870</v>
      </c>
      <c r="E2599" s="9" t="s">
        <v>49</v>
      </c>
      <c r="F2599" s="9" t="s">
        <v>69</v>
      </c>
      <c r="G2599" s="9" t="s">
        <v>51</v>
      </c>
      <c r="H2599" s="9"/>
      <c r="I2599" s="9" t="s">
        <v>72</v>
      </c>
      <c r="J2599" s="10"/>
      <c r="K2599" s="10">
        <v>45336</v>
      </c>
      <c r="L2599" s="50"/>
      <c r="M2599" s="10"/>
      <c r="N2599" s="9">
        <v>2024</v>
      </c>
      <c r="O2599" s="9" t="s">
        <v>13125</v>
      </c>
      <c r="P2599" s="9" t="s">
        <v>53</v>
      </c>
      <c r="Q2599" s="9" t="s">
        <v>53</v>
      </c>
      <c r="R2599" s="9" t="s">
        <v>13126</v>
      </c>
      <c r="S2599" s="9"/>
      <c r="T2599" s="9" t="s">
        <v>55</v>
      </c>
      <c r="U2599" s="9" t="s">
        <v>11427</v>
      </c>
      <c r="V2599" s="9"/>
      <c r="AC2599" s="9" t="s">
        <v>13127</v>
      </c>
      <c r="AH2599" s="9"/>
      <c r="AI2599" s="9"/>
      <c r="AJ2599" s="9"/>
      <c r="AK2599" s="23"/>
      <c r="AL2599" s="23"/>
      <c r="AM2599" s="26"/>
      <c r="AN2599" s="9"/>
      <c r="AO2599" s="9"/>
      <c r="AP2599" s="9"/>
      <c r="AQ2599" s="54" t="str">
        <f t="shared" si="22"/>
        <v>Hybrid</v>
      </c>
      <c r="AR2599" s="52"/>
      <c r="AS2599" s="52" t="s">
        <v>9177</v>
      </c>
    </row>
    <row r="2600" spans="1:60" ht="14.5">
      <c r="A2600" s="56" t="s">
        <v>13128</v>
      </c>
      <c r="B2600" s="57" t="s">
        <v>13129</v>
      </c>
      <c r="C2600" s="56" t="s">
        <v>9255</v>
      </c>
      <c r="D2600" s="56" t="s">
        <v>870</v>
      </c>
      <c r="E2600" s="56" t="s">
        <v>125</v>
      </c>
      <c r="F2600" s="56" t="s">
        <v>69</v>
      </c>
      <c r="G2600" s="56" t="s">
        <v>51</v>
      </c>
      <c r="H2600" s="56"/>
      <c r="I2600" s="56" t="s">
        <v>291</v>
      </c>
      <c r="J2600" s="58"/>
      <c r="K2600" s="58">
        <v>45348</v>
      </c>
      <c r="L2600" s="59"/>
      <c r="M2600" s="58"/>
      <c r="N2600" s="56">
        <v>2024</v>
      </c>
      <c r="O2600" s="56" t="s">
        <v>13125</v>
      </c>
      <c r="P2600" s="56" t="s">
        <v>53</v>
      </c>
      <c r="Q2600" s="56" t="s">
        <v>53</v>
      </c>
      <c r="R2600" s="56" t="s">
        <v>12588</v>
      </c>
      <c r="S2600" s="56"/>
      <c r="T2600" s="56" t="s">
        <v>55</v>
      </c>
      <c r="U2600" s="56" t="s">
        <v>13130</v>
      </c>
      <c r="V2600" s="56"/>
      <c r="W2600" s="56"/>
      <c r="X2600" s="56"/>
      <c r="Y2600" s="56"/>
      <c r="Z2600" s="56"/>
      <c r="AA2600" s="56"/>
      <c r="AB2600" s="56"/>
      <c r="AC2600" s="56" t="s">
        <v>13131</v>
      </c>
      <c r="AD2600" s="56"/>
      <c r="AE2600" s="56"/>
      <c r="AF2600" s="56"/>
      <c r="AG2600" s="56"/>
      <c r="AH2600" s="56"/>
      <c r="AI2600" s="56"/>
      <c r="AJ2600" s="56"/>
      <c r="AK2600" s="60"/>
      <c r="AL2600" s="60"/>
      <c r="AM2600" s="61"/>
      <c r="AN2600" s="56"/>
      <c r="AO2600" s="56"/>
      <c r="AP2600" s="56"/>
      <c r="AQ2600" s="62" t="str">
        <f t="shared" si="22"/>
        <v>Fully OA</v>
      </c>
      <c r="AR2600" s="63"/>
      <c r="AS2600" s="63" t="s">
        <v>9257</v>
      </c>
      <c r="AT2600" s="56"/>
      <c r="AU2600" s="56"/>
      <c r="AV2600" s="56"/>
      <c r="AW2600" s="56"/>
      <c r="AX2600" s="56"/>
      <c r="AY2600" s="56"/>
      <c r="AZ2600" s="56"/>
      <c r="BA2600" s="56"/>
      <c r="BB2600" s="56"/>
      <c r="BC2600" s="56"/>
      <c r="BD2600" s="56"/>
      <c r="BE2600" s="56"/>
      <c r="BF2600" s="56"/>
      <c r="BG2600" s="56"/>
      <c r="BH2600" s="56"/>
    </row>
    <row r="2601" spans="1:60" ht="14.5">
      <c r="A2601" s="9" t="s">
        <v>13132</v>
      </c>
      <c r="B2601" s="9" t="s">
        <v>13133</v>
      </c>
      <c r="C2601" s="9" t="s">
        <v>6632</v>
      </c>
      <c r="D2601" s="9" t="s">
        <v>5539</v>
      </c>
      <c r="E2601" s="9" t="s">
        <v>49</v>
      </c>
      <c r="F2601" s="9" t="s">
        <v>69</v>
      </c>
      <c r="G2601" s="9" t="s">
        <v>13134</v>
      </c>
      <c r="H2601" s="9" t="s">
        <v>13135</v>
      </c>
      <c r="I2601" s="20" t="s">
        <v>72</v>
      </c>
      <c r="J2601" s="10"/>
      <c r="L2601" s="50">
        <v>45453</v>
      </c>
      <c r="M2601" s="10">
        <v>45454</v>
      </c>
      <c r="N2601" s="9">
        <v>2024</v>
      </c>
      <c r="O2601" s="9" t="s">
        <v>13136</v>
      </c>
      <c r="P2601" s="9" t="s">
        <v>83</v>
      </c>
      <c r="Q2601" s="9" t="s">
        <v>53</v>
      </c>
      <c r="R2601" s="9" t="s">
        <v>13137</v>
      </c>
      <c r="S2601" s="9"/>
      <c r="T2601" s="9"/>
      <c r="V2601" s="9"/>
      <c r="AC2601" s="9" t="s">
        <v>13138</v>
      </c>
      <c r="AD2601" s="9" t="s">
        <v>13139</v>
      </c>
      <c r="AE2601" s="9"/>
      <c r="AH2601" s="9"/>
      <c r="AI2601" s="9"/>
      <c r="AJ2601" s="9"/>
      <c r="AK2601" s="23"/>
      <c r="AL2601" s="23"/>
      <c r="AM2601" s="26"/>
      <c r="AN2601" s="9"/>
      <c r="AO2601" s="9"/>
      <c r="AP2601" s="9"/>
      <c r="AQ2601" s="54" t="str">
        <f t="shared" si="22"/>
        <v>Hybrid</v>
      </c>
      <c r="AR2601" s="52"/>
      <c r="AS2601" s="52"/>
    </row>
    <row r="2602" spans="1:60" ht="14.5">
      <c r="A2602" s="9" t="s">
        <v>13140</v>
      </c>
      <c r="B2602" s="9" t="s">
        <v>13141</v>
      </c>
      <c r="C2602" s="9" t="s">
        <v>5956</v>
      </c>
      <c r="D2602" s="9" t="s">
        <v>5539</v>
      </c>
      <c r="E2602" s="9" t="s">
        <v>49</v>
      </c>
      <c r="F2602" s="9" t="s">
        <v>69</v>
      </c>
      <c r="G2602" s="9" t="s">
        <v>13134</v>
      </c>
      <c r="H2602" s="9" t="s">
        <v>13135</v>
      </c>
      <c r="I2602" s="20" t="s">
        <v>72</v>
      </c>
      <c r="J2602" s="10"/>
      <c r="L2602" s="50">
        <v>45453</v>
      </c>
      <c r="M2602" s="10"/>
      <c r="N2602" s="9">
        <v>2024</v>
      </c>
      <c r="O2602" s="9" t="s">
        <v>13136</v>
      </c>
      <c r="P2602" s="9" t="s">
        <v>83</v>
      </c>
      <c r="Q2602" s="9" t="s">
        <v>53</v>
      </c>
      <c r="R2602" s="9" t="s">
        <v>13142</v>
      </c>
      <c r="S2602" s="9"/>
      <c r="T2602" s="9"/>
      <c r="V2602" s="9"/>
      <c r="AC2602" s="9" t="s">
        <v>469</v>
      </c>
      <c r="AD2602" s="9" t="s">
        <v>470</v>
      </c>
      <c r="AE2602" s="9" t="s">
        <v>13143</v>
      </c>
      <c r="AH2602" s="9"/>
      <c r="AI2602" s="9"/>
      <c r="AJ2602" s="9"/>
      <c r="AK2602" s="23"/>
      <c r="AL2602" s="23"/>
      <c r="AM2602" s="26"/>
      <c r="AN2602" s="9"/>
      <c r="AO2602" s="9"/>
      <c r="AP2602" s="9"/>
      <c r="AQ2602" s="54" t="str">
        <f t="shared" si="22"/>
        <v>Hybrid</v>
      </c>
      <c r="AR2602" s="52"/>
      <c r="AS2602" s="52"/>
    </row>
    <row r="2603" spans="1:60" ht="14.5">
      <c r="A2603" s="9" t="s">
        <v>13144</v>
      </c>
      <c r="B2603" s="9" t="s">
        <v>13145</v>
      </c>
      <c r="C2603" s="9" t="s">
        <v>5741</v>
      </c>
      <c r="D2603" s="9" t="s">
        <v>5539</v>
      </c>
      <c r="E2603" s="9" t="s">
        <v>49</v>
      </c>
      <c r="F2603" s="9" t="s">
        <v>69</v>
      </c>
      <c r="G2603" s="9" t="s">
        <v>13134</v>
      </c>
      <c r="H2603" s="9" t="s">
        <v>13135</v>
      </c>
      <c r="I2603" s="20" t="s">
        <v>72</v>
      </c>
      <c r="J2603" s="10"/>
      <c r="L2603" s="50">
        <v>45453</v>
      </c>
      <c r="M2603" s="10"/>
      <c r="N2603" s="9">
        <v>2024</v>
      </c>
      <c r="O2603" s="9" t="s">
        <v>13136</v>
      </c>
      <c r="P2603" s="9" t="s">
        <v>53</v>
      </c>
      <c r="Q2603" s="9" t="s">
        <v>53</v>
      </c>
      <c r="R2603" s="9" t="s">
        <v>13146</v>
      </c>
      <c r="S2603" s="9"/>
      <c r="T2603" s="9"/>
      <c r="V2603" s="9"/>
      <c r="AC2603" s="9" t="s">
        <v>13147</v>
      </c>
      <c r="AD2603" s="9" t="s">
        <v>13148</v>
      </c>
      <c r="AE2603" s="9"/>
      <c r="AH2603" s="9"/>
      <c r="AI2603" s="9"/>
      <c r="AJ2603" s="9"/>
      <c r="AK2603" s="23"/>
      <c r="AL2603" s="23"/>
      <c r="AM2603" s="26"/>
      <c r="AN2603" s="9"/>
      <c r="AO2603" s="9"/>
      <c r="AP2603" s="9"/>
      <c r="AQ2603" s="54" t="str">
        <f t="shared" si="22"/>
        <v>Hybrid</v>
      </c>
      <c r="AR2603" s="52"/>
      <c r="AS2603" s="52"/>
    </row>
    <row r="2604" spans="1:60" ht="14.5">
      <c r="A2604" s="9" t="s">
        <v>13149</v>
      </c>
      <c r="B2604" s="9" t="s">
        <v>13150</v>
      </c>
      <c r="C2604" s="9" t="s">
        <v>13151</v>
      </c>
      <c r="D2604" s="9" t="s">
        <v>5539</v>
      </c>
      <c r="E2604" s="9" t="s">
        <v>49</v>
      </c>
      <c r="F2604" s="9" t="s">
        <v>69</v>
      </c>
      <c r="G2604" s="9" t="s">
        <v>13134</v>
      </c>
      <c r="H2604" s="9" t="s">
        <v>13135</v>
      </c>
      <c r="I2604" s="20" t="s">
        <v>72</v>
      </c>
      <c r="J2604" s="10"/>
      <c r="L2604" s="50">
        <v>45451</v>
      </c>
      <c r="M2604" s="10"/>
      <c r="N2604" s="9">
        <v>2024</v>
      </c>
      <c r="O2604" s="9" t="s">
        <v>13136</v>
      </c>
      <c r="P2604" s="9" t="s">
        <v>83</v>
      </c>
      <c r="Q2604" s="9" t="s">
        <v>53</v>
      </c>
      <c r="R2604" s="9" t="s">
        <v>13152</v>
      </c>
      <c r="S2604" s="9"/>
      <c r="T2604" s="9"/>
      <c r="V2604" s="9"/>
      <c r="AC2604" s="9" t="s">
        <v>13153</v>
      </c>
      <c r="AD2604" s="9" t="s">
        <v>5674</v>
      </c>
      <c r="AE2604" s="9" t="s">
        <v>13154</v>
      </c>
      <c r="AH2604" s="9"/>
      <c r="AI2604" s="9"/>
      <c r="AJ2604" s="9"/>
      <c r="AK2604" s="23"/>
      <c r="AL2604" s="23"/>
      <c r="AM2604" s="26"/>
      <c r="AN2604" s="9"/>
      <c r="AO2604" s="9"/>
      <c r="AP2604" s="9"/>
      <c r="AQ2604" s="54" t="str">
        <f t="shared" si="22"/>
        <v>Hybrid</v>
      </c>
      <c r="AR2604" s="52"/>
      <c r="AS2604" s="52"/>
    </row>
    <row r="2605" spans="1:60" ht="14.5">
      <c r="A2605" s="9" t="s">
        <v>13155</v>
      </c>
      <c r="B2605" s="9" t="s">
        <v>13156</v>
      </c>
      <c r="C2605" s="9" t="s">
        <v>7051</v>
      </c>
      <c r="D2605" s="9" t="s">
        <v>5539</v>
      </c>
      <c r="E2605" s="9" t="s">
        <v>49</v>
      </c>
      <c r="F2605" s="9" t="s">
        <v>69</v>
      </c>
      <c r="G2605" s="9" t="s">
        <v>13134</v>
      </c>
      <c r="H2605" s="9" t="s">
        <v>13135</v>
      </c>
      <c r="I2605" s="20" t="s">
        <v>72</v>
      </c>
      <c r="J2605" s="10"/>
      <c r="L2605" s="50">
        <v>45451</v>
      </c>
      <c r="M2605" s="10"/>
      <c r="N2605" s="9">
        <v>2024</v>
      </c>
      <c r="O2605" s="9" t="s">
        <v>13136</v>
      </c>
      <c r="P2605" s="9" t="s">
        <v>83</v>
      </c>
      <c r="Q2605" s="9" t="s">
        <v>53</v>
      </c>
      <c r="R2605" s="9" t="s">
        <v>13157</v>
      </c>
      <c r="S2605" s="9"/>
      <c r="T2605" s="9"/>
      <c r="V2605" s="9"/>
      <c r="AC2605" s="9" t="s">
        <v>13158</v>
      </c>
      <c r="AD2605" s="9" t="s">
        <v>13159</v>
      </c>
      <c r="AE2605" s="9" t="s">
        <v>13160</v>
      </c>
      <c r="AH2605" s="9"/>
      <c r="AI2605" s="9"/>
      <c r="AJ2605" s="9"/>
      <c r="AK2605" s="23"/>
      <c r="AL2605" s="23"/>
      <c r="AM2605" s="26"/>
      <c r="AN2605" s="9"/>
      <c r="AO2605" s="9"/>
      <c r="AP2605" s="9"/>
      <c r="AQ2605" s="54" t="str">
        <f t="shared" si="22"/>
        <v>Hybrid</v>
      </c>
      <c r="AR2605" s="52"/>
      <c r="AS2605" s="52"/>
    </row>
    <row r="2606" spans="1:60" ht="14.5">
      <c r="A2606" s="9" t="s">
        <v>13161</v>
      </c>
      <c r="B2606" s="9" t="s">
        <v>13162</v>
      </c>
      <c r="C2606" s="9" t="s">
        <v>13163</v>
      </c>
      <c r="D2606" s="9" t="s">
        <v>5539</v>
      </c>
      <c r="E2606" s="9" t="s">
        <v>49</v>
      </c>
      <c r="F2606" s="9" t="s">
        <v>69</v>
      </c>
      <c r="G2606" s="9" t="s">
        <v>13134</v>
      </c>
      <c r="H2606" s="9" t="s">
        <v>13135</v>
      </c>
      <c r="I2606" s="20" t="s">
        <v>72</v>
      </c>
      <c r="J2606" s="10"/>
      <c r="L2606" s="50">
        <v>45450</v>
      </c>
      <c r="M2606" s="10"/>
      <c r="N2606" s="9">
        <v>2024</v>
      </c>
      <c r="O2606" s="9" t="s">
        <v>13136</v>
      </c>
      <c r="P2606" s="9" t="s">
        <v>53</v>
      </c>
      <c r="Q2606" s="9" t="s">
        <v>53</v>
      </c>
      <c r="S2606" s="9"/>
      <c r="T2606" s="9"/>
      <c r="V2606" s="9"/>
      <c r="AC2606" s="9" t="s">
        <v>6731</v>
      </c>
      <c r="AD2606" s="9" t="s">
        <v>6732</v>
      </c>
      <c r="AE2606" s="9" t="s">
        <v>10284</v>
      </c>
      <c r="AH2606" s="9"/>
      <c r="AI2606" s="9"/>
      <c r="AJ2606" s="9"/>
      <c r="AK2606" s="23"/>
      <c r="AL2606" s="23"/>
      <c r="AM2606" s="26"/>
      <c r="AN2606" s="9"/>
      <c r="AO2606" s="9"/>
      <c r="AP2606" s="9"/>
      <c r="AQ2606" s="54" t="str">
        <f t="shared" si="22"/>
        <v>Hybrid</v>
      </c>
      <c r="AR2606" s="52"/>
      <c r="AS2606" s="52"/>
    </row>
    <row r="2607" spans="1:60" ht="14.5">
      <c r="A2607" s="9" t="s">
        <v>13164</v>
      </c>
      <c r="B2607" s="9" t="s">
        <v>13165</v>
      </c>
      <c r="C2607" s="9" t="s">
        <v>13166</v>
      </c>
      <c r="D2607" s="9" t="s">
        <v>5539</v>
      </c>
      <c r="E2607" s="9" t="s">
        <v>49</v>
      </c>
      <c r="F2607" s="9" t="s">
        <v>69</v>
      </c>
      <c r="G2607" s="9" t="s">
        <v>13134</v>
      </c>
      <c r="H2607" s="9" t="s">
        <v>13135</v>
      </c>
      <c r="I2607" s="20" t="s">
        <v>72</v>
      </c>
      <c r="J2607" s="10"/>
      <c r="L2607" s="50">
        <v>45445</v>
      </c>
      <c r="M2607" s="10"/>
      <c r="N2607" s="9">
        <v>2024</v>
      </c>
      <c r="O2607" s="9" t="s">
        <v>13136</v>
      </c>
      <c r="P2607" s="9" t="s">
        <v>83</v>
      </c>
      <c r="Q2607" s="9" t="s">
        <v>53</v>
      </c>
      <c r="R2607" s="9" t="s">
        <v>13167</v>
      </c>
      <c r="S2607" s="9"/>
      <c r="T2607" s="9"/>
      <c r="V2607" s="9"/>
      <c r="AC2607" s="9" t="s">
        <v>13168</v>
      </c>
      <c r="AD2607" s="9" t="s">
        <v>13169</v>
      </c>
      <c r="AE2607" s="9" t="s">
        <v>13170</v>
      </c>
      <c r="AH2607" s="9"/>
      <c r="AI2607" s="9"/>
      <c r="AJ2607" s="9"/>
      <c r="AK2607" s="23"/>
      <c r="AL2607" s="23"/>
      <c r="AM2607" s="26"/>
      <c r="AN2607" s="9"/>
      <c r="AO2607" s="9"/>
      <c r="AP2607" s="9"/>
      <c r="AQ2607" s="54" t="str">
        <f t="shared" si="22"/>
        <v>Hybrid</v>
      </c>
      <c r="AR2607" s="52"/>
      <c r="AS2607" s="52"/>
    </row>
    <row r="2608" spans="1:60" ht="14.5" hidden="1">
      <c r="A2608" s="9" t="s">
        <v>13171</v>
      </c>
      <c r="B2608" s="9"/>
      <c r="C2608" s="9" t="s">
        <v>13172</v>
      </c>
      <c r="D2608" s="9" t="s">
        <v>5539</v>
      </c>
      <c r="E2608" s="9" t="s">
        <v>125</v>
      </c>
      <c r="F2608" s="9"/>
      <c r="G2608" s="9" t="s">
        <v>13173</v>
      </c>
      <c r="H2608" s="9"/>
      <c r="I2608" s="9"/>
      <c r="J2608" s="10"/>
      <c r="K2608" s="10"/>
      <c r="L2608" s="50">
        <v>45445</v>
      </c>
      <c r="M2608" s="10"/>
      <c r="N2608" s="9">
        <v>2024</v>
      </c>
      <c r="O2608" s="9" t="s">
        <v>13136</v>
      </c>
      <c r="P2608" s="9"/>
      <c r="Q2608" s="9"/>
      <c r="S2608" s="9"/>
      <c r="T2608" s="9"/>
      <c r="V2608" s="9"/>
      <c r="AC2608" s="9" t="s">
        <v>8084</v>
      </c>
      <c r="AD2608" s="9" t="s">
        <v>8085</v>
      </c>
      <c r="AE2608" s="9"/>
      <c r="AH2608" s="9"/>
      <c r="AI2608" s="9"/>
      <c r="AJ2608" s="9"/>
      <c r="AK2608" s="23"/>
      <c r="AL2608" s="23"/>
      <c r="AM2608" s="26"/>
      <c r="AN2608" s="9"/>
      <c r="AO2608" s="9"/>
      <c r="AP2608" s="9"/>
      <c r="AQ2608" s="54" t="str">
        <f t="shared" si="22"/>
        <v>Fully OA</v>
      </c>
      <c r="AR2608" s="52"/>
      <c r="AS2608" s="52"/>
    </row>
    <row r="2609" spans="1:45" ht="14.5">
      <c r="A2609" s="9" t="s">
        <v>13174</v>
      </c>
      <c r="B2609" s="9" t="s">
        <v>13175</v>
      </c>
      <c r="C2609" s="9" t="s">
        <v>6154</v>
      </c>
      <c r="D2609" s="9" t="s">
        <v>5539</v>
      </c>
      <c r="E2609" s="9" t="s">
        <v>49</v>
      </c>
      <c r="F2609" s="9" t="s">
        <v>69</v>
      </c>
      <c r="G2609" s="9" t="s">
        <v>13134</v>
      </c>
      <c r="H2609" s="9" t="s">
        <v>13135</v>
      </c>
      <c r="I2609" s="20" t="s">
        <v>72</v>
      </c>
      <c r="J2609" s="10"/>
      <c r="L2609" s="50">
        <v>45435</v>
      </c>
      <c r="M2609" s="10">
        <v>45438</v>
      </c>
      <c r="N2609" s="9">
        <v>2024</v>
      </c>
      <c r="O2609" s="9" t="s">
        <v>13136</v>
      </c>
      <c r="P2609" s="9" t="s">
        <v>53</v>
      </c>
      <c r="Q2609" s="9" t="s">
        <v>53</v>
      </c>
      <c r="R2609" s="9" t="s">
        <v>178</v>
      </c>
      <c r="S2609" s="9"/>
      <c r="T2609" s="9"/>
      <c r="V2609" s="9"/>
      <c r="AC2609" s="9" t="s">
        <v>6155</v>
      </c>
      <c r="AD2609" s="9" t="s">
        <v>13176</v>
      </c>
      <c r="AE2609" s="9" t="s">
        <v>13177</v>
      </c>
      <c r="AH2609" s="9"/>
      <c r="AI2609" s="9"/>
      <c r="AJ2609" s="9"/>
      <c r="AK2609" s="23"/>
      <c r="AL2609" s="23"/>
      <c r="AM2609" s="26"/>
      <c r="AN2609" s="9"/>
      <c r="AO2609" s="9"/>
      <c r="AP2609" s="9"/>
      <c r="AQ2609" s="54" t="str">
        <f t="shared" si="22"/>
        <v>Hybrid</v>
      </c>
      <c r="AR2609" s="52"/>
      <c r="AS2609" s="52"/>
    </row>
    <row r="2610" spans="1:45" ht="14.5">
      <c r="A2610" s="9" t="s">
        <v>13178</v>
      </c>
      <c r="B2610" s="9" t="s">
        <v>13179</v>
      </c>
      <c r="C2610" s="9" t="s">
        <v>6753</v>
      </c>
      <c r="D2610" s="9" t="s">
        <v>5539</v>
      </c>
      <c r="E2610" s="9" t="s">
        <v>49</v>
      </c>
      <c r="F2610" s="9" t="s">
        <v>69</v>
      </c>
      <c r="G2610" s="9" t="s">
        <v>13134</v>
      </c>
      <c r="H2610" s="9" t="s">
        <v>13135</v>
      </c>
      <c r="I2610" s="20" t="s">
        <v>72</v>
      </c>
      <c r="J2610" s="10"/>
      <c r="L2610" s="50">
        <v>45445</v>
      </c>
      <c r="M2610" s="10">
        <v>45440</v>
      </c>
      <c r="N2610" s="9">
        <v>2024</v>
      </c>
      <c r="O2610" s="9" t="s">
        <v>13136</v>
      </c>
      <c r="P2610" s="9" t="s">
        <v>53</v>
      </c>
      <c r="Q2610" s="9" t="s">
        <v>53</v>
      </c>
      <c r="R2610" s="9" t="s">
        <v>13180</v>
      </c>
      <c r="S2610" s="9"/>
      <c r="T2610" s="9"/>
      <c r="V2610" s="9"/>
      <c r="AC2610" s="9" t="s">
        <v>10314</v>
      </c>
      <c r="AD2610" s="9" t="s">
        <v>10315</v>
      </c>
      <c r="AE2610" s="9" t="s">
        <v>10316</v>
      </c>
      <c r="AH2610" s="9"/>
      <c r="AI2610" s="9"/>
      <c r="AJ2610" s="9"/>
      <c r="AK2610" s="23"/>
      <c r="AL2610" s="23"/>
      <c r="AM2610" s="26"/>
      <c r="AN2610" s="9"/>
      <c r="AO2610" s="9"/>
      <c r="AP2610" s="9"/>
      <c r="AQ2610" s="54" t="str">
        <f t="shared" si="22"/>
        <v>Hybrid</v>
      </c>
      <c r="AR2610" s="52"/>
      <c r="AS2610" s="52"/>
    </row>
    <row r="2611" spans="1:45" ht="14.5">
      <c r="A2611" s="9" t="s">
        <v>13181</v>
      </c>
      <c r="B2611" s="9" t="s">
        <v>13182</v>
      </c>
      <c r="C2611" s="9" t="s">
        <v>13183</v>
      </c>
      <c r="D2611" s="9" t="s">
        <v>5539</v>
      </c>
      <c r="E2611" s="9" t="s">
        <v>49</v>
      </c>
      <c r="F2611" s="9" t="s">
        <v>69</v>
      </c>
      <c r="G2611" s="9" t="s">
        <v>13134</v>
      </c>
      <c r="H2611" s="9" t="s">
        <v>13135</v>
      </c>
      <c r="I2611" s="20" t="s">
        <v>72</v>
      </c>
      <c r="J2611" s="10"/>
      <c r="L2611" s="50">
        <v>45431</v>
      </c>
      <c r="M2611" s="10">
        <v>45441</v>
      </c>
      <c r="N2611" s="9">
        <v>2024</v>
      </c>
      <c r="O2611" s="9" t="s">
        <v>13136</v>
      </c>
      <c r="P2611" s="9" t="s">
        <v>83</v>
      </c>
      <c r="Q2611" s="9" t="s">
        <v>53</v>
      </c>
      <c r="R2611" s="9" t="s">
        <v>13184</v>
      </c>
      <c r="S2611" s="9"/>
      <c r="T2611" s="9"/>
      <c r="V2611" s="9"/>
      <c r="AC2611" s="9" t="s">
        <v>13185</v>
      </c>
      <c r="AD2611" s="9" t="s">
        <v>13186</v>
      </c>
      <c r="AE2611" s="9" t="s">
        <v>13187</v>
      </c>
      <c r="AH2611" s="9"/>
      <c r="AI2611" s="9"/>
      <c r="AJ2611" s="9"/>
      <c r="AK2611" s="23"/>
      <c r="AL2611" s="23"/>
      <c r="AM2611" s="26"/>
      <c r="AN2611" s="9"/>
      <c r="AO2611" s="9"/>
      <c r="AP2611" s="9"/>
      <c r="AQ2611" s="54" t="str">
        <f t="shared" si="22"/>
        <v>Hybrid</v>
      </c>
      <c r="AR2611" s="52"/>
      <c r="AS2611" s="52"/>
    </row>
    <row r="2612" spans="1:45" ht="14.5">
      <c r="A2612" s="9" t="s">
        <v>13188</v>
      </c>
      <c r="B2612" s="9" t="s">
        <v>13189</v>
      </c>
      <c r="C2612" s="9" t="s">
        <v>9730</v>
      </c>
      <c r="D2612" s="9" t="s">
        <v>5539</v>
      </c>
      <c r="E2612" s="9" t="s">
        <v>49</v>
      </c>
      <c r="F2612" s="9" t="s">
        <v>69</v>
      </c>
      <c r="G2612" s="9" t="s">
        <v>13134</v>
      </c>
      <c r="H2612" s="9" t="s">
        <v>13135</v>
      </c>
      <c r="I2612" s="20" t="s">
        <v>72</v>
      </c>
      <c r="J2612" s="10"/>
      <c r="L2612" s="50">
        <v>45431</v>
      </c>
      <c r="M2612" s="10">
        <v>45435</v>
      </c>
      <c r="N2612" s="9">
        <v>2024</v>
      </c>
      <c r="O2612" s="9" t="s">
        <v>13136</v>
      </c>
      <c r="P2612" s="9" t="s">
        <v>53</v>
      </c>
      <c r="Q2612" s="9" t="s">
        <v>53</v>
      </c>
      <c r="S2612" s="9"/>
      <c r="T2612" s="9"/>
      <c r="V2612" s="9"/>
      <c r="AC2612" s="9" t="s">
        <v>13190</v>
      </c>
      <c r="AD2612" s="9" t="s">
        <v>13191</v>
      </c>
      <c r="AE2612" s="9" t="s">
        <v>13192</v>
      </c>
      <c r="AH2612" s="9"/>
      <c r="AI2612" s="9"/>
      <c r="AJ2612" s="9"/>
      <c r="AK2612" s="23"/>
      <c r="AL2612" s="23"/>
      <c r="AM2612" s="26"/>
      <c r="AN2612" s="9"/>
      <c r="AO2612" s="9"/>
      <c r="AP2612" s="9"/>
      <c r="AQ2612" s="54" t="str">
        <f t="shared" si="22"/>
        <v>Hybrid</v>
      </c>
      <c r="AR2612" s="52"/>
      <c r="AS2612" s="52"/>
    </row>
    <row r="2613" spans="1:45" ht="14.5">
      <c r="A2613" s="9" t="s">
        <v>13193</v>
      </c>
      <c r="B2613" s="9" t="s">
        <v>13194</v>
      </c>
      <c r="C2613" s="9" t="s">
        <v>5842</v>
      </c>
      <c r="D2613" s="9" t="s">
        <v>5539</v>
      </c>
      <c r="E2613" s="9" t="s">
        <v>49</v>
      </c>
      <c r="F2613" s="9" t="s">
        <v>69</v>
      </c>
      <c r="G2613" s="9" t="s">
        <v>13134</v>
      </c>
      <c r="H2613" s="9" t="s">
        <v>13135</v>
      </c>
      <c r="I2613" s="9" t="s">
        <v>291</v>
      </c>
      <c r="J2613" s="10"/>
      <c r="L2613" s="50">
        <v>45431</v>
      </c>
      <c r="M2613" s="10">
        <v>45443</v>
      </c>
      <c r="N2613" s="9">
        <v>2024</v>
      </c>
      <c r="O2613" s="9" t="s">
        <v>13136</v>
      </c>
      <c r="P2613" s="9" t="s">
        <v>53</v>
      </c>
      <c r="Q2613" s="9" t="s">
        <v>53</v>
      </c>
      <c r="R2613" s="9" t="s">
        <v>8793</v>
      </c>
      <c r="S2613" s="9"/>
      <c r="T2613" s="9"/>
      <c r="V2613" s="9"/>
      <c r="AC2613" s="9" t="s">
        <v>13195</v>
      </c>
      <c r="AD2613" s="9" t="s">
        <v>13196</v>
      </c>
      <c r="AE2613" s="9" t="s">
        <v>13197</v>
      </c>
      <c r="AH2613" s="9"/>
      <c r="AI2613" s="9"/>
      <c r="AJ2613" s="9"/>
      <c r="AK2613" s="23"/>
      <c r="AL2613" s="23"/>
      <c r="AM2613" s="26"/>
      <c r="AN2613" s="9"/>
      <c r="AO2613" s="9"/>
      <c r="AP2613" s="9"/>
      <c r="AQ2613" s="54" t="str">
        <f t="shared" si="22"/>
        <v>Hybrid</v>
      </c>
      <c r="AR2613" s="52"/>
      <c r="AS2613" s="52"/>
    </row>
    <row r="2614" spans="1:45" ht="14.5" hidden="1">
      <c r="A2614" s="9" t="s">
        <v>13198</v>
      </c>
      <c r="B2614" s="9"/>
      <c r="C2614" s="9" t="s">
        <v>11210</v>
      </c>
      <c r="D2614" s="9" t="s">
        <v>5539</v>
      </c>
      <c r="E2614" s="9" t="s">
        <v>125</v>
      </c>
      <c r="F2614" s="9"/>
      <c r="G2614" s="9" t="s">
        <v>13173</v>
      </c>
      <c r="H2614" s="9"/>
      <c r="I2614" s="9"/>
      <c r="J2614" s="10"/>
      <c r="K2614" s="10"/>
      <c r="L2614" s="50">
        <v>45426</v>
      </c>
      <c r="M2614" s="10"/>
      <c r="N2614" s="9">
        <v>2024</v>
      </c>
      <c r="O2614" s="9" t="s">
        <v>13136</v>
      </c>
      <c r="P2614" s="9"/>
      <c r="Q2614" s="9"/>
      <c r="S2614" s="9"/>
      <c r="T2614" s="9"/>
      <c r="V2614" s="9"/>
      <c r="AC2614" s="9" t="s">
        <v>13199</v>
      </c>
      <c r="AD2614" s="9" t="s">
        <v>13200</v>
      </c>
      <c r="AE2614" s="9"/>
      <c r="AH2614" s="9"/>
      <c r="AI2614" s="9"/>
      <c r="AJ2614" s="9"/>
      <c r="AK2614" s="23"/>
      <c r="AL2614" s="23"/>
      <c r="AM2614" s="26"/>
      <c r="AN2614" s="9"/>
      <c r="AO2614" s="9"/>
      <c r="AP2614" s="9"/>
      <c r="AQ2614" s="54" t="str">
        <f t="shared" si="22"/>
        <v>Fully OA</v>
      </c>
      <c r="AR2614" s="52"/>
      <c r="AS2614" s="52"/>
    </row>
    <row r="2615" spans="1:45" ht="14.5" hidden="1">
      <c r="A2615" s="9" t="s">
        <v>13201</v>
      </c>
      <c r="B2615" s="9"/>
      <c r="C2615" s="9" t="s">
        <v>6094</v>
      </c>
      <c r="D2615" s="9" t="s">
        <v>5539</v>
      </c>
      <c r="E2615" s="9" t="s">
        <v>125</v>
      </c>
      <c r="F2615" s="9"/>
      <c r="G2615" s="9" t="s">
        <v>13173</v>
      </c>
      <c r="H2615" s="9"/>
      <c r="I2615" s="9"/>
      <c r="J2615" s="10"/>
      <c r="K2615" s="10"/>
      <c r="L2615" s="50">
        <v>45420</v>
      </c>
      <c r="M2615" s="10"/>
      <c r="N2615" s="9">
        <v>2024</v>
      </c>
      <c r="O2615" s="9" t="s">
        <v>13136</v>
      </c>
      <c r="P2615" s="9"/>
      <c r="Q2615" s="9"/>
      <c r="S2615" s="9"/>
      <c r="T2615" s="9"/>
      <c r="V2615" s="9"/>
      <c r="AC2615" s="9" t="s">
        <v>6879</v>
      </c>
      <c r="AD2615" s="9" t="s">
        <v>6880</v>
      </c>
      <c r="AE2615" s="9"/>
      <c r="AH2615" s="9"/>
      <c r="AI2615" s="9"/>
      <c r="AJ2615" s="9"/>
      <c r="AK2615" s="23"/>
      <c r="AL2615" s="23"/>
      <c r="AM2615" s="26"/>
      <c r="AN2615" s="9"/>
      <c r="AO2615" s="9"/>
      <c r="AP2615" s="9"/>
      <c r="AQ2615" s="54" t="str">
        <f t="shared" si="22"/>
        <v>Fully OA</v>
      </c>
      <c r="AR2615" s="52"/>
      <c r="AS2615" s="52"/>
    </row>
    <row r="2616" spans="1:45" ht="14.5" hidden="1">
      <c r="A2616" s="9" t="s">
        <v>13202</v>
      </c>
      <c r="B2616" s="9"/>
      <c r="C2616" s="9" t="s">
        <v>6240</v>
      </c>
      <c r="D2616" s="9" t="s">
        <v>5539</v>
      </c>
      <c r="E2616" s="9" t="s">
        <v>125</v>
      </c>
      <c r="F2616" s="9"/>
      <c r="G2616" s="9" t="s">
        <v>13203</v>
      </c>
      <c r="H2616" s="9"/>
      <c r="I2616" s="9"/>
      <c r="J2616" s="10"/>
      <c r="K2616" s="10"/>
      <c r="L2616" s="50">
        <v>45420</v>
      </c>
      <c r="M2616" s="10"/>
      <c r="N2616" s="9">
        <v>2024</v>
      </c>
      <c r="O2616" s="9" t="s">
        <v>13136</v>
      </c>
      <c r="P2616" s="9"/>
      <c r="Q2616" s="9"/>
      <c r="S2616" s="9"/>
      <c r="T2616" s="9"/>
      <c r="V2616" s="9"/>
      <c r="AC2616" s="9" t="s">
        <v>13204</v>
      </c>
      <c r="AD2616" s="9" t="s">
        <v>13205</v>
      </c>
      <c r="AE2616" s="9"/>
      <c r="AH2616" s="9"/>
      <c r="AI2616" s="9"/>
      <c r="AJ2616" s="9"/>
      <c r="AK2616" s="23"/>
      <c r="AL2616" s="23"/>
      <c r="AM2616" s="26"/>
      <c r="AN2616" s="9"/>
      <c r="AO2616" s="9"/>
      <c r="AP2616" s="9"/>
      <c r="AQ2616" s="54" t="str">
        <f t="shared" si="22"/>
        <v>Fully OA</v>
      </c>
      <c r="AR2616" s="52"/>
      <c r="AS2616" s="52"/>
    </row>
    <row r="2617" spans="1:45" ht="14.5">
      <c r="A2617" s="9" t="s">
        <v>13206</v>
      </c>
      <c r="B2617" s="9" t="s">
        <v>13207</v>
      </c>
      <c r="C2617" s="9" t="s">
        <v>5634</v>
      </c>
      <c r="D2617" s="9" t="s">
        <v>5539</v>
      </c>
      <c r="E2617" s="9" t="s">
        <v>49</v>
      </c>
      <c r="F2617" s="9" t="s">
        <v>69</v>
      </c>
      <c r="G2617" s="9" t="s">
        <v>13134</v>
      </c>
      <c r="H2617" s="9" t="s">
        <v>13135</v>
      </c>
      <c r="I2617" s="20" t="s">
        <v>72</v>
      </c>
      <c r="J2617" s="10"/>
      <c r="L2617" s="50">
        <v>45419</v>
      </c>
      <c r="M2617" s="10"/>
      <c r="N2617" s="9">
        <v>2024</v>
      </c>
      <c r="O2617" s="9" t="s">
        <v>13136</v>
      </c>
      <c r="P2617" s="9" t="s">
        <v>53</v>
      </c>
      <c r="Q2617" s="9" t="s">
        <v>53</v>
      </c>
      <c r="S2617" s="9"/>
      <c r="T2617" s="9"/>
      <c r="V2617" s="9"/>
      <c r="AC2617" s="9" t="s">
        <v>6731</v>
      </c>
      <c r="AD2617" s="9" t="s">
        <v>6732</v>
      </c>
      <c r="AE2617" s="9" t="s">
        <v>10284</v>
      </c>
      <c r="AH2617" s="9"/>
      <c r="AI2617" s="9"/>
      <c r="AJ2617" s="9"/>
      <c r="AK2617" s="23"/>
      <c r="AL2617" s="23"/>
      <c r="AM2617" s="26"/>
      <c r="AN2617" s="9"/>
      <c r="AO2617" s="9"/>
      <c r="AP2617" s="9"/>
      <c r="AQ2617" s="54" t="str">
        <f t="shared" si="22"/>
        <v>Hybrid</v>
      </c>
      <c r="AR2617" s="52"/>
      <c r="AS2617" s="52"/>
    </row>
    <row r="2618" spans="1:45" ht="14.5">
      <c r="A2618" s="9" t="s">
        <v>13208</v>
      </c>
      <c r="B2618" s="9" t="s">
        <v>13209</v>
      </c>
      <c r="C2618" s="9" t="s">
        <v>7007</v>
      </c>
      <c r="D2618" s="9" t="s">
        <v>5539</v>
      </c>
      <c r="E2618" s="9" t="s">
        <v>49</v>
      </c>
      <c r="F2618" s="9" t="s">
        <v>69</v>
      </c>
      <c r="G2618" s="9" t="s">
        <v>13134</v>
      </c>
      <c r="H2618" s="9" t="s">
        <v>13135</v>
      </c>
      <c r="I2618" s="20" t="s">
        <v>72</v>
      </c>
      <c r="J2618" s="10"/>
      <c r="L2618" s="50">
        <v>45413</v>
      </c>
      <c r="M2618" s="10">
        <v>45429</v>
      </c>
      <c r="N2618" s="9">
        <v>2024</v>
      </c>
      <c r="O2618" s="9" t="s">
        <v>13136</v>
      </c>
      <c r="P2618" s="9" t="s">
        <v>83</v>
      </c>
      <c r="Q2618" s="9" t="s">
        <v>53</v>
      </c>
      <c r="R2618" s="9" t="s">
        <v>13210</v>
      </c>
      <c r="S2618" s="9"/>
      <c r="T2618" s="9"/>
      <c r="V2618" s="9"/>
      <c r="AC2618" s="9" t="s">
        <v>13211</v>
      </c>
      <c r="AD2618" s="9" t="s">
        <v>13212</v>
      </c>
      <c r="AE2618" s="9" t="s">
        <v>13213</v>
      </c>
      <c r="AH2618" s="9"/>
      <c r="AI2618" s="9"/>
      <c r="AJ2618" s="9"/>
      <c r="AK2618" s="23"/>
      <c r="AL2618" s="23"/>
      <c r="AM2618" s="26"/>
      <c r="AN2618" s="9"/>
      <c r="AO2618" s="9"/>
      <c r="AP2618" s="9"/>
      <c r="AQ2618" s="54" t="str">
        <f t="shared" si="22"/>
        <v>Hybrid</v>
      </c>
      <c r="AR2618" s="52"/>
      <c r="AS2618" s="52"/>
    </row>
    <row r="2619" spans="1:45" ht="14.5">
      <c r="A2619" s="9" t="s">
        <v>13214</v>
      </c>
      <c r="B2619" s="9" t="s">
        <v>13215</v>
      </c>
      <c r="C2619" s="9" t="s">
        <v>10582</v>
      </c>
      <c r="D2619" s="9" t="s">
        <v>5539</v>
      </c>
      <c r="E2619" s="9" t="s">
        <v>49</v>
      </c>
      <c r="F2619" s="9" t="s">
        <v>69</v>
      </c>
      <c r="G2619" s="9" t="s">
        <v>13134</v>
      </c>
      <c r="H2619" s="9" t="s">
        <v>13135</v>
      </c>
      <c r="I2619" s="20" t="s">
        <v>72</v>
      </c>
      <c r="J2619" s="10"/>
      <c r="L2619" s="50">
        <v>45412</v>
      </c>
      <c r="M2619" s="10">
        <v>45434</v>
      </c>
      <c r="N2619" s="9">
        <v>2024</v>
      </c>
      <c r="O2619" s="9" t="s">
        <v>13136</v>
      </c>
      <c r="P2619" s="9" t="s">
        <v>53</v>
      </c>
      <c r="Q2619" s="9" t="s">
        <v>53</v>
      </c>
      <c r="R2619" s="9" t="s">
        <v>13216</v>
      </c>
      <c r="S2619" s="9"/>
      <c r="T2619" s="9"/>
      <c r="V2619" s="9"/>
      <c r="AC2619" s="9" t="s">
        <v>13217</v>
      </c>
      <c r="AD2619" s="9" t="s">
        <v>13218</v>
      </c>
      <c r="AE2619" s="9" t="s">
        <v>13219</v>
      </c>
      <c r="AH2619" s="9"/>
      <c r="AI2619" s="9"/>
      <c r="AJ2619" s="9"/>
      <c r="AK2619" s="23"/>
      <c r="AL2619" s="23"/>
      <c r="AM2619" s="26"/>
      <c r="AN2619" s="9"/>
      <c r="AO2619" s="9"/>
      <c r="AP2619" s="9"/>
      <c r="AQ2619" s="54" t="str">
        <f t="shared" si="22"/>
        <v>Hybrid</v>
      </c>
      <c r="AR2619" s="52"/>
      <c r="AS2619" s="52"/>
    </row>
    <row r="2620" spans="1:45" ht="14.5">
      <c r="A2620" s="9" t="s">
        <v>13220</v>
      </c>
      <c r="B2620" s="9" t="s">
        <v>13221</v>
      </c>
      <c r="C2620" s="9" t="s">
        <v>5949</v>
      </c>
      <c r="D2620" s="9" t="s">
        <v>5539</v>
      </c>
      <c r="E2620" s="9" t="s">
        <v>49</v>
      </c>
      <c r="F2620" s="9" t="s">
        <v>69</v>
      </c>
      <c r="G2620" s="9" t="s">
        <v>13134</v>
      </c>
      <c r="H2620" s="9" t="s">
        <v>13135</v>
      </c>
      <c r="I2620" s="20" t="s">
        <v>72</v>
      </c>
      <c r="J2620" s="10"/>
      <c r="L2620" s="50">
        <v>45406</v>
      </c>
      <c r="M2620" s="10">
        <v>45414</v>
      </c>
      <c r="N2620" s="9">
        <v>2024</v>
      </c>
      <c r="O2620" s="9" t="s">
        <v>13136</v>
      </c>
      <c r="P2620" s="9" t="s">
        <v>53</v>
      </c>
      <c r="Q2620" s="9" t="s">
        <v>53</v>
      </c>
      <c r="R2620" s="9" t="s">
        <v>13222</v>
      </c>
      <c r="S2620" s="9"/>
      <c r="T2620" s="9"/>
      <c r="V2620" s="9"/>
      <c r="AC2620" s="9" t="s">
        <v>9787</v>
      </c>
      <c r="AD2620" s="9" t="s">
        <v>9788</v>
      </c>
      <c r="AE2620" s="9" t="s">
        <v>13223</v>
      </c>
      <c r="AH2620" s="9"/>
      <c r="AI2620" s="9"/>
      <c r="AJ2620" s="9"/>
      <c r="AK2620" s="23"/>
      <c r="AL2620" s="23"/>
      <c r="AM2620" s="26"/>
      <c r="AN2620" s="9"/>
      <c r="AO2620" s="9"/>
      <c r="AP2620" s="9"/>
      <c r="AQ2620" s="54" t="str">
        <f t="shared" si="22"/>
        <v>Hybrid</v>
      </c>
      <c r="AR2620" s="52"/>
      <c r="AS2620" s="52"/>
    </row>
    <row r="2621" spans="1:45" ht="14.5" hidden="1">
      <c r="A2621" s="9" t="s">
        <v>13224</v>
      </c>
      <c r="B2621" s="9"/>
      <c r="C2621" s="9" t="s">
        <v>6240</v>
      </c>
      <c r="D2621" s="9" t="s">
        <v>5539</v>
      </c>
      <c r="E2621" s="9" t="s">
        <v>125</v>
      </c>
      <c r="F2621" s="9"/>
      <c r="G2621" s="9" t="s">
        <v>13173</v>
      </c>
      <c r="H2621" s="9"/>
      <c r="I2621" s="9"/>
      <c r="J2621" s="10"/>
      <c r="K2621" s="10"/>
      <c r="L2621" s="50">
        <v>45407</v>
      </c>
      <c r="M2621" s="10"/>
      <c r="N2621" s="9">
        <v>2024</v>
      </c>
      <c r="O2621" s="9" t="s">
        <v>13136</v>
      </c>
      <c r="P2621" s="9"/>
      <c r="Q2621" s="9"/>
      <c r="S2621" s="9"/>
      <c r="T2621" s="9"/>
      <c r="V2621" s="9"/>
      <c r="AC2621" s="9" t="s">
        <v>6315</v>
      </c>
      <c r="AD2621" s="9" t="s">
        <v>10874</v>
      </c>
      <c r="AE2621" s="9"/>
      <c r="AH2621" s="9"/>
      <c r="AI2621" s="9"/>
      <c r="AJ2621" s="9"/>
      <c r="AK2621" s="23"/>
      <c r="AL2621" s="23"/>
      <c r="AM2621" s="26"/>
      <c r="AN2621" s="9"/>
      <c r="AO2621" s="9"/>
      <c r="AP2621" s="9"/>
      <c r="AQ2621" s="54" t="str">
        <f t="shared" si="22"/>
        <v>Fully OA</v>
      </c>
      <c r="AR2621" s="52"/>
      <c r="AS2621" s="52"/>
    </row>
    <row r="2622" spans="1:45" ht="14.5">
      <c r="A2622" s="9" t="s">
        <v>13225</v>
      </c>
      <c r="B2622" s="9" t="s">
        <v>13226</v>
      </c>
      <c r="C2622" s="9" t="s">
        <v>6741</v>
      </c>
      <c r="D2622" s="9" t="s">
        <v>5539</v>
      </c>
      <c r="E2622" s="9" t="s">
        <v>49</v>
      </c>
      <c r="F2622" s="9" t="s">
        <v>69</v>
      </c>
      <c r="G2622" s="9" t="s">
        <v>13134</v>
      </c>
      <c r="H2622" s="9" t="s">
        <v>13135</v>
      </c>
      <c r="I2622" s="20" t="s">
        <v>72</v>
      </c>
      <c r="J2622" s="10"/>
      <c r="L2622" s="50">
        <v>45405</v>
      </c>
      <c r="M2622" s="10"/>
      <c r="N2622" s="9">
        <v>2024</v>
      </c>
      <c r="O2622" s="9" t="s">
        <v>13136</v>
      </c>
      <c r="P2622" s="9" t="s">
        <v>53</v>
      </c>
      <c r="Q2622" s="9" t="s">
        <v>53</v>
      </c>
      <c r="R2622" s="9" t="s">
        <v>13227</v>
      </c>
      <c r="S2622" s="9"/>
      <c r="T2622" s="9"/>
      <c r="V2622" s="9"/>
      <c r="AC2622" s="9" t="s">
        <v>13228</v>
      </c>
      <c r="AD2622" s="9" t="s">
        <v>11732</v>
      </c>
      <c r="AE2622" s="9" t="s">
        <v>13229</v>
      </c>
      <c r="AH2622" s="9"/>
      <c r="AI2622" s="9"/>
      <c r="AJ2622" s="9"/>
      <c r="AK2622" s="23"/>
      <c r="AL2622" s="23"/>
      <c r="AM2622" s="26"/>
      <c r="AN2622" s="9"/>
      <c r="AO2622" s="9"/>
      <c r="AP2622" s="9"/>
      <c r="AQ2622" s="54" t="str">
        <f t="shared" si="22"/>
        <v>Hybrid</v>
      </c>
      <c r="AR2622" s="52"/>
      <c r="AS2622" s="52"/>
    </row>
    <row r="2623" spans="1:45" ht="14.5">
      <c r="A2623" s="9" t="s">
        <v>13230</v>
      </c>
      <c r="B2623" s="9" t="s">
        <v>13231</v>
      </c>
      <c r="C2623" s="9" t="s">
        <v>5764</v>
      </c>
      <c r="D2623" s="9" t="s">
        <v>5539</v>
      </c>
      <c r="E2623" s="9" t="s">
        <v>49</v>
      </c>
      <c r="F2623" s="9" t="s">
        <v>69</v>
      </c>
      <c r="G2623" s="9" t="s">
        <v>13134</v>
      </c>
      <c r="H2623" s="9" t="s">
        <v>13135</v>
      </c>
      <c r="I2623" s="20" t="s">
        <v>72</v>
      </c>
      <c r="J2623" s="10"/>
      <c r="L2623" s="50">
        <v>45400</v>
      </c>
      <c r="M2623" s="10">
        <v>45432</v>
      </c>
      <c r="N2623" s="9">
        <v>2024</v>
      </c>
      <c r="O2623" s="9" t="s">
        <v>13136</v>
      </c>
      <c r="P2623" s="9" t="s">
        <v>83</v>
      </c>
      <c r="Q2623" s="9" t="s">
        <v>53</v>
      </c>
      <c r="R2623" s="9" t="s">
        <v>13232</v>
      </c>
      <c r="S2623" s="9"/>
      <c r="T2623" s="9"/>
      <c r="V2623" s="9"/>
      <c r="AC2623" s="9" t="s">
        <v>12351</v>
      </c>
      <c r="AD2623" s="9" t="s">
        <v>12352</v>
      </c>
      <c r="AE2623" s="9" t="s">
        <v>13233</v>
      </c>
      <c r="AH2623" s="9"/>
      <c r="AI2623" s="9"/>
      <c r="AJ2623" s="9"/>
      <c r="AK2623" s="23"/>
      <c r="AL2623" s="23"/>
      <c r="AM2623" s="26"/>
      <c r="AN2623" s="9"/>
      <c r="AO2623" s="9"/>
      <c r="AP2623" s="9"/>
      <c r="AQ2623" s="54" t="str">
        <f t="shared" si="22"/>
        <v>Hybrid</v>
      </c>
      <c r="AR2623" s="52"/>
      <c r="AS2623" s="52"/>
    </row>
    <row r="2624" spans="1:45" ht="14.5">
      <c r="A2624" s="9" t="s">
        <v>13234</v>
      </c>
      <c r="B2624" s="9" t="s">
        <v>13235</v>
      </c>
      <c r="C2624" s="9" t="s">
        <v>5618</v>
      </c>
      <c r="D2624" s="9" t="s">
        <v>5539</v>
      </c>
      <c r="E2624" s="9" t="s">
        <v>49</v>
      </c>
      <c r="F2624" s="9" t="s">
        <v>69</v>
      </c>
      <c r="G2624" s="9" t="s">
        <v>13134</v>
      </c>
      <c r="H2624" s="9" t="s">
        <v>13135</v>
      </c>
      <c r="I2624" s="20" t="s">
        <v>72</v>
      </c>
      <c r="J2624" s="10"/>
      <c r="L2624" s="50">
        <v>45400</v>
      </c>
      <c r="M2624" s="10"/>
      <c r="N2624" s="9">
        <v>2024</v>
      </c>
      <c r="O2624" s="9" t="s">
        <v>13136</v>
      </c>
      <c r="P2624" s="9" t="s">
        <v>83</v>
      </c>
      <c r="Q2624" s="9" t="s">
        <v>53</v>
      </c>
      <c r="R2624" s="9" t="s">
        <v>13236</v>
      </c>
      <c r="S2624" s="9"/>
      <c r="T2624" s="9"/>
      <c r="V2624" s="9"/>
      <c r="AC2624" s="9" t="s">
        <v>5635</v>
      </c>
      <c r="AD2624" s="9" t="s">
        <v>5636</v>
      </c>
      <c r="AE2624" s="9" t="s">
        <v>13237</v>
      </c>
      <c r="AH2624" s="9"/>
      <c r="AI2624" s="9"/>
      <c r="AJ2624" s="9"/>
      <c r="AK2624" s="23"/>
      <c r="AL2624" s="23"/>
      <c r="AM2624" s="26"/>
      <c r="AN2624" s="9"/>
      <c r="AO2624" s="9"/>
      <c r="AP2624" s="9"/>
      <c r="AQ2624" s="54" t="str">
        <f t="shared" si="22"/>
        <v>Hybrid</v>
      </c>
      <c r="AR2624" s="52"/>
      <c r="AS2624" s="52"/>
    </row>
    <row r="2625" spans="1:45" ht="14.5">
      <c r="A2625" s="9" t="s">
        <v>13238</v>
      </c>
      <c r="B2625" s="9" t="s">
        <v>13239</v>
      </c>
      <c r="C2625" s="9" t="s">
        <v>5748</v>
      </c>
      <c r="D2625" s="9" t="s">
        <v>5539</v>
      </c>
      <c r="E2625" s="9" t="s">
        <v>49</v>
      </c>
      <c r="F2625" s="9" t="s">
        <v>69</v>
      </c>
      <c r="G2625" s="9" t="s">
        <v>13134</v>
      </c>
      <c r="H2625" s="9" t="s">
        <v>13135</v>
      </c>
      <c r="I2625" s="20" t="s">
        <v>72</v>
      </c>
      <c r="J2625" s="10"/>
      <c r="L2625" s="50">
        <v>45399</v>
      </c>
      <c r="M2625" s="10">
        <v>45415</v>
      </c>
      <c r="N2625" s="9">
        <v>2024</v>
      </c>
      <c r="O2625" s="9" t="s">
        <v>13136</v>
      </c>
      <c r="P2625" s="9" t="s">
        <v>53</v>
      </c>
      <c r="Q2625" s="9" t="s">
        <v>53</v>
      </c>
      <c r="R2625" s="9" t="s">
        <v>13240</v>
      </c>
      <c r="S2625" s="9"/>
      <c r="T2625" s="9"/>
      <c r="V2625" s="9"/>
      <c r="AC2625" s="9" t="s">
        <v>13241</v>
      </c>
      <c r="AD2625" s="9" t="s">
        <v>13242</v>
      </c>
      <c r="AE2625" s="9" t="s">
        <v>13243</v>
      </c>
      <c r="AH2625" s="9"/>
      <c r="AI2625" s="9"/>
      <c r="AJ2625" s="9"/>
      <c r="AK2625" s="23"/>
      <c r="AL2625" s="23"/>
      <c r="AM2625" s="26"/>
      <c r="AN2625" s="9"/>
      <c r="AO2625" s="9"/>
      <c r="AP2625" s="9"/>
      <c r="AQ2625" s="54" t="str">
        <f t="shared" si="22"/>
        <v>Hybrid</v>
      </c>
      <c r="AR2625" s="52"/>
      <c r="AS2625" s="52"/>
    </row>
    <row r="2626" spans="1:45" ht="14.5">
      <c r="A2626" s="9" t="s">
        <v>13244</v>
      </c>
      <c r="B2626" s="9" t="s">
        <v>13245</v>
      </c>
      <c r="C2626" s="9" t="s">
        <v>6741</v>
      </c>
      <c r="D2626" s="9" t="s">
        <v>5539</v>
      </c>
      <c r="E2626" s="9" t="s">
        <v>49</v>
      </c>
      <c r="F2626" s="9" t="s">
        <v>69</v>
      </c>
      <c r="G2626" s="9" t="s">
        <v>13134</v>
      </c>
      <c r="H2626" s="9" t="s">
        <v>13135</v>
      </c>
      <c r="I2626" s="20" t="s">
        <v>72</v>
      </c>
      <c r="J2626" s="10"/>
      <c r="L2626" s="50">
        <v>45399</v>
      </c>
      <c r="M2626" s="10">
        <v>45411</v>
      </c>
      <c r="N2626" s="9">
        <v>2024</v>
      </c>
      <c r="O2626" s="9" t="s">
        <v>13136</v>
      </c>
      <c r="P2626" s="9" t="s">
        <v>83</v>
      </c>
      <c r="Q2626" s="9" t="s">
        <v>53</v>
      </c>
      <c r="R2626" s="9" t="s">
        <v>13246</v>
      </c>
      <c r="S2626" s="9"/>
      <c r="T2626" s="9"/>
      <c r="V2626" s="9"/>
      <c r="AC2626" s="9" t="s">
        <v>590</v>
      </c>
      <c r="AD2626" s="9" t="s">
        <v>591</v>
      </c>
      <c r="AE2626" s="9" t="s">
        <v>13247</v>
      </c>
      <c r="AH2626" s="9"/>
      <c r="AI2626" s="9"/>
      <c r="AJ2626" s="9"/>
      <c r="AK2626" s="23"/>
      <c r="AL2626" s="23"/>
      <c r="AM2626" s="26"/>
      <c r="AN2626" s="9"/>
      <c r="AO2626" s="9"/>
      <c r="AP2626" s="9"/>
      <c r="AQ2626" s="54" t="str">
        <f t="shared" si="22"/>
        <v>Hybrid</v>
      </c>
      <c r="AR2626" s="52"/>
      <c r="AS2626" s="52"/>
    </row>
    <row r="2627" spans="1:45" ht="14.5">
      <c r="A2627" s="9" t="s">
        <v>13248</v>
      </c>
      <c r="B2627" s="9" t="s">
        <v>13249</v>
      </c>
      <c r="C2627" s="9" t="s">
        <v>6602</v>
      </c>
      <c r="D2627" s="9" t="s">
        <v>5539</v>
      </c>
      <c r="E2627" s="9" t="s">
        <v>49</v>
      </c>
      <c r="F2627" s="9" t="s">
        <v>69</v>
      </c>
      <c r="G2627" s="9" t="s">
        <v>13134</v>
      </c>
      <c r="H2627" s="9" t="s">
        <v>13135</v>
      </c>
      <c r="I2627" s="20" t="s">
        <v>72</v>
      </c>
      <c r="J2627" s="10"/>
      <c r="L2627" s="50">
        <v>45399</v>
      </c>
      <c r="M2627" s="10">
        <v>45431</v>
      </c>
      <c r="N2627" s="9">
        <v>2024</v>
      </c>
      <c r="O2627" s="9" t="s">
        <v>13136</v>
      </c>
      <c r="P2627" s="9" t="s">
        <v>53</v>
      </c>
      <c r="Q2627" s="9" t="s">
        <v>53</v>
      </c>
      <c r="R2627" s="9" t="s">
        <v>13250</v>
      </c>
      <c r="S2627" s="9"/>
      <c r="T2627" s="9"/>
      <c r="V2627" s="9"/>
      <c r="AC2627" s="9" t="s">
        <v>13251</v>
      </c>
      <c r="AD2627" s="9" t="s">
        <v>13252</v>
      </c>
      <c r="AE2627" s="9" t="s">
        <v>13253</v>
      </c>
      <c r="AH2627" s="9"/>
      <c r="AI2627" s="9"/>
      <c r="AJ2627" s="9"/>
      <c r="AK2627" s="23"/>
      <c r="AL2627" s="23"/>
      <c r="AM2627" s="26"/>
      <c r="AN2627" s="9"/>
      <c r="AO2627" s="9"/>
      <c r="AP2627" s="9"/>
      <c r="AQ2627" s="54" t="str">
        <f t="shared" si="22"/>
        <v>Hybrid</v>
      </c>
      <c r="AR2627" s="52"/>
      <c r="AS2627" s="52"/>
    </row>
    <row r="2628" spans="1:45" ht="14.5">
      <c r="A2628" s="9" t="s">
        <v>13254</v>
      </c>
      <c r="B2628" s="9" t="s">
        <v>13255</v>
      </c>
      <c r="C2628" s="9" t="s">
        <v>13256</v>
      </c>
      <c r="D2628" s="9" t="s">
        <v>5539</v>
      </c>
      <c r="E2628" s="9" t="s">
        <v>49</v>
      </c>
      <c r="F2628" s="9" t="s">
        <v>69</v>
      </c>
      <c r="G2628" s="9" t="s">
        <v>13134</v>
      </c>
      <c r="H2628" s="9" t="s">
        <v>13135</v>
      </c>
      <c r="I2628" s="20" t="s">
        <v>72</v>
      </c>
      <c r="J2628" s="10"/>
      <c r="L2628" s="50">
        <v>45397</v>
      </c>
      <c r="M2628" s="10">
        <v>45418</v>
      </c>
      <c r="N2628" s="9">
        <v>2024</v>
      </c>
      <c r="O2628" s="9" t="s">
        <v>13136</v>
      </c>
      <c r="P2628" s="9" t="s">
        <v>53</v>
      </c>
      <c r="Q2628" s="9" t="s">
        <v>53</v>
      </c>
      <c r="S2628" s="9"/>
      <c r="T2628" s="9"/>
      <c r="V2628" s="9"/>
      <c r="AC2628" s="9" t="s">
        <v>10848</v>
      </c>
      <c r="AD2628" s="9" t="s">
        <v>10849</v>
      </c>
      <c r="AE2628" s="9" t="s">
        <v>10850</v>
      </c>
      <c r="AH2628" s="9"/>
      <c r="AI2628" s="9"/>
      <c r="AJ2628" s="9"/>
      <c r="AK2628" s="23"/>
      <c r="AL2628" s="23"/>
      <c r="AM2628" s="26"/>
      <c r="AN2628" s="9"/>
      <c r="AO2628" s="9"/>
      <c r="AP2628" s="9"/>
      <c r="AQ2628" s="54" t="str">
        <f t="shared" si="22"/>
        <v>Hybrid</v>
      </c>
      <c r="AR2628" s="52"/>
      <c r="AS2628" s="52"/>
    </row>
    <row r="2629" spans="1:45" ht="14.5">
      <c r="A2629" s="9" t="s">
        <v>13257</v>
      </c>
      <c r="B2629" s="9" t="s">
        <v>13258</v>
      </c>
      <c r="C2629" s="9" t="s">
        <v>13259</v>
      </c>
      <c r="D2629" s="9" t="s">
        <v>5539</v>
      </c>
      <c r="E2629" s="9" t="s">
        <v>49</v>
      </c>
      <c r="F2629" s="9" t="s">
        <v>69</v>
      </c>
      <c r="G2629" s="9" t="s">
        <v>13134</v>
      </c>
      <c r="H2629" s="9" t="s">
        <v>13135</v>
      </c>
      <c r="I2629" s="20" t="s">
        <v>72</v>
      </c>
      <c r="J2629" s="10"/>
      <c r="L2629" s="50">
        <v>45397</v>
      </c>
      <c r="M2629" s="10">
        <v>45404</v>
      </c>
      <c r="N2629" s="9">
        <v>2024</v>
      </c>
      <c r="O2629" s="9" t="s">
        <v>13136</v>
      </c>
      <c r="P2629" s="9" t="s">
        <v>83</v>
      </c>
      <c r="Q2629" s="9" t="s">
        <v>83</v>
      </c>
      <c r="R2629" s="9" t="s">
        <v>13260</v>
      </c>
      <c r="S2629" s="9"/>
      <c r="T2629" s="9"/>
      <c r="V2629" s="9"/>
      <c r="AC2629" s="9" t="s">
        <v>13261</v>
      </c>
      <c r="AD2629" s="9" t="s">
        <v>13262</v>
      </c>
      <c r="AE2629" s="9"/>
      <c r="AH2629" s="9"/>
      <c r="AI2629" s="9"/>
      <c r="AJ2629" s="9"/>
      <c r="AK2629" s="23"/>
      <c r="AL2629" s="23"/>
      <c r="AM2629" s="26"/>
      <c r="AN2629" s="9"/>
      <c r="AO2629" s="9"/>
      <c r="AP2629" s="9"/>
      <c r="AQ2629" s="54" t="str">
        <f t="shared" si="22"/>
        <v>Hybrid</v>
      </c>
      <c r="AR2629" s="52"/>
      <c r="AS2629" s="52"/>
    </row>
    <row r="2630" spans="1:45" ht="14.5">
      <c r="A2630" s="9" t="s">
        <v>13263</v>
      </c>
      <c r="B2630" s="9" t="s">
        <v>13264</v>
      </c>
      <c r="C2630" s="9" t="s">
        <v>13265</v>
      </c>
      <c r="D2630" s="9" t="s">
        <v>5539</v>
      </c>
      <c r="E2630" s="9" t="s">
        <v>49</v>
      </c>
      <c r="F2630" s="9" t="s">
        <v>69</v>
      </c>
      <c r="G2630" s="9" t="s">
        <v>13134</v>
      </c>
      <c r="H2630" s="9" t="s">
        <v>13135</v>
      </c>
      <c r="I2630" s="20" t="s">
        <v>72</v>
      </c>
      <c r="J2630" s="10"/>
      <c r="L2630" s="50">
        <v>45394</v>
      </c>
      <c r="M2630" s="10">
        <v>45423</v>
      </c>
      <c r="N2630" s="9">
        <v>2024</v>
      </c>
      <c r="O2630" s="9" t="s">
        <v>13136</v>
      </c>
      <c r="P2630" s="9" t="s">
        <v>53</v>
      </c>
      <c r="Q2630" s="9" t="s">
        <v>53</v>
      </c>
      <c r="R2630" s="9" t="s">
        <v>13266</v>
      </c>
      <c r="S2630" s="9"/>
      <c r="T2630" s="9"/>
      <c r="V2630" s="9"/>
      <c r="AC2630" s="9" t="s">
        <v>4958</v>
      </c>
      <c r="AD2630" s="9" t="s">
        <v>4959</v>
      </c>
      <c r="AE2630" s="9" t="s">
        <v>13267</v>
      </c>
      <c r="AH2630" s="9"/>
      <c r="AI2630" s="9"/>
      <c r="AJ2630" s="9"/>
      <c r="AK2630" s="23"/>
      <c r="AL2630" s="23"/>
      <c r="AM2630" s="26"/>
      <c r="AN2630" s="9"/>
      <c r="AO2630" s="9"/>
      <c r="AP2630" s="9"/>
      <c r="AQ2630" s="54" t="str">
        <f t="shared" si="22"/>
        <v>Hybrid</v>
      </c>
      <c r="AR2630" s="52"/>
      <c r="AS2630" s="52"/>
    </row>
    <row r="2631" spans="1:45" ht="14.5">
      <c r="A2631" s="9" t="s">
        <v>13268</v>
      </c>
      <c r="B2631" s="9" t="s">
        <v>13269</v>
      </c>
      <c r="C2631" s="9" t="s">
        <v>5842</v>
      </c>
      <c r="D2631" s="9" t="s">
        <v>5539</v>
      </c>
      <c r="E2631" s="9" t="s">
        <v>49</v>
      </c>
      <c r="F2631" s="9" t="s">
        <v>69</v>
      </c>
      <c r="G2631" s="9" t="s">
        <v>13134</v>
      </c>
      <c r="H2631" s="9" t="s">
        <v>13135</v>
      </c>
      <c r="I2631" s="20" t="s">
        <v>72</v>
      </c>
      <c r="J2631" s="10"/>
      <c r="L2631" s="50">
        <v>45394</v>
      </c>
      <c r="M2631" s="10"/>
      <c r="N2631" s="9">
        <v>2024</v>
      </c>
      <c r="O2631" s="9" t="s">
        <v>13136</v>
      </c>
      <c r="P2631" s="9" t="s">
        <v>53</v>
      </c>
      <c r="Q2631" s="9" t="s">
        <v>53</v>
      </c>
      <c r="R2631" s="9" t="s">
        <v>13270</v>
      </c>
      <c r="S2631" s="9"/>
      <c r="T2631" s="9"/>
      <c r="V2631" s="9"/>
      <c r="AC2631" s="9" t="s">
        <v>13271</v>
      </c>
      <c r="AD2631" s="9" t="s">
        <v>13272</v>
      </c>
      <c r="AE2631" s="9" t="s">
        <v>13273</v>
      </c>
      <c r="AH2631" s="9"/>
      <c r="AI2631" s="9"/>
      <c r="AJ2631" s="9"/>
      <c r="AK2631" s="23"/>
      <c r="AL2631" s="23"/>
      <c r="AM2631" s="26"/>
      <c r="AN2631" s="9"/>
      <c r="AO2631" s="9"/>
      <c r="AP2631" s="9"/>
      <c r="AQ2631" s="54" t="str">
        <f t="shared" si="22"/>
        <v>Hybrid</v>
      </c>
      <c r="AR2631" s="52"/>
      <c r="AS2631" s="52"/>
    </row>
    <row r="2632" spans="1:45" ht="14.5" hidden="1">
      <c r="A2632" s="9" t="s">
        <v>13274</v>
      </c>
      <c r="B2632" s="9"/>
      <c r="C2632" s="9" t="s">
        <v>6330</v>
      </c>
      <c r="D2632" s="9" t="s">
        <v>5539</v>
      </c>
      <c r="E2632" s="9" t="s">
        <v>125</v>
      </c>
      <c r="F2632" s="9"/>
      <c r="G2632" s="9" t="s">
        <v>13203</v>
      </c>
      <c r="H2632" s="9"/>
      <c r="I2632" s="9"/>
      <c r="J2632" s="10"/>
      <c r="K2632" s="10"/>
      <c r="L2632" s="50">
        <v>45393</v>
      </c>
      <c r="M2632" s="10"/>
      <c r="N2632" s="9">
        <v>2024</v>
      </c>
      <c r="O2632" s="9" t="s">
        <v>13136</v>
      </c>
      <c r="P2632" s="9"/>
      <c r="Q2632" s="9"/>
      <c r="S2632" s="9"/>
      <c r="T2632" s="9"/>
      <c r="V2632" s="9"/>
      <c r="AC2632" s="9" t="s">
        <v>13275</v>
      </c>
      <c r="AD2632" s="9" t="s">
        <v>13276</v>
      </c>
      <c r="AE2632" s="9"/>
      <c r="AH2632" s="9"/>
      <c r="AI2632" s="9"/>
      <c r="AJ2632" s="9"/>
      <c r="AK2632" s="23"/>
      <c r="AL2632" s="23"/>
      <c r="AM2632" s="26"/>
      <c r="AN2632" s="9"/>
      <c r="AO2632" s="9"/>
      <c r="AP2632" s="9"/>
      <c r="AQ2632" s="54" t="str">
        <f t="shared" si="22"/>
        <v>Fully OA</v>
      </c>
      <c r="AR2632" s="52"/>
      <c r="AS2632" s="52"/>
    </row>
    <row r="2633" spans="1:45" ht="14.5">
      <c r="A2633" s="9" t="s">
        <v>13277</v>
      </c>
      <c r="B2633" s="9" t="s">
        <v>13278</v>
      </c>
      <c r="C2633" s="9" t="s">
        <v>6248</v>
      </c>
      <c r="D2633" s="9" t="s">
        <v>5539</v>
      </c>
      <c r="E2633" s="9" t="s">
        <v>49</v>
      </c>
      <c r="F2633" s="9" t="s">
        <v>69</v>
      </c>
      <c r="G2633" s="9" t="s">
        <v>13134</v>
      </c>
      <c r="H2633" s="9" t="s">
        <v>13135</v>
      </c>
      <c r="I2633" s="20" t="s">
        <v>72</v>
      </c>
      <c r="J2633" s="10"/>
      <c r="L2633" s="50">
        <v>45391</v>
      </c>
      <c r="M2633" s="10">
        <v>45403</v>
      </c>
      <c r="N2633" s="9">
        <v>2024</v>
      </c>
      <c r="O2633" s="9" t="s">
        <v>13136</v>
      </c>
      <c r="P2633" s="9" t="s">
        <v>53</v>
      </c>
      <c r="Q2633" s="9" t="s">
        <v>53</v>
      </c>
      <c r="R2633" s="9" t="s">
        <v>13279</v>
      </c>
      <c r="S2633" s="9"/>
      <c r="T2633" s="9"/>
      <c r="V2633" s="9"/>
      <c r="AC2633" s="9" t="s">
        <v>13228</v>
      </c>
      <c r="AD2633" s="9" t="s">
        <v>11732</v>
      </c>
      <c r="AE2633" s="9" t="s">
        <v>13229</v>
      </c>
      <c r="AH2633" s="9"/>
      <c r="AI2633" s="9"/>
      <c r="AJ2633" s="9"/>
      <c r="AK2633" s="23"/>
      <c r="AL2633" s="23"/>
      <c r="AM2633" s="26"/>
      <c r="AN2633" s="9"/>
      <c r="AO2633" s="9"/>
      <c r="AP2633" s="9"/>
      <c r="AQ2633" s="54" t="str">
        <f t="shared" si="22"/>
        <v>Hybrid</v>
      </c>
      <c r="AR2633" s="52"/>
      <c r="AS2633" s="52"/>
    </row>
    <row r="2634" spans="1:45" ht="14.5">
      <c r="A2634" s="9" t="s">
        <v>13280</v>
      </c>
      <c r="B2634" s="9" t="s">
        <v>13281</v>
      </c>
      <c r="C2634" s="9" t="s">
        <v>13282</v>
      </c>
      <c r="D2634" s="9" t="s">
        <v>5539</v>
      </c>
      <c r="E2634" s="9" t="s">
        <v>49</v>
      </c>
      <c r="F2634" s="9" t="s">
        <v>69</v>
      </c>
      <c r="G2634" s="9" t="s">
        <v>13203</v>
      </c>
      <c r="H2634" s="9"/>
      <c r="I2634" s="9"/>
      <c r="J2634" s="10"/>
      <c r="L2634" s="50"/>
      <c r="M2634" s="10"/>
      <c r="N2634" s="9">
        <v>2024</v>
      </c>
      <c r="O2634" s="9" t="s">
        <v>13136</v>
      </c>
      <c r="P2634" s="9" t="s">
        <v>83</v>
      </c>
      <c r="Q2634" s="9" t="s">
        <v>53</v>
      </c>
      <c r="R2634" s="9" t="s">
        <v>13283</v>
      </c>
      <c r="S2634" s="9"/>
      <c r="T2634" s="9" t="s">
        <v>55</v>
      </c>
      <c r="U2634" s="9" t="s">
        <v>13284</v>
      </c>
      <c r="V2634" s="9"/>
      <c r="AC2634" s="9" t="s">
        <v>13285</v>
      </c>
      <c r="AD2634" s="9" t="s">
        <v>13286</v>
      </c>
      <c r="AE2634" s="9" t="s">
        <v>13287</v>
      </c>
      <c r="AH2634" s="9"/>
      <c r="AI2634" s="9"/>
      <c r="AJ2634" s="9"/>
      <c r="AK2634" s="23"/>
      <c r="AL2634" s="23"/>
      <c r="AM2634" s="26"/>
      <c r="AN2634" s="9"/>
      <c r="AO2634" s="9"/>
      <c r="AP2634" s="9"/>
      <c r="AQ2634" s="54" t="str">
        <f t="shared" si="22"/>
        <v>Hybrid</v>
      </c>
      <c r="AR2634" s="52"/>
      <c r="AS2634" s="52"/>
    </row>
    <row r="2635" spans="1:45" ht="14.5">
      <c r="A2635" s="9" t="s">
        <v>13288</v>
      </c>
      <c r="B2635" s="9" t="s">
        <v>13289</v>
      </c>
      <c r="C2635" s="9" t="s">
        <v>10303</v>
      </c>
      <c r="D2635" s="9" t="s">
        <v>5539</v>
      </c>
      <c r="E2635" s="9" t="s">
        <v>49</v>
      </c>
      <c r="F2635" s="9" t="s">
        <v>69</v>
      </c>
      <c r="G2635" s="9" t="s">
        <v>13134</v>
      </c>
      <c r="H2635" s="9" t="s">
        <v>13135</v>
      </c>
      <c r="I2635" s="20" t="s">
        <v>72</v>
      </c>
      <c r="J2635" s="10"/>
      <c r="L2635" s="50">
        <v>45390</v>
      </c>
      <c r="M2635" s="10">
        <v>45420</v>
      </c>
      <c r="N2635" s="9">
        <v>2024</v>
      </c>
      <c r="O2635" s="9" t="s">
        <v>13136</v>
      </c>
      <c r="P2635" s="9" t="s">
        <v>53</v>
      </c>
      <c r="Q2635" s="9" t="s">
        <v>53</v>
      </c>
      <c r="S2635" s="9"/>
      <c r="T2635" s="9"/>
      <c r="V2635" s="9"/>
      <c r="AC2635" s="9" t="s">
        <v>13290</v>
      </c>
      <c r="AD2635" s="9" t="s">
        <v>13291</v>
      </c>
      <c r="AE2635" s="9" t="s">
        <v>13292</v>
      </c>
      <c r="AH2635" s="9"/>
      <c r="AI2635" s="9"/>
      <c r="AJ2635" s="9"/>
      <c r="AK2635" s="23"/>
      <c r="AL2635" s="23"/>
      <c r="AM2635" s="26"/>
      <c r="AN2635" s="9"/>
      <c r="AO2635" s="9"/>
      <c r="AP2635" s="9"/>
      <c r="AQ2635" s="54" t="str">
        <f t="shared" si="22"/>
        <v>Hybrid</v>
      </c>
      <c r="AR2635" s="52"/>
      <c r="AS2635" s="52"/>
    </row>
    <row r="2636" spans="1:45" ht="14.5">
      <c r="A2636" s="9" t="s">
        <v>13293</v>
      </c>
      <c r="B2636" s="9" t="s">
        <v>13294</v>
      </c>
      <c r="C2636" s="9" t="s">
        <v>5741</v>
      </c>
      <c r="D2636" s="9" t="s">
        <v>5539</v>
      </c>
      <c r="E2636" s="9" t="s">
        <v>49</v>
      </c>
      <c r="F2636" s="9" t="s">
        <v>69</v>
      </c>
      <c r="G2636" s="9" t="s">
        <v>13134</v>
      </c>
      <c r="H2636" s="9" t="s">
        <v>13135</v>
      </c>
      <c r="I2636" s="20" t="s">
        <v>72</v>
      </c>
      <c r="J2636" s="10"/>
      <c r="L2636" s="50">
        <v>45387</v>
      </c>
      <c r="M2636" s="10">
        <v>45407</v>
      </c>
      <c r="N2636" s="9">
        <v>2024</v>
      </c>
      <c r="O2636" s="9" t="s">
        <v>13136</v>
      </c>
      <c r="P2636" s="9" t="s">
        <v>83</v>
      </c>
      <c r="Q2636" s="9" t="s">
        <v>53</v>
      </c>
      <c r="R2636" s="9" t="s">
        <v>292</v>
      </c>
      <c r="S2636" s="9"/>
      <c r="T2636" s="9"/>
      <c r="V2636" s="9"/>
      <c r="AC2636" s="9" t="s">
        <v>8711</v>
      </c>
      <c r="AD2636" s="9" t="s">
        <v>8712</v>
      </c>
      <c r="AE2636" s="9" t="s">
        <v>13295</v>
      </c>
      <c r="AH2636" s="9"/>
      <c r="AI2636" s="9"/>
      <c r="AJ2636" s="9"/>
      <c r="AK2636" s="23"/>
      <c r="AL2636" s="23"/>
      <c r="AM2636" s="26"/>
      <c r="AN2636" s="9"/>
      <c r="AO2636" s="9"/>
      <c r="AP2636" s="9"/>
      <c r="AQ2636" s="54" t="str">
        <f t="shared" si="22"/>
        <v>Hybrid</v>
      </c>
      <c r="AR2636" s="52"/>
      <c r="AS2636" s="52"/>
    </row>
    <row r="2637" spans="1:45" ht="14.5">
      <c r="A2637" s="9" t="s">
        <v>13296</v>
      </c>
      <c r="B2637" s="9" t="s">
        <v>13297</v>
      </c>
      <c r="C2637" s="9" t="s">
        <v>6139</v>
      </c>
      <c r="D2637" s="9" t="s">
        <v>5539</v>
      </c>
      <c r="E2637" s="9" t="s">
        <v>49</v>
      </c>
      <c r="F2637" s="9" t="s">
        <v>69</v>
      </c>
      <c r="G2637" s="9" t="s">
        <v>13134</v>
      </c>
      <c r="H2637" s="9" t="s">
        <v>13135</v>
      </c>
      <c r="I2637" s="20" t="s">
        <v>72</v>
      </c>
      <c r="J2637" s="10"/>
      <c r="L2637" s="50">
        <v>45394</v>
      </c>
      <c r="M2637" s="10">
        <v>45407</v>
      </c>
      <c r="N2637" s="9">
        <v>2024</v>
      </c>
      <c r="O2637" s="9" t="s">
        <v>13136</v>
      </c>
      <c r="P2637" s="9" t="s">
        <v>83</v>
      </c>
      <c r="Q2637" s="9" t="s">
        <v>53</v>
      </c>
      <c r="R2637" s="9" t="s">
        <v>1980</v>
      </c>
      <c r="S2637" s="9"/>
      <c r="T2637" s="9"/>
      <c r="V2637" s="9"/>
      <c r="AC2637" s="9" t="s">
        <v>6789</v>
      </c>
      <c r="AD2637" s="9" t="s">
        <v>13298</v>
      </c>
      <c r="AE2637" s="9" t="s">
        <v>13299</v>
      </c>
      <c r="AH2637" s="9"/>
      <c r="AI2637" s="9"/>
      <c r="AJ2637" s="9"/>
      <c r="AK2637" s="23"/>
      <c r="AL2637" s="23"/>
      <c r="AM2637" s="26"/>
      <c r="AN2637" s="9"/>
      <c r="AO2637" s="9"/>
      <c r="AP2637" s="9"/>
      <c r="AQ2637" s="54" t="str">
        <f t="shared" si="22"/>
        <v>Hybrid</v>
      </c>
      <c r="AR2637" s="52"/>
      <c r="AS2637" s="52"/>
    </row>
    <row r="2638" spans="1:45" ht="14.5" hidden="1">
      <c r="A2638" s="9" t="s">
        <v>13300</v>
      </c>
      <c r="B2638" s="9"/>
      <c r="C2638" s="9" t="s">
        <v>13301</v>
      </c>
      <c r="D2638" s="9" t="s">
        <v>5539</v>
      </c>
      <c r="E2638" s="9" t="s">
        <v>125</v>
      </c>
      <c r="F2638" s="9"/>
      <c r="G2638" s="9" t="s">
        <v>13173</v>
      </c>
      <c r="H2638" s="9"/>
      <c r="I2638" s="9"/>
      <c r="J2638" s="10"/>
      <c r="K2638" s="10"/>
      <c r="L2638" s="50">
        <v>45390</v>
      </c>
      <c r="M2638" s="10"/>
      <c r="N2638" s="9">
        <v>2024</v>
      </c>
      <c r="O2638" s="9" t="s">
        <v>13136</v>
      </c>
      <c r="P2638" s="9"/>
      <c r="Q2638" s="9"/>
      <c r="S2638" s="9"/>
      <c r="T2638" s="9"/>
      <c r="V2638" s="9"/>
      <c r="AC2638" s="9" t="s">
        <v>11186</v>
      </c>
      <c r="AD2638" s="9" t="s">
        <v>11187</v>
      </c>
      <c r="AE2638" s="9"/>
      <c r="AH2638" s="9"/>
      <c r="AI2638" s="9"/>
      <c r="AJ2638" s="9"/>
      <c r="AK2638" s="23"/>
      <c r="AL2638" s="23"/>
      <c r="AM2638" s="26"/>
      <c r="AN2638" s="9"/>
      <c r="AO2638" s="9"/>
      <c r="AP2638" s="9"/>
      <c r="AQ2638" s="54" t="str">
        <f t="shared" si="22"/>
        <v>Fully OA</v>
      </c>
      <c r="AR2638" s="52"/>
      <c r="AS2638" s="52"/>
    </row>
    <row r="2639" spans="1:45" ht="14.5">
      <c r="A2639" s="9" t="s">
        <v>13302</v>
      </c>
      <c r="B2639" s="9" t="s">
        <v>13303</v>
      </c>
      <c r="C2639" s="9" t="s">
        <v>6182</v>
      </c>
      <c r="D2639" s="9" t="s">
        <v>5539</v>
      </c>
      <c r="E2639" s="9" t="s">
        <v>49</v>
      </c>
      <c r="F2639" s="9" t="s">
        <v>69</v>
      </c>
      <c r="G2639" s="9" t="s">
        <v>13134</v>
      </c>
      <c r="H2639" s="9" t="s">
        <v>13135</v>
      </c>
      <c r="I2639" s="20" t="s">
        <v>72</v>
      </c>
      <c r="J2639" s="10"/>
      <c r="L2639" s="50">
        <v>45379</v>
      </c>
      <c r="M2639" s="10">
        <v>45408</v>
      </c>
      <c r="N2639" s="9">
        <v>2024</v>
      </c>
      <c r="O2639" s="9" t="s">
        <v>13136</v>
      </c>
      <c r="P2639" s="9" t="s">
        <v>83</v>
      </c>
      <c r="Q2639" s="9" t="s">
        <v>53</v>
      </c>
      <c r="R2639" s="9" t="s">
        <v>117</v>
      </c>
      <c r="S2639" s="9"/>
      <c r="T2639" s="9"/>
      <c r="V2639" s="9"/>
      <c r="AC2639" s="9" t="s">
        <v>13304</v>
      </c>
      <c r="AD2639" s="9" t="s">
        <v>13305</v>
      </c>
      <c r="AE2639" s="9" t="s">
        <v>13306</v>
      </c>
      <c r="AH2639" s="9"/>
      <c r="AI2639" s="9"/>
      <c r="AJ2639" s="9"/>
      <c r="AK2639" s="23"/>
      <c r="AL2639" s="23"/>
      <c r="AM2639" s="26"/>
      <c r="AN2639" s="9"/>
      <c r="AO2639" s="9"/>
      <c r="AP2639" s="9"/>
      <c r="AQ2639" s="54" t="str">
        <f t="shared" si="22"/>
        <v>Hybrid</v>
      </c>
      <c r="AR2639" s="52"/>
      <c r="AS2639" s="52"/>
    </row>
    <row r="2640" spans="1:45" ht="14.5" hidden="1">
      <c r="A2640" s="9" t="s">
        <v>13307</v>
      </c>
      <c r="B2640" s="9"/>
      <c r="C2640" s="9" t="s">
        <v>13308</v>
      </c>
      <c r="D2640" s="9" t="s">
        <v>5539</v>
      </c>
      <c r="E2640" s="9" t="s">
        <v>125</v>
      </c>
      <c r="F2640" s="9"/>
      <c r="G2640" s="9" t="s">
        <v>13173</v>
      </c>
      <c r="H2640" s="9"/>
      <c r="I2640" s="9"/>
      <c r="J2640" s="10"/>
      <c r="K2640" s="10"/>
      <c r="L2640" s="50">
        <v>45376</v>
      </c>
      <c r="M2640" s="10"/>
      <c r="N2640" s="9">
        <v>2024</v>
      </c>
      <c r="O2640" s="9" t="s">
        <v>13136</v>
      </c>
      <c r="P2640" s="9"/>
      <c r="Q2640" s="9"/>
      <c r="S2640" s="9"/>
      <c r="T2640" s="9"/>
      <c r="V2640" s="9"/>
      <c r="AC2640" s="9" t="s">
        <v>10878</v>
      </c>
      <c r="AD2640" s="9" t="s">
        <v>10879</v>
      </c>
      <c r="AE2640" s="9"/>
      <c r="AH2640" s="9"/>
      <c r="AI2640" s="9"/>
      <c r="AJ2640" s="9"/>
      <c r="AK2640" s="23"/>
      <c r="AL2640" s="23"/>
      <c r="AM2640" s="26"/>
      <c r="AN2640" s="9"/>
      <c r="AO2640" s="9"/>
      <c r="AP2640" s="9"/>
      <c r="AQ2640" s="54" t="str">
        <f t="shared" si="22"/>
        <v>Fully OA</v>
      </c>
      <c r="AR2640" s="52"/>
      <c r="AS2640" s="52"/>
    </row>
    <row r="2641" spans="1:45" ht="14.5">
      <c r="A2641" s="9" t="s">
        <v>13309</v>
      </c>
      <c r="B2641" s="9" t="s">
        <v>13310</v>
      </c>
      <c r="C2641" s="9" t="s">
        <v>6069</v>
      </c>
      <c r="D2641" s="9" t="s">
        <v>5539</v>
      </c>
      <c r="E2641" s="9" t="s">
        <v>49</v>
      </c>
      <c r="F2641" s="9" t="s">
        <v>69</v>
      </c>
      <c r="G2641" s="9" t="s">
        <v>13134</v>
      </c>
      <c r="H2641" s="9" t="s">
        <v>13135</v>
      </c>
      <c r="I2641" s="20" t="s">
        <v>72</v>
      </c>
      <c r="J2641" s="10"/>
      <c r="L2641" s="50">
        <v>45372</v>
      </c>
      <c r="M2641" s="10">
        <v>45411</v>
      </c>
      <c r="N2641" s="9">
        <v>2024</v>
      </c>
      <c r="O2641" s="9" t="s">
        <v>13136</v>
      </c>
      <c r="P2641" s="9" t="s">
        <v>83</v>
      </c>
      <c r="Q2641" s="9" t="s">
        <v>53</v>
      </c>
      <c r="R2641" s="9" t="s">
        <v>13311</v>
      </c>
      <c r="S2641" s="9"/>
      <c r="T2641" s="9"/>
      <c r="V2641" s="9"/>
      <c r="AC2641" s="9" t="s">
        <v>13312</v>
      </c>
      <c r="AD2641" s="9" t="s">
        <v>8589</v>
      </c>
      <c r="AE2641" s="9" t="s">
        <v>13313</v>
      </c>
      <c r="AH2641" s="9"/>
      <c r="AI2641" s="9"/>
      <c r="AJ2641" s="9"/>
      <c r="AK2641" s="23"/>
      <c r="AL2641" s="23"/>
      <c r="AM2641" s="26"/>
      <c r="AN2641" s="9"/>
      <c r="AO2641" s="9"/>
      <c r="AP2641" s="9"/>
      <c r="AQ2641" s="54" t="str">
        <f t="shared" si="22"/>
        <v>Hybrid</v>
      </c>
      <c r="AR2641" s="52"/>
      <c r="AS2641" s="52"/>
    </row>
    <row r="2642" spans="1:45" ht="14.5">
      <c r="A2642" s="9" t="s">
        <v>13314</v>
      </c>
      <c r="B2642" s="9" t="s">
        <v>13315</v>
      </c>
      <c r="C2642" s="9" t="s">
        <v>6094</v>
      </c>
      <c r="D2642" s="9" t="s">
        <v>5539</v>
      </c>
      <c r="E2642" s="9" t="s">
        <v>125</v>
      </c>
      <c r="F2642" s="9" t="s">
        <v>69</v>
      </c>
      <c r="G2642" s="9" t="s">
        <v>13134</v>
      </c>
      <c r="H2642" s="9" t="s">
        <v>13135</v>
      </c>
      <c r="I2642" s="20" t="s">
        <v>72</v>
      </c>
      <c r="J2642" s="10"/>
      <c r="L2642" s="50">
        <v>45371</v>
      </c>
      <c r="M2642" s="10"/>
      <c r="N2642" s="9">
        <v>2024</v>
      </c>
      <c r="O2642" s="9" t="s">
        <v>13136</v>
      </c>
      <c r="P2642" s="9" t="s">
        <v>53</v>
      </c>
      <c r="Q2642" s="9" t="s">
        <v>53</v>
      </c>
      <c r="R2642" s="9" t="s">
        <v>13316</v>
      </c>
      <c r="S2642" s="9"/>
      <c r="T2642" s="9"/>
      <c r="V2642" s="9"/>
      <c r="AC2642" s="9" t="s">
        <v>2080</v>
      </c>
      <c r="AD2642" s="9" t="s">
        <v>2081</v>
      </c>
      <c r="AE2642" s="9" t="s">
        <v>13317</v>
      </c>
      <c r="AH2642" s="9"/>
      <c r="AI2642" s="9"/>
      <c r="AJ2642" s="9"/>
      <c r="AK2642" s="23"/>
      <c r="AL2642" s="23"/>
      <c r="AM2642" s="26"/>
      <c r="AN2642" s="9"/>
      <c r="AO2642" s="9"/>
      <c r="AP2642" s="9"/>
      <c r="AQ2642" s="54" t="str">
        <f t="shared" si="22"/>
        <v>Fully OA</v>
      </c>
      <c r="AR2642" s="52"/>
      <c r="AS2642" s="52"/>
    </row>
    <row r="2643" spans="1:45" ht="14.5">
      <c r="A2643" s="9" t="s">
        <v>13318</v>
      </c>
      <c r="B2643" s="9" t="s">
        <v>13319</v>
      </c>
      <c r="C2643" s="9" t="s">
        <v>13320</v>
      </c>
      <c r="D2643" s="9" t="s">
        <v>5539</v>
      </c>
      <c r="E2643" s="9" t="s">
        <v>49</v>
      </c>
      <c r="F2643" s="9" t="s">
        <v>69</v>
      </c>
      <c r="G2643" s="9" t="s">
        <v>13134</v>
      </c>
      <c r="H2643" s="9" t="s">
        <v>13135</v>
      </c>
      <c r="I2643" s="20" t="s">
        <v>72</v>
      </c>
      <c r="J2643" s="10"/>
      <c r="L2643" s="50">
        <v>45370</v>
      </c>
      <c r="M2643" s="10">
        <v>45386</v>
      </c>
      <c r="N2643" s="9">
        <v>2024</v>
      </c>
      <c r="O2643" s="9" t="s">
        <v>13136</v>
      </c>
      <c r="P2643" s="9" t="s">
        <v>53</v>
      </c>
      <c r="Q2643" s="9" t="s">
        <v>53</v>
      </c>
      <c r="S2643" s="9"/>
      <c r="T2643" s="9"/>
      <c r="V2643" s="9"/>
      <c r="AC2643" s="9" t="s">
        <v>13321</v>
      </c>
      <c r="AD2643" s="9" t="s">
        <v>13322</v>
      </c>
      <c r="AE2643" s="9" t="s">
        <v>13323</v>
      </c>
      <c r="AH2643" s="9"/>
      <c r="AI2643" s="9"/>
      <c r="AJ2643" s="9"/>
      <c r="AK2643" s="23"/>
      <c r="AL2643" s="23"/>
      <c r="AM2643" s="26"/>
      <c r="AN2643" s="9"/>
      <c r="AO2643" s="9"/>
      <c r="AP2643" s="9"/>
      <c r="AQ2643" s="54" t="str">
        <f t="shared" si="22"/>
        <v>Hybrid</v>
      </c>
      <c r="AR2643" s="52"/>
      <c r="AS2643" s="52"/>
    </row>
    <row r="2644" spans="1:45" ht="14.5">
      <c r="A2644" s="9" t="s">
        <v>13324</v>
      </c>
      <c r="B2644" s="9" t="s">
        <v>13325</v>
      </c>
      <c r="C2644" s="9" t="s">
        <v>13326</v>
      </c>
      <c r="D2644" s="9" t="s">
        <v>5539</v>
      </c>
      <c r="E2644" s="9" t="s">
        <v>49</v>
      </c>
      <c r="F2644" s="9" t="s">
        <v>69</v>
      </c>
      <c r="G2644" s="9" t="s">
        <v>13134</v>
      </c>
      <c r="H2644" s="9" t="s">
        <v>13135</v>
      </c>
      <c r="I2644" s="20" t="s">
        <v>72</v>
      </c>
      <c r="J2644" s="10"/>
      <c r="L2644" s="50">
        <v>45370</v>
      </c>
      <c r="M2644" s="10">
        <v>45370</v>
      </c>
      <c r="N2644" s="9">
        <v>2024</v>
      </c>
      <c r="O2644" s="9" t="s">
        <v>13136</v>
      </c>
      <c r="P2644" s="9" t="s">
        <v>53</v>
      </c>
      <c r="Q2644" s="9" t="s">
        <v>53</v>
      </c>
      <c r="S2644" s="9"/>
      <c r="T2644" s="9"/>
      <c r="V2644" s="9"/>
      <c r="AC2644" s="9" t="s">
        <v>4490</v>
      </c>
      <c r="AD2644" s="9" t="s">
        <v>4491</v>
      </c>
      <c r="AE2644" s="9" t="s">
        <v>13327</v>
      </c>
      <c r="AH2644" s="9"/>
      <c r="AI2644" s="9"/>
      <c r="AJ2644" s="9"/>
      <c r="AK2644" s="23"/>
      <c r="AL2644" s="23"/>
      <c r="AM2644" s="26"/>
      <c r="AN2644" s="9"/>
      <c r="AO2644" s="9"/>
      <c r="AP2644" s="9"/>
      <c r="AQ2644" s="54" t="str">
        <f t="shared" si="22"/>
        <v>Hybrid</v>
      </c>
      <c r="AR2644" s="52"/>
      <c r="AS2644" s="52"/>
    </row>
    <row r="2645" spans="1:45" ht="14.5">
      <c r="A2645" s="9" t="s">
        <v>13328</v>
      </c>
      <c r="B2645" s="9" t="s">
        <v>13329</v>
      </c>
      <c r="C2645" s="9" t="s">
        <v>5634</v>
      </c>
      <c r="D2645" s="9" t="s">
        <v>5539</v>
      </c>
      <c r="E2645" s="9" t="s">
        <v>49</v>
      </c>
      <c r="F2645" s="9" t="s">
        <v>69</v>
      </c>
      <c r="G2645" s="9" t="s">
        <v>13134</v>
      </c>
      <c r="H2645" s="9" t="s">
        <v>13135</v>
      </c>
      <c r="I2645" s="20" t="s">
        <v>72</v>
      </c>
      <c r="J2645" s="10"/>
      <c r="L2645" s="50">
        <v>45370</v>
      </c>
      <c r="M2645" s="10">
        <v>45399</v>
      </c>
      <c r="N2645" s="9">
        <v>2024</v>
      </c>
      <c r="O2645" s="9" t="s">
        <v>13136</v>
      </c>
      <c r="P2645" s="9" t="s">
        <v>83</v>
      </c>
      <c r="Q2645" s="9" t="s">
        <v>53</v>
      </c>
      <c r="R2645" s="9" t="s">
        <v>13330</v>
      </c>
      <c r="S2645" s="9"/>
      <c r="T2645" s="9"/>
      <c r="V2645" s="9"/>
      <c r="AC2645" s="9" t="s">
        <v>6086</v>
      </c>
      <c r="AD2645" s="9" t="s">
        <v>13331</v>
      </c>
      <c r="AE2645" s="9" t="s">
        <v>13332</v>
      </c>
      <c r="AH2645" s="9"/>
      <c r="AI2645" s="9"/>
      <c r="AJ2645" s="9"/>
      <c r="AK2645" s="23"/>
      <c r="AL2645" s="23"/>
      <c r="AM2645" s="26"/>
      <c r="AN2645" s="9"/>
      <c r="AO2645" s="9"/>
      <c r="AP2645" s="9"/>
      <c r="AQ2645" s="54" t="str">
        <f t="shared" si="22"/>
        <v>Hybrid</v>
      </c>
      <c r="AR2645" s="52"/>
      <c r="AS2645" s="52"/>
    </row>
    <row r="2646" spans="1:45" ht="14.5">
      <c r="A2646" s="9" t="s">
        <v>13333</v>
      </c>
      <c r="B2646" s="9" t="s">
        <v>13334</v>
      </c>
      <c r="C2646" s="9" t="s">
        <v>13335</v>
      </c>
      <c r="D2646" s="9" t="s">
        <v>5539</v>
      </c>
      <c r="E2646" s="9" t="s">
        <v>49</v>
      </c>
      <c r="F2646" s="9" t="s">
        <v>69</v>
      </c>
      <c r="G2646" s="9" t="s">
        <v>13134</v>
      </c>
      <c r="H2646" s="9" t="s">
        <v>13135</v>
      </c>
      <c r="I2646" s="20" t="s">
        <v>72</v>
      </c>
      <c r="J2646" s="10"/>
      <c r="L2646" s="50">
        <v>45369</v>
      </c>
      <c r="M2646" s="10">
        <v>45384</v>
      </c>
      <c r="N2646" s="9">
        <v>2024</v>
      </c>
      <c r="O2646" s="9" t="s">
        <v>13136</v>
      </c>
      <c r="P2646" s="9" t="s">
        <v>83</v>
      </c>
      <c r="Q2646" s="9" t="s">
        <v>53</v>
      </c>
      <c r="R2646" s="9" t="s">
        <v>13336</v>
      </c>
      <c r="S2646" s="9"/>
      <c r="T2646" s="9"/>
      <c r="V2646" s="9"/>
      <c r="AC2646" s="9" t="s">
        <v>13337</v>
      </c>
      <c r="AD2646" s="9" t="s">
        <v>13338</v>
      </c>
      <c r="AE2646" s="9" t="s">
        <v>13339</v>
      </c>
      <c r="AH2646" s="9"/>
      <c r="AI2646" s="9"/>
      <c r="AJ2646" s="9"/>
      <c r="AK2646" s="23"/>
      <c r="AL2646" s="23"/>
      <c r="AM2646" s="26"/>
      <c r="AN2646" s="9"/>
      <c r="AO2646" s="9"/>
      <c r="AP2646" s="9"/>
      <c r="AQ2646" s="54" t="str">
        <f t="shared" si="22"/>
        <v>Hybrid</v>
      </c>
      <c r="AR2646" s="52"/>
      <c r="AS2646" s="52"/>
    </row>
    <row r="2647" spans="1:45" ht="14.5">
      <c r="A2647" s="9" t="s">
        <v>13340</v>
      </c>
      <c r="B2647" s="9" t="s">
        <v>13341</v>
      </c>
      <c r="C2647" s="9" t="s">
        <v>13342</v>
      </c>
      <c r="D2647" s="9" t="s">
        <v>5539</v>
      </c>
      <c r="E2647" s="9" t="s">
        <v>49</v>
      </c>
      <c r="F2647" s="9" t="s">
        <v>69</v>
      </c>
      <c r="G2647" s="9" t="s">
        <v>13134</v>
      </c>
      <c r="H2647" s="9" t="s">
        <v>13135</v>
      </c>
      <c r="I2647" s="20" t="s">
        <v>72</v>
      </c>
      <c r="J2647" s="10"/>
      <c r="L2647" s="50">
        <v>45369</v>
      </c>
      <c r="M2647" s="10">
        <v>45393</v>
      </c>
      <c r="N2647" s="9">
        <v>2024</v>
      </c>
      <c r="O2647" s="9" t="s">
        <v>13136</v>
      </c>
      <c r="P2647" s="9" t="s">
        <v>53</v>
      </c>
      <c r="Q2647" s="9" t="s">
        <v>53</v>
      </c>
      <c r="S2647" s="9"/>
      <c r="T2647" s="9"/>
      <c r="V2647" s="9"/>
      <c r="AC2647" s="9" t="s">
        <v>13343</v>
      </c>
      <c r="AD2647" s="9" t="s">
        <v>13344</v>
      </c>
      <c r="AE2647" s="9" t="s">
        <v>13345</v>
      </c>
      <c r="AH2647" s="9"/>
      <c r="AI2647" s="9"/>
      <c r="AJ2647" s="9"/>
      <c r="AK2647" s="23"/>
      <c r="AL2647" s="23"/>
      <c r="AM2647" s="26"/>
      <c r="AN2647" s="9"/>
      <c r="AO2647" s="9"/>
      <c r="AP2647" s="9"/>
      <c r="AQ2647" s="54" t="str">
        <f t="shared" si="22"/>
        <v>Hybrid</v>
      </c>
      <c r="AR2647" s="52"/>
      <c r="AS2647" s="52"/>
    </row>
    <row r="2648" spans="1:45" ht="14.5">
      <c r="A2648" s="9" t="s">
        <v>13346</v>
      </c>
      <c r="B2648" s="9" t="s">
        <v>13347</v>
      </c>
      <c r="C2648" s="9" t="s">
        <v>13348</v>
      </c>
      <c r="D2648" s="9" t="s">
        <v>5539</v>
      </c>
      <c r="E2648" s="9" t="s">
        <v>49</v>
      </c>
      <c r="F2648" s="9" t="s">
        <v>69</v>
      </c>
      <c r="G2648" s="9" t="s">
        <v>13134</v>
      </c>
      <c r="H2648" s="9" t="s">
        <v>13135</v>
      </c>
      <c r="I2648" s="20" t="s">
        <v>72</v>
      </c>
      <c r="J2648" s="10"/>
      <c r="L2648" s="50">
        <v>45369</v>
      </c>
      <c r="M2648" s="10">
        <v>45414</v>
      </c>
      <c r="N2648" s="9">
        <v>2024</v>
      </c>
      <c r="O2648" s="9" t="s">
        <v>13136</v>
      </c>
      <c r="P2648" s="9" t="s">
        <v>53</v>
      </c>
      <c r="Q2648" s="9" t="s">
        <v>53</v>
      </c>
      <c r="R2648" s="9" t="s">
        <v>5015</v>
      </c>
      <c r="S2648" s="9"/>
      <c r="T2648" s="9"/>
      <c r="V2648" s="9"/>
      <c r="AC2648" s="9" t="s">
        <v>13349</v>
      </c>
      <c r="AD2648" s="9" t="s">
        <v>13350</v>
      </c>
      <c r="AE2648" s="9"/>
      <c r="AH2648" s="9"/>
      <c r="AI2648" s="9"/>
      <c r="AJ2648" s="9"/>
      <c r="AK2648" s="23"/>
      <c r="AL2648" s="23"/>
      <c r="AM2648" s="26"/>
      <c r="AN2648" s="9"/>
      <c r="AO2648" s="9"/>
      <c r="AP2648" s="9"/>
      <c r="AQ2648" s="54" t="str">
        <f t="shared" si="22"/>
        <v>Hybrid</v>
      </c>
      <c r="AR2648" s="52"/>
      <c r="AS2648" s="52"/>
    </row>
    <row r="2649" spans="1:45" ht="14.5">
      <c r="A2649" s="9" t="s">
        <v>13351</v>
      </c>
      <c r="B2649" s="9" t="s">
        <v>13352</v>
      </c>
      <c r="C2649" s="9" t="s">
        <v>10900</v>
      </c>
      <c r="D2649" s="9" t="s">
        <v>5539</v>
      </c>
      <c r="E2649" s="9" t="s">
        <v>49</v>
      </c>
      <c r="F2649" s="9" t="s">
        <v>69</v>
      </c>
      <c r="G2649" s="9" t="s">
        <v>13134</v>
      </c>
      <c r="H2649" s="9" t="s">
        <v>13135</v>
      </c>
      <c r="I2649" s="20" t="s">
        <v>72</v>
      </c>
      <c r="J2649" s="10"/>
      <c r="L2649" s="50">
        <v>45364</v>
      </c>
      <c r="M2649" s="10">
        <v>45372</v>
      </c>
      <c r="N2649" s="9">
        <v>2024</v>
      </c>
      <c r="O2649" s="9" t="s">
        <v>13136</v>
      </c>
      <c r="P2649" s="9" t="s">
        <v>83</v>
      </c>
      <c r="Q2649" s="9" t="s">
        <v>83</v>
      </c>
      <c r="R2649" s="9" t="s">
        <v>13353</v>
      </c>
      <c r="S2649" s="9"/>
      <c r="T2649" s="9"/>
      <c r="V2649" s="9"/>
      <c r="AC2649" s="9" t="s">
        <v>13354</v>
      </c>
      <c r="AD2649" s="9" t="s">
        <v>13355</v>
      </c>
      <c r="AE2649" s="9" t="s">
        <v>13356</v>
      </c>
      <c r="AH2649" s="9"/>
      <c r="AI2649" s="9"/>
      <c r="AJ2649" s="9"/>
      <c r="AK2649" s="23"/>
      <c r="AL2649" s="23"/>
      <c r="AM2649" s="26"/>
      <c r="AN2649" s="9"/>
      <c r="AO2649" s="9"/>
      <c r="AP2649" s="9"/>
      <c r="AQ2649" s="54" t="str">
        <f t="shared" si="22"/>
        <v>Hybrid</v>
      </c>
      <c r="AR2649" s="52"/>
      <c r="AS2649" s="52"/>
    </row>
    <row r="2650" spans="1:45" ht="14.5" hidden="1">
      <c r="A2650" s="9" t="s">
        <v>13357</v>
      </c>
      <c r="B2650" s="9"/>
      <c r="C2650" s="9" t="s">
        <v>11214</v>
      </c>
      <c r="D2650" s="9" t="s">
        <v>5539</v>
      </c>
      <c r="E2650" s="9" t="s">
        <v>125</v>
      </c>
      <c r="F2650" s="9"/>
      <c r="G2650" s="9" t="s">
        <v>13173</v>
      </c>
      <c r="H2650" s="9"/>
      <c r="I2650" s="9"/>
      <c r="J2650" s="10"/>
      <c r="K2650" s="10"/>
      <c r="L2650" s="50">
        <v>45364</v>
      </c>
      <c r="M2650" s="10"/>
      <c r="N2650" s="9">
        <v>2024</v>
      </c>
      <c r="O2650" s="9" t="s">
        <v>13136</v>
      </c>
      <c r="P2650" s="9"/>
      <c r="Q2650" s="9"/>
      <c r="S2650" s="9"/>
      <c r="T2650" s="9"/>
      <c r="V2650" s="9"/>
      <c r="AC2650" s="9" t="s">
        <v>13358</v>
      </c>
      <c r="AD2650" s="9" t="s">
        <v>11217</v>
      </c>
      <c r="AE2650" s="9"/>
      <c r="AH2650" s="9"/>
      <c r="AI2650" s="9"/>
      <c r="AJ2650" s="9"/>
      <c r="AK2650" s="23"/>
      <c r="AL2650" s="23"/>
      <c r="AM2650" s="26"/>
      <c r="AN2650" s="9"/>
      <c r="AO2650" s="9"/>
      <c r="AP2650" s="9"/>
      <c r="AQ2650" s="54" t="str">
        <f t="shared" si="22"/>
        <v>Fully OA</v>
      </c>
      <c r="AR2650" s="52"/>
      <c r="AS2650" s="52"/>
    </row>
    <row r="2651" spans="1:45" ht="14.5">
      <c r="A2651" s="9" t="s">
        <v>13359</v>
      </c>
      <c r="B2651" s="9" t="s">
        <v>13360</v>
      </c>
      <c r="C2651" s="9" t="s">
        <v>13361</v>
      </c>
      <c r="D2651" s="9" t="s">
        <v>5539</v>
      </c>
      <c r="E2651" s="9" t="s">
        <v>49</v>
      </c>
      <c r="F2651" s="9" t="s">
        <v>69</v>
      </c>
      <c r="G2651" s="9" t="s">
        <v>13134</v>
      </c>
      <c r="H2651" s="9" t="s">
        <v>13135</v>
      </c>
      <c r="I2651" s="9" t="s">
        <v>238</v>
      </c>
      <c r="J2651" s="10"/>
      <c r="L2651" s="50">
        <v>45365</v>
      </c>
      <c r="M2651" s="10">
        <v>45384</v>
      </c>
      <c r="N2651" s="9">
        <v>2024</v>
      </c>
      <c r="O2651" s="9" t="s">
        <v>13136</v>
      </c>
      <c r="P2651" s="9" t="s">
        <v>53</v>
      </c>
      <c r="Q2651" s="9" t="s">
        <v>53</v>
      </c>
      <c r="R2651" s="9" t="s">
        <v>11138</v>
      </c>
      <c r="S2651" s="9"/>
      <c r="T2651" s="9"/>
      <c r="V2651" s="9"/>
      <c r="AC2651" s="9" t="s">
        <v>6467</v>
      </c>
      <c r="AD2651" s="9" t="s">
        <v>6468</v>
      </c>
      <c r="AE2651" s="9" t="s">
        <v>11139</v>
      </c>
      <c r="AH2651" s="9"/>
      <c r="AI2651" s="9"/>
      <c r="AJ2651" s="9"/>
      <c r="AK2651" s="23"/>
      <c r="AL2651" s="23"/>
      <c r="AM2651" s="26"/>
      <c r="AN2651" s="9"/>
      <c r="AO2651" s="9"/>
      <c r="AP2651" s="9"/>
      <c r="AQ2651" s="54" t="str">
        <f t="shared" si="22"/>
        <v>Hybrid</v>
      </c>
      <c r="AR2651" s="52"/>
      <c r="AS2651" s="52"/>
    </row>
    <row r="2652" spans="1:45" ht="14.5">
      <c r="A2652" s="9" t="s">
        <v>13362</v>
      </c>
      <c r="B2652" s="9" t="s">
        <v>13363</v>
      </c>
      <c r="C2652" s="9" t="s">
        <v>13364</v>
      </c>
      <c r="D2652" s="9" t="s">
        <v>5539</v>
      </c>
      <c r="E2652" s="9" t="s">
        <v>49</v>
      </c>
      <c r="F2652" s="9" t="s">
        <v>69</v>
      </c>
      <c r="G2652" s="9" t="s">
        <v>13134</v>
      </c>
      <c r="H2652" s="9" t="s">
        <v>13135</v>
      </c>
      <c r="I2652" s="20" t="s">
        <v>72</v>
      </c>
      <c r="J2652" s="10"/>
      <c r="L2652" s="50">
        <v>45359</v>
      </c>
      <c r="M2652" s="10">
        <v>45374</v>
      </c>
      <c r="N2652" s="9">
        <v>2024</v>
      </c>
      <c r="O2652" s="9" t="s">
        <v>13136</v>
      </c>
      <c r="P2652" s="9" t="s">
        <v>83</v>
      </c>
      <c r="Q2652" s="9" t="s">
        <v>83</v>
      </c>
      <c r="R2652" s="9" t="s">
        <v>13365</v>
      </c>
      <c r="S2652" s="9"/>
      <c r="T2652" s="9"/>
      <c r="V2652" s="9"/>
      <c r="AC2652" s="9" t="s">
        <v>13366</v>
      </c>
      <c r="AD2652" s="9" t="s">
        <v>13367</v>
      </c>
      <c r="AE2652" s="9" t="s">
        <v>13368</v>
      </c>
      <c r="AH2652" s="9"/>
      <c r="AI2652" s="9"/>
      <c r="AJ2652" s="9"/>
      <c r="AK2652" s="23"/>
      <c r="AL2652" s="23"/>
      <c r="AM2652" s="26"/>
      <c r="AN2652" s="9"/>
      <c r="AO2652" s="9"/>
      <c r="AP2652" s="9"/>
      <c r="AQ2652" s="54" t="str">
        <f t="shared" si="22"/>
        <v>Hybrid</v>
      </c>
      <c r="AR2652" s="52"/>
      <c r="AS2652" s="52"/>
    </row>
    <row r="2653" spans="1:45" ht="14.5">
      <c r="A2653" s="9" t="s">
        <v>13369</v>
      </c>
      <c r="B2653" s="9" t="s">
        <v>13370</v>
      </c>
      <c r="C2653" s="9" t="s">
        <v>10611</v>
      </c>
      <c r="D2653" s="9" t="s">
        <v>5539</v>
      </c>
      <c r="E2653" s="9" t="s">
        <v>49</v>
      </c>
      <c r="F2653" s="9" t="s">
        <v>69</v>
      </c>
      <c r="G2653" s="9" t="s">
        <v>13134</v>
      </c>
      <c r="H2653" s="9" t="s">
        <v>13135</v>
      </c>
      <c r="I2653" s="20" t="s">
        <v>72</v>
      </c>
      <c r="J2653" s="10"/>
      <c r="L2653" s="50">
        <v>45358</v>
      </c>
      <c r="M2653" s="10">
        <v>45365</v>
      </c>
      <c r="N2653" s="9">
        <v>2024</v>
      </c>
      <c r="O2653" s="9" t="s">
        <v>13136</v>
      </c>
      <c r="P2653" s="9" t="s">
        <v>53</v>
      </c>
      <c r="Q2653" s="9" t="s">
        <v>53</v>
      </c>
      <c r="R2653" s="9" t="s">
        <v>13371</v>
      </c>
      <c r="S2653" s="9"/>
      <c r="T2653" s="9"/>
      <c r="V2653" s="9"/>
      <c r="AC2653" s="9" t="s">
        <v>13372</v>
      </c>
      <c r="AD2653" s="9" t="s">
        <v>13373</v>
      </c>
      <c r="AE2653" s="9" t="s">
        <v>13374</v>
      </c>
      <c r="AH2653" s="9"/>
      <c r="AI2653" s="9"/>
      <c r="AJ2653" s="9"/>
      <c r="AK2653" s="23"/>
      <c r="AL2653" s="23"/>
      <c r="AM2653" s="26"/>
      <c r="AN2653" s="9"/>
      <c r="AO2653" s="9"/>
      <c r="AP2653" s="9"/>
      <c r="AQ2653" s="54" t="str">
        <f t="shared" si="22"/>
        <v>Hybrid</v>
      </c>
      <c r="AR2653" s="52"/>
      <c r="AS2653" s="52"/>
    </row>
    <row r="2654" spans="1:45" ht="14.5">
      <c r="A2654" s="9" t="s">
        <v>13375</v>
      </c>
      <c r="B2654" s="9" t="s">
        <v>13376</v>
      </c>
      <c r="C2654" s="9" t="s">
        <v>13377</v>
      </c>
      <c r="D2654" s="9" t="s">
        <v>5539</v>
      </c>
      <c r="E2654" s="9" t="s">
        <v>49</v>
      </c>
      <c r="F2654" s="9" t="s">
        <v>69</v>
      </c>
      <c r="G2654" s="9" t="s">
        <v>13134</v>
      </c>
      <c r="H2654" s="9" t="s">
        <v>13135</v>
      </c>
      <c r="I2654" s="9" t="s">
        <v>291</v>
      </c>
      <c r="J2654" s="10"/>
      <c r="L2654" s="50">
        <v>45358</v>
      </c>
      <c r="M2654" s="10">
        <v>45369</v>
      </c>
      <c r="N2654" s="9">
        <v>2024</v>
      </c>
      <c r="O2654" s="9" t="s">
        <v>13136</v>
      </c>
      <c r="P2654" s="9" t="s">
        <v>53</v>
      </c>
      <c r="Q2654" s="9" t="s">
        <v>53</v>
      </c>
      <c r="R2654" s="9" t="s">
        <v>13378</v>
      </c>
      <c r="S2654" s="9"/>
      <c r="T2654" s="9"/>
      <c r="V2654" s="9"/>
      <c r="AC2654" s="9" t="s">
        <v>13379</v>
      </c>
      <c r="AD2654" s="9" t="s">
        <v>13380</v>
      </c>
      <c r="AE2654" s="9" t="s">
        <v>13381</v>
      </c>
      <c r="AH2654" s="9"/>
      <c r="AI2654" s="9"/>
      <c r="AJ2654" s="9"/>
      <c r="AK2654" s="23"/>
      <c r="AL2654" s="23"/>
      <c r="AM2654" s="26"/>
      <c r="AN2654" s="9"/>
      <c r="AO2654" s="9"/>
      <c r="AP2654" s="9"/>
      <c r="AQ2654" s="54" t="str">
        <f t="shared" si="22"/>
        <v>Hybrid</v>
      </c>
      <c r="AR2654" s="52"/>
      <c r="AS2654" s="52"/>
    </row>
    <row r="2655" spans="1:45" ht="14.5">
      <c r="A2655" s="9" t="s">
        <v>13382</v>
      </c>
      <c r="B2655" s="9" t="s">
        <v>13383</v>
      </c>
      <c r="C2655" s="9" t="s">
        <v>5781</v>
      </c>
      <c r="D2655" s="9" t="s">
        <v>5539</v>
      </c>
      <c r="E2655" s="9" t="s">
        <v>49</v>
      </c>
      <c r="F2655" s="9" t="s">
        <v>69</v>
      </c>
      <c r="G2655" s="9" t="s">
        <v>13134</v>
      </c>
      <c r="H2655" s="9" t="s">
        <v>13135</v>
      </c>
      <c r="I2655" s="20" t="s">
        <v>72</v>
      </c>
      <c r="J2655" s="10"/>
      <c r="L2655" s="50">
        <v>45362</v>
      </c>
      <c r="M2655" s="10">
        <v>45369</v>
      </c>
      <c r="N2655" s="9">
        <v>2024</v>
      </c>
      <c r="O2655" s="9" t="s">
        <v>13136</v>
      </c>
      <c r="P2655" s="9" t="s">
        <v>53</v>
      </c>
      <c r="Q2655" s="9" t="s">
        <v>53</v>
      </c>
      <c r="S2655" s="9"/>
      <c r="T2655" s="9"/>
      <c r="V2655" s="9"/>
      <c r="AC2655" s="9" t="s">
        <v>10641</v>
      </c>
      <c r="AD2655" s="9" t="s">
        <v>10642</v>
      </c>
      <c r="AE2655" s="9" t="s">
        <v>13384</v>
      </c>
      <c r="AH2655" s="9"/>
      <c r="AI2655" s="9"/>
      <c r="AJ2655" s="9"/>
      <c r="AK2655" s="23"/>
      <c r="AL2655" s="23"/>
      <c r="AM2655" s="26"/>
      <c r="AN2655" s="9"/>
      <c r="AO2655" s="9"/>
      <c r="AP2655" s="9"/>
      <c r="AQ2655" s="54" t="str">
        <f t="shared" si="22"/>
        <v>Hybrid</v>
      </c>
      <c r="AR2655" s="52"/>
      <c r="AS2655" s="52"/>
    </row>
    <row r="2656" spans="1:45" ht="14.5" hidden="1">
      <c r="A2656" s="9" t="s">
        <v>13385</v>
      </c>
      <c r="B2656" s="9"/>
      <c r="C2656" s="9" t="s">
        <v>5834</v>
      </c>
      <c r="D2656" s="9" t="s">
        <v>5539</v>
      </c>
      <c r="E2656" s="9" t="s">
        <v>125</v>
      </c>
      <c r="F2656" s="9"/>
      <c r="G2656" s="9" t="s">
        <v>13173</v>
      </c>
      <c r="H2656" s="9"/>
      <c r="I2656" s="9"/>
      <c r="J2656" s="10"/>
      <c r="K2656" s="10"/>
      <c r="L2656" s="50">
        <v>45350</v>
      </c>
      <c r="M2656" s="10"/>
      <c r="N2656" s="9">
        <v>2024</v>
      </c>
      <c r="O2656" s="9" t="s">
        <v>13136</v>
      </c>
      <c r="P2656" s="9"/>
      <c r="Q2656" s="9"/>
      <c r="S2656" s="9"/>
      <c r="T2656" s="9"/>
      <c r="V2656" s="9"/>
      <c r="AC2656" s="9" t="s">
        <v>13386</v>
      </c>
      <c r="AD2656" s="9" t="s">
        <v>13387</v>
      </c>
      <c r="AE2656" s="9"/>
      <c r="AH2656" s="9"/>
      <c r="AI2656" s="9"/>
      <c r="AJ2656" s="9"/>
      <c r="AK2656" s="23"/>
      <c r="AL2656" s="23"/>
      <c r="AM2656" s="26"/>
      <c r="AN2656" s="9"/>
      <c r="AO2656" s="9"/>
      <c r="AP2656" s="9"/>
      <c r="AQ2656" s="54" t="str">
        <f t="shared" si="22"/>
        <v>Fully OA</v>
      </c>
      <c r="AR2656" s="52"/>
      <c r="AS2656" s="52"/>
    </row>
    <row r="2657" spans="1:45" ht="14.5" hidden="1">
      <c r="A2657" s="9" t="s">
        <v>13300</v>
      </c>
      <c r="B2657" s="9"/>
      <c r="C2657" s="9" t="s">
        <v>13388</v>
      </c>
      <c r="D2657" s="9" t="s">
        <v>5539</v>
      </c>
      <c r="E2657" s="9" t="s">
        <v>125</v>
      </c>
      <c r="F2657" s="9"/>
      <c r="G2657" s="9" t="s">
        <v>13203</v>
      </c>
      <c r="H2657" s="9"/>
      <c r="I2657" s="9"/>
      <c r="J2657" s="10"/>
      <c r="K2657" s="10"/>
      <c r="L2657" s="50">
        <v>45350</v>
      </c>
      <c r="M2657" s="10"/>
      <c r="N2657" s="9">
        <v>2024</v>
      </c>
      <c r="O2657" s="9" t="s">
        <v>13136</v>
      </c>
      <c r="P2657" s="9"/>
      <c r="Q2657" s="9"/>
      <c r="S2657" s="9"/>
      <c r="T2657" s="9"/>
      <c r="V2657" s="9"/>
      <c r="AC2657" s="9" t="s">
        <v>11186</v>
      </c>
      <c r="AD2657" s="9" t="s">
        <v>11187</v>
      </c>
      <c r="AE2657" s="9"/>
      <c r="AH2657" s="9"/>
      <c r="AI2657" s="9"/>
      <c r="AJ2657" s="9"/>
      <c r="AK2657" s="23"/>
      <c r="AL2657" s="23"/>
      <c r="AM2657" s="26"/>
      <c r="AN2657" s="9"/>
      <c r="AO2657" s="9"/>
      <c r="AP2657" s="9"/>
      <c r="AQ2657" s="54" t="str">
        <f t="shared" si="22"/>
        <v>Fully OA</v>
      </c>
      <c r="AR2657" s="52"/>
      <c r="AS2657" s="52"/>
    </row>
    <row r="2658" spans="1:45" ht="14.5">
      <c r="A2658" s="9" t="s">
        <v>13389</v>
      </c>
      <c r="B2658" s="9" t="s">
        <v>13390</v>
      </c>
      <c r="C2658" s="9" t="s">
        <v>10817</v>
      </c>
      <c r="D2658" s="9" t="s">
        <v>5539</v>
      </c>
      <c r="E2658" s="9" t="s">
        <v>49</v>
      </c>
      <c r="F2658" s="9" t="s">
        <v>69</v>
      </c>
      <c r="G2658" s="9" t="s">
        <v>13134</v>
      </c>
      <c r="H2658" s="9" t="s">
        <v>13135</v>
      </c>
      <c r="I2658" s="20" t="s">
        <v>72</v>
      </c>
      <c r="J2658" s="10"/>
      <c r="L2658" s="50">
        <v>45348</v>
      </c>
      <c r="M2658" s="10">
        <v>45353</v>
      </c>
      <c r="N2658" s="9">
        <v>2024</v>
      </c>
      <c r="O2658" s="9" t="s">
        <v>13136</v>
      </c>
      <c r="P2658" s="9" t="s">
        <v>83</v>
      </c>
      <c r="Q2658" s="9" t="s">
        <v>53</v>
      </c>
      <c r="R2658" s="9" t="s">
        <v>4005</v>
      </c>
      <c r="S2658" s="9"/>
      <c r="T2658" s="9"/>
      <c r="V2658" s="9"/>
      <c r="AC2658" s="9" t="s">
        <v>13391</v>
      </c>
      <c r="AD2658" s="9" t="s">
        <v>4816</v>
      </c>
      <c r="AE2658" s="9" t="s">
        <v>13392</v>
      </c>
      <c r="AH2658" s="9"/>
      <c r="AI2658" s="9"/>
      <c r="AJ2658" s="9"/>
      <c r="AK2658" s="23"/>
      <c r="AL2658" s="23"/>
      <c r="AM2658" s="26"/>
      <c r="AN2658" s="9"/>
      <c r="AO2658" s="9"/>
      <c r="AP2658" s="9"/>
      <c r="AQ2658" s="54" t="str">
        <f t="shared" si="22"/>
        <v>Hybrid</v>
      </c>
      <c r="AR2658" s="52"/>
      <c r="AS2658" s="52"/>
    </row>
    <row r="2659" spans="1:45" ht="14.5">
      <c r="A2659" s="9" t="s">
        <v>13393</v>
      </c>
      <c r="B2659" s="9" t="s">
        <v>13394</v>
      </c>
      <c r="C2659" s="9" t="s">
        <v>13395</v>
      </c>
      <c r="D2659" s="9" t="s">
        <v>5539</v>
      </c>
      <c r="E2659" s="9" t="s">
        <v>49</v>
      </c>
      <c r="F2659" s="9" t="s">
        <v>69</v>
      </c>
      <c r="G2659" s="9" t="s">
        <v>13134</v>
      </c>
      <c r="H2659" s="9" t="s">
        <v>13135</v>
      </c>
      <c r="I2659" s="20" t="s">
        <v>72</v>
      </c>
      <c r="J2659" s="10"/>
      <c r="L2659" s="50">
        <v>45344</v>
      </c>
      <c r="M2659" s="10">
        <v>45377</v>
      </c>
      <c r="N2659" s="9">
        <v>2024</v>
      </c>
      <c r="O2659" s="9" t="s">
        <v>13136</v>
      </c>
      <c r="P2659" s="9" t="s">
        <v>53</v>
      </c>
      <c r="Q2659" s="9" t="s">
        <v>53</v>
      </c>
      <c r="S2659" s="9"/>
      <c r="T2659" s="9"/>
      <c r="V2659" s="9"/>
      <c r="AC2659" s="9" t="s">
        <v>13396</v>
      </c>
      <c r="AD2659" s="9" t="s">
        <v>13397</v>
      </c>
      <c r="AE2659" s="9" t="s">
        <v>13398</v>
      </c>
      <c r="AH2659" s="9"/>
      <c r="AI2659" s="9"/>
      <c r="AJ2659" s="9"/>
      <c r="AK2659" s="23"/>
      <c r="AL2659" s="23"/>
      <c r="AM2659" s="26"/>
      <c r="AN2659" s="9"/>
      <c r="AO2659" s="9"/>
      <c r="AP2659" s="9"/>
      <c r="AQ2659" s="54" t="str">
        <f t="shared" si="22"/>
        <v>Hybrid</v>
      </c>
      <c r="AR2659" s="52"/>
      <c r="AS2659" s="52"/>
    </row>
    <row r="2660" spans="1:45" ht="14.5">
      <c r="A2660" s="9" t="s">
        <v>13399</v>
      </c>
      <c r="B2660" s="9" t="s">
        <v>13400</v>
      </c>
      <c r="C2660" s="9" t="s">
        <v>5809</v>
      </c>
      <c r="D2660" s="9" t="s">
        <v>5539</v>
      </c>
      <c r="E2660" s="9" t="s">
        <v>49</v>
      </c>
      <c r="F2660" s="9" t="s">
        <v>69</v>
      </c>
      <c r="G2660" s="9" t="s">
        <v>13134</v>
      </c>
      <c r="H2660" s="9" t="s">
        <v>13135</v>
      </c>
      <c r="I2660" s="20" t="s">
        <v>72</v>
      </c>
      <c r="J2660" s="10"/>
      <c r="L2660" s="50">
        <v>45344</v>
      </c>
      <c r="M2660" s="10">
        <v>45366</v>
      </c>
      <c r="N2660" s="9">
        <v>2024</v>
      </c>
      <c r="O2660" s="9" t="s">
        <v>13136</v>
      </c>
      <c r="P2660" s="9" t="s">
        <v>83</v>
      </c>
      <c r="Q2660" s="9" t="s">
        <v>53</v>
      </c>
      <c r="R2660" s="9" t="s">
        <v>13401</v>
      </c>
      <c r="S2660" s="9"/>
      <c r="T2660" s="9"/>
      <c r="V2660" s="9"/>
      <c r="AC2660" s="9" t="s">
        <v>13211</v>
      </c>
      <c r="AD2660" s="9" t="s">
        <v>13212</v>
      </c>
      <c r="AE2660" s="9" t="s">
        <v>13213</v>
      </c>
      <c r="AH2660" s="9"/>
      <c r="AI2660" s="9"/>
      <c r="AJ2660" s="9"/>
      <c r="AK2660" s="23"/>
      <c r="AL2660" s="23"/>
      <c r="AM2660" s="26"/>
      <c r="AN2660" s="9"/>
      <c r="AO2660" s="9"/>
      <c r="AP2660" s="9"/>
      <c r="AQ2660" s="54" t="str">
        <f t="shared" si="22"/>
        <v>Hybrid</v>
      </c>
      <c r="AR2660" s="52"/>
      <c r="AS2660" s="52"/>
    </row>
    <row r="2661" spans="1:45" ht="14.5">
      <c r="A2661" s="9" t="s">
        <v>13402</v>
      </c>
      <c r="B2661" s="9" t="s">
        <v>13403</v>
      </c>
      <c r="C2661" s="9" t="s">
        <v>13404</v>
      </c>
      <c r="D2661" s="9" t="s">
        <v>5539</v>
      </c>
      <c r="E2661" s="9" t="s">
        <v>49</v>
      </c>
      <c r="F2661" s="9" t="s">
        <v>69</v>
      </c>
      <c r="G2661" s="9" t="s">
        <v>13134</v>
      </c>
      <c r="H2661" s="9" t="s">
        <v>13135</v>
      </c>
      <c r="I2661" s="9" t="s">
        <v>291</v>
      </c>
      <c r="J2661" s="10"/>
      <c r="L2661" s="50">
        <v>45341</v>
      </c>
      <c r="M2661" s="10">
        <v>45350</v>
      </c>
      <c r="N2661" s="9">
        <v>2024</v>
      </c>
      <c r="O2661" s="9" t="s">
        <v>13136</v>
      </c>
      <c r="P2661" s="9" t="s">
        <v>53</v>
      </c>
      <c r="Q2661" s="9" t="s">
        <v>53</v>
      </c>
      <c r="S2661" s="9"/>
      <c r="T2661" s="9"/>
      <c r="V2661" s="9"/>
      <c r="AC2661" s="9" t="s">
        <v>4951</v>
      </c>
      <c r="AD2661" s="9" t="s">
        <v>13405</v>
      </c>
      <c r="AE2661" s="9" t="s">
        <v>13406</v>
      </c>
      <c r="AH2661" s="9"/>
      <c r="AI2661" s="9"/>
      <c r="AJ2661" s="9"/>
      <c r="AK2661" s="23"/>
      <c r="AL2661" s="23"/>
      <c r="AM2661" s="26"/>
      <c r="AN2661" s="9"/>
      <c r="AO2661" s="9"/>
      <c r="AP2661" s="9"/>
      <c r="AQ2661" s="54" t="str">
        <f t="shared" si="22"/>
        <v>Hybrid</v>
      </c>
      <c r="AR2661" s="52"/>
      <c r="AS2661" s="52"/>
    </row>
    <row r="2662" spans="1:45" ht="14.5" hidden="1">
      <c r="A2662" s="9" t="s">
        <v>13407</v>
      </c>
      <c r="B2662" s="9"/>
      <c r="C2662" s="9" t="s">
        <v>13408</v>
      </c>
      <c r="D2662" s="9" t="s">
        <v>5539</v>
      </c>
      <c r="E2662" s="9" t="s">
        <v>125</v>
      </c>
      <c r="F2662" s="9"/>
      <c r="G2662" s="9" t="s">
        <v>13173</v>
      </c>
      <c r="H2662" s="9"/>
      <c r="I2662" s="9"/>
      <c r="J2662" s="10"/>
      <c r="K2662" s="10"/>
      <c r="L2662" s="50">
        <v>45341</v>
      </c>
      <c r="M2662" s="10"/>
      <c r="N2662" s="9">
        <v>2024</v>
      </c>
      <c r="O2662" s="9" t="s">
        <v>13136</v>
      </c>
      <c r="P2662" s="9"/>
      <c r="Q2662" s="9"/>
      <c r="S2662" s="9"/>
      <c r="T2662" s="9"/>
      <c r="V2662" s="9"/>
      <c r="AC2662" s="9" t="s">
        <v>13409</v>
      </c>
      <c r="AD2662" s="9" t="s">
        <v>11756</v>
      </c>
      <c r="AE2662" s="9"/>
      <c r="AH2662" s="9"/>
      <c r="AI2662" s="9"/>
      <c r="AJ2662" s="9"/>
      <c r="AK2662" s="23"/>
      <c r="AL2662" s="23"/>
      <c r="AM2662" s="26"/>
      <c r="AN2662" s="9"/>
      <c r="AO2662" s="9"/>
      <c r="AP2662" s="9"/>
      <c r="AQ2662" s="54" t="str">
        <f t="shared" si="22"/>
        <v>Fully OA</v>
      </c>
      <c r="AR2662" s="52"/>
      <c r="AS2662" s="52"/>
    </row>
    <row r="2663" spans="1:45" ht="14.5" hidden="1">
      <c r="A2663" s="9" t="s">
        <v>13410</v>
      </c>
      <c r="B2663" s="9"/>
      <c r="C2663" s="9" t="s">
        <v>5834</v>
      </c>
      <c r="D2663" s="9" t="s">
        <v>5539</v>
      </c>
      <c r="E2663" s="9" t="s">
        <v>125</v>
      </c>
      <c r="F2663" s="9"/>
      <c r="G2663" s="9" t="s">
        <v>13173</v>
      </c>
      <c r="H2663" s="9"/>
      <c r="I2663" s="9"/>
      <c r="J2663" s="10"/>
      <c r="K2663" s="10"/>
      <c r="L2663" s="50">
        <v>45337</v>
      </c>
      <c r="M2663" s="10"/>
      <c r="N2663" s="9">
        <v>2024</v>
      </c>
      <c r="O2663" s="9" t="s">
        <v>13136</v>
      </c>
      <c r="P2663" s="9"/>
      <c r="Q2663" s="9"/>
      <c r="S2663" s="9"/>
      <c r="T2663" s="9"/>
      <c r="V2663" s="9"/>
      <c r="AC2663" s="9" t="s">
        <v>13411</v>
      </c>
      <c r="AD2663" s="9" t="s">
        <v>13412</v>
      </c>
      <c r="AE2663" s="9"/>
      <c r="AH2663" s="9"/>
      <c r="AI2663" s="9"/>
      <c r="AJ2663" s="9"/>
      <c r="AK2663" s="23"/>
      <c r="AL2663" s="23"/>
      <c r="AM2663" s="26"/>
      <c r="AN2663" s="9"/>
      <c r="AO2663" s="9"/>
      <c r="AP2663" s="9"/>
      <c r="AQ2663" s="54" t="str">
        <f t="shared" si="22"/>
        <v>Fully OA</v>
      </c>
      <c r="AR2663" s="52"/>
      <c r="AS2663" s="52"/>
    </row>
    <row r="2664" spans="1:45" ht="14.5" hidden="1">
      <c r="A2664" s="9" t="s">
        <v>13413</v>
      </c>
      <c r="B2664" s="9"/>
      <c r="C2664" s="9" t="s">
        <v>13414</v>
      </c>
      <c r="D2664" s="9" t="s">
        <v>5539</v>
      </c>
      <c r="E2664" s="9" t="s">
        <v>125</v>
      </c>
      <c r="F2664" s="9"/>
      <c r="G2664" s="9" t="s">
        <v>13203</v>
      </c>
      <c r="H2664" s="9"/>
      <c r="I2664" s="9"/>
      <c r="J2664" s="10"/>
      <c r="K2664" s="10"/>
      <c r="L2664" s="50">
        <v>45337</v>
      </c>
      <c r="M2664" s="10"/>
      <c r="N2664" s="9">
        <v>2024</v>
      </c>
      <c r="O2664" s="9" t="s">
        <v>13136</v>
      </c>
      <c r="P2664" s="9"/>
      <c r="Q2664" s="9"/>
      <c r="S2664" s="9"/>
      <c r="T2664" s="9"/>
      <c r="V2664" s="9"/>
      <c r="AC2664" s="9" t="s">
        <v>13415</v>
      </c>
      <c r="AD2664" s="9" t="s">
        <v>9766</v>
      </c>
      <c r="AE2664" s="9"/>
      <c r="AH2664" s="9"/>
      <c r="AI2664" s="9"/>
      <c r="AJ2664" s="9"/>
      <c r="AK2664" s="23"/>
      <c r="AL2664" s="23"/>
      <c r="AM2664" s="26"/>
      <c r="AN2664" s="9"/>
      <c r="AO2664" s="9"/>
      <c r="AP2664" s="9"/>
      <c r="AQ2664" s="54" t="str">
        <f t="shared" si="22"/>
        <v>Fully OA</v>
      </c>
      <c r="AR2664" s="52"/>
      <c r="AS2664" s="52"/>
    </row>
    <row r="2665" spans="1:45" ht="14.5">
      <c r="A2665" s="9" t="s">
        <v>13416</v>
      </c>
      <c r="B2665" s="9" t="s">
        <v>13417</v>
      </c>
      <c r="C2665" s="9" t="s">
        <v>11148</v>
      </c>
      <c r="D2665" s="9" t="s">
        <v>5539</v>
      </c>
      <c r="E2665" s="9" t="s">
        <v>49</v>
      </c>
      <c r="F2665" s="9" t="s">
        <v>69</v>
      </c>
      <c r="G2665" s="9" t="s">
        <v>13134</v>
      </c>
      <c r="H2665" s="9" t="s">
        <v>13135</v>
      </c>
      <c r="I2665" s="20" t="s">
        <v>72</v>
      </c>
      <c r="J2665" s="10"/>
      <c r="L2665" s="50">
        <v>45337</v>
      </c>
      <c r="M2665" s="10">
        <v>45348</v>
      </c>
      <c r="N2665" s="9">
        <v>2024</v>
      </c>
      <c r="O2665" s="9" t="s">
        <v>13136</v>
      </c>
      <c r="P2665" s="9" t="s">
        <v>83</v>
      </c>
      <c r="Q2665" s="9" t="s">
        <v>53</v>
      </c>
      <c r="R2665" s="9" t="s">
        <v>1980</v>
      </c>
      <c r="S2665" s="9"/>
      <c r="T2665" s="9"/>
      <c r="V2665" s="9"/>
      <c r="AC2665" s="9" t="s">
        <v>13418</v>
      </c>
      <c r="AD2665" s="9" t="s">
        <v>13419</v>
      </c>
      <c r="AE2665" s="9" t="s">
        <v>13420</v>
      </c>
      <c r="AH2665" s="9"/>
      <c r="AI2665" s="9"/>
      <c r="AJ2665" s="9"/>
      <c r="AK2665" s="23"/>
      <c r="AL2665" s="23"/>
      <c r="AM2665" s="26"/>
      <c r="AN2665" s="9"/>
      <c r="AO2665" s="9"/>
      <c r="AP2665" s="9"/>
      <c r="AQ2665" s="54" t="str">
        <f t="shared" si="22"/>
        <v>Hybrid</v>
      </c>
      <c r="AR2665" s="52"/>
      <c r="AS2665" s="52"/>
    </row>
    <row r="2666" spans="1:45" ht="14.5" hidden="1">
      <c r="A2666" s="9" t="s">
        <v>13421</v>
      </c>
      <c r="B2666" s="9"/>
      <c r="C2666" s="9" t="s">
        <v>13422</v>
      </c>
      <c r="D2666" s="9" t="s">
        <v>5539</v>
      </c>
      <c r="E2666" s="9" t="s">
        <v>125</v>
      </c>
      <c r="F2666" s="9"/>
      <c r="G2666" s="9" t="s">
        <v>13173</v>
      </c>
      <c r="H2666" s="9"/>
      <c r="I2666" s="9"/>
      <c r="J2666" s="10"/>
      <c r="K2666" s="10"/>
      <c r="L2666" s="50">
        <v>45337</v>
      </c>
      <c r="M2666" s="10"/>
      <c r="N2666" s="9">
        <v>2024</v>
      </c>
      <c r="O2666" s="9" t="s">
        <v>13136</v>
      </c>
      <c r="P2666" s="9"/>
      <c r="Q2666" s="9"/>
      <c r="S2666" s="9"/>
      <c r="T2666" s="9"/>
      <c r="V2666" s="9"/>
      <c r="AC2666" s="9" t="s">
        <v>11186</v>
      </c>
      <c r="AD2666" s="9" t="s">
        <v>11187</v>
      </c>
      <c r="AE2666" s="9"/>
      <c r="AH2666" s="9"/>
      <c r="AI2666" s="9"/>
      <c r="AJ2666" s="9"/>
      <c r="AK2666" s="23"/>
      <c r="AL2666" s="23"/>
      <c r="AM2666" s="26"/>
      <c r="AN2666" s="9"/>
      <c r="AO2666" s="9"/>
      <c r="AP2666" s="9"/>
      <c r="AQ2666" s="54" t="str">
        <f t="shared" si="22"/>
        <v>Fully OA</v>
      </c>
      <c r="AR2666" s="52"/>
      <c r="AS2666" s="52"/>
    </row>
    <row r="2667" spans="1:45" ht="14.5">
      <c r="A2667" s="9" t="s">
        <v>13423</v>
      </c>
      <c r="B2667" s="9" t="s">
        <v>13424</v>
      </c>
      <c r="C2667" s="9" t="s">
        <v>13404</v>
      </c>
      <c r="D2667" s="9" t="s">
        <v>5539</v>
      </c>
      <c r="E2667" s="9" t="s">
        <v>49</v>
      </c>
      <c r="F2667" s="9" t="s">
        <v>69</v>
      </c>
      <c r="G2667" s="9" t="s">
        <v>13134</v>
      </c>
      <c r="H2667" s="9" t="s">
        <v>13135</v>
      </c>
      <c r="I2667" s="9" t="s">
        <v>291</v>
      </c>
      <c r="J2667" s="10"/>
      <c r="L2667" s="50">
        <v>45337</v>
      </c>
      <c r="M2667" s="10">
        <v>45343</v>
      </c>
      <c r="N2667" s="9">
        <v>2024</v>
      </c>
      <c r="O2667" s="9" t="s">
        <v>13136</v>
      </c>
      <c r="P2667" s="9" t="s">
        <v>53</v>
      </c>
      <c r="Q2667" s="9" t="s">
        <v>53</v>
      </c>
      <c r="S2667" s="9"/>
      <c r="T2667" s="9"/>
      <c r="V2667" s="9"/>
      <c r="AC2667" s="9" t="s">
        <v>13425</v>
      </c>
      <c r="AD2667" s="9" t="s">
        <v>13426</v>
      </c>
      <c r="AE2667" s="9" t="s">
        <v>13427</v>
      </c>
      <c r="AH2667" s="9"/>
      <c r="AI2667" s="9"/>
      <c r="AJ2667" s="9"/>
      <c r="AK2667" s="23"/>
      <c r="AL2667" s="23"/>
      <c r="AM2667" s="26"/>
      <c r="AN2667" s="9"/>
      <c r="AO2667" s="9"/>
      <c r="AP2667" s="9"/>
      <c r="AQ2667" s="54" t="str">
        <f t="shared" si="22"/>
        <v>Hybrid</v>
      </c>
      <c r="AR2667" s="52"/>
      <c r="AS2667" s="52"/>
    </row>
    <row r="2668" spans="1:45" ht="14.5">
      <c r="A2668" s="9" t="s">
        <v>13428</v>
      </c>
      <c r="B2668" s="9" t="s">
        <v>13429</v>
      </c>
      <c r="C2668" s="9" t="s">
        <v>9813</v>
      </c>
      <c r="D2668" s="9" t="s">
        <v>5539</v>
      </c>
      <c r="E2668" s="9" t="s">
        <v>49</v>
      </c>
      <c r="F2668" s="9" t="s">
        <v>69</v>
      </c>
      <c r="G2668" s="9" t="s">
        <v>13134</v>
      </c>
      <c r="H2668" s="9" t="s">
        <v>13135</v>
      </c>
      <c r="I2668" s="20" t="s">
        <v>72</v>
      </c>
      <c r="J2668" s="10"/>
      <c r="L2668" s="50">
        <v>45337</v>
      </c>
      <c r="M2668" s="10">
        <v>45343</v>
      </c>
      <c r="N2668" s="9">
        <v>2024</v>
      </c>
      <c r="O2668" s="9" t="s">
        <v>13136</v>
      </c>
      <c r="P2668" s="9" t="s">
        <v>83</v>
      </c>
      <c r="Q2668" s="9" t="s">
        <v>53</v>
      </c>
      <c r="R2668" s="9" t="s">
        <v>13430</v>
      </c>
      <c r="S2668" s="9"/>
      <c r="T2668" s="9"/>
      <c r="V2668" s="9"/>
      <c r="AC2668" s="9" t="s">
        <v>10305</v>
      </c>
      <c r="AD2668" s="9" t="s">
        <v>10306</v>
      </c>
      <c r="AE2668" s="9" t="s">
        <v>10307</v>
      </c>
      <c r="AH2668" s="9"/>
      <c r="AI2668" s="9"/>
      <c r="AJ2668" s="9"/>
      <c r="AK2668" s="23"/>
      <c r="AL2668" s="23"/>
      <c r="AM2668" s="26"/>
      <c r="AN2668" s="9"/>
      <c r="AO2668" s="9"/>
      <c r="AP2668" s="9"/>
      <c r="AQ2668" s="54" t="str">
        <f t="shared" si="22"/>
        <v>Hybrid</v>
      </c>
      <c r="AR2668" s="52"/>
      <c r="AS2668" s="52"/>
    </row>
    <row r="2669" spans="1:45" ht="14.5" hidden="1">
      <c r="A2669" s="9" t="s">
        <v>13431</v>
      </c>
      <c r="B2669" s="9"/>
      <c r="C2669" s="9" t="s">
        <v>13432</v>
      </c>
      <c r="D2669" s="9" t="s">
        <v>5539</v>
      </c>
      <c r="E2669" s="9" t="s">
        <v>125</v>
      </c>
      <c r="F2669" s="9"/>
      <c r="G2669" s="9" t="s">
        <v>13173</v>
      </c>
      <c r="H2669" s="9"/>
      <c r="I2669" s="9"/>
      <c r="J2669" s="10"/>
      <c r="K2669" s="10"/>
      <c r="L2669" s="50">
        <v>45337</v>
      </c>
      <c r="M2669" s="10"/>
      <c r="N2669" s="9">
        <v>2024</v>
      </c>
      <c r="O2669" s="9" t="s">
        <v>13136</v>
      </c>
      <c r="P2669" s="9"/>
      <c r="Q2669" s="9"/>
      <c r="S2669" s="9"/>
      <c r="T2669" s="9"/>
      <c r="V2669" s="9"/>
      <c r="AC2669" s="9" t="s">
        <v>11186</v>
      </c>
      <c r="AD2669" s="9" t="s">
        <v>11187</v>
      </c>
      <c r="AE2669" s="9"/>
      <c r="AH2669" s="9"/>
      <c r="AI2669" s="9"/>
      <c r="AJ2669" s="9"/>
      <c r="AK2669" s="23"/>
      <c r="AL2669" s="23"/>
      <c r="AM2669" s="26"/>
      <c r="AN2669" s="9"/>
      <c r="AO2669" s="9"/>
      <c r="AP2669" s="9"/>
      <c r="AQ2669" s="54" t="str">
        <f t="shared" si="22"/>
        <v>Fully OA</v>
      </c>
      <c r="AR2669" s="52"/>
      <c r="AS2669" s="52"/>
    </row>
    <row r="2670" spans="1:45" ht="14.5">
      <c r="A2670" s="9" t="s">
        <v>13433</v>
      </c>
      <c r="B2670" s="9" t="s">
        <v>13434</v>
      </c>
      <c r="C2670" s="9" t="s">
        <v>6139</v>
      </c>
      <c r="D2670" s="9" t="s">
        <v>5539</v>
      </c>
      <c r="E2670" s="9" t="s">
        <v>49</v>
      </c>
      <c r="F2670" s="9" t="s">
        <v>69</v>
      </c>
      <c r="G2670" s="9" t="s">
        <v>13203</v>
      </c>
      <c r="H2670" s="9"/>
      <c r="I2670" s="20" t="s">
        <v>72</v>
      </c>
      <c r="J2670" s="10"/>
      <c r="L2670" s="50"/>
      <c r="M2670" s="10"/>
      <c r="N2670" s="9">
        <v>2024</v>
      </c>
      <c r="O2670" s="9" t="s">
        <v>13136</v>
      </c>
      <c r="P2670" s="9" t="s">
        <v>53</v>
      </c>
      <c r="Q2670" s="9" t="s">
        <v>53</v>
      </c>
      <c r="S2670" s="9"/>
      <c r="T2670" s="9"/>
      <c r="V2670" s="9"/>
      <c r="AC2670" s="9" t="s">
        <v>13435</v>
      </c>
      <c r="AD2670" s="9" t="s">
        <v>13436</v>
      </c>
      <c r="AE2670" s="9" t="s">
        <v>13437</v>
      </c>
      <c r="AH2670" s="9"/>
      <c r="AI2670" s="9"/>
      <c r="AJ2670" s="9"/>
      <c r="AK2670" s="23"/>
      <c r="AL2670" s="23"/>
      <c r="AM2670" s="26"/>
      <c r="AN2670" s="9"/>
      <c r="AO2670" s="9"/>
      <c r="AP2670" s="9"/>
      <c r="AQ2670" s="54" t="str">
        <f t="shared" si="22"/>
        <v>Hybrid</v>
      </c>
      <c r="AR2670" s="52"/>
      <c r="AS2670" s="52"/>
    </row>
    <row r="2671" spans="1:45" ht="14.5" hidden="1">
      <c r="A2671" s="9" t="s">
        <v>13431</v>
      </c>
      <c r="B2671" s="9"/>
      <c r="C2671" s="9" t="s">
        <v>13432</v>
      </c>
      <c r="D2671" s="9" t="s">
        <v>5539</v>
      </c>
      <c r="E2671" s="9" t="s">
        <v>125</v>
      </c>
      <c r="F2671" s="9"/>
      <c r="G2671" s="9" t="s">
        <v>13203</v>
      </c>
      <c r="H2671" s="9"/>
      <c r="I2671" s="9"/>
      <c r="J2671" s="10"/>
      <c r="K2671" s="10"/>
      <c r="L2671" s="50"/>
      <c r="M2671" s="10"/>
      <c r="N2671" s="9">
        <v>2024</v>
      </c>
      <c r="O2671" s="9" t="s">
        <v>13136</v>
      </c>
      <c r="P2671" s="9"/>
      <c r="Q2671" s="9"/>
      <c r="S2671" s="9"/>
      <c r="T2671" s="9"/>
      <c r="V2671" s="9"/>
      <c r="AC2671" s="9" t="s">
        <v>11186</v>
      </c>
      <c r="AD2671" s="9" t="s">
        <v>11187</v>
      </c>
      <c r="AE2671" s="9"/>
      <c r="AH2671" s="9"/>
      <c r="AI2671" s="9"/>
      <c r="AJ2671" s="9"/>
      <c r="AK2671" s="23"/>
      <c r="AL2671" s="23"/>
      <c r="AM2671" s="26"/>
      <c r="AN2671" s="9"/>
      <c r="AO2671" s="9"/>
      <c r="AP2671" s="9"/>
      <c r="AQ2671" s="54" t="str">
        <f t="shared" si="22"/>
        <v>Fully OA</v>
      </c>
      <c r="AR2671" s="52"/>
      <c r="AS2671" s="52"/>
    </row>
    <row r="2672" spans="1:45" ht="14.5">
      <c r="A2672" s="9" t="s">
        <v>13438</v>
      </c>
      <c r="B2672" s="9" t="s">
        <v>13439</v>
      </c>
      <c r="C2672" s="9" t="s">
        <v>6291</v>
      </c>
      <c r="D2672" s="9" t="s">
        <v>5539</v>
      </c>
      <c r="E2672" s="9"/>
      <c r="F2672" s="9"/>
      <c r="G2672" s="9" t="s">
        <v>13203</v>
      </c>
      <c r="H2672" s="9"/>
      <c r="I2672" s="9"/>
      <c r="J2672" s="10"/>
      <c r="K2672" s="10"/>
      <c r="L2672" s="50"/>
      <c r="M2672" s="10">
        <v>45315</v>
      </c>
      <c r="N2672" s="9">
        <v>2024</v>
      </c>
      <c r="O2672" s="9" t="s">
        <v>13136</v>
      </c>
      <c r="P2672" s="9" t="s">
        <v>83</v>
      </c>
      <c r="Q2672" s="9" t="s">
        <v>53</v>
      </c>
      <c r="R2672" s="9" t="s">
        <v>13440</v>
      </c>
      <c r="S2672" s="9"/>
      <c r="T2672" s="9"/>
      <c r="V2672" s="9"/>
      <c r="AC2672" s="9" t="s">
        <v>6041</v>
      </c>
      <c r="AD2672" s="9" t="s">
        <v>6042</v>
      </c>
      <c r="AE2672" s="9" t="s">
        <v>10424</v>
      </c>
      <c r="AH2672" s="9"/>
      <c r="AI2672" s="9"/>
      <c r="AJ2672" s="9"/>
      <c r="AK2672" s="23"/>
      <c r="AL2672" s="23"/>
      <c r="AM2672" s="26"/>
      <c r="AN2672" s="9"/>
      <c r="AO2672" s="9"/>
      <c r="AP2672" s="9"/>
      <c r="AQ2672" s="54">
        <f t="shared" si="22"/>
        <v>0</v>
      </c>
      <c r="AR2672" s="52"/>
      <c r="AS2672" s="52"/>
    </row>
    <row r="2673" spans="1:60" ht="14.5">
      <c r="A2673" s="9" t="s">
        <v>13441</v>
      </c>
      <c r="B2673" s="9" t="s">
        <v>13442</v>
      </c>
      <c r="C2673" s="9" t="s">
        <v>5618</v>
      </c>
      <c r="D2673" s="9" t="s">
        <v>5539</v>
      </c>
      <c r="E2673" s="9" t="s">
        <v>49</v>
      </c>
      <c r="F2673" s="9" t="s">
        <v>69</v>
      </c>
      <c r="G2673" s="9" t="s">
        <v>13203</v>
      </c>
      <c r="H2673" s="9"/>
      <c r="I2673" s="20" t="s">
        <v>72</v>
      </c>
      <c r="J2673" s="10"/>
      <c r="L2673" s="50"/>
      <c r="M2673" s="10"/>
      <c r="N2673" s="9">
        <v>2024</v>
      </c>
      <c r="O2673" s="9" t="s">
        <v>13136</v>
      </c>
      <c r="P2673" s="9" t="s">
        <v>83</v>
      </c>
      <c r="Q2673" s="9" t="s">
        <v>53</v>
      </c>
      <c r="R2673" s="9" t="s">
        <v>13443</v>
      </c>
      <c r="S2673" s="9"/>
      <c r="T2673" s="9"/>
      <c r="V2673" s="9"/>
      <c r="AC2673" s="9" t="s">
        <v>6086</v>
      </c>
      <c r="AD2673" s="9" t="s">
        <v>13331</v>
      </c>
      <c r="AE2673" s="9" t="s">
        <v>13332</v>
      </c>
      <c r="AH2673" s="9"/>
      <c r="AI2673" s="9"/>
      <c r="AJ2673" s="9"/>
      <c r="AK2673" s="23"/>
      <c r="AL2673" s="23"/>
      <c r="AM2673" s="26"/>
      <c r="AN2673" s="9"/>
      <c r="AO2673" s="9"/>
      <c r="AP2673" s="9"/>
      <c r="AQ2673" s="54" t="str">
        <f t="shared" si="22"/>
        <v>Hybrid</v>
      </c>
      <c r="AR2673" s="52"/>
      <c r="AS2673" s="52"/>
    </row>
    <row r="2674" spans="1:60" ht="14.5">
      <c r="A2674" s="9" t="s">
        <v>13444</v>
      </c>
      <c r="B2674" s="9" t="s">
        <v>13445</v>
      </c>
      <c r="C2674" s="9" t="s">
        <v>5842</v>
      </c>
      <c r="D2674" s="9" t="s">
        <v>5539</v>
      </c>
      <c r="E2674" s="9" t="s">
        <v>49</v>
      </c>
      <c r="F2674" s="9" t="s">
        <v>69</v>
      </c>
      <c r="G2674" s="9" t="s">
        <v>13203</v>
      </c>
      <c r="H2674" s="9"/>
      <c r="I2674" s="20" t="s">
        <v>72</v>
      </c>
      <c r="J2674" s="10"/>
      <c r="L2674" s="50"/>
      <c r="M2674" s="10">
        <v>45309</v>
      </c>
      <c r="N2674" s="9">
        <v>2024</v>
      </c>
      <c r="O2674" s="9" t="s">
        <v>13136</v>
      </c>
      <c r="P2674" s="9" t="s">
        <v>53</v>
      </c>
      <c r="Q2674" s="9" t="s">
        <v>53</v>
      </c>
      <c r="R2674" s="9" t="s">
        <v>13446</v>
      </c>
      <c r="S2674" s="9"/>
      <c r="T2674" s="9"/>
      <c r="V2674" s="9"/>
      <c r="AC2674" s="9" t="s">
        <v>2080</v>
      </c>
      <c r="AD2674" s="9" t="s">
        <v>2081</v>
      </c>
      <c r="AE2674" s="9" t="s">
        <v>13317</v>
      </c>
      <c r="AH2674" s="9"/>
      <c r="AI2674" s="9"/>
      <c r="AJ2674" s="9"/>
      <c r="AK2674" s="23"/>
      <c r="AL2674" s="23"/>
      <c r="AM2674" s="26"/>
      <c r="AN2674" s="9"/>
      <c r="AO2674" s="9"/>
      <c r="AP2674" s="9"/>
      <c r="AQ2674" s="54" t="str">
        <f t="shared" si="22"/>
        <v>Hybrid</v>
      </c>
      <c r="AR2674" s="52"/>
      <c r="AS2674" s="52"/>
    </row>
    <row r="2675" spans="1:60" ht="14.5">
      <c r="A2675" s="9" t="s">
        <v>13447</v>
      </c>
      <c r="B2675" s="9" t="s">
        <v>13448</v>
      </c>
      <c r="C2675" s="9" t="s">
        <v>13449</v>
      </c>
      <c r="D2675" s="9" t="s">
        <v>5539</v>
      </c>
      <c r="E2675" s="9" t="s">
        <v>49</v>
      </c>
      <c r="F2675" s="9" t="s">
        <v>69</v>
      </c>
      <c r="G2675" s="9" t="s">
        <v>13203</v>
      </c>
      <c r="H2675" s="9"/>
      <c r="I2675" s="9" t="s">
        <v>238</v>
      </c>
      <c r="J2675" s="10"/>
      <c r="L2675" s="50"/>
      <c r="M2675" s="10">
        <v>45310</v>
      </c>
      <c r="N2675" s="9">
        <v>2024</v>
      </c>
      <c r="O2675" s="9" t="s">
        <v>13136</v>
      </c>
      <c r="P2675" s="9" t="s">
        <v>53</v>
      </c>
      <c r="Q2675" s="9" t="s">
        <v>53</v>
      </c>
      <c r="S2675" s="9"/>
      <c r="T2675" s="9"/>
      <c r="V2675" s="9"/>
      <c r="AC2675" s="9" t="s">
        <v>13450</v>
      </c>
      <c r="AD2675" s="9" t="s">
        <v>13451</v>
      </c>
      <c r="AE2675" s="9" t="s">
        <v>13452</v>
      </c>
      <c r="AH2675" s="9"/>
      <c r="AI2675" s="9"/>
      <c r="AJ2675" s="9"/>
      <c r="AK2675" s="23"/>
      <c r="AL2675" s="23"/>
      <c r="AM2675" s="26"/>
      <c r="AN2675" s="9"/>
      <c r="AO2675" s="9"/>
      <c r="AP2675" s="9"/>
      <c r="AQ2675" s="54" t="str">
        <f t="shared" si="22"/>
        <v>Hybrid</v>
      </c>
      <c r="AR2675" s="52"/>
      <c r="AS2675" s="52"/>
    </row>
    <row r="2676" spans="1:60" ht="14.5">
      <c r="A2676" s="9" t="s">
        <v>13453</v>
      </c>
      <c r="B2676" s="9" t="s">
        <v>13454</v>
      </c>
      <c r="C2676" s="9" t="s">
        <v>5741</v>
      </c>
      <c r="D2676" s="9" t="s">
        <v>5539</v>
      </c>
      <c r="E2676" s="9" t="s">
        <v>49</v>
      </c>
      <c r="F2676" s="9" t="s">
        <v>69</v>
      </c>
      <c r="G2676" s="9" t="s">
        <v>13203</v>
      </c>
      <c r="H2676" s="9"/>
      <c r="I2676" s="20" t="s">
        <v>72</v>
      </c>
      <c r="J2676" s="10"/>
      <c r="L2676" s="50"/>
      <c r="M2676" s="10">
        <v>45307</v>
      </c>
      <c r="N2676" s="9">
        <v>2024</v>
      </c>
      <c r="O2676" s="9" t="s">
        <v>13136</v>
      </c>
      <c r="P2676" s="9" t="s">
        <v>53</v>
      </c>
      <c r="Q2676" s="9" t="s">
        <v>53</v>
      </c>
      <c r="R2676" s="9" t="s">
        <v>13446</v>
      </c>
      <c r="S2676" s="9"/>
      <c r="T2676" s="9"/>
      <c r="V2676" s="9"/>
      <c r="AC2676" s="9" t="s">
        <v>13455</v>
      </c>
      <c r="AD2676" s="9" t="s">
        <v>13456</v>
      </c>
      <c r="AE2676" s="9" t="s">
        <v>13457</v>
      </c>
      <c r="AH2676" s="9"/>
      <c r="AI2676" s="9"/>
      <c r="AJ2676" s="9"/>
      <c r="AK2676" s="23"/>
      <c r="AL2676" s="23"/>
      <c r="AM2676" s="26"/>
      <c r="AN2676" s="9"/>
      <c r="AO2676" s="9"/>
      <c r="AP2676" s="9"/>
      <c r="AQ2676" s="54" t="str">
        <f t="shared" si="22"/>
        <v>Hybrid</v>
      </c>
      <c r="AR2676" s="52"/>
      <c r="AS2676" s="52"/>
    </row>
    <row r="2677" spans="1:60" ht="14.5">
      <c r="A2677" s="9" t="s">
        <v>13458</v>
      </c>
      <c r="B2677" s="9" t="s">
        <v>13459</v>
      </c>
      <c r="C2677" s="9" t="s">
        <v>6123</v>
      </c>
      <c r="D2677" s="9" t="s">
        <v>5539</v>
      </c>
      <c r="E2677" s="9" t="s">
        <v>49</v>
      </c>
      <c r="F2677" s="9" t="s">
        <v>69</v>
      </c>
      <c r="G2677" s="9" t="s">
        <v>13203</v>
      </c>
      <c r="H2677" s="9"/>
      <c r="I2677" s="20" t="s">
        <v>72</v>
      </c>
      <c r="J2677" s="10"/>
      <c r="L2677" s="50"/>
      <c r="M2677" s="10">
        <v>45313</v>
      </c>
      <c r="N2677" s="9">
        <v>2024</v>
      </c>
      <c r="O2677" s="9" t="s">
        <v>13136</v>
      </c>
      <c r="P2677" s="9" t="s">
        <v>53</v>
      </c>
      <c r="Q2677" s="9" t="s">
        <v>53</v>
      </c>
      <c r="S2677" s="9"/>
      <c r="T2677" s="9"/>
      <c r="V2677" s="9"/>
      <c r="AC2677" s="9" t="s">
        <v>5870</v>
      </c>
      <c r="AD2677" s="9" t="s">
        <v>5871</v>
      </c>
      <c r="AE2677" s="9" t="s">
        <v>11143</v>
      </c>
      <c r="AH2677" s="9"/>
      <c r="AI2677" s="9"/>
      <c r="AJ2677" s="9"/>
      <c r="AK2677" s="23"/>
      <c r="AL2677" s="23"/>
      <c r="AM2677" s="26"/>
      <c r="AN2677" s="9"/>
      <c r="AO2677" s="9"/>
      <c r="AP2677" s="9"/>
      <c r="AQ2677" s="54" t="str">
        <f t="shared" si="22"/>
        <v>Hybrid</v>
      </c>
      <c r="AR2677" s="52"/>
      <c r="AS2677" s="52"/>
    </row>
    <row r="2678" spans="1:60" ht="14.5">
      <c r="A2678" s="64" t="s">
        <v>13460</v>
      </c>
      <c r="B2678" s="64" t="s">
        <v>13461</v>
      </c>
      <c r="C2678" s="64" t="s">
        <v>13462</v>
      </c>
      <c r="D2678" s="64" t="s">
        <v>5539</v>
      </c>
      <c r="E2678" s="64" t="s">
        <v>49</v>
      </c>
      <c r="F2678" s="64" t="s">
        <v>69</v>
      </c>
      <c r="G2678" s="64" t="s">
        <v>13203</v>
      </c>
      <c r="H2678" s="64"/>
      <c r="I2678" s="64" t="s">
        <v>72</v>
      </c>
      <c r="J2678" s="65"/>
      <c r="K2678" s="64"/>
      <c r="L2678" s="66"/>
      <c r="M2678" s="65">
        <v>45304</v>
      </c>
      <c r="N2678" s="64">
        <v>2024</v>
      </c>
      <c r="O2678" s="64" t="s">
        <v>13136</v>
      </c>
      <c r="P2678" s="64" t="s">
        <v>53</v>
      </c>
      <c r="Q2678" s="64" t="s">
        <v>53</v>
      </c>
      <c r="R2678" s="64" t="s">
        <v>13463</v>
      </c>
      <c r="S2678" s="64"/>
      <c r="T2678" s="64"/>
      <c r="U2678" s="64"/>
      <c r="V2678" s="64"/>
      <c r="W2678" s="64"/>
      <c r="X2678" s="64"/>
      <c r="Y2678" s="64"/>
      <c r="Z2678" s="64"/>
      <c r="AA2678" s="64"/>
      <c r="AB2678" s="64"/>
      <c r="AC2678" s="64" t="s">
        <v>13464</v>
      </c>
      <c r="AD2678" s="64" t="s">
        <v>13465</v>
      </c>
      <c r="AE2678" s="64" t="s">
        <v>13466</v>
      </c>
      <c r="AF2678" s="64"/>
      <c r="AG2678" s="64"/>
      <c r="AH2678" s="64"/>
      <c r="AI2678" s="64"/>
      <c r="AJ2678" s="64"/>
      <c r="AK2678" s="67"/>
      <c r="AL2678" s="67"/>
      <c r="AM2678" s="68"/>
      <c r="AN2678" s="64"/>
      <c r="AO2678" s="64"/>
      <c r="AP2678" s="64"/>
      <c r="AQ2678" s="69" t="str">
        <f t="shared" si="22"/>
        <v>Hybrid</v>
      </c>
      <c r="AR2678" s="70"/>
      <c r="AS2678" s="70"/>
      <c r="AT2678" s="64"/>
      <c r="AU2678" s="64"/>
      <c r="AV2678" s="64"/>
      <c r="AW2678" s="64"/>
      <c r="AX2678" s="64"/>
      <c r="AY2678" s="64"/>
      <c r="AZ2678" s="64"/>
      <c r="BA2678" s="64"/>
      <c r="BB2678" s="64"/>
      <c r="BC2678" s="64"/>
      <c r="BD2678" s="64"/>
      <c r="BE2678" s="64"/>
      <c r="BF2678" s="64"/>
      <c r="BG2678" s="64"/>
      <c r="BH2678" s="64"/>
    </row>
    <row r="2679" spans="1:60" ht="14.5" hidden="1">
      <c r="A2679" s="9" t="s">
        <v>13467</v>
      </c>
      <c r="B2679" s="9"/>
      <c r="C2679" s="9" t="s">
        <v>13468</v>
      </c>
      <c r="D2679" s="9" t="s">
        <v>5539</v>
      </c>
      <c r="E2679" s="9" t="s">
        <v>125</v>
      </c>
      <c r="F2679" s="9"/>
      <c r="G2679" s="9" t="s">
        <v>13203</v>
      </c>
      <c r="H2679" s="9"/>
      <c r="I2679" s="9"/>
      <c r="J2679" s="10"/>
      <c r="K2679" s="10"/>
      <c r="L2679" s="50"/>
      <c r="M2679" s="10"/>
      <c r="N2679" s="9">
        <v>2024</v>
      </c>
      <c r="O2679" s="9" t="s">
        <v>13136</v>
      </c>
      <c r="P2679" s="9"/>
      <c r="Q2679" s="9"/>
      <c r="S2679" s="9"/>
      <c r="T2679" s="9"/>
      <c r="V2679" s="9"/>
      <c r="AC2679" s="9" t="s">
        <v>13469</v>
      </c>
      <c r="AD2679" s="9" t="s">
        <v>13470</v>
      </c>
      <c r="AH2679" s="9"/>
      <c r="AI2679" s="9"/>
      <c r="AJ2679" s="9"/>
      <c r="AK2679" s="23"/>
      <c r="AL2679" s="23"/>
      <c r="AM2679" s="26"/>
      <c r="AN2679" s="9"/>
      <c r="AO2679" s="9"/>
      <c r="AP2679" s="9"/>
      <c r="AQ2679" s="54" t="str">
        <f t="shared" si="22"/>
        <v>Fully OA</v>
      </c>
      <c r="AR2679" s="52"/>
      <c r="AS2679" s="52"/>
    </row>
    <row r="2680" spans="1:60" ht="14.5" hidden="1">
      <c r="A2680" s="9" t="s">
        <v>13471</v>
      </c>
      <c r="B2680" s="9" t="s">
        <v>13472</v>
      </c>
      <c r="C2680" s="9" t="s">
        <v>9007</v>
      </c>
      <c r="D2680" s="9" t="s">
        <v>185</v>
      </c>
      <c r="E2680" s="9" t="s">
        <v>125</v>
      </c>
      <c r="F2680" s="9" t="s">
        <v>69</v>
      </c>
      <c r="G2680" s="9" t="s">
        <v>70</v>
      </c>
      <c r="H2680" s="9" t="s">
        <v>13473</v>
      </c>
      <c r="I2680" s="9" t="s">
        <v>72</v>
      </c>
      <c r="J2680" s="10">
        <v>45307</v>
      </c>
      <c r="K2680" s="10">
        <v>45443</v>
      </c>
      <c r="L2680" s="50">
        <v>45443</v>
      </c>
      <c r="M2680" s="10"/>
      <c r="N2680" s="9">
        <v>2024</v>
      </c>
      <c r="O2680" s="9" t="s">
        <v>13474</v>
      </c>
      <c r="P2680" s="9" t="s">
        <v>53</v>
      </c>
      <c r="Q2680" s="9" t="s">
        <v>53</v>
      </c>
      <c r="R2680" s="9" t="s">
        <v>13475</v>
      </c>
      <c r="S2680" s="9"/>
      <c r="T2680" s="9"/>
      <c r="V2680" s="9"/>
      <c r="AC2680" s="9" t="s">
        <v>13476</v>
      </c>
      <c r="AD2680" s="9" t="s">
        <v>13477</v>
      </c>
      <c r="AE2680" s="9" t="s">
        <v>13478</v>
      </c>
      <c r="AH2680" s="9">
        <v>1400</v>
      </c>
      <c r="AI2680" s="9" t="s">
        <v>77</v>
      </c>
      <c r="AJ2680" s="9" t="s">
        <v>301</v>
      </c>
      <c r="AK2680" s="23"/>
      <c r="AL2680" s="23"/>
      <c r="AM2680" s="26"/>
      <c r="AN2680" s="9"/>
      <c r="AO2680" s="9"/>
      <c r="AP2680" s="9"/>
      <c r="AQ2680" s="54" t="str">
        <f t="shared" si="22"/>
        <v>Fully OA</v>
      </c>
      <c r="AR2680" s="52"/>
      <c r="AS2680" s="52"/>
    </row>
    <row r="2681" spans="1:60" ht="14.5" hidden="1">
      <c r="A2681" s="9" t="s">
        <v>13479</v>
      </c>
      <c r="B2681" s="9" t="s">
        <v>13480</v>
      </c>
      <c r="C2681" s="9" t="s">
        <v>9007</v>
      </c>
      <c r="D2681" s="9" t="s">
        <v>185</v>
      </c>
      <c r="E2681" s="9" t="s">
        <v>125</v>
      </c>
      <c r="F2681" s="9" t="s">
        <v>69</v>
      </c>
      <c r="G2681" s="9" t="s">
        <v>70</v>
      </c>
      <c r="H2681" s="9" t="s">
        <v>13473</v>
      </c>
      <c r="I2681" s="9" t="s">
        <v>72</v>
      </c>
      <c r="J2681" s="10">
        <v>45368</v>
      </c>
      <c r="K2681" s="10">
        <v>45443</v>
      </c>
      <c r="L2681" s="50">
        <v>45443</v>
      </c>
      <c r="M2681" s="10"/>
      <c r="N2681" s="9">
        <v>2024</v>
      </c>
      <c r="O2681" s="9" t="s">
        <v>13474</v>
      </c>
      <c r="P2681" s="9" t="s">
        <v>53</v>
      </c>
      <c r="Q2681" s="9" t="s">
        <v>53</v>
      </c>
      <c r="R2681" s="9" t="s">
        <v>13481</v>
      </c>
      <c r="S2681" s="9"/>
      <c r="T2681" s="9"/>
      <c r="V2681" s="9"/>
      <c r="AC2681" s="9" t="s">
        <v>13482</v>
      </c>
      <c r="AD2681" s="9" t="s">
        <v>13483</v>
      </c>
      <c r="AH2681" s="9">
        <v>1400</v>
      </c>
      <c r="AI2681" s="9" t="s">
        <v>77</v>
      </c>
      <c r="AJ2681" s="9" t="s">
        <v>301</v>
      </c>
      <c r="AK2681" s="23"/>
      <c r="AL2681" s="23"/>
      <c r="AM2681" s="26"/>
      <c r="AN2681" s="9"/>
      <c r="AO2681" s="9"/>
      <c r="AP2681" s="9"/>
      <c r="AQ2681" s="54" t="str">
        <f t="shared" si="22"/>
        <v>Fully OA</v>
      </c>
      <c r="AR2681" s="52"/>
      <c r="AS2681" s="52"/>
    </row>
    <row r="2682" spans="1:60" ht="14.5" hidden="1">
      <c r="A2682" s="9" t="s">
        <v>13484</v>
      </c>
      <c r="B2682" s="9" t="s">
        <v>13485</v>
      </c>
      <c r="C2682" s="9" t="s">
        <v>13486</v>
      </c>
      <c r="D2682" s="9" t="s">
        <v>185</v>
      </c>
      <c r="E2682" s="9" t="s">
        <v>49</v>
      </c>
      <c r="F2682" s="9" t="s">
        <v>69</v>
      </c>
      <c r="G2682" s="9" t="s">
        <v>70</v>
      </c>
      <c r="H2682" s="9" t="s">
        <v>13473</v>
      </c>
      <c r="I2682" s="9" t="s">
        <v>72</v>
      </c>
      <c r="J2682" s="10">
        <v>45366</v>
      </c>
      <c r="K2682" s="10">
        <v>45405</v>
      </c>
      <c r="L2682" s="50">
        <v>45405</v>
      </c>
      <c r="M2682" s="10"/>
      <c r="N2682" s="9">
        <v>2024</v>
      </c>
      <c r="O2682" s="9" t="s">
        <v>13474</v>
      </c>
      <c r="P2682" s="9" t="s">
        <v>83</v>
      </c>
      <c r="Q2682" s="9" t="s">
        <v>53</v>
      </c>
      <c r="R2682" s="9" t="s">
        <v>1385</v>
      </c>
      <c r="S2682" s="9"/>
      <c r="T2682" s="9"/>
      <c r="V2682" s="9"/>
      <c r="AC2682" s="9" t="s">
        <v>13487</v>
      </c>
      <c r="AD2682" s="9" t="s">
        <v>13488</v>
      </c>
      <c r="AE2682" s="9" t="s">
        <v>13489</v>
      </c>
      <c r="AH2682" s="9">
        <v>1995</v>
      </c>
      <c r="AI2682" s="9" t="s">
        <v>77</v>
      </c>
      <c r="AJ2682" s="9" t="s">
        <v>301</v>
      </c>
      <c r="AK2682" s="23"/>
      <c r="AL2682" s="23"/>
      <c r="AM2682" s="26"/>
      <c r="AN2682" s="9"/>
      <c r="AO2682" s="9"/>
      <c r="AP2682" s="9"/>
      <c r="AQ2682" s="54" t="str">
        <f t="shared" si="22"/>
        <v>Hybrid</v>
      </c>
      <c r="AR2682" s="52"/>
      <c r="AS2682" s="52"/>
    </row>
    <row r="2683" spans="1:60" ht="14.5" hidden="1">
      <c r="A2683" s="9" t="s">
        <v>13490</v>
      </c>
      <c r="B2683" s="9" t="s">
        <v>13491</v>
      </c>
      <c r="C2683" s="9" t="s">
        <v>13492</v>
      </c>
      <c r="D2683" s="9" t="s">
        <v>185</v>
      </c>
      <c r="E2683" s="9" t="s">
        <v>49</v>
      </c>
      <c r="F2683" s="9" t="s">
        <v>69</v>
      </c>
      <c r="G2683" s="9" t="s">
        <v>70</v>
      </c>
      <c r="H2683" s="9" t="s">
        <v>13473</v>
      </c>
      <c r="I2683" s="9" t="s">
        <v>72</v>
      </c>
      <c r="J2683" s="10">
        <v>45114</v>
      </c>
      <c r="K2683" s="10">
        <v>45358</v>
      </c>
      <c r="L2683" s="50">
        <v>45379</v>
      </c>
      <c r="M2683" s="10"/>
      <c r="N2683" s="9">
        <v>2024</v>
      </c>
      <c r="O2683" s="9" t="s">
        <v>13474</v>
      </c>
      <c r="P2683" s="9" t="s">
        <v>53</v>
      </c>
      <c r="Q2683" s="9" t="s">
        <v>53</v>
      </c>
      <c r="R2683" s="9" t="s">
        <v>13493</v>
      </c>
      <c r="S2683" s="9"/>
      <c r="T2683" s="9"/>
      <c r="V2683" s="9"/>
      <c r="AC2683" s="9" t="s">
        <v>13494</v>
      </c>
      <c r="AD2683" s="9" t="s">
        <v>13495</v>
      </c>
      <c r="AH2683" s="9">
        <v>1700</v>
      </c>
      <c r="AI2683" s="9" t="s">
        <v>77</v>
      </c>
      <c r="AJ2683" s="9" t="s">
        <v>301</v>
      </c>
      <c r="AK2683" s="23"/>
      <c r="AL2683" s="23"/>
      <c r="AM2683" s="26"/>
      <c r="AN2683" s="9"/>
      <c r="AO2683" s="9"/>
      <c r="AP2683" s="9"/>
      <c r="AQ2683" s="54" t="str">
        <f t="shared" si="22"/>
        <v>Hybrid</v>
      </c>
      <c r="AR2683" s="52"/>
      <c r="AS2683" s="52"/>
    </row>
    <row r="2684" spans="1:60" ht="14.5" hidden="1">
      <c r="A2684" s="9"/>
      <c r="B2684" s="9"/>
      <c r="C2684" s="9"/>
      <c r="D2684" s="9"/>
      <c r="E2684" s="9"/>
      <c r="F2684" s="9"/>
      <c r="G2684" s="9"/>
      <c r="H2684" s="9"/>
      <c r="I2684" s="9"/>
      <c r="J2684" s="10"/>
      <c r="K2684" s="10"/>
      <c r="L2684" s="50"/>
      <c r="M2684" s="10"/>
      <c r="N2684" s="9"/>
      <c r="O2684" s="9"/>
      <c r="P2684" s="9"/>
      <c r="Q2684" s="9"/>
      <c r="S2684" s="9"/>
      <c r="T2684" s="9"/>
      <c r="V2684" s="9"/>
      <c r="AH2684" s="9"/>
      <c r="AI2684" s="9"/>
      <c r="AJ2684" s="9"/>
      <c r="AK2684" s="23"/>
      <c r="AL2684" s="23"/>
      <c r="AM2684" s="26"/>
      <c r="AN2684" s="9"/>
      <c r="AO2684" s="9"/>
      <c r="AP2684" s="9"/>
      <c r="AQ2684" s="54">
        <f t="shared" si="22"/>
        <v>0</v>
      </c>
      <c r="AR2684" s="52"/>
      <c r="AS2684" s="52"/>
    </row>
    <row r="2685" spans="1:60" ht="14.5" hidden="1">
      <c r="A2685" s="9"/>
      <c r="B2685" s="9"/>
      <c r="C2685" s="9"/>
      <c r="D2685" s="9"/>
      <c r="E2685" s="9"/>
      <c r="F2685" s="9"/>
      <c r="G2685" s="9"/>
      <c r="H2685" s="9"/>
      <c r="I2685" s="9"/>
      <c r="J2685" s="10"/>
      <c r="K2685" s="10"/>
      <c r="L2685" s="50"/>
      <c r="M2685" s="10"/>
      <c r="N2685" s="9"/>
      <c r="O2685" s="9"/>
      <c r="P2685" s="9"/>
      <c r="Q2685" s="9"/>
      <c r="S2685" s="9"/>
      <c r="T2685" s="9"/>
      <c r="V2685" s="9"/>
      <c r="AH2685" s="9"/>
      <c r="AI2685" s="9"/>
      <c r="AJ2685" s="9"/>
      <c r="AK2685" s="23"/>
      <c r="AL2685" s="23"/>
      <c r="AM2685" s="26"/>
      <c r="AN2685" s="9"/>
      <c r="AO2685" s="9"/>
      <c r="AP2685" s="9"/>
      <c r="AQ2685" s="54">
        <f t="shared" si="22"/>
        <v>0</v>
      </c>
      <c r="AR2685" s="52"/>
      <c r="AS2685" s="52"/>
    </row>
    <row r="2686" spans="1:60" ht="14.5" hidden="1">
      <c r="A2686" s="9"/>
      <c r="B2686" s="9"/>
      <c r="C2686" s="9"/>
      <c r="D2686" s="9"/>
      <c r="E2686" s="9"/>
      <c r="F2686" s="9"/>
      <c r="G2686" s="9"/>
      <c r="H2686" s="9"/>
      <c r="I2686" s="9"/>
      <c r="J2686" s="10"/>
      <c r="K2686" s="10"/>
      <c r="L2686" s="50"/>
      <c r="M2686" s="10"/>
      <c r="N2686" s="9"/>
      <c r="O2686" s="9"/>
      <c r="P2686" s="9"/>
      <c r="Q2686" s="9"/>
      <c r="S2686" s="9"/>
      <c r="T2686" s="9"/>
      <c r="V2686" s="9"/>
      <c r="AH2686" s="9"/>
      <c r="AI2686" s="9"/>
      <c r="AJ2686" s="9"/>
      <c r="AK2686" s="23"/>
      <c r="AL2686" s="23"/>
      <c r="AM2686" s="26"/>
      <c r="AN2686" s="9"/>
      <c r="AO2686" s="9"/>
      <c r="AP2686" s="9"/>
      <c r="AQ2686" s="54">
        <f t="shared" si="22"/>
        <v>0</v>
      </c>
      <c r="AR2686" s="52"/>
      <c r="AS2686" s="52"/>
    </row>
    <row r="2687" spans="1:60" ht="14.5" hidden="1">
      <c r="A2687" s="9"/>
      <c r="B2687" s="9"/>
      <c r="C2687" s="9"/>
      <c r="D2687" s="9"/>
      <c r="E2687" s="9"/>
      <c r="F2687" s="9"/>
      <c r="G2687" s="9"/>
      <c r="H2687" s="9"/>
      <c r="I2687" s="9"/>
      <c r="J2687" s="10"/>
      <c r="K2687" s="10"/>
      <c r="L2687" s="50"/>
      <c r="M2687" s="10"/>
      <c r="N2687" s="9"/>
      <c r="O2687" s="9"/>
      <c r="P2687" s="9"/>
      <c r="Q2687" s="9"/>
      <c r="S2687" s="9"/>
      <c r="T2687" s="9"/>
      <c r="V2687" s="9"/>
      <c r="AH2687" s="9"/>
      <c r="AI2687" s="9"/>
      <c r="AJ2687" s="9"/>
      <c r="AK2687" s="23"/>
      <c r="AL2687" s="23"/>
      <c r="AM2687" s="26"/>
      <c r="AN2687" s="9"/>
      <c r="AO2687" s="9"/>
      <c r="AP2687" s="9"/>
      <c r="AQ2687" s="54">
        <f t="shared" si="22"/>
        <v>0</v>
      </c>
      <c r="AR2687" s="52"/>
      <c r="AS2687" s="52"/>
    </row>
    <row r="2688" spans="1:60" ht="14.5" hidden="1">
      <c r="A2688" s="9"/>
      <c r="B2688" s="9"/>
      <c r="C2688" s="9"/>
      <c r="D2688" s="9"/>
      <c r="E2688" s="9"/>
      <c r="F2688" s="9"/>
      <c r="G2688" s="9"/>
      <c r="H2688" s="9"/>
      <c r="I2688" s="9"/>
      <c r="J2688" s="10"/>
      <c r="K2688" s="10"/>
      <c r="L2688" s="50"/>
      <c r="M2688" s="10"/>
      <c r="N2688" s="9"/>
      <c r="O2688" s="9"/>
      <c r="P2688" s="9"/>
      <c r="Q2688" s="9"/>
      <c r="S2688" s="9"/>
      <c r="T2688" s="9"/>
      <c r="V2688" s="9"/>
      <c r="AH2688" s="9"/>
      <c r="AI2688" s="9"/>
      <c r="AJ2688" s="9"/>
      <c r="AK2688" s="23"/>
      <c r="AL2688" s="23"/>
      <c r="AM2688" s="26"/>
      <c r="AN2688" s="9"/>
      <c r="AO2688" s="9"/>
      <c r="AP2688" s="9"/>
      <c r="AQ2688" s="54">
        <f t="shared" si="22"/>
        <v>0</v>
      </c>
      <c r="AR2688" s="52"/>
      <c r="AS2688" s="52"/>
    </row>
    <row r="2689" spans="1:45" ht="14.5" hidden="1">
      <c r="A2689" s="9"/>
      <c r="B2689" s="9"/>
      <c r="C2689" s="9"/>
      <c r="D2689" s="9"/>
      <c r="E2689" s="9"/>
      <c r="F2689" s="9"/>
      <c r="G2689" s="9"/>
      <c r="H2689" s="9"/>
      <c r="I2689" s="9"/>
      <c r="J2689" s="10"/>
      <c r="K2689" s="10"/>
      <c r="L2689" s="50"/>
      <c r="M2689" s="10"/>
      <c r="N2689" s="9"/>
      <c r="O2689" s="9"/>
      <c r="P2689" s="9"/>
      <c r="Q2689" s="9"/>
      <c r="S2689" s="9"/>
      <c r="T2689" s="9"/>
      <c r="V2689" s="9"/>
      <c r="AH2689" s="9"/>
      <c r="AI2689" s="9"/>
      <c r="AJ2689" s="9"/>
      <c r="AK2689" s="23"/>
      <c r="AL2689" s="23"/>
      <c r="AM2689" s="26"/>
      <c r="AN2689" s="9"/>
      <c r="AO2689" s="9"/>
      <c r="AP2689" s="9"/>
      <c r="AQ2689" s="54">
        <f t="shared" si="22"/>
        <v>0</v>
      </c>
      <c r="AR2689" s="52"/>
      <c r="AS2689" s="52"/>
    </row>
    <row r="2690" spans="1:45" ht="14.5" hidden="1">
      <c r="A2690" s="9"/>
      <c r="B2690" s="9"/>
      <c r="C2690" s="9"/>
      <c r="D2690" s="9"/>
      <c r="E2690" s="9"/>
      <c r="F2690" s="9"/>
      <c r="G2690" s="9"/>
      <c r="H2690" s="9"/>
      <c r="I2690" s="9"/>
      <c r="J2690" s="10"/>
      <c r="K2690" s="10"/>
      <c r="L2690" s="50"/>
      <c r="M2690" s="10"/>
      <c r="N2690" s="9"/>
      <c r="O2690" s="9"/>
      <c r="P2690" s="9"/>
      <c r="Q2690" s="9"/>
      <c r="S2690" s="9"/>
      <c r="T2690" s="9"/>
      <c r="V2690" s="9"/>
      <c r="AH2690" s="9"/>
      <c r="AI2690" s="9"/>
      <c r="AJ2690" s="9"/>
      <c r="AK2690" s="23"/>
      <c r="AL2690" s="23"/>
      <c r="AM2690" s="26"/>
      <c r="AN2690" s="9"/>
      <c r="AO2690" s="9"/>
      <c r="AP2690" s="9"/>
      <c r="AQ2690" s="54">
        <f t="shared" si="22"/>
        <v>0</v>
      </c>
      <c r="AR2690" s="52"/>
      <c r="AS2690" s="52"/>
    </row>
    <row r="2691" spans="1:45" ht="14.5" hidden="1">
      <c r="A2691" s="9"/>
      <c r="B2691" s="9"/>
      <c r="C2691" s="9"/>
      <c r="D2691" s="9"/>
      <c r="E2691" s="9"/>
      <c r="F2691" s="9"/>
      <c r="G2691" s="9"/>
      <c r="H2691" s="9"/>
      <c r="I2691" s="9"/>
      <c r="J2691" s="10"/>
      <c r="K2691" s="10"/>
      <c r="L2691" s="50"/>
      <c r="M2691" s="10"/>
      <c r="N2691" s="9"/>
      <c r="O2691" s="9"/>
      <c r="P2691" s="9"/>
      <c r="Q2691" s="9"/>
      <c r="S2691" s="9"/>
      <c r="T2691" s="9"/>
      <c r="V2691" s="9"/>
      <c r="AH2691" s="9"/>
      <c r="AI2691" s="9"/>
      <c r="AJ2691" s="9"/>
      <c r="AK2691" s="23"/>
      <c r="AL2691" s="23"/>
      <c r="AM2691" s="26"/>
      <c r="AN2691" s="9"/>
      <c r="AO2691" s="9"/>
      <c r="AP2691" s="9"/>
      <c r="AQ2691" s="54">
        <f t="shared" si="22"/>
        <v>0</v>
      </c>
      <c r="AR2691" s="52"/>
      <c r="AS2691" s="52"/>
    </row>
    <row r="2692" spans="1:45" ht="14.5" hidden="1">
      <c r="A2692" s="9"/>
      <c r="B2692" s="9"/>
      <c r="C2692" s="9"/>
      <c r="D2692" s="9"/>
      <c r="E2692" s="9"/>
      <c r="F2692" s="9"/>
      <c r="G2692" s="9"/>
      <c r="H2692" s="9"/>
      <c r="I2692" s="9"/>
      <c r="J2692" s="10"/>
      <c r="K2692" s="10"/>
      <c r="L2692" s="50"/>
      <c r="M2692" s="10"/>
      <c r="N2692" s="9"/>
      <c r="O2692" s="9"/>
      <c r="P2692" s="9"/>
      <c r="Q2692" s="9"/>
      <c r="S2692" s="9"/>
      <c r="T2692" s="9"/>
      <c r="V2692" s="9"/>
      <c r="AH2692" s="9"/>
      <c r="AI2692" s="9"/>
      <c r="AJ2692" s="9"/>
      <c r="AK2692" s="23"/>
      <c r="AL2692" s="23"/>
      <c r="AM2692" s="26"/>
      <c r="AN2692" s="9"/>
      <c r="AO2692" s="9"/>
      <c r="AP2692" s="9"/>
      <c r="AQ2692" s="54">
        <f t="shared" si="22"/>
        <v>0</v>
      </c>
      <c r="AR2692" s="52"/>
      <c r="AS2692" s="52"/>
    </row>
    <row r="2693" spans="1:45" ht="14.5" hidden="1">
      <c r="A2693" s="9"/>
      <c r="B2693" s="9"/>
      <c r="C2693" s="9"/>
      <c r="D2693" s="9"/>
      <c r="E2693" s="9"/>
      <c r="F2693" s="9"/>
      <c r="G2693" s="9"/>
      <c r="H2693" s="9"/>
      <c r="I2693" s="9"/>
      <c r="J2693" s="10"/>
      <c r="K2693" s="10"/>
      <c r="L2693" s="50"/>
      <c r="M2693" s="10"/>
      <c r="N2693" s="9"/>
      <c r="O2693" s="9"/>
      <c r="P2693" s="9"/>
      <c r="Q2693" s="9"/>
      <c r="S2693" s="9"/>
      <c r="T2693" s="9"/>
      <c r="V2693" s="9"/>
      <c r="AH2693" s="9"/>
      <c r="AI2693" s="9"/>
      <c r="AJ2693" s="9"/>
      <c r="AK2693" s="23"/>
      <c r="AL2693" s="23"/>
      <c r="AM2693" s="26"/>
      <c r="AN2693" s="9"/>
      <c r="AO2693" s="9"/>
      <c r="AP2693" s="9"/>
      <c r="AQ2693" s="54">
        <f t="shared" si="22"/>
        <v>0</v>
      </c>
      <c r="AR2693" s="52"/>
      <c r="AS2693" s="52"/>
    </row>
    <row r="2694" spans="1:45" ht="14.5" hidden="1">
      <c r="A2694" s="9"/>
      <c r="B2694" s="9"/>
      <c r="C2694" s="9"/>
      <c r="D2694" s="9"/>
      <c r="E2694" s="9"/>
      <c r="F2694" s="9"/>
      <c r="G2694" s="9"/>
      <c r="H2694" s="9"/>
      <c r="I2694" s="9"/>
      <c r="J2694" s="10"/>
      <c r="K2694" s="10"/>
      <c r="L2694" s="50"/>
      <c r="M2694" s="10"/>
      <c r="N2694" s="9"/>
      <c r="O2694" s="9"/>
      <c r="P2694" s="9"/>
      <c r="Q2694" s="9"/>
      <c r="S2694" s="9"/>
      <c r="T2694" s="9"/>
      <c r="V2694" s="9"/>
      <c r="AH2694" s="9"/>
      <c r="AI2694" s="9"/>
      <c r="AJ2694" s="9"/>
      <c r="AK2694" s="23"/>
      <c r="AL2694" s="23"/>
      <c r="AM2694" s="26"/>
      <c r="AN2694" s="9"/>
      <c r="AO2694" s="9"/>
      <c r="AP2694" s="9"/>
      <c r="AQ2694" s="54">
        <f t="shared" si="22"/>
        <v>0</v>
      </c>
      <c r="AR2694" s="52"/>
      <c r="AS2694" s="52"/>
    </row>
    <row r="2695" spans="1:45" ht="14.5" hidden="1">
      <c r="A2695" s="9"/>
      <c r="B2695" s="9"/>
      <c r="C2695" s="9"/>
      <c r="D2695" s="9"/>
      <c r="E2695" s="9"/>
      <c r="F2695" s="9"/>
      <c r="G2695" s="9"/>
      <c r="H2695" s="9"/>
      <c r="I2695" s="9"/>
      <c r="J2695" s="10"/>
      <c r="K2695" s="10"/>
      <c r="L2695" s="50"/>
      <c r="M2695" s="10"/>
      <c r="N2695" s="9"/>
      <c r="O2695" s="9"/>
      <c r="P2695" s="9"/>
      <c r="Q2695" s="9"/>
      <c r="S2695" s="9"/>
      <c r="T2695" s="9"/>
      <c r="V2695" s="9"/>
      <c r="AH2695" s="9"/>
      <c r="AI2695" s="9"/>
      <c r="AJ2695" s="9"/>
      <c r="AK2695" s="23"/>
      <c r="AL2695" s="23"/>
      <c r="AM2695" s="26"/>
      <c r="AN2695" s="9"/>
      <c r="AO2695" s="9"/>
      <c r="AP2695" s="9"/>
      <c r="AQ2695" s="54">
        <f t="shared" si="22"/>
        <v>0</v>
      </c>
      <c r="AR2695" s="52"/>
      <c r="AS2695" s="52"/>
    </row>
    <row r="2696" spans="1:45" ht="14.5" hidden="1">
      <c r="A2696" s="9"/>
      <c r="B2696" s="9"/>
      <c r="C2696" s="9"/>
      <c r="D2696" s="9"/>
      <c r="E2696" s="9"/>
      <c r="F2696" s="9"/>
      <c r="G2696" s="9"/>
      <c r="H2696" s="9"/>
      <c r="I2696" s="9"/>
      <c r="J2696" s="10"/>
      <c r="K2696" s="10"/>
      <c r="L2696" s="50"/>
      <c r="M2696" s="10"/>
      <c r="N2696" s="9"/>
      <c r="O2696" s="9"/>
      <c r="P2696" s="9"/>
      <c r="Q2696" s="9"/>
      <c r="S2696" s="9"/>
      <c r="T2696" s="9"/>
      <c r="V2696" s="9"/>
      <c r="AH2696" s="9"/>
      <c r="AI2696" s="9"/>
      <c r="AJ2696" s="9"/>
      <c r="AK2696" s="23"/>
      <c r="AL2696" s="23"/>
      <c r="AM2696" s="26"/>
      <c r="AN2696" s="9"/>
      <c r="AO2696" s="9"/>
      <c r="AP2696" s="9"/>
      <c r="AQ2696" s="54">
        <f t="shared" si="22"/>
        <v>0</v>
      </c>
      <c r="AR2696" s="52"/>
      <c r="AS2696" s="52"/>
    </row>
    <row r="2697" spans="1:45" ht="14.5" hidden="1">
      <c r="A2697" s="9"/>
      <c r="B2697" s="9"/>
      <c r="C2697" s="9"/>
      <c r="D2697" s="9"/>
      <c r="E2697" s="9"/>
      <c r="F2697" s="9"/>
      <c r="G2697" s="9"/>
      <c r="H2697" s="9"/>
      <c r="I2697" s="9"/>
      <c r="J2697" s="10"/>
      <c r="K2697" s="10"/>
      <c r="L2697" s="50"/>
      <c r="M2697" s="10"/>
      <c r="N2697" s="9"/>
      <c r="O2697" s="9"/>
      <c r="P2697" s="9"/>
      <c r="Q2697" s="9"/>
      <c r="S2697" s="9"/>
      <c r="T2697" s="9"/>
      <c r="V2697" s="9"/>
      <c r="AH2697" s="9"/>
      <c r="AI2697" s="9"/>
      <c r="AJ2697" s="9"/>
      <c r="AK2697" s="23"/>
      <c r="AL2697" s="23"/>
      <c r="AM2697" s="26"/>
      <c r="AN2697" s="9"/>
      <c r="AO2697" s="9"/>
      <c r="AP2697" s="9"/>
      <c r="AQ2697" s="54">
        <f t="shared" si="22"/>
        <v>0</v>
      </c>
      <c r="AR2697" s="52"/>
      <c r="AS2697" s="52"/>
    </row>
    <row r="2698" spans="1:45" ht="14.5" hidden="1">
      <c r="A2698" s="9"/>
      <c r="B2698" s="9"/>
      <c r="C2698" s="9"/>
      <c r="D2698" s="9"/>
      <c r="E2698" s="9"/>
      <c r="F2698" s="9"/>
      <c r="G2698" s="9"/>
      <c r="H2698" s="9"/>
      <c r="I2698" s="9"/>
      <c r="J2698" s="10"/>
      <c r="K2698" s="10"/>
      <c r="L2698" s="50"/>
      <c r="M2698" s="10"/>
      <c r="N2698" s="9"/>
      <c r="O2698" s="9"/>
      <c r="P2698" s="9"/>
      <c r="Q2698" s="9"/>
      <c r="S2698" s="9"/>
      <c r="T2698" s="9"/>
      <c r="V2698" s="9"/>
      <c r="AH2698" s="9"/>
      <c r="AI2698" s="9"/>
      <c r="AJ2698" s="9"/>
      <c r="AK2698" s="23"/>
      <c r="AL2698" s="23"/>
      <c r="AM2698" s="26"/>
      <c r="AN2698" s="9"/>
      <c r="AO2698" s="9"/>
      <c r="AP2698" s="9"/>
      <c r="AQ2698" s="54">
        <f t="shared" si="22"/>
        <v>0</v>
      </c>
      <c r="AR2698" s="52"/>
      <c r="AS2698" s="52"/>
    </row>
    <row r="2699" spans="1:45" ht="14.5" hidden="1">
      <c r="A2699" s="9"/>
      <c r="B2699" s="9"/>
      <c r="C2699" s="9"/>
      <c r="D2699" s="9"/>
      <c r="E2699" s="9"/>
      <c r="F2699" s="9"/>
      <c r="G2699" s="9"/>
      <c r="H2699" s="9"/>
      <c r="I2699" s="9"/>
      <c r="J2699" s="10"/>
      <c r="K2699" s="10"/>
      <c r="L2699" s="50"/>
      <c r="M2699" s="10"/>
      <c r="N2699" s="9"/>
      <c r="O2699" s="9"/>
      <c r="P2699" s="9"/>
      <c r="Q2699" s="9"/>
      <c r="S2699" s="9"/>
      <c r="T2699" s="9"/>
      <c r="V2699" s="9"/>
      <c r="AH2699" s="9"/>
      <c r="AI2699" s="9"/>
      <c r="AJ2699" s="9"/>
      <c r="AK2699" s="23"/>
      <c r="AL2699" s="23"/>
      <c r="AM2699" s="26"/>
      <c r="AN2699" s="9"/>
      <c r="AO2699" s="9"/>
      <c r="AP2699" s="9"/>
      <c r="AQ2699" s="54">
        <f t="shared" si="22"/>
        <v>0</v>
      </c>
      <c r="AR2699" s="52"/>
      <c r="AS2699" s="52"/>
    </row>
    <row r="2700" spans="1:45" ht="14.5" hidden="1">
      <c r="A2700" s="9"/>
      <c r="B2700" s="9"/>
      <c r="C2700" s="9"/>
      <c r="D2700" s="9"/>
      <c r="E2700" s="9"/>
      <c r="F2700" s="9"/>
      <c r="G2700" s="9"/>
      <c r="H2700" s="9"/>
      <c r="I2700" s="9"/>
      <c r="J2700" s="10"/>
      <c r="K2700" s="10"/>
      <c r="L2700" s="50"/>
      <c r="M2700" s="10"/>
      <c r="N2700" s="9"/>
      <c r="O2700" s="9"/>
      <c r="P2700" s="9"/>
      <c r="Q2700" s="9"/>
      <c r="S2700" s="9"/>
      <c r="T2700" s="9"/>
      <c r="V2700" s="9"/>
      <c r="AH2700" s="9"/>
      <c r="AI2700" s="9"/>
      <c r="AJ2700" s="9"/>
      <c r="AK2700" s="23"/>
      <c r="AL2700" s="23"/>
      <c r="AM2700" s="26"/>
      <c r="AN2700" s="9"/>
      <c r="AO2700" s="9"/>
      <c r="AP2700" s="9"/>
      <c r="AQ2700" s="54">
        <f t="shared" si="22"/>
        <v>0</v>
      </c>
      <c r="AR2700" s="52"/>
      <c r="AS2700" s="52"/>
    </row>
    <row r="2701" spans="1:45" ht="14.5" hidden="1">
      <c r="A2701" s="9"/>
      <c r="B2701" s="9"/>
      <c r="C2701" s="9"/>
      <c r="D2701" s="9"/>
      <c r="E2701" s="9"/>
      <c r="F2701" s="9"/>
      <c r="G2701" s="9"/>
      <c r="H2701" s="9"/>
      <c r="I2701" s="9"/>
      <c r="J2701" s="10"/>
      <c r="K2701" s="10"/>
      <c r="L2701" s="50"/>
      <c r="M2701" s="10"/>
      <c r="N2701" s="9"/>
      <c r="O2701" s="9"/>
      <c r="P2701" s="9"/>
      <c r="Q2701" s="9"/>
      <c r="S2701" s="9"/>
      <c r="T2701" s="9"/>
      <c r="V2701" s="9"/>
      <c r="AH2701" s="9"/>
      <c r="AI2701" s="9"/>
      <c r="AJ2701" s="9"/>
      <c r="AK2701" s="23"/>
      <c r="AL2701" s="23"/>
      <c r="AM2701" s="26"/>
      <c r="AN2701" s="9"/>
      <c r="AO2701" s="9"/>
      <c r="AP2701" s="9"/>
      <c r="AQ2701" s="54">
        <f t="shared" si="22"/>
        <v>0</v>
      </c>
      <c r="AR2701" s="52"/>
      <c r="AS2701" s="52"/>
    </row>
    <row r="2702" spans="1:45" ht="14.5" hidden="1">
      <c r="A2702" s="9"/>
      <c r="B2702" s="9"/>
      <c r="C2702" s="9"/>
      <c r="D2702" s="9"/>
      <c r="E2702" s="9"/>
      <c r="F2702" s="9"/>
      <c r="G2702" s="9"/>
      <c r="H2702" s="9"/>
      <c r="I2702" s="9"/>
      <c r="J2702" s="10"/>
      <c r="K2702" s="10"/>
      <c r="L2702" s="50"/>
      <c r="M2702" s="10"/>
      <c r="N2702" s="9"/>
      <c r="O2702" s="9"/>
      <c r="P2702" s="9"/>
      <c r="Q2702" s="9"/>
      <c r="S2702" s="9"/>
      <c r="T2702" s="9"/>
      <c r="V2702" s="9"/>
      <c r="AH2702" s="9"/>
      <c r="AI2702" s="9"/>
      <c r="AJ2702" s="9"/>
      <c r="AK2702" s="23"/>
      <c r="AL2702" s="23"/>
      <c r="AM2702" s="26"/>
      <c r="AN2702" s="9"/>
      <c r="AO2702" s="9"/>
      <c r="AP2702" s="9"/>
      <c r="AQ2702" s="54">
        <f t="shared" si="22"/>
        <v>0</v>
      </c>
      <c r="AR2702" s="52"/>
      <c r="AS2702" s="52"/>
    </row>
    <row r="2703" spans="1:45" ht="14.5" hidden="1">
      <c r="A2703" s="9"/>
      <c r="B2703" s="9"/>
      <c r="C2703" s="9"/>
      <c r="D2703" s="9"/>
      <c r="E2703" s="9"/>
      <c r="F2703" s="9"/>
      <c r="G2703" s="9"/>
      <c r="H2703" s="9"/>
      <c r="I2703" s="9"/>
      <c r="J2703" s="10"/>
      <c r="K2703" s="10"/>
      <c r="L2703" s="50"/>
      <c r="M2703" s="10"/>
      <c r="N2703" s="9"/>
      <c r="O2703" s="9"/>
      <c r="P2703" s="9"/>
      <c r="Q2703" s="9"/>
      <c r="S2703" s="9"/>
      <c r="T2703" s="9"/>
      <c r="V2703" s="9"/>
      <c r="AH2703" s="9"/>
      <c r="AI2703" s="9"/>
      <c r="AJ2703" s="9"/>
      <c r="AK2703" s="23"/>
      <c r="AL2703" s="23"/>
      <c r="AM2703" s="26"/>
      <c r="AN2703" s="9"/>
      <c r="AO2703" s="9"/>
      <c r="AP2703" s="9"/>
      <c r="AQ2703" s="54">
        <f t="shared" si="22"/>
        <v>0</v>
      </c>
      <c r="AR2703" s="52"/>
      <c r="AS2703" s="52"/>
    </row>
    <row r="2704" spans="1:45" ht="14.5" hidden="1">
      <c r="A2704" s="9"/>
      <c r="B2704" s="9"/>
      <c r="C2704" s="9"/>
      <c r="D2704" s="9"/>
      <c r="E2704" s="9"/>
      <c r="F2704" s="9"/>
      <c r="G2704" s="9"/>
      <c r="H2704" s="9"/>
      <c r="I2704" s="9"/>
      <c r="J2704" s="10"/>
      <c r="K2704" s="10"/>
      <c r="L2704" s="50"/>
      <c r="M2704" s="10"/>
      <c r="N2704" s="9"/>
      <c r="O2704" s="9"/>
      <c r="P2704" s="9"/>
      <c r="Q2704" s="9"/>
      <c r="S2704" s="9"/>
      <c r="T2704" s="9"/>
      <c r="V2704" s="9"/>
      <c r="AH2704" s="9"/>
      <c r="AI2704" s="9"/>
      <c r="AJ2704" s="9"/>
      <c r="AK2704" s="23"/>
      <c r="AL2704" s="23"/>
      <c r="AM2704" s="26"/>
      <c r="AN2704" s="9"/>
      <c r="AO2704" s="9"/>
      <c r="AP2704" s="9"/>
      <c r="AQ2704" s="54">
        <f t="shared" si="22"/>
        <v>0</v>
      </c>
      <c r="AR2704" s="52"/>
      <c r="AS2704" s="52"/>
    </row>
    <row r="2705" spans="1:45" ht="14.5" hidden="1">
      <c r="A2705" s="9"/>
      <c r="B2705" s="9"/>
      <c r="C2705" s="9"/>
      <c r="D2705" s="9"/>
      <c r="E2705" s="9"/>
      <c r="F2705" s="9"/>
      <c r="G2705" s="9"/>
      <c r="H2705" s="9"/>
      <c r="I2705" s="9"/>
      <c r="J2705" s="10"/>
      <c r="K2705" s="10"/>
      <c r="L2705" s="50"/>
      <c r="M2705" s="10"/>
      <c r="N2705" s="9"/>
      <c r="O2705" s="9"/>
      <c r="P2705" s="9"/>
      <c r="Q2705" s="9"/>
      <c r="S2705" s="9"/>
      <c r="T2705" s="9"/>
      <c r="V2705" s="9"/>
      <c r="AH2705" s="9"/>
      <c r="AI2705" s="9"/>
      <c r="AJ2705" s="9"/>
      <c r="AK2705" s="23"/>
      <c r="AL2705" s="23"/>
      <c r="AM2705" s="26"/>
      <c r="AN2705" s="9"/>
      <c r="AO2705" s="9"/>
      <c r="AP2705" s="9"/>
      <c r="AQ2705" s="54">
        <f t="shared" si="22"/>
        <v>0</v>
      </c>
      <c r="AR2705" s="52"/>
      <c r="AS2705" s="52"/>
    </row>
    <row r="2706" spans="1:45" ht="14.5" hidden="1">
      <c r="A2706" s="9"/>
      <c r="B2706" s="9"/>
      <c r="C2706" s="9"/>
      <c r="D2706" s="9"/>
      <c r="E2706" s="9"/>
      <c r="F2706" s="9"/>
      <c r="G2706" s="9"/>
      <c r="H2706" s="9"/>
      <c r="I2706" s="9"/>
      <c r="J2706" s="10"/>
      <c r="K2706" s="10"/>
      <c r="L2706" s="50"/>
      <c r="M2706" s="10"/>
      <c r="N2706" s="9"/>
      <c r="O2706" s="9"/>
      <c r="P2706" s="9"/>
      <c r="Q2706" s="9"/>
      <c r="S2706" s="9"/>
      <c r="T2706" s="9"/>
      <c r="V2706" s="9"/>
      <c r="AH2706" s="9"/>
      <c r="AI2706" s="9"/>
      <c r="AJ2706" s="9"/>
      <c r="AK2706" s="23"/>
      <c r="AL2706" s="23"/>
      <c r="AM2706" s="26"/>
      <c r="AN2706" s="9"/>
      <c r="AO2706" s="9"/>
      <c r="AP2706" s="9"/>
      <c r="AQ2706" s="54">
        <f t="shared" si="22"/>
        <v>0</v>
      </c>
      <c r="AR2706" s="52"/>
      <c r="AS2706" s="52"/>
    </row>
    <row r="2707" spans="1:45" ht="14.5" hidden="1">
      <c r="A2707" s="9"/>
      <c r="B2707" s="9"/>
      <c r="C2707" s="9"/>
      <c r="D2707" s="9"/>
      <c r="E2707" s="9"/>
      <c r="F2707" s="9"/>
      <c r="G2707" s="9"/>
      <c r="H2707" s="9"/>
      <c r="I2707" s="9"/>
      <c r="J2707" s="10"/>
      <c r="K2707" s="10"/>
      <c r="L2707" s="50"/>
      <c r="M2707" s="10"/>
      <c r="N2707" s="9"/>
      <c r="O2707" s="9"/>
      <c r="P2707" s="9"/>
      <c r="Q2707" s="9"/>
      <c r="S2707" s="9"/>
      <c r="T2707" s="9"/>
      <c r="V2707" s="9"/>
      <c r="AH2707" s="9"/>
      <c r="AI2707" s="9"/>
      <c r="AJ2707" s="9"/>
      <c r="AK2707" s="23"/>
      <c r="AL2707" s="23"/>
      <c r="AM2707" s="26"/>
      <c r="AN2707" s="9"/>
      <c r="AO2707" s="9"/>
      <c r="AP2707" s="9"/>
      <c r="AQ2707" s="54">
        <f t="shared" si="22"/>
        <v>0</v>
      </c>
      <c r="AR2707" s="52"/>
      <c r="AS2707" s="52"/>
    </row>
    <row r="2708" spans="1:45" ht="14.5" hidden="1">
      <c r="A2708" s="9"/>
      <c r="B2708" s="9"/>
      <c r="C2708" s="9"/>
      <c r="D2708" s="9"/>
      <c r="E2708" s="9"/>
      <c r="F2708" s="9"/>
      <c r="G2708" s="9"/>
      <c r="H2708" s="9"/>
      <c r="I2708" s="9"/>
      <c r="J2708" s="10"/>
      <c r="K2708" s="10"/>
      <c r="L2708" s="50"/>
      <c r="M2708" s="10"/>
      <c r="N2708" s="9"/>
      <c r="O2708" s="9"/>
      <c r="P2708" s="9"/>
      <c r="Q2708" s="9"/>
      <c r="S2708" s="9"/>
      <c r="T2708" s="9"/>
      <c r="V2708" s="9"/>
      <c r="AH2708" s="9"/>
      <c r="AI2708" s="9"/>
      <c r="AJ2708" s="9"/>
      <c r="AK2708" s="23"/>
      <c r="AL2708" s="23"/>
      <c r="AM2708" s="26"/>
      <c r="AN2708" s="9"/>
      <c r="AO2708" s="9"/>
      <c r="AP2708" s="9"/>
      <c r="AQ2708" s="54">
        <f t="shared" si="22"/>
        <v>0</v>
      </c>
      <c r="AR2708" s="52"/>
      <c r="AS2708" s="52"/>
    </row>
    <row r="2709" spans="1:45" ht="14.5" hidden="1">
      <c r="A2709" s="9"/>
      <c r="B2709" s="9"/>
      <c r="C2709" s="9"/>
      <c r="D2709" s="9"/>
      <c r="E2709" s="9"/>
      <c r="F2709" s="9"/>
      <c r="G2709" s="9"/>
      <c r="H2709" s="9"/>
      <c r="I2709" s="9"/>
      <c r="J2709" s="10"/>
      <c r="K2709" s="10"/>
      <c r="L2709" s="50"/>
      <c r="M2709" s="10"/>
      <c r="N2709" s="9"/>
      <c r="O2709" s="9"/>
      <c r="P2709" s="9"/>
      <c r="Q2709" s="9"/>
      <c r="S2709" s="9"/>
      <c r="T2709" s="9"/>
      <c r="V2709" s="9"/>
      <c r="AH2709" s="9"/>
      <c r="AI2709" s="9"/>
      <c r="AJ2709" s="9"/>
      <c r="AK2709" s="23"/>
      <c r="AL2709" s="23"/>
      <c r="AM2709" s="26"/>
      <c r="AN2709" s="9"/>
      <c r="AO2709" s="9"/>
      <c r="AP2709" s="9"/>
      <c r="AQ2709" s="54">
        <f t="shared" si="22"/>
        <v>0</v>
      </c>
      <c r="AR2709" s="52"/>
      <c r="AS2709" s="52"/>
    </row>
    <row r="2710" spans="1:45" ht="14.5" hidden="1">
      <c r="A2710" s="9"/>
      <c r="B2710" s="9"/>
      <c r="C2710" s="9"/>
      <c r="D2710" s="9"/>
      <c r="E2710" s="9"/>
      <c r="F2710" s="9"/>
      <c r="G2710" s="9"/>
      <c r="H2710" s="9"/>
      <c r="I2710" s="9"/>
      <c r="J2710" s="10"/>
      <c r="K2710" s="10"/>
      <c r="L2710" s="50"/>
      <c r="M2710" s="10"/>
      <c r="N2710" s="9"/>
      <c r="O2710" s="9"/>
      <c r="P2710" s="9"/>
      <c r="Q2710" s="9"/>
      <c r="S2710" s="9"/>
      <c r="T2710" s="9"/>
      <c r="V2710" s="9"/>
      <c r="AH2710" s="9"/>
      <c r="AI2710" s="9"/>
      <c r="AJ2710" s="9"/>
      <c r="AK2710" s="23"/>
      <c r="AL2710" s="23"/>
      <c r="AM2710" s="26"/>
      <c r="AN2710" s="9"/>
      <c r="AO2710" s="9"/>
      <c r="AP2710" s="9"/>
      <c r="AQ2710" s="54">
        <f t="shared" si="22"/>
        <v>0</v>
      </c>
      <c r="AR2710" s="52"/>
      <c r="AS2710" s="52"/>
    </row>
    <row r="2711" spans="1:45" ht="14.5" hidden="1">
      <c r="A2711" s="9"/>
      <c r="B2711" s="9"/>
      <c r="C2711" s="9"/>
      <c r="D2711" s="9"/>
      <c r="E2711" s="9"/>
      <c r="F2711" s="9"/>
      <c r="G2711" s="9"/>
      <c r="H2711" s="9"/>
      <c r="I2711" s="9"/>
      <c r="J2711" s="10"/>
      <c r="K2711" s="10"/>
      <c r="L2711" s="50"/>
      <c r="M2711" s="10"/>
      <c r="N2711" s="9"/>
      <c r="O2711" s="9"/>
      <c r="P2711" s="9"/>
      <c r="Q2711" s="9"/>
      <c r="S2711" s="9"/>
      <c r="T2711" s="9"/>
      <c r="V2711" s="9"/>
      <c r="AH2711" s="9"/>
      <c r="AI2711" s="9"/>
      <c r="AJ2711" s="9"/>
      <c r="AK2711" s="23"/>
      <c r="AL2711" s="23"/>
      <c r="AM2711" s="26"/>
      <c r="AN2711" s="9"/>
      <c r="AO2711" s="9"/>
      <c r="AP2711" s="9"/>
      <c r="AQ2711" s="54">
        <f t="shared" si="22"/>
        <v>0</v>
      </c>
      <c r="AR2711" s="52"/>
      <c r="AS2711" s="52"/>
    </row>
    <row r="2712" spans="1:45" ht="14.5" hidden="1">
      <c r="A2712" s="9"/>
      <c r="B2712" s="9"/>
      <c r="C2712" s="9"/>
      <c r="D2712" s="9"/>
      <c r="E2712" s="9"/>
      <c r="F2712" s="9"/>
      <c r="G2712" s="9"/>
      <c r="H2712" s="9"/>
      <c r="I2712" s="9"/>
      <c r="J2712" s="10"/>
      <c r="K2712" s="10"/>
      <c r="L2712" s="50"/>
      <c r="M2712" s="10"/>
      <c r="N2712" s="9"/>
      <c r="O2712" s="9"/>
      <c r="P2712" s="9"/>
      <c r="Q2712" s="9"/>
      <c r="S2712" s="9"/>
      <c r="T2712" s="9"/>
      <c r="V2712" s="9"/>
      <c r="AH2712" s="9"/>
      <c r="AI2712" s="9"/>
      <c r="AJ2712" s="9"/>
      <c r="AK2712" s="23"/>
      <c r="AL2712" s="23"/>
      <c r="AM2712" s="26"/>
      <c r="AN2712" s="9"/>
      <c r="AO2712" s="9"/>
      <c r="AP2712" s="9"/>
      <c r="AQ2712" s="54">
        <f t="shared" si="22"/>
        <v>0</v>
      </c>
      <c r="AR2712" s="52"/>
      <c r="AS2712" s="52"/>
    </row>
    <row r="2713" spans="1:45" ht="14.5" hidden="1">
      <c r="A2713" s="9"/>
      <c r="B2713" s="9"/>
      <c r="C2713" s="9"/>
      <c r="D2713" s="9"/>
      <c r="E2713" s="9"/>
      <c r="F2713" s="9"/>
      <c r="G2713" s="9"/>
      <c r="H2713" s="9"/>
      <c r="I2713" s="9"/>
      <c r="J2713" s="10"/>
      <c r="K2713" s="10"/>
      <c r="L2713" s="50"/>
      <c r="M2713" s="10"/>
      <c r="N2713" s="9"/>
      <c r="O2713" s="9"/>
      <c r="P2713" s="9"/>
      <c r="Q2713" s="9"/>
      <c r="S2713" s="9"/>
      <c r="T2713" s="9"/>
      <c r="V2713" s="9"/>
      <c r="AH2713" s="9"/>
      <c r="AI2713" s="9"/>
      <c r="AJ2713" s="9"/>
      <c r="AK2713" s="23"/>
      <c r="AL2713" s="23"/>
      <c r="AM2713" s="26"/>
      <c r="AN2713" s="9"/>
      <c r="AO2713" s="9"/>
      <c r="AP2713" s="9"/>
      <c r="AQ2713" s="54">
        <f t="shared" si="22"/>
        <v>0</v>
      </c>
      <c r="AR2713" s="52"/>
      <c r="AS2713" s="52"/>
    </row>
    <row r="2714" spans="1:45" ht="14.5" hidden="1">
      <c r="A2714" s="9"/>
      <c r="B2714" s="9"/>
      <c r="C2714" s="9"/>
      <c r="D2714" s="9"/>
      <c r="E2714" s="9"/>
      <c r="F2714" s="9"/>
      <c r="G2714" s="9"/>
      <c r="H2714" s="9"/>
      <c r="I2714" s="9"/>
      <c r="J2714" s="10"/>
      <c r="K2714" s="10"/>
      <c r="L2714" s="50"/>
      <c r="M2714" s="10"/>
      <c r="N2714" s="9"/>
      <c r="O2714" s="9"/>
      <c r="P2714" s="9"/>
      <c r="Q2714" s="9"/>
      <c r="S2714" s="9"/>
      <c r="T2714" s="9"/>
      <c r="V2714" s="9"/>
      <c r="AH2714" s="9"/>
      <c r="AI2714" s="9"/>
      <c r="AJ2714" s="9"/>
      <c r="AK2714" s="23"/>
      <c r="AL2714" s="23"/>
      <c r="AM2714" s="26"/>
      <c r="AN2714" s="9"/>
      <c r="AO2714" s="9"/>
      <c r="AP2714" s="9"/>
      <c r="AQ2714" s="54">
        <f t="shared" si="22"/>
        <v>0</v>
      </c>
      <c r="AR2714" s="52"/>
      <c r="AS2714" s="52"/>
    </row>
    <row r="2715" spans="1:45" ht="14.5" hidden="1">
      <c r="A2715" s="9"/>
      <c r="B2715" s="9"/>
      <c r="C2715" s="9"/>
      <c r="D2715" s="9"/>
      <c r="E2715" s="9"/>
      <c r="F2715" s="9"/>
      <c r="G2715" s="9"/>
      <c r="H2715" s="9"/>
      <c r="I2715" s="9"/>
      <c r="J2715" s="10"/>
      <c r="K2715" s="10"/>
      <c r="L2715" s="50"/>
      <c r="M2715" s="10"/>
      <c r="N2715" s="9"/>
      <c r="O2715" s="9"/>
      <c r="P2715" s="9"/>
      <c r="Q2715" s="9"/>
      <c r="S2715" s="9"/>
      <c r="T2715" s="9"/>
      <c r="V2715" s="9"/>
      <c r="AH2715" s="9"/>
      <c r="AI2715" s="9"/>
      <c r="AJ2715" s="9"/>
      <c r="AK2715" s="23"/>
      <c r="AL2715" s="23"/>
      <c r="AM2715" s="26"/>
      <c r="AN2715" s="9"/>
      <c r="AO2715" s="9"/>
      <c r="AP2715" s="9"/>
      <c r="AQ2715" s="54">
        <f t="shared" si="22"/>
        <v>0</v>
      </c>
      <c r="AR2715" s="52"/>
      <c r="AS2715" s="52"/>
    </row>
    <row r="2716" spans="1:45" ht="14.5" hidden="1">
      <c r="A2716" s="9"/>
      <c r="B2716" s="9"/>
      <c r="C2716" s="9"/>
      <c r="D2716" s="9"/>
      <c r="E2716" s="9"/>
      <c r="F2716" s="9"/>
      <c r="G2716" s="9"/>
      <c r="H2716" s="9"/>
      <c r="I2716" s="9"/>
      <c r="J2716" s="10"/>
      <c r="K2716" s="10"/>
      <c r="L2716" s="50"/>
      <c r="M2716" s="10"/>
      <c r="N2716" s="9"/>
      <c r="O2716" s="9"/>
      <c r="P2716" s="9"/>
      <c r="Q2716" s="9"/>
      <c r="S2716" s="9"/>
      <c r="T2716" s="9"/>
      <c r="V2716" s="9"/>
      <c r="AH2716" s="9"/>
      <c r="AI2716" s="9"/>
      <c r="AJ2716" s="9"/>
      <c r="AK2716" s="23"/>
      <c r="AL2716" s="23"/>
      <c r="AM2716" s="26"/>
      <c r="AN2716" s="9"/>
      <c r="AO2716" s="9"/>
      <c r="AP2716" s="9"/>
      <c r="AQ2716" s="54">
        <f t="shared" si="22"/>
        <v>0</v>
      </c>
      <c r="AR2716" s="52"/>
      <c r="AS2716" s="52"/>
    </row>
    <row r="2717" spans="1:45" ht="14.5" hidden="1">
      <c r="A2717" s="9"/>
      <c r="B2717" s="9"/>
      <c r="C2717" s="9"/>
      <c r="D2717" s="9"/>
      <c r="E2717" s="9"/>
      <c r="F2717" s="9"/>
      <c r="G2717" s="9"/>
      <c r="H2717" s="9"/>
      <c r="I2717" s="9"/>
      <c r="J2717" s="10"/>
      <c r="K2717" s="10"/>
      <c r="L2717" s="50"/>
      <c r="M2717" s="10"/>
      <c r="N2717" s="9"/>
      <c r="O2717" s="9"/>
      <c r="P2717" s="9"/>
      <c r="Q2717" s="9"/>
      <c r="S2717" s="9"/>
      <c r="T2717" s="9"/>
      <c r="V2717" s="9"/>
      <c r="AH2717" s="9"/>
      <c r="AI2717" s="9"/>
      <c r="AJ2717" s="9"/>
      <c r="AK2717" s="23"/>
      <c r="AL2717" s="23"/>
      <c r="AM2717" s="26"/>
      <c r="AN2717" s="9"/>
      <c r="AO2717" s="9"/>
      <c r="AP2717" s="9"/>
      <c r="AQ2717" s="54">
        <f t="shared" si="22"/>
        <v>0</v>
      </c>
      <c r="AR2717" s="52"/>
      <c r="AS2717" s="52"/>
    </row>
    <row r="2718" spans="1:45" ht="14.5" hidden="1">
      <c r="A2718" s="9"/>
      <c r="B2718" s="9"/>
      <c r="C2718" s="9"/>
      <c r="D2718" s="9"/>
      <c r="E2718" s="9"/>
      <c r="F2718" s="9"/>
      <c r="G2718" s="9"/>
      <c r="H2718" s="9"/>
      <c r="I2718" s="9"/>
      <c r="J2718" s="10"/>
      <c r="K2718" s="10"/>
      <c r="L2718" s="50"/>
      <c r="M2718" s="10"/>
      <c r="N2718" s="9"/>
      <c r="O2718" s="9"/>
      <c r="P2718" s="9"/>
      <c r="Q2718" s="9"/>
      <c r="S2718" s="9"/>
      <c r="T2718" s="9"/>
      <c r="V2718" s="9"/>
      <c r="AH2718" s="9"/>
      <c r="AI2718" s="9"/>
      <c r="AJ2718" s="9"/>
      <c r="AK2718" s="23"/>
      <c r="AL2718" s="23"/>
      <c r="AM2718" s="26"/>
      <c r="AN2718" s="9"/>
      <c r="AO2718" s="9"/>
      <c r="AP2718" s="9"/>
      <c r="AQ2718" s="54">
        <f t="shared" si="22"/>
        <v>0</v>
      </c>
      <c r="AR2718" s="52"/>
      <c r="AS2718" s="52"/>
    </row>
    <row r="2719" spans="1:45" ht="14.5" hidden="1">
      <c r="A2719" s="9"/>
      <c r="B2719" s="9"/>
      <c r="C2719" s="9"/>
      <c r="D2719" s="9"/>
      <c r="E2719" s="9"/>
      <c r="F2719" s="9"/>
      <c r="G2719" s="9"/>
      <c r="H2719" s="9"/>
      <c r="I2719" s="9"/>
      <c r="J2719" s="10"/>
      <c r="K2719" s="10"/>
      <c r="L2719" s="50"/>
      <c r="M2719" s="10"/>
      <c r="N2719" s="9"/>
      <c r="O2719" s="9"/>
      <c r="P2719" s="9"/>
      <c r="Q2719" s="9"/>
      <c r="S2719" s="9"/>
      <c r="T2719" s="9"/>
      <c r="V2719" s="9"/>
      <c r="AH2719" s="9"/>
      <c r="AI2719" s="9"/>
      <c r="AJ2719" s="9"/>
      <c r="AK2719" s="23"/>
      <c r="AL2719" s="23"/>
      <c r="AM2719" s="26"/>
      <c r="AN2719" s="9"/>
      <c r="AO2719" s="9"/>
      <c r="AP2719" s="9"/>
      <c r="AQ2719" s="54">
        <f t="shared" si="22"/>
        <v>0</v>
      </c>
      <c r="AR2719" s="52"/>
      <c r="AS2719" s="52"/>
    </row>
    <row r="2720" spans="1:45" ht="14.5" hidden="1">
      <c r="A2720" s="9"/>
      <c r="B2720" s="9"/>
      <c r="C2720" s="9"/>
      <c r="D2720" s="9"/>
      <c r="E2720" s="9"/>
      <c r="F2720" s="9"/>
      <c r="G2720" s="9"/>
      <c r="H2720" s="9"/>
      <c r="I2720" s="9"/>
      <c r="J2720" s="10"/>
      <c r="K2720" s="10"/>
      <c r="L2720" s="50"/>
      <c r="M2720" s="10"/>
      <c r="N2720" s="9"/>
      <c r="O2720" s="9"/>
      <c r="P2720" s="9"/>
      <c r="Q2720" s="9"/>
      <c r="S2720" s="9"/>
      <c r="T2720" s="9"/>
      <c r="V2720" s="9"/>
      <c r="AH2720" s="9"/>
      <c r="AI2720" s="9"/>
      <c r="AJ2720" s="9"/>
      <c r="AK2720" s="23"/>
      <c r="AL2720" s="23"/>
      <c r="AM2720" s="26"/>
      <c r="AN2720" s="9"/>
      <c r="AO2720" s="9"/>
      <c r="AP2720" s="9"/>
      <c r="AQ2720" s="54">
        <f t="shared" si="22"/>
        <v>0</v>
      </c>
      <c r="AR2720" s="52"/>
      <c r="AS2720" s="52"/>
    </row>
    <row r="2721" spans="1:45" ht="14.5" hidden="1">
      <c r="A2721" s="9"/>
      <c r="B2721" s="9"/>
      <c r="C2721" s="9"/>
      <c r="D2721" s="9"/>
      <c r="E2721" s="9"/>
      <c r="F2721" s="9"/>
      <c r="G2721" s="9"/>
      <c r="H2721" s="9"/>
      <c r="I2721" s="9"/>
      <c r="J2721" s="10"/>
      <c r="K2721" s="10"/>
      <c r="L2721" s="50"/>
      <c r="M2721" s="10"/>
      <c r="N2721" s="9"/>
      <c r="O2721" s="9"/>
      <c r="P2721" s="9"/>
      <c r="Q2721" s="9"/>
      <c r="S2721" s="9"/>
      <c r="T2721" s="9"/>
      <c r="V2721" s="9"/>
      <c r="AH2721" s="9"/>
      <c r="AI2721" s="9"/>
      <c r="AJ2721" s="9"/>
      <c r="AK2721" s="23"/>
      <c r="AL2721" s="23"/>
      <c r="AM2721" s="26"/>
      <c r="AN2721" s="9"/>
      <c r="AO2721" s="9"/>
      <c r="AP2721" s="9"/>
      <c r="AQ2721" s="54">
        <f t="shared" si="22"/>
        <v>0</v>
      </c>
      <c r="AR2721" s="52"/>
      <c r="AS2721" s="52"/>
    </row>
    <row r="2722" spans="1:45" ht="14.5" hidden="1">
      <c r="A2722" s="9"/>
      <c r="B2722" s="9"/>
      <c r="C2722" s="9"/>
      <c r="D2722" s="9"/>
      <c r="E2722" s="9"/>
      <c r="F2722" s="9"/>
      <c r="G2722" s="9"/>
      <c r="H2722" s="9"/>
      <c r="I2722" s="9"/>
      <c r="J2722" s="10"/>
      <c r="K2722" s="10"/>
      <c r="L2722" s="50"/>
      <c r="M2722" s="10"/>
      <c r="N2722" s="9"/>
      <c r="O2722" s="9"/>
      <c r="P2722" s="9"/>
      <c r="Q2722" s="9"/>
      <c r="S2722" s="9"/>
      <c r="T2722" s="9"/>
      <c r="V2722" s="9"/>
      <c r="AH2722" s="9"/>
      <c r="AI2722" s="9"/>
      <c r="AJ2722" s="9"/>
      <c r="AK2722" s="23"/>
      <c r="AL2722" s="23"/>
      <c r="AM2722" s="26"/>
      <c r="AN2722" s="9"/>
      <c r="AO2722" s="9"/>
      <c r="AP2722" s="9"/>
      <c r="AQ2722" s="54">
        <f t="shared" si="22"/>
        <v>0</v>
      </c>
      <c r="AR2722" s="52"/>
      <c r="AS2722" s="52"/>
    </row>
    <row r="2723" spans="1:45" ht="14.5" hidden="1">
      <c r="A2723" s="9"/>
      <c r="B2723" s="9"/>
      <c r="C2723" s="9"/>
      <c r="D2723" s="9"/>
      <c r="E2723" s="9"/>
      <c r="F2723" s="9"/>
      <c r="G2723" s="9"/>
      <c r="H2723" s="9"/>
      <c r="I2723" s="9"/>
      <c r="J2723" s="10"/>
      <c r="K2723" s="10"/>
      <c r="L2723" s="50"/>
      <c r="M2723" s="10"/>
      <c r="N2723" s="9"/>
      <c r="O2723" s="9"/>
      <c r="P2723" s="9"/>
      <c r="Q2723" s="9"/>
      <c r="S2723" s="9"/>
      <c r="T2723" s="9"/>
      <c r="V2723" s="9"/>
      <c r="AH2723" s="9"/>
      <c r="AI2723" s="9"/>
      <c r="AJ2723" s="9"/>
      <c r="AK2723" s="23"/>
      <c r="AL2723" s="23"/>
      <c r="AM2723" s="26"/>
      <c r="AN2723" s="9"/>
      <c r="AO2723" s="9"/>
      <c r="AP2723" s="9"/>
      <c r="AQ2723" s="54">
        <f t="shared" si="22"/>
        <v>0</v>
      </c>
      <c r="AR2723" s="52"/>
      <c r="AS2723" s="52"/>
    </row>
    <row r="2724" spans="1:45" ht="14.5" hidden="1">
      <c r="A2724" s="9"/>
      <c r="B2724" s="9"/>
      <c r="C2724" s="9"/>
      <c r="D2724" s="9"/>
      <c r="E2724" s="9"/>
      <c r="F2724" s="9"/>
      <c r="G2724" s="9"/>
      <c r="H2724" s="9"/>
      <c r="I2724" s="9"/>
      <c r="J2724" s="10"/>
      <c r="K2724" s="10"/>
      <c r="L2724" s="50"/>
      <c r="M2724" s="10"/>
      <c r="N2724" s="9"/>
      <c r="O2724" s="9"/>
      <c r="P2724" s="9"/>
      <c r="Q2724" s="9"/>
      <c r="S2724" s="9"/>
      <c r="T2724" s="9"/>
      <c r="V2724" s="9"/>
      <c r="AH2724" s="9"/>
      <c r="AI2724" s="9"/>
      <c r="AJ2724" s="9"/>
      <c r="AK2724" s="23"/>
      <c r="AL2724" s="23"/>
      <c r="AM2724" s="26"/>
      <c r="AN2724" s="9"/>
      <c r="AO2724" s="9"/>
      <c r="AP2724" s="9"/>
      <c r="AQ2724" s="54">
        <f t="shared" si="22"/>
        <v>0</v>
      </c>
      <c r="AR2724" s="52"/>
      <c r="AS2724" s="52"/>
    </row>
    <row r="2725" spans="1:45" ht="14.5" hidden="1">
      <c r="A2725" s="9"/>
      <c r="B2725" s="9"/>
      <c r="C2725" s="9"/>
      <c r="D2725" s="9"/>
      <c r="E2725" s="9"/>
      <c r="F2725" s="9"/>
      <c r="G2725" s="9"/>
      <c r="H2725" s="9"/>
      <c r="I2725" s="9"/>
      <c r="J2725" s="10"/>
      <c r="K2725" s="10"/>
      <c r="L2725" s="50"/>
      <c r="M2725" s="10"/>
      <c r="N2725" s="9"/>
      <c r="O2725" s="9"/>
      <c r="P2725" s="9"/>
      <c r="Q2725" s="9"/>
      <c r="S2725" s="9"/>
      <c r="T2725" s="9"/>
      <c r="V2725" s="9"/>
      <c r="AH2725" s="9"/>
      <c r="AI2725" s="9"/>
      <c r="AJ2725" s="9"/>
      <c r="AK2725" s="23"/>
      <c r="AL2725" s="23"/>
      <c r="AM2725" s="26"/>
      <c r="AN2725" s="9"/>
      <c r="AO2725" s="9"/>
      <c r="AP2725" s="9"/>
      <c r="AQ2725" s="54">
        <f t="shared" si="22"/>
        <v>0</v>
      </c>
      <c r="AR2725" s="52"/>
      <c r="AS2725" s="52"/>
    </row>
    <row r="2726" spans="1:45" ht="14.5" hidden="1">
      <c r="A2726" s="9"/>
      <c r="B2726" s="9"/>
      <c r="C2726" s="9"/>
      <c r="D2726" s="9"/>
      <c r="E2726" s="9"/>
      <c r="F2726" s="9"/>
      <c r="G2726" s="9"/>
      <c r="H2726" s="9"/>
      <c r="I2726" s="9"/>
      <c r="J2726" s="10"/>
      <c r="K2726" s="10"/>
      <c r="L2726" s="50"/>
      <c r="M2726" s="10"/>
      <c r="N2726" s="9"/>
      <c r="O2726" s="9"/>
      <c r="P2726" s="9"/>
      <c r="Q2726" s="9"/>
      <c r="S2726" s="9"/>
      <c r="T2726" s="9"/>
      <c r="V2726" s="9"/>
      <c r="AH2726" s="9"/>
      <c r="AI2726" s="9"/>
      <c r="AJ2726" s="9"/>
      <c r="AK2726" s="23"/>
      <c r="AL2726" s="23"/>
      <c r="AM2726" s="26"/>
      <c r="AN2726" s="9"/>
      <c r="AO2726" s="9"/>
      <c r="AP2726" s="9"/>
      <c r="AQ2726" s="54">
        <f t="shared" si="22"/>
        <v>0</v>
      </c>
      <c r="AR2726" s="52"/>
      <c r="AS2726" s="52"/>
    </row>
    <row r="2727" spans="1:45" ht="14.5" hidden="1">
      <c r="A2727" s="9"/>
      <c r="B2727" s="9"/>
      <c r="C2727" s="9"/>
      <c r="D2727" s="9"/>
      <c r="E2727" s="9"/>
      <c r="F2727" s="9"/>
      <c r="G2727" s="9"/>
      <c r="H2727" s="9"/>
      <c r="I2727" s="9"/>
      <c r="J2727" s="10"/>
      <c r="K2727" s="10"/>
      <c r="L2727" s="50"/>
      <c r="M2727" s="10"/>
      <c r="N2727" s="9"/>
      <c r="O2727" s="9"/>
      <c r="P2727" s="9"/>
      <c r="Q2727" s="9"/>
      <c r="S2727" s="9"/>
      <c r="T2727" s="9"/>
      <c r="V2727" s="9"/>
      <c r="AH2727" s="9"/>
      <c r="AI2727" s="9"/>
      <c r="AJ2727" s="9"/>
      <c r="AK2727" s="23"/>
      <c r="AL2727" s="23"/>
      <c r="AM2727" s="26"/>
      <c r="AN2727" s="9"/>
      <c r="AO2727" s="9"/>
      <c r="AP2727" s="9"/>
      <c r="AQ2727" s="54">
        <f t="shared" si="22"/>
        <v>0</v>
      </c>
      <c r="AR2727" s="52"/>
      <c r="AS2727" s="52"/>
    </row>
    <row r="2728" spans="1:45" ht="14.5" hidden="1">
      <c r="A2728" s="9"/>
      <c r="B2728" s="9"/>
      <c r="C2728" s="9"/>
      <c r="D2728" s="9"/>
      <c r="E2728" s="9"/>
      <c r="F2728" s="9"/>
      <c r="G2728" s="9"/>
      <c r="H2728" s="9"/>
      <c r="I2728" s="9"/>
      <c r="J2728" s="10"/>
      <c r="K2728" s="10"/>
      <c r="L2728" s="50"/>
      <c r="M2728" s="10"/>
      <c r="N2728" s="9"/>
      <c r="O2728" s="9"/>
      <c r="P2728" s="9"/>
      <c r="Q2728" s="9"/>
      <c r="S2728" s="9"/>
      <c r="T2728" s="9"/>
      <c r="V2728" s="9"/>
      <c r="AH2728" s="9"/>
      <c r="AI2728" s="9"/>
      <c r="AJ2728" s="9"/>
      <c r="AK2728" s="23"/>
      <c r="AL2728" s="23"/>
      <c r="AM2728" s="26"/>
      <c r="AN2728" s="9"/>
      <c r="AO2728" s="9"/>
      <c r="AP2728" s="9"/>
      <c r="AQ2728" s="54">
        <f t="shared" si="22"/>
        <v>0</v>
      </c>
      <c r="AR2728" s="52"/>
      <c r="AS2728" s="52"/>
    </row>
    <row r="2729" spans="1:45" ht="14.5" hidden="1">
      <c r="A2729" s="9"/>
      <c r="B2729" s="9"/>
      <c r="C2729" s="9"/>
      <c r="D2729" s="9"/>
      <c r="E2729" s="9"/>
      <c r="F2729" s="9"/>
      <c r="G2729" s="9"/>
      <c r="H2729" s="9"/>
      <c r="I2729" s="9"/>
      <c r="J2729" s="10"/>
      <c r="K2729" s="10"/>
      <c r="L2729" s="50"/>
      <c r="M2729" s="10"/>
      <c r="N2729" s="9"/>
      <c r="O2729" s="9"/>
      <c r="P2729" s="9"/>
      <c r="Q2729" s="9"/>
      <c r="S2729" s="9"/>
      <c r="T2729" s="9"/>
      <c r="V2729" s="9"/>
      <c r="AH2729" s="9"/>
      <c r="AI2729" s="9"/>
      <c r="AJ2729" s="9"/>
      <c r="AK2729" s="23"/>
      <c r="AL2729" s="23"/>
      <c r="AM2729" s="26"/>
      <c r="AN2729" s="9"/>
      <c r="AO2729" s="9"/>
      <c r="AP2729" s="9"/>
      <c r="AQ2729" s="54">
        <f t="shared" si="22"/>
        <v>0</v>
      </c>
      <c r="AR2729" s="52"/>
      <c r="AS2729" s="52"/>
    </row>
    <row r="2730" spans="1:45" ht="14.5" hidden="1">
      <c r="A2730" s="9"/>
      <c r="B2730" s="9"/>
      <c r="C2730" s="9"/>
      <c r="D2730" s="9"/>
      <c r="E2730" s="9"/>
      <c r="F2730" s="9"/>
      <c r="G2730" s="9"/>
      <c r="H2730" s="9"/>
      <c r="I2730" s="9"/>
      <c r="J2730" s="10"/>
      <c r="K2730" s="10"/>
      <c r="L2730" s="50"/>
      <c r="M2730" s="10"/>
      <c r="N2730" s="9"/>
      <c r="O2730" s="9"/>
      <c r="P2730" s="9"/>
      <c r="Q2730" s="9"/>
      <c r="S2730" s="9"/>
      <c r="T2730" s="9"/>
      <c r="V2730" s="9"/>
      <c r="AH2730" s="9"/>
      <c r="AI2730" s="9"/>
      <c r="AJ2730" s="9"/>
      <c r="AK2730" s="23"/>
      <c r="AL2730" s="23"/>
      <c r="AM2730" s="26"/>
      <c r="AN2730" s="9"/>
      <c r="AO2730" s="9"/>
      <c r="AP2730" s="9"/>
      <c r="AQ2730" s="54">
        <f t="shared" si="22"/>
        <v>0</v>
      </c>
      <c r="AR2730" s="52"/>
      <c r="AS2730" s="52"/>
    </row>
    <row r="2731" spans="1:45" ht="14.5" hidden="1">
      <c r="A2731" s="9"/>
      <c r="B2731" s="9"/>
      <c r="C2731" s="9"/>
      <c r="D2731" s="9"/>
      <c r="E2731" s="9"/>
      <c r="F2731" s="9"/>
      <c r="G2731" s="9"/>
      <c r="H2731" s="9"/>
      <c r="I2731" s="9"/>
      <c r="J2731" s="10"/>
      <c r="K2731" s="10"/>
      <c r="L2731" s="50"/>
      <c r="M2731" s="10"/>
      <c r="N2731" s="9"/>
      <c r="O2731" s="9"/>
      <c r="P2731" s="9"/>
      <c r="Q2731" s="9"/>
      <c r="S2731" s="9"/>
      <c r="T2731" s="9"/>
      <c r="V2731" s="9"/>
      <c r="AH2731" s="9"/>
      <c r="AI2731" s="9"/>
      <c r="AJ2731" s="9"/>
      <c r="AK2731" s="23"/>
      <c r="AL2731" s="23"/>
      <c r="AM2731" s="26"/>
      <c r="AN2731" s="9"/>
      <c r="AO2731" s="9"/>
      <c r="AP2731" s="9"/>
      <c r="AQ2731" s="54">
        <f t="shared" si="22"/>
        <v>0</v>
      </c>
      <c r="AR2731" s="52"/>
      <c r="AS2731" s="52"/>
    </row>
    <row r="2732" spans="1:45" ht="14.5" hidden="1">
      <c r="A2732" s="9"/>
      <c r="B2732" s="9"/>
      <c r="C2732" s="9"/>
      <c r="D2732" s="9"/>
      <c r="E2732" s="9"/>
      <c r="F2732" s="9"/>
      <c r="G2732" s="9"/>
      <c r="H2732" s="9"/>
      <c r="I2732" s="9"/>
      <c r="J2732" s="10"/>
      <c r="K2732" s="10"/>
      <c r="L2732" s="50"/>
      <c r="M2732" s="10"/>
      <c r="N2732" s="9"/>
      <c r="O2732" s="9"/>
      <c r="P2732" s="9"/>
      <c r="Q2732" s="9"/>
      <c r="S2732" s="9"/>
      <c r="T2732" s="9"/>
      <c r="V2732" s="9"/>
      <c r="AH2732" s="9"/>
      <c r="AI2732" s="9"/>
      <c r="AJ2732" s="9"/>
      <c r="AK2732" s="23"/>
      <c r="AL2732" s="23"/>
      <c r="AM2732" s="26"/>
      <c r="AN2732" s="9"/>
      <c r="AO2732" s="9"/>
      <c r="AP2732" s="9"/>
      <c r="AQ2732" s="54">
        <f t="shared" si="22"/>
        <v>0</v>
      </c>
      <c r="AR2732" s="52"/>
      <c r="AS2732" s="52"/>
    </row>
    <row r="2733" spans="1:45" ht="14.5" hidden="1">
      <c r="A2733" s="9"/>
      <c r="B2733" s="9"/>
      <c r="C2733" s="9"/>
      <c r="D2733" s="9"/>
      <c r="E2733" s="9"/>
      <c r="F2733" s="9"/>
      <c r="G2733" s="9"/>
      <c r="H2733" s="9"/>
      <c r="I2733" s="9"/>
      <c r="J2733" s="10"/>
      <c r="K2733" s="10"/>
      <c r="L2733" s="50"/>
      <c r="M2733" s="10"/>
      <c r="N2733" s="9"/>
      <c r="O2733" s="9"/>
      <c r="P2733" s="9"/>
      <c r="Q2733" s="9"/>
      <c r="S2733" s="9"/>
      <c r="T2733" s="9"/>
      <c r="V2733" s="9"/>
      <c r="AH2733" s="9"/>
      <c r="AI2733" s="9"/>
      <c r="AJ2733" s="9"/>
      <c r="AK2733" s="23"/>
      <c r="AL2733" s="23"/>
      <c r="AM2733" s="26"/>
      <c r="AN2733" s="9"/>
      <c r="AO2733" s="9"/>
      <c r="AP2733" s="9"/>
      <c r="AQ2733" s="54">
        <f t="shared" si="22"/>
        <v>0</v>
      </c>
      <c r="AR2733" s="52"/>
      <c r="AS2733" s="52"/>
    </row>
    <row r="2734" spans="1:45" ht="14.5" hidden="1">
      <c r="A2734" s="9"/>
      <c r="B2734" s="9"/>
      <c r="C2734" s="9"/>
      <c r="D2734" s="9"/>
      <c r="E2734" s="9"/>
      <c r="F2734" s="9"/>
      <c r="G2734" s="9"/>
      <c r="H2734" s="9"/>
      <c r="I2734" s="9"/>
      <c r="J2734" s="10"/>
      <c r="K2734" s="10"/>
      <c r="L2734" s="50"/>
      <c r="M2734" s="10"/>
      <c r="N2734" s="9"/>
      <c r="O2734" s="9"/>
      <c r="P2734" s="9"/>
      <c r="Q2734" s="9"/>
      <c r="S2734" s="9"/>
      <c r="T2734" s="9"/>
      <c r="V2734" s="9"/>
      <c r="AH2734" s="9"/>
      <c r="AI2734" s="9"/>
      <c r="AJ2734" s="9"/>
      <c r="AK2734" s="23"/>
      <c r="AL2734" s="23"/>
      <c r="AM2734" s="26"/>
      <c r="AN2734" s="9"/>
      <c r="AO2734" s="9"/>
      <c r="AP2734" s="9"/>
      <c r="AQ2734" s="54">
        <f t="shared" si="22"/>
        <v>0</v>
      </c>
      <c r="AR2734" s="52"/>
      <c r="AS2734" s="52"/>
    </row>
    <row r="2735" spans="1:45" ht="14.5" hidden="1">
      <c r="A2735" s="9"/>
      <c r="B2735" s="9"/>
      <c r="C2735" s="9"/>
      <c r="D2735" s="9"/>
      <c r="E2735" s="9"/>
      <c r="F2735" s="9"/>
      <c r="G2735" s="9"/>
      <c r="H2735" s="9"/>
      <c r="I2735" s="9"/>
      <c r="J2735" s="10"/>
      <c r="K2735" s="10"/>
      <c r="L2735" s="50"/>
      <c r="M2735" s="10"/>
      <c r="N2735" s="9"/>
      <c r="O2735" s="9"/>
      <c r="P2735" s="9"/>
      <c r="Q2735" s="9"/>
      <c r="S2735" s="9"/>
      <c r="T2735" s="9"/>
      <c r="V2735" s="9"/>
      <c r="AH2735" s="9"/>
      <c r="AI2735" s="9"/>
      <c r="AJ2735" s="9"/>
      <c r="AK2735" s="23"/>
      <c r="AL2735" s="23"/>
      <c r="AM2735" s="26"/>
      <c r="AN2735" s="9"/>
      <c r="AO2735" s="9"/>
      <c r="AP2735" s="9"/>
      <c r="AQ2735" s="54">
        <f t="shared" si="22"/>
        <v>0</v>
      </c>
      <c r="AR2735" s="52"/>
      <c r="AS2735" s="52"/>
    </row>
    <row r="2736" spans="1:45" ht="14.5" hidden="1">
      <c r="A2736" s="9"/>
      <c r="B2736" s="9"/>
      <c r="C2736" s="9"/>
      <c r="D2736" s="9"/>
      <c r="E2736" s="9"/>
      <c r="F2736" s="9"/>
      <c r="G2736" s="9"/>
      <c r="H2736" s="9"/>
      <c r="I2736" s="9"/>
      <c r="J2736" s="10"/>
      <c r="K2736" s="10"/>
      <c r="L2736" s="50"/>
      <c r="M2736" s="10"/>
      <c r="N2736" s="9"/>
      <c r="O2736" s="9"/>
      <c r="P2736" s="9"/>
      <c r="Q2736" s="9"/>
      <c r="S2736" s="9"/>
      <c r="T2736" s="9"/>
      <c r="V2736" s="9"/>
      <c r="AH2736" s="9"/>
      <c r="AI2736" s="9"/>
      <c r="AJ2736" s="9"/>
      <c r="AK2736" s="23"/>
      <c r="AL2736" s="23"/>
      <c r="AM2736" s="26"/>
      <c r="AN2736" s="9"/>
      <c r="AO2736" s="9"/>
      <c r="AP2736" s="9"/>
      <c r="AQ2736" s="54">
        <f t="shared" si="22"/>
        <v>0</v>
      </c>
      <c r="AR2736" s="52"/>
      <c r="AS2736" s="52"/>
    </row>
    <row r="2737" spans="1:45" ht="14.5" hidden="1">
      <c r="A2737" s="9"/>
      <c r="B2737" s="9"/>
      <c r="C2737" s="9"/>
      <c r="D2737" s="9"/>
      <c r="E2737" s="9"/>
      <c r="F2737" s="9"/>
      <c r="G2737" s="9"/>
      <c r="H2737" s="9"/>
      <c r="I2737" s="9"/>
      <c r="J2737" s="10"/>
      <c r="K2737" s="10"/>
      <c r="L2737" s="50"/>
      <c r="M2737" s="10"/>
      <c r="N2737" s="9"/>
      <c r="O2737" s="9"/>
      <c r="P2737" s="9"/>
      <c r="Q2737" s="9"/>
      <c r="S2737" s="9"/>
      <c r="T2737" s="9"/>
      <c r="V2737" s="9"/>
      <c r="AH2737" s="9"/>
      <c r="AI2737" s="9"/>
      <c r="AJ2737" s="9"/>
      <c r="AK2737" s="23"/>
      <c r="AL2737" s="23"/>
      <c r="AM2737" s="26"/>
      <c r="AN2737" s="9"/>
      <c r="AO2737" s="9"/>
      <c r="AP2737" s="9"/>
      <c r="AQ2737" s="54">
        <f t="shared" si="22"/>
        <v>0</v>
      </c>
      <c r="AR2737" s="52"/>
      <c r="AS2737" s="52"/>
    </row>
    <row r="2738" spans="1:45" ht="14.5" hidden="1">
      <c r="A2738" s="9"/>
      <c r="B2738" s="9"/>
      <c r="C2738" s="9"/>
      <c r="D2738" s="9"/>
      <c r="E2738" s="9"/>
      <c r="F2738" s="9"/>
      <c r="G2738" s="9"/>
      <c r="H2738" s="9"/>
      <c r="I2738" s="9"/>
      <c r="J2738" s="10"/>
      <c r="K2738" s="10"/>
      <c r="L2738" s="50"/>
      <c r="M2738" s="10"/>
      <c r="N2738" s="9"/>
      <c r="O2738" s="9"/>
      <c r="P2738" s="9"/>
      <c r="Q2738" s="9"/>
      <c r="S2738" s="9"/>
      <c r="T2738" s="9"/>
      <c r="V2738" s="9"/>
      <c r="AH2738" s="9"/>
      <c r="AI2738" s="9"/>
      <c r="AJ2738" s="9"/>
      <c r="AK2738" s="23"/>
      <c r="AL2738" s="23"/>
      <c r="AM2738" s="26"/>
      <c r="AN2738" s="9"/>
      <c r="AO2738" s="9"/>
      <c r="AP2738" s="9"/>
      <c r="AQ2738" s="54">
        <f t="shared" si="22"/>
        <v>0</v>
      </c>
      <c r="AR2738" s="52"/>
      <c r="AS2738" s="52"/>
    </row>
    <row r="2739" spans="1:45" ht="14.5" hidden="1">
      <c r="A2739" s="9"/>
      <c r="B2739" s="9"/>
      <c r="C2739" s="9"/>
      <c r="D2739" s="9"/>
      <c r="E2739" s="9"/>
      <c r="F2739" s="9"/>
      <c r="G2739" s="9"/>
      <c r="H2739" s="9"/>
      <c r="I2739" s="9"/>
      <c r="J2739" s="10"/>
      <c r="K2739" s="10"/>
      <c r="L2739" s="50"/>
      <c r="M2739" s="10"/>
      <c r="N2739" s="9"/>
      <c r="O2739" s="9"/>
      <c r="P2739" s="9"/>
      <c r="Q2739" s="9"/>
      <c r="S2739" s="9"/>
      <c r="T2739" s="9"/>
      <c r="V2739" s="9"/>
      <c r="AH2739" s="9"/>
      <c r="AI2739" s="9"/>
      <c r="AJ2739" s="9"/>
      <c r="AK2739" s="23"/>
      <c r="AL2739" s="23"/>
      <c r="AM2739" s="26"/>
      <c r="AN2739" s="9"/>
      <c r="AO2739" s="9"/>
      <c r="AP2739" s="9"/>
      <c r="AQ2739" s="54">
        <f t="shared" si="22"/>
        <v>0</v>
      </c>
      <c r="AR2739" s="52"/>
      <c r="AS2739" s="52"/>
    </row>
    <row r="2740" spans="1:45" ht="14.5" hidden="1">
      <c r="A2740" s="9"/>
      <c r="B2740" s="9"/>
      <c r="C2740" s="9"/>
      <c r="D2740" s="9"/>
      <c r="E2740" s="9"/>
      <c r="F2740" s="9"/>
      <c r="G2740" s="9"/>
      <c r="H2740" s="9"/>
      <c r="I2740" s="9"/>
      <c r="J2740" s="10"/>
      <c r="K2740" s="10"/>
      <c r="L2740" s="50"/>
      <c r="M2740" s="10"/>
      <c r="N2740" s="9"/>
      <c r="O2740" s="9"/>
      <c r="P2740" s="9"/>
      <c r="Q2740" s="9"/>
      <c r="S2740" s="9"/>
      <c r="T2740" s="9"/>
      <c r="V2740" s="9"/>
      <c r="AH2740" s="9"/>
      <c r="AI2740" s="9"/>
      <c r="AJ2740" s="9"/>
      <c r="AK2740" s="23"/>
      <c r="AL2740" s="23"/>
      <c r="AM2740" s="26"/>
      <c r="AN2740" s="9"/>
      <c r="AO2740" s="9"/>
      <c r="AP2740" s="9"/>
      <c r="AQ2740" s="54">
        <f t="shared" si="22"/>
        <v>0</v>
      </c>
      <c r="AR2740" s="52"/>
      <c r="AS2740" s="52"/>
    </row>
    <row r="2741" spans="1:45" ht="14.5" hidden="1">
      <c r="A2741" s="9"/>
      <c r="B2741" s="9"/>
      <c r="C2741" s="9"/>
      <c r="D2741" s="9"/>
      <c r="E2741" s="9"/>
      <c r="F2741" s="9"/>
      <c r="G2741" s="9"/>
      <c r="H2741" s="9"/>
      <c r="I2741" s="9"/>
      <c r="J2741" s="10"/>
      <c r="K2741" s="10"/>
      <c r="L2741" s="50"/>
      <c r="M2741" s="10"/>
      <c r="N2741" s="9"/>
      <c r="O2741" s="9"/>
      <c r="P2741" s="9"/>
      <c r="Q2741" s="9"/>
      <c r="S2741" s="9"/>
      <c r="T2741" s="9"/>
      <c r="V2741" s="9"/>
      <c r="AH2741" s="9"/>
      <c r="AI2741" s="9"/>
      <c r="AJ2741" s="9"/>
      <c r="AK2741" s="23"/>
      <c r="AL2741" s="23"/>
      <c r="AM2741" s="26"/>
      <c r="AN2741" s="9"/>
      <c r="AO2741" s="9"/>
      <c r="AP2741" s="9"/>
      <c r="AQ2741" s="54">
        <f t="shared" si="22"/>
        <v>0</v>
      </c>
      <c r="AR2741" s="52"/>
      <c r="AS2741" s="52"/>
    </row>
    <row r="2742" spans="1:45" ht="14.5" hidden="1">
      <c r="A2742" s="9"/>
      <c r="B2742" s="9"/>
      <c r="C2742" s="9"/>
      <c r="D2742" s="9"/>
      <c r="E2742" s="9"/>
      <c r="F2742" s="9"/>
      <c r="G2742" s="9"/>
      <c r="H2742" s="9"/>
      <c r="I2742" s="9"/>
      <c r="J2742" s="10"/>
      <c r="K2742" s="10"/>
      <c r="L2742" s="50"/>
      <c r="M2742" s="10"/>
      <c r="N2742" s="9"/>
      <c r="O2742" s="9"/>
      <c r="P2742" s="9"/>
      <c r="Q2742" s="9"/>
      <c r="S2742" s="9"/>
      <c r="T2742" s="9"/>
      <c r="V2742" s="9"/>
      <c r="AH2742" s="9"/>
      <c r="AI2742" s="9"/>
      <c r="AJ2742" s="9"/>
      <c r="AK2742" s="23"/>
      <c r="AL2742" s="23"/>
      <c r="AM2742" s="26"/>
      <c r="AN2742" s="9"/>
      <c r="AO2742" s="9"/>
      <c r="AP2742" s="9"/>
      <c r="AQ2742" s="54">
        <f t="shared" si="22"/>
        <v>0</v>
      </c>
      <c r="AR2742" s="52"/>
      <c r="AS2742" s="52"/>
    </row>
    <row r="2743" spans="1:45" ht="14.5" hidden="1">
      <c r="A2743" s="9"/>
      <c r="B2743" s="9"/>
      <c r="C2743" s="9"/>
      <c r="D2743" s="9"/>
      <c r="E2743" s="9"/>
      <c r="F2743" s="9"/>
      <c r="G2743" s="9"/>
      <c r="H2743" s="9"/>
      <c r="I2743" s="9"/>
      <c r="J2743" s="10"/>
      <c r="K2743" s="10"/>
      <c r="L2743" s="50"/>
      <c r="M2743" s="10"/>
      <c r="N2743" s="9"/>
      <c r="O2743" s="9"/>
      <c r="P2743" s="9"/>
      <c r="Q2743" s="9"/>
      <c r="S2743" s="9"/>
      <c r="T2743" s="9"/>
      <c r="V2743" s="9"/>
      <c r="AH2743" s="9"/>
      <c r="AI2743" s="9"/>
      <c r="AJ2743" s="9"/>
      <c r="AK2743" s="23"/>
      <c r="AL2743" s="23"/>
      <c r="AM2743" s="26"/>
      <c r="AN2743" s="9"/>
      <c r="AO2743" s="9"/>
      <c r="AP2743" s="9"/>
      <c r="AQ2743" s="54">
        <f t="shared" si="22"/>
        <v>0</v>
      </c>
      <c r="AR2743" s="52"/>
      <c r="AS2743" s="52"/>
    </row>
    <row r="2744" spans="1:45" ht="14.5" hidden="1">
      <c r="A2744" s="9"/>
      <c r="B2744" s="9"/>
      <c r="C2744" s="9"/>
      <c r="D2744" s="9"/>
      <c r="E2744" s="9"/>
      <c r="F2744" s="9"/>
      <c r="G2744" s="9"/>
      <c r="H2744" s="9"/>
      <c r="I2744" s="9"/>
      <c r="J2744" s="10"/>
      <c r="K2744" s="10"/>
      <c r="L2744" s="50"/>
      <c r="M2744" s="10"/>
      <c r="N2744" s="9"/>
      <c r="O2744" s="9"/>
      <c r="P2744" s="9"/>
      <c r="Q2744" s="9"/>
      <c r="S2744" s="9"/>
      <c r="T2744" s="9"/>
      <c r="V2744" s="9"/>
      <c r="AH2744" s="9"/>
      <c r="AI2744" s="9"/>
      <c r="AJ2744" s="9"/>
      <c r="AK2744" s="23"/>
      <c r="AL2744" s="23"/>
      <c r="AM2744" s="26"/>
      <c r="AN2744" s="9"/>
      <c r="AO2744" s="9"/>
      <c r="AP2744" s="9"/>
      <c r="AQ2744" s="54">
        <f t="shared" si="22"/>
        <v>0</v>
      </c>
      <c r="AR2744" s="52"/>
      <c r="AS2744" s="52"/>
    </row>
    <row r="2745" spans="1:45" ht="14.5" hidden="1">
      <c r="A2745" s="9"/>
      <c r="B2745" s="9"/>
      <c r="C2745" s="9"/>
      <c r="D2745" s="9"/>
      <c r="E2745" s="9"/>
      <c r="F2745" s="9"/>
      <c r="G2745" s="9"/>
      <c r="H2745" s="9"/>
      <c r="I2745" s="9"/>
      <c r="J2745" s="10"/>
      <c r="K2745" s="10"/>
      <c r="L2745" s="50"/>
      <c r="M2745" s="10"/>
      <c r="N2745" s="9"/>
      <c r="O2745" s="9"/>
      <c r="P2745" s="9"/>
      <c r="Q2745" s="9"/>
      <c r="S2745" s="9"/>
      <c r="T2745" s="9"/>
      <c r="V2745" s="9"/>
      <c r="AH2745" s="9"/>
      <c r="AI2745" s="9"/>
      <c r="AJ2745" s="9"/>
      <c r="AK2745" s="23"/>
      <c r="AL2745" s="23"/>
      <c r="AM2745" s="26"/>
      <c r="AN2745" s="9"/>
      <c r="AO2745" s="9"/>
      <c r="AP2745" s="9"/>
      <c r="AQ2745" s="54">
        <f t="shared" si="22"/>
        <v>0</v>
      </c>
      <c r="AR2745" s="52"/>
      <c r="AS2745" s="52"/>
    </row>
    <row r="2746" spans="1:45" ht="14.5" hidden="1">
      <c r="A2746" s="9"/>
      <c r="B2746" s="9"/>
      <c r="C2746" s="9"/>
      <c r="D2746" s="9"/>
      <c r="E2746" s="9"/>
      <c r="F2746" s="9"/>
      <c r="G2746" s="9"/>
      <c r="H2746" s="9"/>
      <c r="I2746" s="9"/>
      <c r="J2746" s="10"/>
      <c r="K2746" s="10"/>
      <c r="L2746" s="50"/>
      <c r="M2746" s="10"/>
      <c r="N2746" s="9"/>
      <c r="O2746" s="9"/>
      <c r="P2746" s="9"/>
      <c r="Q2746" s="9"/>
      <c r="S2746" s="9"/>
      <c r="T2746" s="9"/>
      <c r="V2746" s="9"/>
      <c r="AH2746" s="9"/>
      <c r="AI2746" s="9"/>
      <c r="AJ2746" s="9"/>
      <c r="AK2746" s="23"/>
      <c r="AL2746" s="23"/>
      <c r="AM2746" s="26"/>
      <c r="AN2746" s="9"/>
      <c r="AO2746" s="9"/>
      <c r="AP2746" s="9"/>
      <c r="AQ2746" s="54">
        <f t="shared" si="22"/>
        <v>0</v>
      </c>
      <c r="AR2746" s="52"/>
      <c r="AS2746" s="52"/>
    </row>
    <row r="2747" spans="1:45" ht="14.5" hidden="1">
      <c r="A2747" s="9"/>
      <c r="B2747" s="9"/>
      <c r="C2747" s="9"/>
      <c r="D2747" s="9"/>
      <c r="E2747" s="9"/>
      <c r="F2747" s="9"/>
      <c r="G2747" s="9"/>
      <c r="H2747" s="9"/>
      <c r="I2747" s="9"/>
      <c r="J2747" s="10"/>
      <c r="K2747" s="10"/>
      <c r="L2747" s="50"/>
      <c r="M2747" s="10"/>
      <c r="N2747" s="9"/>
      <c r="O2747" s="9"/>
      <c r="P2747" s="9"/>
      <c r="Q2747" s="9"/>
      <c r="S2747" s="9"/>
      <c r="T2747" s="9"/>
      <c r="V2747" s="9"/>
      <c r="AH2747" s="9"/>
      <c r="AI2747" s="9"/>
      <c r="AJ2747" s="9"/>
      <c r="AK2747" s="23"/>
      <c r="AL2747" s="23"/>
      <c r="AM2747" s="26"/>
      <c r="AN2747" s="9"/>
      <c r="AO2747" s="9"/>
      <c r="AP2747" s="9"/>
      <c r="AQ2747" s="54">
        <f t="shared" si="22"/>
        <v>0</v>
      </c>
      <c r="AR2747" s="52"/>
      <c r="AS2747" s="52"/>
    </row>
    <row r="2748" spans="1:45" ht="14.5" hidden="1">
      <c r="A2748" s="9"/>
      <c r="B2748" s="9"/>
      <c r="C2748" s="9"/>
      <c r="D2748" s="9"/>
      <c r="E2748" s="9"/>
      <c r="F2748" s="9"/>
      <c r="G2748" s="9"/>
      <c r="H2748" s="9"/>
      <c r="I2748" s="9"/>
      <c r="J2748" s="10"/>
      <c r="K2748" s="10"/>
      <c r="L2748" s="50"/>
      <c r="M2748" s="10"/>
      <c r="N2748" s="9"/>
      <c r="O2748" s="9"/>
      <c r="P2748" s="9"/>
      <c r="Q2748" s="9"/>
      <c r="S2748" s="9"/>
      <c r="T2748" s="9"/>
      <c r="V2748" s="9"/>
      <c r="AH2748" s="9"/>
      <c r="AI2748" s="9"/>
      <c r="AJ2748" s="9"/>
      <c r="AK2748" s="23"/>
      <c r="AL2748" s="23"/>
      <c r="AM2748" s="26"/>
      <c r="AN2748" s="9"/>
      <c r="AO2748" s="9"/>
      <c r="AP2748" s="9"/>
      <c r="AQ2748" s="54">
        <f t="shared" si="22"/>
        <v>0</v>
      </c>
      <c r="AR2748" s="52"/>
      <c r="AS2748" s="52"/>
    </row>
    <row r="2749" spans="1:45" ht="14.5" hidden="1">
      <c r="A2749" s="9"/>
      <c r="B2749" s="9"/>
      <c r="C2749" s="9"/>
      <c r="D2749" s="9"/>
      <c r="E2749" s="9"/>
      <c r="F2749" s="9"/>
      <c r="G2749" s="9"/>
      <c r="H2749" s="9"/>
      <c r="I2749" s="9"/>
      <c r="J2749" s="10"/>
      <c r="K2749" s="10"/>
      <c r="L2749" s="50"/>
      <c r="M2749" s="10"/>
      <c r="N2749" s="9"/>
      <c r="O2749" s="9"/>
      <c r="P2749" s="9"/>
      <c r="Q2749" s="9"/>
      <c r="S2749" s="9"/>
      <c r="T2749" s="9"/>
      <c r="V2749" s="9"/>
      <c r="AH2749" s="9"/>
      <c r="AI2749" s="9"/>
      <c r="AJ2749" s="9"/>
      <c r="AK2749" s="23"/>
      <c r="AL2749" s="23"/>
      <c r="AM2749" s="26"/>
      <c r="AN2749" s="9"/>
      <c r="AO2749" s="9"/>
      <c r="AP2749" s="9"/>
      <c r="AQ2749" s="54">
        <f t="shared" si="22"/>
        <v>0</v>
      </c>
      <c r="AR2749" s="52"/>
      <c r="AS2749" s="52"/>
    </row>
    <row r="2750" spans="1:45" ht="14.5" hidden="1">
      <c r="A2750" s="9"/>
      <c r="B2750" s="9"/>
      <c r="C2750" s="9"/>
      <c r="D2750" s="9"/>
      <c r="E2750" s="9"/>
      <c r="F2750" s="9"/>
      <c r="G2750" s="9"/>
      <c r="H2750" s="9"/>
      <c r="I2750" s="9"/>
      <c r="J2750" s="10"/>
      <c r="K2750" s="10"/>
      <c r="L2750" s="50"/>
      <c r="M2750" s="10"/>
      <c r="N2750" s="9"/>
      <c r="O2750" s="9"/>
      <c r="P2750" s="9"/>
      <c r="Q2750" s="9"/>
      <c r="S2750" s="9"/>
      <c r="T2750" s="9"/>
      <c r="V2750" s="9"/>
      <c r="AH2750" s="9"/>
      <c r="AI2750" s="9"/>
      <c r="AJ2750" s="9"/>
      <c r="AK2750" s="23"/>
      <c r="AL2750" s="23"/>
      <c r="AM2750" s="26"/>
      <c r="AN2750" s="9"/>
      <c r="AO2750" s="9"/>
      <c r="AP2750" s="9"/>
      <c r="AQ2750" s="54">
        <f t="shared" si="22"/>
        <v>0</v>
      </c>
      <c r="AR2750" s="52"/>
      <c r="AS2750" s="52"/>
    </row>
    <row r="2751" spans="1:45" ht="14.5" hidden="1">
      <c r="A2751" s="9"/>
      <c r="B2751" s="9"/>
      <c r="C2751" s="9"/>
      <c r="D2751" s="9"/>
      <c r="E2751" s="9"/>
      <c r="F2751" s="9"/>
      <c r="G2751" s="9"/>
      <c r="H2751" s="9"/>
      <c r="I2751" s="9"/>
      <c r="J2751" s="10"/>
      <c r="K2751" s="10"/>
      <c r="L2751" s="50"/>
      <c r="M2751" s="10"/>
      <c r="N2751" s="9"/>
      <c r="O2751" s="9"/>
      <c r="P2751" s="9"/>
      <c r="Q2751" s="9"/>
      <c r="S2751" s="9"/>
      <c r="T2751" s="9"/>
      <c r="V2751" s="9"/>
      <c r="AH2751" s="9"/>
      <c r="AI2751" s="9"/>
      <c r="AJ2751" s="9"/>
      <c r="AK2751" s="23"/>
      <c r="AL2751" s="23"/>
      <c r="AM2751" s="26"/>
      <c r="AN2751" s="9"/>
      <c r="AO2751" s="9"/>
      <c r="AP2751" s="9"/>
      <c r="AQ2751" s="54">
        <f t="shared" si="22"/>
        <v>0</v>
      </c>
      <c r="AR2751" s="52"/>
      <c r="AS2751" s="52"/>
    </row>
    <row r="2752" spans="1:45" ht="14.5" hidden="1">
      <c r="A2752" s="9"/>
      <c r="B2752" s="9"/>
      <c r="C2752" s="9"/>
      <c r="D2752" s="9"/>
      <c r="E2752" s="9"/>
      <c r="F2752" s="9"/>
      <c r="G2752" s="9"/>
      <c r="H2752" s="9"/>
      <c r="I2752" s="9"/>
      <c r="J2752" s="10"/>
      <c r="K2752" s="10"/>
      <c r="L2752" s="50"/>
      <c r="M2752" s="10"/>
      <c r="N2752" s="9"/>
      <c r="O2752" s="9"/>
      <c r="P2752" s="9"/>
      <c r="Q2752" s="9"/>
      <c r="S2752" s="9"/>
      <c r="T2752" s="9"/>
      <c r="V2752" s="9"/>
      <c r="AH2752" s="9"/>
      <c r="AI2752" s="9"/>
      <c r="AJ2752" s="9"/>
      <c r="AK2752" s="23"/>
      <c r="AL2752" s="23"/>
      <c r="AM2752" s="26"/>
      <c r="AN2752" s="9"/>
      <c r="AO2752" s="9"/>
      <c r="AP2752" s="9"/>
      <c r="AQ2752" s="54">
        <f t="shared" si="22"/>
        <v>0</v>
      </c>
      <c r="AR2752" s="52"/>
      <c r="AS2752" s="52"/>
    </row>
    <row r="2753" spans="1:45" ht="14.5" hidden="1">
      <c r="A2753" s="9"/>
      <c r="B2753" s="9"/>
      <c r="C2753" s="9"/>
      <c r="D2753" s="9"/>
      <c r="E2753" s="9"/>
      <c r="F2753" s="9"/>
      <c r="G2753" s="9"/>
      <c r="H2753" s="9"/>
      <c r="I2753" s="9"/>
      <c r="J2753" s="10"/>
      <c r="K2753" s="10"/>
      <c r="L2753" s="50"/>
      <c r="M2753" s="10"/>
      <c r="N2753" s="9"/>
      <c r="O2753" s="9"/>
      <c r="P2753" s="9"/>
      <c r="Q2753" s="9"/>
      <c r="S2753" s="9"/>
      <c r="T2753" s="9"/>
      <c r="V2753" s="9"/>
      <c r="AH2753" s="9"/>
      <c r="AI2753" s="9"/>
      <c r="AJ2753" s="9"/>
      <c r="AK2753" s="23"/>
      <c r="AL2753" s="23"/>
      <c r="AM2753" s="26"/>
      <c r="AN2753" s="9"/>
      <c r="AO2753" s="9"/>
      <c r="AP2753" s="9"/>
      <c r="AQ2753" s="54">
        <f t="shared" si="22"/>
        <v>0</v>
      </c>
      <c r="AR2753" s="52"/>
      <c r="AS2753" s="52"/>
    </row>
    <row r="2754" spans="1:45" ht="14.5" hidden="1">
      <c r="A2754" s="9"/>
      <c r="B2754" s="9"/>
      <c r="C2754" s="9"/>
      <c r="D2754" s="9"/>
      <c r="E2754" s="9"/>
      <c r="F2754" s="9"/>
      <c r="G2754" s="9"/>
      <c r="H2754" s="9"/>
      <c r="I2754" s="9"/>
      <c r="J2754" s="10"/>
      <c r="K2754" s="10"/>
      <c r="L2754" s="50"/>
      <c r="M2754" s="10"/>
      <c r="N2754" s="9"/>
      <c r="O2754" s="9"/>
      <c r="P2754" s="9"/>
      <c r="Q2754" s="9"/>
      <c r="S2754" s="9"/>
      <c r="T2754" s="9"/>
      <c r="V2754" s="9"/>
      <c r="AH2754" s="9"/>
      <c r="AI2754" s="9"/>
      <c r="AJ2754" s="9"/>
      <c r="AK2754" s="23"/>
      <c r="AL2754" s="23"/>
      <c r="AM2754" s="26"/>
      <c r="AN2754" s="9"/>
      <c r="AO2754" s="9"/>
      <c r="AP2754" s="9"/>
      <c r="AQ2754" s="54">
        <f t="shared" si="22"/>
        <v>0</v>
      </c>
      <c r="AR2754" s="52"/>
      <c r="AS2754" s="52"/>
    </row>
    <row r="2755" spans="1:45" ht="14.5" hidden="1">
      <c r="A2755" s="9"/>
      <c r="B2755" s="9"/>
      <c r="C2755" s="9"/>
      <c r="D2755" s="9"/>
      <c r="E2755" s="9"/>
      <c r="F2755" s="9"/>
      <c r="G2755" s="9"/>
      <c r="H2755" s="9"/>
      <c r="I2755" s="9"/>
      <c r="J2755" s="10"/>
      <c r="K2755" s="10"/>
      <c r="L2755" s="50"/>
      <c r="M2755" s="10"/>
      <c r="N2755" s="9"/>
      <c r="O2755" s="9"/>
      <c r="P2755" s="9"/>
      <c r="Q2755" s="9"/>
      <c r="S2755" s="9"/>
      <c r="T2755" s="9"/>
      <c r="V2755" s="9"/>
      <c r="AH2755" s="9"/>
      <c r="AI2755" s="9"/>
      <c r="AJ2755" s="9"/>
      <c r="AK2755" s="23"/>
      <c r="AL2755" s="23"/>
      <c r="AM2755" s="26"/>
      <c r="AN2755" s="9"/>
      <c r="AO2755" s="9"/>
      <c r="AP2755" s="9"/>
      <c r="AQ2755" s="54">
        <f t="shared" si="22"/>
        <v>0</v>
      </c>
      <c r="AR2755" s="52"/>
      <c r="AS2755" s="52"/>
    </row>
    <row r="2756" spans="1:45" ht="14.5" hidden="1">
      <c r="A2756" s="9"/>
      <c r="B2756" s="9"/>
      <c r="C2756" s="9"/>
      <c r="D2756" s="9"/>
      <c r="E2756" s="9"/>
      <c r="F2756" s="9"/>
      <c r="G2756" s="9"/>
      <c r="H2756" s="9"/>
      <c r="I2756" s="9"/>
      <c r="J2756" s="10"/>
      <c r="K2756" s="10"/>
      <c r="L2756" s="50"/>
      <c r="M2756" s="10"/>
      <c r="N2756" s="9"/>
      <c r="O2756" s="9"/>
      <c r="P2756" s="9"/>
      <c r="Q2756" s="9"/>
      <c r="S2756" s="9"/>
      <c r="T2756" s="9"/>
      <c r="V2756" s="9"/>
      <c r="AH2756" s="9"/>
      <c r="AI2756" s="9"/>
      <c r="AJ2756" s="9"/>
      <c r="AK2756" s="23"/>
      <c r="AL2756" s="23"/>
      <c r="AM2756" s="26"/>
      <c r="AN2756" s="9"/>
      <c r="AO2756" s="9"/>
      <c r="AP2756" s="9"/>
      <c r="AQ2756" s="54">
        <f t="shared" si="22"/>
        <v>0</v>
      </c>
      <c r="AR2756" s="52"/>
      <c r="AS2756" s="52"/>
    </row>
    <row r="2757" spans="1:45" ht="14.5" hidden="1">
      <c r="A2757" s="9"/>
      <c r="B2757" s="9"/>
      <c r="C2757" s="9"/>
      <c r="D2757" s="9"/>
      <c r="E2757" s="9"/>
      <c r="F2757" s="9"/>
      <c r="G2757" s="9"/>
      <c r="H2757" s="9"/>
      <c r="I2757" s="9"/>
      <c r="J2757" s="10"/>
      <c r="K2757" s="10"/>
      <c r="L2757" s="50"/>
      <c r="M2757" s="10"/>
      <c r="N2757" s="9"/>
      <c r="O2757" s="9"/>
      <c r="P2757" s="9"/>
      <c r="Q2757" s="9"/>
      <c r="S2757" s="9"/>
      <c r="T2757" s="9"/>
      <c r="V2757" s="9"/>
      <c r="AH2757" s="9"/>
      <c r="AI2757" s="9"/>
      <c r="AJ2757" s="9"/>
      <c r="AK2757" s="23"/>
      <c r="AL2757" s="23"/>
      <c r="AM2757" s="26"/>
      <c r="AN2757" s="9"/>
      <c r="AO2757" s="9"/>
      <c r="AP2757" s="9"/>
      <c r="AQ2757" s="54">
        <f t="shared" si="22"/>
        <v>0</v>
      </c>
      <c r="AR2757" s="52"/>
      <c r="AS2757" s="52"/>
    </row>
    <row r="2758" spans="1:45" ht="14.5" hidden="1">
      <c r="A2758" s="9"/>
      <c r="B2758" s="9"/>
      <c r="C2758" s="9"/>
      <c r="D2758" s="9"/>
      <c r="E2758" s="9"/>
      <c r="F2758" s="9"/>
      <c r="G2758" s="9"/>
      <c r="H2758" s="9"/>
      <c r="I2758" s="9"/>
      <c r="J2758" s="10"/>
      <c r="K2758" s="10"/>
      <c r="L2758" s="50"/>
      <c r="M2758" s="10"/>
      <c r="N2758" s="9"/>
      <c r="O2758" s="9"/>
      <c r="P2758" s="9"/>
      <c r="Q2758" s="9"/>
      <c r="S2758" s="9"/>
      <c r="T2758" s="9"/>
      <c r="V2758" s="9"/>
      <c r="AH2758" s="9"/>
      <c r="AI2758" s="9"/>
      <c r="AJ2758" s="9"/>
      <c r="AK2758" s="23"/>
      <c r="AL2758" s="23"/>
      <c r="AM2758" s="26"/>
      <c r="AN2758" s="9"/>
      <c r="AO2758" s="9"/>
      <c r="AP2758" s="9"/>
      <c r="AQ2758" s="54">
        <f t="shared" si="22"/>
        <v>0</v>
      </c>
      <c r="AR2758" s="52"/>
      <c r="AS2758" s="52"/>
    </row>
    <row r="2759" spans="1:45" ht="14.5" hidden="1">
      <c r="A2759" s="9"/>
      <c r="B2759" s="9"/>
      <c r="C2759" s="9"/>
      <c r="D2759" s="9"/>
      <c r="E2759" s="9"/>
      <c r="F2759" s="9"/>
      <c r="G2759" s="9"/>
      <c r="H2759" s="9"/>
      <c r="I2759" s="9"/>
      <c r="J2759" s="10"/>
      <c r="K2759" s="10"/>
      <c r="L2759" s="50"/>
      <c r="M2759" s="10"/>
      <c r="N2759" s="9"/>
      <c r="O2759" s="9"/>
      <c r="P2759" s="9"/>
      <c r="Q2759" s="9"/>
      <c r="S2759" s="9"/>
      <c r="T2759" s="9"/>
      <c r="V2759" s="9"/>
      <c r="AH2759" s="9"/>
      <c r="AI2759" s="9"/>
      <c r="AJ2759" s="9"/>
      <c r="AK2759" s="23"/>
      <c r="AL2759" s="23"/>
      <c r="AM2759" s="26"/>
      <c r="AN2759" s="9"/>
      <c r="AO2759" s="9"/>
      <c r="AP2759" s="9"/>
      <c r="AQ2759" s="54">
        <f t="shared" si="22"/>
        <v>0</v>
      </c>
      <c r="AR2759" s="52"/>
      <c r="AS2759" s="52"/>
    </row>
    <row r="2760" spans="1:45" ht="14.5" hidden="1">
      <c r="A2760" s="9"/>
      <c r="B2760" s="9"/>
      <c r="C2760" s="9"/>
      <c r="D2760" s="9"/>
      <c r="E2760" s="9"/>
      <c r="F2760" s="9"/>
      <c r="G2760" s="9"/>
      <c r="H2760" s="9"/>
      <c r="I2760" s="9"/>
      <c r="J2760" s="10"/>
      <c r="K2760" s="10"/>
      <c r="L2760" s="50"/>
      <c r="M2760" s="10"/>
      <c r="N2760" s="9"/>
      <c r="O2760" s="9"/>
      <c r="P2760" s="9"/>
      <c r="Q2760" s="9"/>
      <c r="S2760" s="9"/>
      <c r="T2760" s="9"/>
      <c r="V2760" s="9"/>
      <c r="AH2760" s="9"/>
      <c r="AI2760" s="9"/>
      <c r="AJ2760" s="9"/>
      <c r="AK2760" s="23"/>
      <c r="AL2760" s="23"/>
      <c r="AM2760" s="26"/>
      <c r="AN2760" s="9"/>
      <c r="AO2760" s="9"/>
      <c r="AP2760" s="9"/>
      <c r="AQ2760" s="54">
        <f t="shared" si="22"/>
        <v>0</v>
      </c>
      <c r="AR2760" s="52"/>
      <c r="AS2760" s="52"/>
    </row>
    <row r="2761" spans="1:45" ht="14.5" hidden="1">
      <c r="A2761" s="9"/>
      <c r="B2761" s="9"/>
      <c r="C2761" s="9"/>
      <c r="D2761" s="9"/>
      <c r="E2761" s="9"/>
      <c r="F2761" s="9"/>
      <c r="G2761" s="9"/>
      <c r="H2761" s="9"/>
      <c r="I2761" s="9"/>
      <c r="J2761" s="10"/>
      <c r="K2761" s="10"/>
      <c r="L2761" s="50"/>
      <c r="M2761" s="10"/>
      <c r="N2761" s="9"/>
      <c r="O2761" s="9"/>
      <c r="P2761" s="9"/>
      <c r="Q2761" s="9"/>
      <c r="S2761" s="9"/>
      <c r="T2761" s="9"/>
      <c r="V2761" s="9"/>
      <c r="AH2761" s="9"/>
      <c r="AI2761" s="9"/>
      <c r="AJ2761" s="9"/>
      <c r="AK2761" s="23"/>
      <c r="AL2761" s="23"/>
      <c r="AM2761" s="26"/>
      <c r="AN2761" s="9"/>
      <c r="AO2761" s="9"/>
      <c r="AP2761" s="9"/>
      <c r="AQ2761" s="54">
        <f t="shared" si="22"/>
        <v>0</v>
      </c>
      <c r="AR2761" s="52"/>
      <c r="AS2761" s="52"/>
    </row>
    <row r="2762" spans="1:45" ht="14.5" hidden="1">
      <c r="A2762" s="9"/>
      <c r="B2762" s="9"/>
      <c r="C2762" s="9"/>
      <c r="D2762" s="9"/>
      <c r="E2762" s="9"/>
      <c r="F2762" s="9"/>
      <c r="G2762" s="9"/>
      <c r="H2762" s="9"/>
      <c r="I2762" s="9"/>
      <c r="J2762" s="10"/>
      <c r="K2762" s="10"/>
      <c r="L2762" s="50"/>
      <c r="M2762" s="10"/>
      <c r="N2762" s="9"/>
      <c r="O2762" s="9"/>
      <c r="P2762" s="9"/>
      <c r="Q2762" s="9"/>
      <c r="S2762" s="9"/>
      <c r="T2762" s="9"/>
      <c r="V2762" s="9"/>
      <c r="AH2762" s="9"/>
      <c r="AI2762" s="9"/>
      <c r="AJ2762" s="9"/>
      <c r="AK2762" s="23"/>
      <c r="AL2762" s="23"/>
      <c r="AM2762" s="26"/>
      <c r="AN2762" s="9"/>
      <c r="AO2762" s="9"/>
      <c r="AP2762" s="9"/>
      <c r="AQ2762" s="54">
        <f t="shared" si="22"/>
        <v>0</v>
      </c>
      <c r="AR2762" s="52"/>
      <c r="AS2762" s="52"/>
    </row>
    <row r="2763" spans="1:45" ht="14.5" hidden="1">
      <c r="A2763" s="9"/>
      <c r="B2763" s="9"/>
      <c r="C2763" s="9"/>
      <c r="D2763" s="9"/>
      <c r="E2763" s="9"/>
      <c r="F2763" s="9"/>
      <c r="G2763" s="9"/>
      <c r="H2763" s="9"/>
      <c r="I2763" s="9"/>
      <c r="J2763" s="10"/>
      <c r="K2763" s="10"/>
      <c r="L2763" s="50"/>
      <c r="M2763" s="10"/>
      <c r="N2763" s="9"/>
      <c r="O2763" s="9"/>
      <c r="P2763" s="9"/>
      <c r="Q2763" s="9"/>
      <c r="S2763" s="9"/>
      <c r="T2763" s="9"/>
      <c r="V2763" s="9"/>
      <c r="AH2763" s="9"/>
      <c r="AI2763" s="9"/>
      <c r="AJ2763" s="9"/>
      <c r="AK2763" s="23"/>
      <c r="AL2763" s="23"/>
      <c r="AM2763" s="26"/>
      <c r="AN2763" s="9"/>
      <c r="AO2763" s="9"/>
      <c r="AP2763" s="9"/>
      <c r="AQ2763" s="54">
        <f t="shared" si="22"/>
        <v>0</v>
      </c>
      <c r="AR2763" s="52"/>
      <c r="AS2763" s="52"/>
    </row>
    <row r="2764" spans="1:45" ht="14.5" hidden="1">
      <c r="A2764" s="9"/>
      <c r="B2764" s="9"/>
      <c r="C2764" s="9"/>
      <c r="D2764" s="9"/>
      <c r="E2764" s="9"/>
      <c r="F2764" s="9"/>
      <c r="G2764" s="9"/>
      <c r="H2764" s="9"/>
      <c r="I2764" s="9"/>
      <c r="J2764" s="10"/>
      <c r="K2764" s="10"/>
      <c r="L2764" s="50"/>
      <c r="M2764" s="10"/>
      <c r="N2764" s="9"/>
      <c r="O2764" s="9"/>
      <c r="P2764" s="9"/>
      <c r="Q2764" s="9"/>
      <c r="S2764" s="9"/>
      <c r="T2764" s="9"/>
      <c r="V2764" s="9"/>
      <c r="AH2764" s="9"/>
      <c r="AI2764" s="9"/>
      <c r="AJ2764" s="9"/>
      <c r="AK2764" s="23"/>
      <c r="AL2764" s="23"/>
      <c r="AM2764" s="26"/>
      <c r="AN2764" s="9"/>
      <c r="AO2764" s="9"/>
      <c r="AP2764" s="9"/>
      <c r="AQ2764" s="54">
        <f t="shared" si="22"/>
        <v>0</v>
      </c>
      <c r="AR2764" s="52"/>
      <c r="AS2764" s="52"/>
    </row>
    <row r="2765" spans="1:45" ht="14.5" hidden="1">
      <c r="A2765" s="9"/>
      <c r="B2765" s="9"/>
      <c r="C2765" s="9"/>
      <c r="D2765" s="9"/>
      <c r="E2765" s="9"/>
      <c r="F2765" s="9"/>
      <c r="G2765" s="9"/>
      <c r="H2765" s="9"/>
      <c r="I2765" s="9"/>
      <c r="J2765" s="10"/>
      <c r="K2765" s="10"/>
      <c r="L2765" s="50"/>
      <c r="M2765" s="10"/>
      <c r="N2765" s="9"/>
      <c r="O2765" s="9"/>
      <c r="P2765" s="9"/>
      <c r="Q2765" s="9"/>
      <c r="S2765" s="9"/>
      <c r="T2765" s="9"/>
      <c r="V2765" s="9"/>
      <c r="AH2765" s="9"/>
      <c r="AI2765" s="9"/>
      <c r="AJ2765" s="9"/>
      <c r="AK2765" s="23"/>
      <c r="AL2765" s="23"/>
      <c r="AM2765" s="26"/>
      <c r="AN2765" s="9"/>
      <c r="AO2765" s="9"/>
      <c r="AP2765" s="9"/>
      <c r="AQ2765" s="54">
        <f t="shared" si="22"/>
        <v>0</v>
      </c>
      <c r="AR2765" s="52"/>
      <c r="AS2765" s="52"/>
    </row>
    <row r="2766" spans="1:45" ht="14.5" hidden="1">
      <c r="A2766" s="9"/>
      <c r="B2766" s="9"/>
      <c r="C2766" s="9"/>
      <c r="D2766" s="9"/>
      <c r="E2766" s="9"/>
      <c r="F2766" s="9"/>
      <c r="G2766" s="9"/>
      <c r="H2766" s="9"/>
      <c r="I2766" s="9"/>
      <c r="J2766" s="10"/>
      <c r="K2766" s="10"/>
      <c r="L2766" s="50"/>
      <c r="M2766" s="10"/>
      <c r="N2766" s="9"/>
      <c r="O2766" s="9"/>
      <c r="P2766" s="9"/>
      <c r="Q2766" s="9"/>
      <c r="S2766" s="9"/>
      <c r="T2766" s="9"/>
      <c r="V2766" s="9"/>
      <c r="AH2766" s="9"/>
      <c r="AI2766" s="9"/>
      <c r="AJ2766" s="9"/>
      <c r="AK2766" s="23"/>
      <c r="AL2766" s="23"/>
      <c r="AM2766" s="26"/>
      <c r="AN2766" s="9"/>
      <c r="AO2766" s="9"/>
      <c r="AP2766" s="9"/>
      <c r="AQ2766" s="54">
        <f t="shared" si="22"/>
        <v>0</v>
      </c>
      <c r="AR2766" s="52"/>
      <c r="AS2766" s="52"/>
    </row>
    <row r="2767" spans="1:45" ht="14.5" hidden="1">
      <c r="A2767" s="9"/>
      <c r="B2767" s="9"/>
      <c r="C2767" s="9"/>
      <c r="D2767" s="9"/>
      <c r="E2767" s="9"/>
      <c r="F2767" s="9"/>
      <c r="G2767" s="9"/>
      <c r="H2767" s="9"/>
      <c r="I2767" s="9"/>
      <c r="J2767" s="10"/>
      <c r="K2767" s="10"/>
      <c r="L2767" s="50"/>
      <c r="M2767" s="10"/>
      <c r="N2767" s="9"/>
      <c r="O2767" s="9"/>
      <c r="P2767" s="9"/>
      <c r="Q2767" s="9"/>
      <c r="S2767" s="9"/>
      <c r="T2767" s="9"/>
      <c r="V2767" s="9"/>
      <c r="AH2767" s="9"/>
      <c r="AI2767" s="9"/>
      <c r="AJ2767" s="9"/>
      <c r="AK2767" s="23"/>
      <c r="AL2767" s="23"/>
      <c r="AM2767" s="26"/>
      <c r="AN2767" s="9"/>
      <c r="AO2767" s="9"/>
      <c r="AP2767" s="9"/>
      <c r="AQ2767" s="54">
        <f t="shared" si="22"/>
        <v>0</v>
      </c>
      <c r="AR2767" s="52"/>
      <c r="AS2767" s="52"/>
    </row>
    <row r="2768" spans="1:45" ht="14.5" hidden="1">
      <c r="A2768" s="9"/>
      <c r="B2768" s="9"/>
      <c r="C2768" s="9"/>
      <c r="D2768" s="9"/>
      <c r="E2768" s="9"/>
      <c r="F2768" s="9"/>
      <c r="G2768" s="9"/>
      <c r="H2768" s="9"/>
      <c r="I2768" s="9"/>
      <c r="J2768" s="10"/>
      <c r="K2768" s="10"/>
      <c r="L2768" s="50"/>
      <c r="M2768" s="10"/>
      <c r="N2768" s="9"/>
      <c r="O2768" s="9"/>
      <c r="P2768" s="9"/>
      <c r="Q2768" s="9"/>
      <c r="S2768" s="9"/>
      <c r="T2768" s="9"/>
      <c r="V2768" s="9"/>
      <c r="AH2768" s="9"/>
      <c r="AI2768" s="9"/>
      <c r="AJ2768" s="9"/>
      <c r="AK2768" s="23"/>
      <c r="AL2768" s="23"/>
      <c r="AM2768" s="26"/>
      <c r="AN2768" s="9"/>
      <c r="AO2768" s="9"/>
      <c r="AP2768" s="9"/>
      <c r="AQ2768" s="54">
        <f t="shared" si="22"/>
        <v>0</v>
      </c>
      <c r="AR2768" s="52"/>
      <c r="AS2768" s="52"/>
    </row>
    <row r="2769" spans="1:45" ht="14.5" hidden="1">
      <c r="A2769" s="9"/>
      <c r="B2769" s="9"/>
      <c r="C2769" s="9"/>
      <c r="D2769" s="9"/>
      <c r="E2769" s="9"/>
      <c r="F2769" s="9"/>
      <c r="G2769" s="9"/>
      <c r="H2769" s="9"/>
      <c r="I2769" s="9"/>
      <c r="J2769" s="10"/>
      <c r="K2769" s="10"/>
      <c r="L2769" s="50"/>
      <c r="M2769" s="10"/>
      <c r="N2769" s="9"/>
      <c r="O2769" s="9"/>
      <c r="P2769" s="9"/>
      <c r="Q2769" s="9"/>
      <c r="S2769" s="9"/>
      <c r="T2769" s="9"/>
      <c r="V2769" s="9"/>
      <c r="AH2769" s="9"/>
      <c r="AI2769" s="9"/>
      <c r="AJ2769" s="9"/>
      <c r="AK2769" s="23"/>
      <c r="AL2769" s="23"/>
      <c r="AM2769" s="26"/>
      <c r="AN2769" s="9"/>
      <c r="AO2769" s="9"/>
      <c r="AP2769" s="9"/>
      <c r="AQ2769" s="54">
        <f t="shared" si="22"/>
        <v>0</v>
      </c>
      <c r="AR2769" s="52"/>
      <c r="AS2769" s="52"/>
    </row>
    <row r="2770" spans="1:45" ht="14.5" hidden="1">
      <c r="A2770" s="9"/>
      <c r="B2770" s="9"/>
      <c r="C2770" s="9"/>
      <c r="D2770" s="9"/>
      <c r="E2770" s="9"/>
      <c r="F2770" s="9"/>
      <c r="G2770" s="9"/>
      <c r="H2770" s="9"/>
      <c r="I2770" s="9"/>
      <c r="J2770" s="10"/>
      <c r="K2770" s="10"/>
      <c r="L2770" s="50"/>
      <c r="M2770" s="10"/>
      <c r="N2770" s="9"/>
      <c r="O2770" s="9"/>
      <c r="P2770" s="9"/>
      <c r="Q2770" s="9"/>
      <c r="S2770" s="9"/>
      <c r="T2770" s="9"/>
      <c r="V2770" s="9"/>
      <c r="AH2770" s="9"/>
      <c r="AI2770" s="9"/>
      <c r="AJ2770" s="9"/>
      <c r="AK2770" s="23"/>
      <c r="AL2770" s="23"/>
      <c r="AM2770" s="26"/>
      <c r="AN2770" s="9"/>
      <c r="AO2770" s="9"/>
      <c r="AP2770" s="9"/>
      <c r="AQ2770" s="54">
        <f t="shared" si="22"/>
        <v>0</v>
      </c>
      <c r="AR2770" s="52"/>
      <c r="AS2770" s="52"/>
    </row>
    <row r="2771" spans="1:45" ht="14.5" hidden="1">
      <c r="A2771" s="9"/>
      <c r="B2771" s="9"/>
      <c r="C2771" s="9"/>
      <c r="D2771" s="9"/>
      <c r="E2771" s="9"/>
      <c r="F2771" s="9"/>
      <c r="G2771" s="9"/>
      <c r="H2771" s="9"/>
      <c r="I2771" s="9"/>
      <c r="J2771" s="10"/>
      <c r="K2771" s="10"/>
      <c r="L2771" s="50"/>
      <c r="M2771" s="10"/>
      <c r="N2771" s="9"/>
      <c r="O2771" s="9"/>
      <c r="P2771" s="9"/>
      <c r="Q2771" s="9"/>
      <c r="S2771" s="9"/>
      <c r="T2771" s="9"/>
      <c r="V2771" s="9"/>
      <c r="AH2771" s="9"/>
      <c r="AI2771" s="9"/>
      <c r="AJ2771" s="9"/>
      <c r="AK2771" s="23"/>
      <c r="AL2771" s="23"/>
      <c r="AM2771" s="26"/>
      <c r="AN2771" s="9"/>
      <c r="AO2771" s="9"/>
      <c r="AP2771" s="9"/>
      <c r="AQ2771" s="54">
        <f t="shared" si="22"/>
        <v>0</v>
      </c>
      <c r="AR2771" s="52"/>
      <c r="AS2771" s="52"/>
    </row>
    <row r="2772" spans="1:45" ht="14.5" hidden="1">
      <c r="A2772" s="9"/>
      <c r="B2772" s="9"/>
      <c r="C2772" s="9"/>
      <c r="D2772" s="9"/>
      <c r="E2772" s="9"/>
      <c r="F2772" s="9"/>
      <c r="G2772" s="9"/>
      <c r="H2772" s="9"/>
      <c r="I2772" s="9"/>
      <c r="J2772" s="10"/>
      <c r="K2772" s="10"/>
      <c r="L2772" s="50"/>
      <c r="M2772" s="10"/>
      <c r="N2772" s="9"/>
      <c r="O2772" s="9"/>
      <c r="P2772" s="9"/>
      <c r="Q2772" s="9"/>
      <c r="S2772" s="9"/>
      <c r="T2772" s="9"/>
      <c r="V2772" s="9"/>
      <c r="AH2772" s="9"/>
      <c r="AI2772" s="9"/>
      <c r="AJ2772" s="9"/>
      <c r="AK2772" s="23"/>
      <c r="AL2772" s="23"/>
      <c r="AM2772" s="26"/>
      <c r="AN2772" s="9"/>
      <c r="AO2772" s="9"/>
      <c r="AP2772" s="9"/>
      <c r="AQ2772" s="54">
        <f t="shared" si="22"/>
        <v>0</v>
      </c>
      <c r="AR2772" s="52"/>
      <c r="AS2772" s="52"/>
    </row>
    <row r="2773" spans="1:45" ht="14.5" hidden="1">
      <c r="A2773" s="9"/>
      <c r="B2773" s="9"/>
      <c r="C2773" s="9"/>
      <c r="D2773" s="9"/>
      <c r="E2773" s="9"/>
      <c r="F2773" s="9"/>
      <c r="G2773" s="9"/>
      <c r="H2773" s="9"/>
      <c r="I2773" s="9"/>
      <c r="J2773" s="10"/>
      <c r="K2773" s="10"/>
      <c r="L2773" s="50"/>
      <c r="M2773" s="10"/>
      <c r="N2773" s="9"/>
      <c r="O2773" s="9"/>
      <c r="P2773" s="9"/>
      <c r="Q2773" s="9"/>
      <c r="S2773" s="9"/>
      <c r="T2773" s="9"/>
      <c r="V2773" s="9"/>
      <c r="AH2773" s="9"/>
      <c r="AI2773" s="9"/>
      <c r="AJ2773" s="9"/>
      <c r="AK2773" s="23"/>
      <c r="AL2773" s="23"/>
      <c r="AM2773" s="26"/>
      <c r="AN2773" s="9"/>
      <c r="AO2773" s="9"/>
      <c r="AP2773" s="9"/>
      <c r="AQ2773" s="54">
        <f t="shared" si="22"/>
        <v>0</v>
      </c>
      <c r="AR2773" s="52"/>
      <c r="AS2773" s="52"/>
    </row>
    <row r="2774" spans="1:45" ht="14.5" hidden="1">
      <c r="A2774" s="9"/>
      <c r="B2774" s="9"/>
      <c r="C2774" s="9"/>
      <c r="D2774" s="9"/>
      <c r="E2774" s="9"/>
      <c r="F2774" s="9"/>
      <c r="G2774" s="9"/>
      <c r="H2774" s="9"/>
      <c r="I2774" s="9"/>
      <c r="J2774" s="10"/>
      <c r="K2774" s="10"/>
      <c r="L2774" s="50"/>
      <c r="M2774" s="10"/>
      <c r="N2774" s="9"/>
      <c r="O2774" s="9"/>
      <c r="P2774" s="9"/>
      <c r="Q2774" s="9"/>
      <c r="S2774" s="9"/>
      <c r="T2774" s="9"/>
      <c r="V2774" s="9"/>
      <c r="AH2774" s="9"/>
      <c r="AI2774" s="9"/>
      <c r="AJ2774" s="9"/>
      <c r="AK2774" s="23"/>
      <c r="AL2774" s="23"/>
      <c r="AM2774" s="26"/>
      <c r="AN2774" s="9"/>
      <c r="AO2774" s="9"/>
      <c r="AP2774" s="9"/>
      <c r="AQ2774" s="54">
        <f t="shared" si="22"/>
        <v>0</v>
      </c>
      <c r="AR2774" s="52"/>
      <c r="AS2774" s="52"/>
    </row>
    <row r="2775" spans="1:45" ht="14.5" hidden="1">
      <c r="A2775" s="9"/>
      <c r="B2775" s="9"/>
      <c r="C2775" s="9"/>
      <c r="D2775" s="9"/>
      <c r="E2775" s="9"/>
      <c r="F2775" s="9"/>
      <c r="G2775" s="9"/>
      <c r="H2775" s="9"/>
      <c r="I2775" s="9"/>
      <c r="J2775" s="10"/>
      <c r="K2775" s="10"/>
      <c r="L2775" s="50"/>
      <c r="M2775" s="10"/>
      <c r="N2775" s="9"/>
      <c r="O2775" s="9"/>
      <c r="P2775" s="9"/>
      <c r="Q2775" s="9"/>
      <c r="S2775" s="9"/>
      <c r="T2775" s="9"/>
      <c r="V2775" s="9"/>
      <c r="AH2775" s="9"/>
      <c r="AI2775" s="9"/>
      <c r="AJ2775" s="9"/>
      <c r="AK2775" s="23"/>
      <c r="AL2775" s="23"/>
      <c r="AM2775" s="26"/>
      <c r="AN2775" s="9"/>
      <c r="AO2775" s="9"/>
      <c r="AP2775" s="9"/>
      <c r="AQ2775" s="54">
        <f t="shared" si="22"/>
        <v>0</v>
      </c>
      <c r="AR2775" s="52"/>
      <c r="AS2775" s="52"/>
    </row>
    <row r="2776" spans="1:45" ht="14.5" hidden="1">
      <c r="A2776" s="9"/>
      <c r="B2776" s="9"/>
      <c r="C2776" s="9"/>
      <c r="D2776" s="9"/>
      <c r="E2776" s="9"/>
      <c r="F2776" s="9"/>
      <c r="G2776" s="9"/>
      <c r="H2776" s="9"/>
      <c r="I2776" s="9"/>
      <c r="J2776" s="10"/>
      <c r="K2776" s="10"/>
      <c r="L2776" s="50"/>
      <c r="M2776" s="10"/>
      <c r="N2776" s="9"/>
      <c r="O2776" s="9"/>
      <c r="P2776" s="9"/>
      <c r="Q2776" s="9"/>
      <c r="S2776" s="9"/>
      <c r="T2776" s="9"/>
      <c r="V2776" s="9"/>
      <c r="AH2776" s="9"/>
      <c r="AI2776" s="9"/>
      <c r="AJ2776" s="9"/>
      <c r="AK2776" s="23"/>
      <c r="AL2776" s="23"/>
      <c r="AM2776" s="26"/>
      <c r="AN2776" s="9"/>
      <c r="AO2776" s="9"/>
      <c r="AP2776" s="9"/>
      <c r="AQ2776" s="54">
        <f t="shared" si="22"/>
        <v>0</v>
      </c>
      <c r="AR2776" s="52"/>
      <c r="AS2776" s="52"/>
    </row>
    <row r="2777" spans="1:45" ht="14.5" hidden="1">
      <c r="A2777" s="9"/>
      <c r="B2777" s="9"/>
      <c r="C2777" s="9"/>
      <c r="D2777" s="9"/>
      <c r="E2777" s="9"/>
      <c r="F2777" s="9"/>
      <c r="G2777" s="9"/>
      <c r="H2777" s="9"/>
      <c r="I2777" s="9"/>
      <c r="J2777" s="10"/>
      <c r="K2777" s="10"/>
      <c r="L2777" s="50"/>
      <c r="M2777" s="10"/>
      <c r="N2777" s="9"/>
      <c r="O2777" s="9"/>
      <c r="P2777" s="9"/>
      <c r="Q2777" s="9"/>
      <c r="S2777" s="9"/>
      <c r="T2777" s="9"/>
      <c r="V2777" s="9"/>
      <c r="AH2777" s="9"/>
      <c r="AI2777" s="9"/>
      <c r="AJ2777" s="9"/>
      <c r="AK2777" s="23"/>
      <c r="AL2777" s="23"/>
      <c r="AM2777" s="26"/>
      <c r="AN2777" s="9"/>
      <c r="AO2777" s="9"/>
      <c r="AP2777" s="9"/>
      <c r="AQ2777" s="54">
        <f t="shared" si="22"/>
        <v>0</v>
      </c>
      <c r="AR2777" s="52"/>
      <c r="AS2777" s="52"/>
    </row>
    <row r="2778" spans="1:45" ht="14.5" hidden="1">
      <c r="A2778" s="9"/>
      <c r="B2778" s="9"/>
      <c r="C2778" s="9"/>
      <c r="D2778" s="9"/>
      <c r="E2778" s="9"/>
      <c r="F2778" s="9"/>
      <c r="G2778" s="9"/>
      <c r="H2778" s="9"/>
      <c r="I2778" s="9"/>
      <c r="J2778" s="10"/>
      <c r="K2778" s="10"/>
      <c r="L2778" s="50"/>
      <c r="M2778" s="10"/>
      <c r="N2778" s="9"/>
      <c r="O2778" s="9"/>
      <c r="P2778" s="9"/>
      <c r="Q2778" s="9"/>
      <c r="S2778" s="9"/>
      <c r="T2778" s="9"/>
      <c r="V2778" s="9"/>
      <c r="AH2778" s="9"/>
      <c r="AI2778" s="9"/>
      <c r="AJ2778" s="9"/>
      <c r="AK2778" s="23"/>
      <c r="AL2778" s="23"/>
      <c r="AM2778" s="26"/>
      <c r="AN2778" s="9"/>
      <c r="AO2778" s="9"/>
      <c r="AP2778" s="9"/>
      <c r="AQ2778" s="54">
        <f t="shared" si="22"/>
        <v>0</v>
      </c>
      <c r="AR2778" s="52"/>
      <c r="AS2778" s="52"/>
    </row>
    <row r="2779" spans="1:45" ht="14.5" hidden="1">
      <c r="A2779" s="9"/>
      <c r="B2779" s="9"/>
      <c r="C2779" s="9"/>
      <c r="D2779" s="9"/>
      <c r="E2779" s="9"/>
      <c r="F2779" s="9"/>
      <c r="G2779" s="9"/>
      <c r="H2779" s="9"/>
      <c r="I2779" s="9"/>
      <c r="J2779" s="10"/>
      <c r="K2779" s="10"/>
      <c r="L2779" s="50"/>
      <c r="M2779" s="10"/>
      <c r="N2779" s="9"/>
      <c r="O2779" s="9"/>
      <c r="P2779" s="9"/>
      <c r="Q2779" s="9"/>
      <c r="S2779" s="9"/>
      <c r="T2779" s="9"/>
      <c r="V2779" s="9"/>
      <c r="AH2779" s="9"/>
      <c r="AI2779" s="9"/>
      <c r="AJ2779" s="9"/>
      <c r="AK2779" s="23"/>
      <c r="AL2779" s="23"/>
      <c r="AM2779" s="26"/>
      <c r="AN2779" s="9"/>
      <c r="AO2779" s="9"/>
      <c r="AP2779" s="9"/>
      <c r="AQ2779" s="54">
        <f t="shared" si="22"/>
        <v>0</v>
      </c>
      <c r="AR2779" s="52"/>
      <c r="AS2779" s="52"/>
    </row>
    <row r="2780" spans="1:45" ht="14.5" hidden="1">
      <c r="A2780" s="9"/>
      <c r="B2780" s="9"/>
      <c r="C2780" s="9"/>
      <c r="D2780" s="9"/>
      <c r="E2780" s="9"/>
      <c r="F2780" s="9"/>
      <c r="G2780" s="9"/>
      <c r="H2780" s="9"/>
      <c r="I2780" s="9"/>
      <c r="J2780" s="10"/>
      <c r="K2780" s="10"/>
      <c r="L2780" s="50"/>
      <c r="M2780" s="10"/>
      <c r="N2780" s="9"/>
      <c r="O2780" s="9"/>
      <c r="P2780" s="9"/>
      <c r="Q2780" s="9"/>
      <c r="S2780" s="9"/>
      <c r="T2780" s="9"/>
      <c r="V2780" s="9"/>
      <c r="AH2780" s="9"/>
      <c r="AI2780" s="9"/>
      <c r="AJ2780" s="9"/>
      <c r="AK2780" s="23"/>
      <c r="AL2780" s="23"/>
      <c r="AM2780" s="26"/>
      <c r="AN2780" s="9"/>
      <c r="AO2780" s="9"/>
      <c r="AP2780" s="9"/>
      <c r="AQ2780" s="54">
        <f t="shared" si="22"/>
        <v>0</v>
      </c>
      <c r="AR2780" s="52"/>
      <c r="AS2780" s="52"/>
    </row>
    <row r="2781" spans="1:45" ht="14.5" hidden="1">
      <c r="A2781" s="9"/>
      <c r="B2781" s="9"/>
      <c r="C2781" s="9"/>
      <c r="D2781" s="9"/>
      <c r="E2781" s="9"/>
      <c r="F2781" s="9"/>
      <c r="G2781" s="9"/>
      <c r="H2781" s="9"/>
      <c r="I2781" s="9"/>
      <c r="J2781" s="10"/>
      <c r="K2781" s="10"/>
      <c r="L2781" s="50"/>
      <c r="M2781" s="10"/>
      <c r="N2781" s="9"/>
      <c r="O2781" s="9"/>
      <c r="P2781" s="9"/>
      <c r="Q2781" s="9"/>
      <c r="S2781" s="9"/>
      <c r="T2781" s="9"/>
      <c r="V2781" s="9"/>
      <c r="AH2781" s="9"/>
      <c r="AI2781" s="9"/>
      <c r="AJ2781" s="9"/>
      <c r="AK2781" s="23"/>
      <c r="AL2781" s="23"/>
      <c r="AM2781" s="26"/>
      <c r="AN2781" s="9"/>
      <c r="AO2781" s="9"/>
      <c r="AP2781" s="9"/>
      <c r="AQ2781" s="54">
        <f t="shared" si="22"/>
        <v>0</v>
      </c>
      <c r="AR2781" s="52"/>
      <c r="AS2781" s="52"/>
    </row>
    <row r="2782" spans="1:45" ht="14.5" hidden="1">
      <c r="A2782" s="9"/>
      <c r="B2782" s="9"/>
      <c r="C2782" s="9"/>
      <c r="D2782" s="9"/>
      <c r="E2782" s="9"/>
      <c r="F2782" s="9"/>
      <c r="G2782" s="9"/>
      <c r="H2782" s="9"/>
      <c r="I2782" s="9"/>
      <c r="J2782" s="10"/>
      <c r="K2782" s="10"/>
      <c r="L2782" s="50"/>
      <c r="M2782" s="10"/>
      <c r="N2782" s="9"/>
      <c r="O2782" s="9"/>
      <c r="P2782" s="9"/>
      <c r="Q2782" s="9"/>
      <c r="S2782" s="9"/>
      <c r="T2782" s="9"/>
      <c r="V2782" s="9"/>
      <c r="AH2782" s="9"/>
      <c r="AI2782" s="9"/>
      <c r="AJ2782" s="9"/>
      <c r="AK2782" s="23"/>
      <c r="AL2782" s="23"/>
      <c r="AM2782" s="26"/>
      <c r="AN2782" s="9"/>
      <c r="AO2782" s="9"/>
      <c r="AP2782" s="9"/>
      <c r="AQ2782" s="54">
        <f t="shared" si="22"/>
        <v>0</v>
      </c>
      <c r="AR2782" s="52"/>
      <c r="AS2782" s="52"/>
    </row>
    <row r="2783" spans="1:45" ht="14.5" hidden="1">
      <c r="A2783" s="9"/>
      <c r="B2783" s="9"/>
      <c r="C2783" s="9"/>
      <c r="D2783" s="9"/>
      <c r="E2783" s="9"/>
      <c r="F2783" s="9"/>
      <c r="G2783" s="9"/>
      <c r="H2783" s="9"/>
      <c r="I2783" s="9"/>
      <c r="J2783" s="10"/>
      <c r="K2783" s="10"/>
      <c r="L2783" s="50"/>
      <c r="M2783" s="10"/>
      <c r="N2783" s="9"/>
      <c r="O2783" s="9"/>
      <c r="P2783" s="9"/>
      <c r="Q2783" s="9"/>
      <c r="S2783" s="9"/>
      <c r="T2783" s="9"/>
      <c r="V2783" s="9"/>
      <c r="AH2783" s="9"/>
      <c r="AI2783" s="9"/>
      <c r="AJ2783" s="9"/>
      <c r="AK2783" s="23"/>
      <c r="AL2783" s="23"/>
      <c r="AM2783" s="26"/>
      <c r="AN2783" s="9"/>
      <c r="AO2783" s="9"/>
      <c r="AP2783" s="9"/>
      <c r="AQ2783" s="54">
        <f t="shared" si="22"/>
        <v>0</v>
      </c>
      <c r="AR2783" s="52"/>
      <c r="AS2783" s="52"/>
    </row>
    <row r="2784" spans="1:45" ht="14.5" hidden="1">
      <c r="A2784" s="9"/>
      <c r="B2784" s="9"/>
      <c r="C2784" s="9"/>
      <c r="D2784" s="9"/>
      <c r="E2784" s="9"/>
      <c r="F2784" s="9"/>
      <c r="G2784" s="9"/>
      <c r="H2784" s="9"/>
      <c r="I2784" s="9"/>
      <c r="J2784" s="10"/>
      <c r="K2784" s="10"/>
      <c r="L2784" s="50"/>
      <c r="M2784" s="10"/>
      <c r="N2784" s="9"/>
      <c r="O2784" s="9"/>
      <c r="P2784" s="9"/>
      <c r="Q2784" s="9"/>
      <c r="S2784" s="9"/>
      <c r="T2784" s="9"/>
      <c r="V2784" s="9"/>
      <c r="AH2784" s="9"/>
      <c r="AI2784" s="9"/>
      <c r="AJ2784" s="9"/>
      <c r="AK2784" s="23"/>
      <c r="AL2784" s="23"/>
      <c r="AM2784" s="26"/>
      <c r="AN2784" s="9"/>
      <c r="AO2784" s="9"/>
      <c r="AP2784" s="9"/>
      <c r="AQ2784" s="54">
        <f t="shared" si="22"/>
        <v>0</v>
      </c>
      <c r="AR2784" s="52"/>
      <c r="AS2784" s="52"/>
    </row>
    <row r="2785" spans="1:45" ht="14.5" hidden="1">
      <c r="A2785" s="9"/>
      <c r="B2785" s="9"/>
      <c r="C2785" s="9"/>
      <c r="D2785" s="9"/>
      <c r="E2785" s="9"/>
      <c r="F2785" s="9"/>
      <c r="G2785" s="9"/>
      <c r="H2785" s="9"/>
      <c r="I2785" s="9"/>
      <c r="J2785" s="10"/>
      <c r="K2785" s="10"/>
      <c r="L2785" s="50"/>
      <c r="M2785" s="10"/>
      <c r="N2785" s="9"/>
      <c r="O2785" s="9"/>
      <c r="P2785" s="9"/>
      <c r="Q2785" s="9"/>
      <c r="S2785" s="9"/>
      <c r="T2785" s="9"/>
      <c r="V2785" s="9"/>
      <c r="AH2785" s="9"/>
      <c r="AI2785" s="9"/>
      <c r="AJ2785" s="9"/>
      <c r="AK2785" s="23"/>
      <c r="AL2785" s="23"/>
      <c r="AM2785" s="26"/>
      <c r="AN2785" s="9"/>
      <c r="AO2785" s="9"/>
      <c r="AP2785" s="9"/>
      <c r="AQ2785" s="54">
        <f t="shared" si="22"/>
        <v>0</v>
      </c>
      <c r="AR2785" s="52"/>
      <c r="AS2785" s="52"/>
    </row>
    <row r="2786" spans="1:45" ht="14.5" hidden="1">
      <c r="A2786" s="9"/>
      <c r="B2786" s="9"/>
      <c r="C2786" s="9"/>
      <c r="D2786" s="9"/>
      <c r="E2786" s="9"/>
      <c r="F2786" s="9"/>
      <c r="G2786" s="9"/>
      <c r="H2786" s="9"/>
      <c r="I2786" s="9"/>
      <c r="J2786" s="10"/>
      <c r="K2786" s="10"/>
      <c r="L2786" s="50"/>
      <c r="M2786" s="10"/>
      <c r="N2786" s="9"/>
      <c r="O2786" s="9"/>
      <c r="P2786" s="9"/>
      <c r="Q2786" s="9"/>
      <c r="S2786" s="9"/>
      <c r="T2786" s="9"/>
      <c r="V2786" s="9"/>
      <c r="AH2786" s="9"/>
      <c r="AI2786" s="9"/>
      <c r="AJ2786" s="9"/>
      <c r="AK2786" s="23"/>
      <c r="AL2786" s="23"/>
      <c r="AM2786" s="26"/>
      <c r="AN2786" s="9"/>
      <c r="AO2786" s="9"/>
      <c r="AP2786" s="9"/>
      <c r="AQ2786" s="54">
        <f t="shared" si="22"/>
        <v>0</v>
      </c>
      <c r="AR2786" s="52"/>
      <c r="AS2786" s="52"/>
    </row>
    <row r="2787" spans="1:45" ht="14.5" hidden="1">
      <c r="A2787" s="9"/>
      <c r="B2787" s="9"/>
      <c r="C2787" s="9"/>
      <c r="D2787" s="9"/>
      <c r="E2787" s="9"/>
      <c r="F2787" s="9"/>
      <c r="G2787" s="9"/>
      <c r="H2787" s="9"/>
      <c r="I2787" s="9"/>
      <c r="J2787" s="10"/>
      <c r="K2787" s="10"/>
      <c r="L2787" s="50"/>
      <c r="M2787" s="10"/>
      <c r="N2787" s="9"/>
      <c r="O2787" s="9"/>
      <c r="P2787" s="9"/>
      <c r="Q2787" s="9"/>
      <c r="S2787" s="9"/>
      <c r="T2787" s="9"/>
      <c r="V2787" s="9"/>
      <c r="AH2787" s="9"/>
      <c r="AI2787" s="9"/>
      <c r="AJ2787" s="9"/>
      <c r="AK2787" s="23"/>
      <c r="AL2787" s="23"/>
      <c r="AM2787" s="26"/>
      <c r="AN2787" s="9"/>
      <c r="AO2787" s="9"/>
      <c r="AP2787" s="9"/>
      <c r="AQ2787" s="54">
        <f t="shared" si="22"/>
        <v>0</v>
      </c>
      <c r="AR2787" s="52"/>
      <c r="AS2787" s="52"/>
    </row>
    <row r="2788" spans="1:45" ht="14.5" hidden="1">
      <c r="A2788" s="9"/>
      <c r="B2788" s="9"/>
      <c r="C2788" s="9"/>
      <c r="D2788" s="9"/>
      <c r="E2788" s="9"/>
      <c r="F2788" s="9"/>
      <c r="G2788" s="9"/>
      <c r="H2788" s="9"/>
      <c r="I2788" s="9"/>
      <c r="J2788" s="10"/>
      <c r="K2788" s="10"/>
      <c r="L2788" s="50"/>
      <c r="M2788" s="10"/>
      <c r="N2788" s="9"/>
      <c r="O2788" s="9"/>
      <c r="P2788" s="9"/>
      <c r="Q2788" s="9"/>
      <c r="S2788" s="9"/>
      <c r="T2788" s="9"/>
      <c r="V2788" s="9"/>
      <c r="AH2788" s="9"/>
      <c r="AI2788" s="9"/>
      <c r="AJ2788" s="9"/>
      <c r="AK2788" s="23"/>
      <c r="AL2788" s="23"/>
      <c r="AM2788" s="26"/>
      <c r="AN2788" s="9"/>
      <c r="AO2788" s="9"/>
      <c r="AP2788" s="9"/>
      <c r="AQ2788" s="54">
        <f t="shared" si="22"/>
        <v>0</v>
      </c>
      <c r="AR2788" s="52"/>
      <c r="AS2788" s="52"/>
    </row>
    <row r="2789" spans="1:45" ht="14.5" hidden="1">
      <c r="A2789" s="9"/>
      <c r="B2789" s="9"/>
      <c r="C2789" s="9"/>
      <c r="D2789" s="9"/>
      <c r="E2789" s="9"/>
      <c r="F2789" s="9"/>
      <c r="G2789" s="9"/>
      <c r="H2789" s="9"/>
      <c r="I2789" s="9"/>
      <c r="J2789" s="10"/>
      <c r="K2789" s="10"/>
      <c r="L2789" s="50"/>
      <c r="M2789" s="10"/>
      <c r="N2789" s="9"/>
      <c r="O2789" s="9"/>
      <c r="P2789" s="9"/>
      <c r="Q2789" s="9"/>
      <c r="S2789" s="9"/>
      <c r="T2789" s="9"/>
      <c r="V2789" s="9"/>
      <c r="AH2789" s="9"/>
      <c r="AI2789" s="9"/>
      <c r="AJ2789" s="9"/>
      <c r="AK2789" s="23"/>
      <c r="AL2789" s="23"/>
      <c r="AM2789" s="26"/>
      <c r="AN2789" s="9"/>
      <c r="AO2789" s="9"/>
      <c r="AP2789" s="9"/>
      <c r="AQ2789" s="54">
        <f t="shared" si="22"/>
        <v>0</v>
      </c>
      <c r="AR2789" s="52"/>
      <c r="AS2789" s="52"/>
    </row>
    <row r="2790" spans="1:45" ht="14.5" hidden="1">
      <c r="A2790" s="9"/>
      <c r="B2790" s="9"/>
      <c r="C2790" s="9"/>
      <c r="D2790" s="9"/>
      <c r="E2790" s="9"/>
      <c r="F2790" s="9"/>
      <c r="G2790" s="9"/>
      <c r="H2790" s="9"/>
      <c r="I2790" s="9"/>
      <c r="J2790" s="10"/>
      <c r="K2790" s="10"/>
      <c r="L2790" s="50"/>
      <c r="M2790" s="10"/>
      <c r="N2790" s="9"/>
      <c r="O2790" s="9"/>
      <c r="P2790" s="9"/>
      <c r="Q2790" s="9"/>
      <c r="S2790" s="9"/>
      <c r="T2790" s="9"/>
      <c r="V2790" s="9"/>
      <c r="AH2790" s="9"/>
      <c r="AI2790" s="9"/>
      <c r="AJ2790" s="9"/>
      <c r="AK2790" s="23"/>
      <c r="AL2790" s="23"/>
      <c r="AM2790" s="26"/>
      <c r="AN2790" s="9"/>
      <c r="AO2790" s="9"/>
      <c r="AP2790" s="9"/>
      <c r="AQ2790" s="54">
        <f t="shared" si="22"/>
        <v>0</v>
      </c>
      <c r="AR2790" s="52"/>
      <c r="AS2790" s="52"/>
    </row>
    <row r="2791" spans="1:45" ht="14.5" hidden="1">
      <c r="A2791" s="9"/>
      <c r="B2791" s="9"/>
      <c r="C2791" s="9"/>
      <c r="D2791" s="9"/>
      <c r="E2791" s="9"/>
      <c r="F2791" s="9"/>
      <c r="G2791" s="9"/>
      <c r="H2791" s="9"/>
      <c r="I2791" s="9"/>
      <c r="J2791" s="10"/>
      <c r="K2791" s="10"/>
      <c r="L2791" s="50"/>
      <c r="M2791" s="10"/>
      <c r="N2791" s="9"/>
      <c r="O2791" s="9"/>
      <c r="P2791" s="9"/>
      <c r="Q2791" s="9"/>
      <c r="S2791" s="9"/>
      <c r="T2791" s="9"/>
      <c r="V2791" s="9"/>
      <c r="AH2791" s="9"/>
      <c r="AI2791" s="9"/>
      <c r="AJ2791" s="9"/>
      <c r="AK2791" s="23"/>
      <c r="AL2791" s="23"/>
      <c r="AM2791" s="26"/>
      <c r="AN2791" s="9"/>
      <c r="AO2791" s="9"/>
      <c r="AP2791" s="9"/>
      <c r="AQ2791" s="54">
        <f t="shared" si="22"/>
        <v>0</v>
      </c>
      <c r="AR2791" s="52"/>
      <c r="AS2791" s="52"/>
    </row>
    <row r="2792" spans="1:45" ht="14.5" hidden="1">
      <c r="A2792" s="9"/>
      <c r="B2792" s="9"/>
      <c r="C2792" s="9"/>
      <c r="D2792" s="9"/>
      <c r="E2792" s="9"/>
      <c r="F2792" s="9"/>
      <c r="G2792" s="9"/>
      <c r="H2792" s="9"/>
      <c r="I2792" s="9"/>
      <c r="J2792" s="10"/>
      <c r="K2792" s="10"/>
      <c r="L2792" s="50"/>
      <c r="M2792" s="10"/>
      <c r="N2792" s="9"/>
      <c r="O2792" s="9"/>
      <c r="P2792" s="9"/>
      <c r="Q2792" s="9"/>
      <c r="S2792" s="9"/>
      <c r="T2792" s="9"/>
      <c r="V2792" s="9"/>
      <c r="AH2792" s="9"/>
      <c r="AI2792" s="9"/>
      <c r="AJ2792" s="9"/>
      <c r="AK2792" s="23"/>
      <c r="AL2792" s="23"/>
      <c r="AM2792" s="26"/>
      <c r="AN2792" s="9"/>
      <c r="AO2792" s="9"/>
      <c r="AP2792" s="9"/>
      <c r="AQ2792" s="54">
        <f t="shared" ref="AQ2792:AQ3046" si="39">E2792</f>
        <v>0</v>
      </c>
      <c r="AR2792" s="52"/>
      <c r="AS2792" s="52"/>
    </row>
    <row r="2793" spans="1:45" ht="14.5" hidden="1">
      <c r="A2793" s="9"/>
      <c r="B2793" s="9"/>
      <c r="C2793" s="9"/>
      <c r="D2793" s="9"/>
      <c r="E2793" s="9"/>
      <c r="F2793" s="9"/>
      <c r="G2793" s="9"/>
      <c r="H2793" s="9"/>
      <c r="I2793" s="9"/>
      <c r="J2793" s="10"/>
      <c r="K2793" s="10"/>
      <c r="L2793" s="50"/>
      <c r="M2793" s="10"/>
      <c r="N2793" s="9"/>
      <c r="O2793" s="9"/>
      <c r="P2793" s="9"/>
      <c r="Q2793" s="9"/>
      <c r="S2793" s="9"/>
      <c r="T2793" s="9"/>
      <c r="V2793" s="9"/>
      <c r="AH2793" s="9"/>
      <c r="AI2793" s="9"/>
      <c r="AJ2793" s="9"/>
      <c r="AK2793" s="23"/>
      <c r="AL2793" s="23"/>
      <c r="AM2793" s="26"/>
      <c r="AN2793" s="9"/>
      <c r="AO2793" s="9"/>
      <c r="AP2793" s="9"/>
      <c r="AQ2793" s="54">
        <f t="shared" si="39"/>
        <v>0</v>
      </c>
      <c r="AR2793" s="52"/>
      <c r="AS2793" s="52"/>
    </row>
    <row r="2794" spans="1:45" ht="14.5" hidden="1">
      <c r="A2794" s="9"/>
      <c r="B2794" s="9"/>
      <c r="C2794" s="9"/>
      <c r="D2794" s="9"/>
      <c r="E2794" s="9"/>
      <c r="F2794" s="9"/>
      <c r="G2794" s="9"/>
      <c r="H2794" s="9"/>
      <c r="I2794" s="9"/>
      <c r="J2794" s="10"/>
      <c r="K2794" s="10"/>
      <c r="L2794" s="50"/>
      <c r="M2794" s="10"/>
      <c r="N2794" s="9"/>
      <c r="O2794" s="9"/>
      <c r="P2794" s="9"/>
      <c r="Q2794" s="9"/>
      <c r="S2794" s="9"/>
      <c r="T2794" s="9"/>
      <c r="V2794" s="9"/>
      <c r="AH2794" s="9"/>
      <c r="AI2794" s="9"/>
      <c r="AJ2794" s="9"/>
      <c r="AK2794" s="23"/>
      <c r="AL2794" s="23"/>
      <c r="AM2794" s="26"/>
      <c r="AN2794" s="9"/>
      <c r="AO2794" s="9"/>
      <c r="AP2794" s="9"/>
      <c r="AQ2794" s="54">
        <f t="shared" si="39"/>
        <v>0</v>
      </c>
      <c r="AR2794" s="52"/>
      <c r="AS2794" s="52"/>
    </row>
    <row r="2795" spans="1:45" ht="14.5" hidden="1">
      <c r="A2795" s="9"/>
      <c r="B2795" s="9"/>
      <c r="C2795" s="9"/>
      <c r="D2795" s="9"/>
      <c r="E2795" s="9"/>
      <c r="F2795" s="9"/>
      <c r="G2795" s="9"/>
      <c r="H2795" s="9"/>
      <c r="I2795" s="9"/>
      <c r="J2795" s="10"/>
      <c r="K2795" s="10"/>
      <c r="L2795" s="50"/>
      <c r="M2795" s="10"/>
      <c r="N2795" s="9"/>
      <c r="O2795" s="9"/>
      <c r="P2795" s="9"/>
      <c r="Q2795" s="9"/>
      <c r="S2795" s="9"/>
      <c r="T2795" s="9"/>
      <c r="V2795" s="9"/>
      <c r="AH2795" s="9"/>
      <c r="AI2795" s="9"/>
      <c r="AJ2795" s="9"/>
      <c r="AK2795" s="23"/>
      <c r="AL2795" s="23"/>
      <c r="AM2795" s="26"/>
      <c r="AN2795" s="9"/>
      <c r="AO2795" s="9"/>
      <c r="AP2795" s="9"/>
      <c r="AQ2795" s="54">
        <f t="shared" si="39"/>
        <v>0</v>
      </c>
      <c r="AR2795" s="52"/>
      <c r="AS2795" s="52"/>
    </row>
    <row r="2796" spans="1:45" ht="14.5" hidden="1">
      <c r="A2796" s="9"/>
      <c r="B2796" s="9"/>
      <c r="C2796" s="9"/>
      <c r="D2796" s="9"/>
      <c r="E2796" s="9"/>
      <c r="F2796" s="9"/>
      <c r="G2796" s="9"/>
      <c r="H2796" s="9"/>
      <c r="I2796" s="9"/>
      <c r="J2796" s="10"/>
      <c r="K2796" s="10"/>
      <c r="L2796" s="50"/>
      <c r="M2796" s="10"/>
      <c r="N2796" s="9"/>
      <c r="O2796" s="9"/>
      <c r="P2796" s="9"/>
      <c r="Q2796" s="9"/>
      <c r="S2796" s="9"/>
      <c r="T2796" s="9"/>
      <c r="V2796" s="9"/>
      <c r="AH2796" s="9"/>
      <c r="AI2796" s="9"/>
      <c r="AJ2796" s="9"/>
      <c r="AK2796" s="23"/>
      <c r="AL2796" s="23"/>
      <c r="AM2796" s="26"/>
      <c r="AN2796" s="9"/>
      <c r="AO2796" s="9"/>
      <c r="AP2796" s="9"/>
      <c r="AQ2796" s="54">
        <f t="shared" si="39"/>
        <v>0</v>
      </c>
      <c r="AR2796" s="52"/>
      <c r="AS2796" s="52"/>
    </row>
    <row r="2797" spans="1:45" ht="14.5" hidden="1">
      <c r="A2797" s="9"/>
      <c r="B2797" s="9"/>
      <c r="C2797" s="9"/>
      <c r="D2797" s="9"/>
      <c r="E2797" s="9"/>
      <c r="F2797" s="9"/>
      <c r="G2797" s="9"/>
      <c r="H2797" s="9"/>
      <c r="I2797" s="9"/>
      <c r="J2797" s="10"/>
      <c r="K2797" s="10"/>
      <c r="L2797" s="50"/>
      <c r="M2797" s="10"/>
      <c r="N2797" s="9"/>
      <c r="O2797" s="9"/>
      <c r="P2797" s="9"/>
      <c r="Q2797" s="9"/>
      <c r="S2797" s="9"/>
      <c r="T2797" s="9"/>
      <c r="V2797" s="9"/>
      <c r="AH2797" s="9"/>
      <c r="AI2797" s="9"/>
      <c r="AJ2797" s="9"/>
      <c r="AK2797" s="23"/>
      <c r="AL2797" s="23"/>
      <c r="AM2797" s="26"/>
      <c r="AN2797" s="9"/>
      <c r="AO2797" s="9"/>
      <c r="AP2797" s="9"/>
      <c r="AQ2797" s="54">
        <f t="shared" si="39"/>
        <v>0</v>
      </c>
      <c r="AR2797" s="52"/>
      <c r="AS2797" s="52"/>
    </row>
    <row r="2798" spans="1:45" ht="14.5" hidden="1">
      <c r="A2798" s="9"/>
      <c r="B2798" s="9"/>
      <c r="C2798" s="9"/>
      <c r="D2798" s="9"/>
      <c r="E2798" s="9"/>
      <c r="F2798" s="9"/>
      <c r="G2798" s="9"/>
      <c r="H2798" s="9"/>
      <c r="I2798" s="9"/>
      <c r="J2798" s="10"/>
      <c r="K2798" s="10"/>
      <c r="L2798" s="50"/>
      <c r="M2798" s="10"/>
      <c r="N2798" s="9"/>
      <c r="O2798" s="9"/>
      <c r="P2798" s="9"/>
      <c r="Q2798" s="9"/>
      <c r="S2798" s="9"/>
      <c r="T2798" s="9"/>
      <c r="V2798" s="9"/>
      <c r="AH2798" s="9"/>
      <c r="AI2798" s="9"/>
      <c r="AJ2798" s="9"/>
      <c r="AK2798" s="23"/>
      <c r="AL2798" s="23"/>
      <c r="AM2798" s="26"/>
      <c r="AN2798" s="9"/>
      <c r="AO2798" s="9"/>
      <c r="AP2798" s="9"/>
      <c r="AQ2798" s="54">
        <f t="shared" si="39"/>
        <v>0</v>
      </c>
      <c r="AR2798" s="52"/>
      <c r="AS2798" s="52"/>
    </row>
    <row r="2799" spans="1:45" ht="14.5" hidden="1">
      <c r="A2799" s="9"/>
      <c r="B2799" s="9"/>
      <c r="C2799" s="9"/>
      <c r="D2799" s="9"/>
      <c r="E2799" s="9"/>
      <c r="F2799" s="9"/>
      <c r="G2799" s="9"/>
      <c r="H2799" s="9"/>
      <c r="I2799" s="9"/>
      <c r="J2799" s="10"/>
      <c r="K2799" s="10"/>
      <c r="L2799" s="50"/>
      <c r="M2799" s="10"/>
      <c r="N2799" s="9"/>
      <c r="O2799" s="9"/>
      <c r="P2799" s="9"/>
      <c r="Q2799" s="9"/>
      <c r="S2799" s="9"/>
      <c r="T2799" s="9"/>
      <c r="V2799" s="9"/>
      <c r="AH2799" s="9"/>
      <c r="AI2799" s="9"/>
      <c r="AJ2799" s="9"/>
      <c r="AK2799" s="23"/>
      <c r="AL2799" s="23"/>
      <c r="AM2799" s="26"/>
      <c r="AN2799" s="9"/>
      <c r="AO2799" s="9"/>
      <c r="AP2799" s="9"/>
      <c r="AQ2799" s="54">
        <f t="shared" si="39"/>
        <v>0</v>
      </c>
      <c r="AR2799" s="52"/>
      <c r="AS2799" s="52"/>
    </row>
    <row r="2800" spans="1:45" ht="14.5" hidden="1">
      <c r="A2800" s="9"/>
      <c r="B2800" s="9"/>
      <c r="C2800" s="9"/>
      <c r="D2800" s="9"/>
      <c r="E2800" s="9"/>
      <c r="F2800" s="9"/>
      <c r="G2800" s="9"/>
      <c r="H2800" s="9"/>
      <c r="I2800" s="9"/>
      <c r="J2800" s="10"/>
      <c r="K2800" s="10"/>
      <c r="L2800" s="50"/>
      <c r="M2800" s="10"/>
      <c r="N2800" s="9"/>
      <c r="O2800" s="9"/>
      <c r="P2800" s="9"/>
      <c r="Q2800" s="9"/>
      <c r="S2800" s="9"/>
      <c r="T2800" s="9"/>
      <c r="V2800" s="9"/>
      <c r="AH2800" s="9"/>
      <c r="AI2800" s="9"/>
      <c r="AJ2800" s="9"/>
      <c r="AK2800" s="23"/>
      <c r="AL2800" s="23"/>
      <c r="AM2800" s="26"/>
      <c r="AN2800" s="9"/>
      <c r="AO2800" s="9"/>
      <c r="AP2800" s="9"/>
      <c r="AQ2800" s="54">
        <f t="shared" si="39"/>
        <v>0</v>
      </c>
      <c r="AR2800" s="52"/>
      <c r="AS2800" s="52"/>
    </row>
    <row r="2801" spans="1:45" ht="14.5" hidden="1">
      <c r="A2801" s="9"/>
      <c r="B2801" s="9"/>
      <c r="C2801" s="9"/>
      <c r="D2801" s="9"/>
      <c r="E2801" s="9"/>
      <c r="F2801" s="9"/>
      <c r="G2801" s="9"/>
      <c r="H2801" s="9"/>
      <c r="I2801" s="9"/>
      <c r="J2801" s="10"/>
      <c r="K2801" s="10"/>
      <c r="L2801" s="50"/>
      <c r="M2801" s="10"/>
      <c r="N2801" s="9"/>
      <c r="O2801" s="9"/>
      <c r="P2801" s="9"/>
      <c r="Q2801" s="9"/>
      <c r="S2801" s="9"/>
      <c r="T2801" s="9"/>
      <c r="V2801" s="9"/>
      <c r="AH2801" s="9"/>
      <c r="AI2801" s="9"/>
      <c r="AJ2801" s="9"/>
      <c r="AK2801" s="23"/>
      <c r="AL2801" s="23"/>
      <c r="AM2801" s="26"/>
      <c r="AN2801" s="9"/>
      <c r="AO2801" s="9"/>
      <c r="AP2801" s="9"/>
      <c r="AQ2801" s="54">
        <f t="shared" si="39"/>
        <v>0</v>
      </c>
      <c r="AR2801" s="52"/>
      <c r="AS2801" s="52"/>
    </row>
    <row r="2802" spans="1:45" ht="14.5" hidden="1">
      <c r="A2802" s="9"/>
      <c r="B2802" s="9"/>
      <c r="C2802" s="9"/>
      <c r="D2802" s="9"/>
      <c r="E2802" s="9"/>
      <c r="F2802" s="9"/>
      <c r="G2802" s="9"/>
      <c r="H2802" s="9"/>
      <c r="I2802" s="9"/>
      <c r="J2802" s="10"/>
      <c r="K2802" s="10"/>
      <c r="L2802" s="50"/>
      <c r="M2802" s="10"/>
      <c r="N2802" s="9"/>
      <c r="O2802" s="9"/>
      <c r="P2802" s="9"/>
      <c r="Q2802" s="9"/>
      <c r="S2802" s="9"/>
      <c r="T2802" s="9"/>
      <c r="V2802" s="9"/>
      <c r="AH2802" s="9"/>
      <c r="AI2802" s="9"/>
      <c r="AJ2802" s="9"/>
      <c r="AK2802" s="23"/>
      <c r="AL2802" s="23"/>
      <c r="AM2802" s="26"/>
      <c r="AN2802" s="9"/>
      <c r="AO2802" s="9"/>
      <c r="AP2802" s="9"/>
      <c r="AQ2802" s="54">
        <f t="shared" si="39"/>
        <v>0</v>
      </c>
      <c r="AR2802" s="52"/>
      <c r="AS2802" s="52"/>
    </row>
    <row r="2803" spans="1:45" ht="14.5" hidden="1">
      <c r="A2803" s="9"/>
      <c r="B2803" s="9"/>
      <c r="C2803" s="9"/>
      <c r="D2803" s="9"/>
      <c r="E2803" s="9"/>
      <c r="F2803" s="9"/>
      <c r="G2803" s="9"/>
      <c r="H2803" s="9"/>
      <c r="I2803" s="9"/>
      <c r="J2803" s="10"/>
      <c r="K2803" s="10"/>
      <c r="L2803" s="50"/>
      <c r="M2803" s="10"/>
      <c r="N2803" s="9"/>
      <c r="O2803" s="9"/>
      <c r="P2803" s="9"/>
      <c r="Q2803" s="9"/>
      <c r="S2803" s="9"/>
      <c r="T2803" s="9"/>
      <c r="V2803" s="9"/>
      <c r="AH2803" s="9"/>
      <c r="AI2803" s="9"/>
      <c r="AJ2803" s="9"/>
      <c r="AK2803" s="23"/>
      <c r="AL2803" s="23"/>
      <c r="AM2803" s="26"/>
      <c r="AN2803" s="9"/>
      <c r="AO2803" s="9"/>
      <c r="AP2803" s="9"/>
      <c r="AQ2803" s="54">
        <f t="shared" si="39"/>
        <v>0</v>
      </c>
      <c r="AR2803" s="52"/>
      <c r="AS2803" s="52"/>
    </row>
    <row r="2804" spans="1:45" ht="14.5" hidden="1">
      <c r="A2804" s="9"/>
      <c r="B2804" s="9"/>
      <c r="C2804" s="9"/>
      <c r="D2804" s="9"/>
      <c r="E2804" s="9"/>
      <c r="F2804" s="9"/>
      <c r="G2804" s="9"/>
      <c r="H2804" s="9"/>
      <c r="I2804" s="9"/>
      <c r="J2804" s="10"/>
      <c r="K2804" s="10"/>
      <c r="L2804" s="50"/>
      <c r="M2804" s="10"/>
      <c r="N2804" s="9"/>
      <c r="O2804" s="9"/>
      <c r="P2804" s="9"/>
      <c r="Q2804" s="9"/>
      <c r="S2804" s="9"/>
      <c r="T2804" s="9"/>
      <c r="V2804" s="9"/>
      <c r="AH2804" s="9"/>
      <c r="AI2804" s="9"/>
      <c r="AJ2804" s="9"/>
      <c r="AK2804" s="23"/>
      <c r="AL2804" s="23"/>
      <c r="AM2804" s="26"/>
      <c r="AN2804" s="9"/>
      <c r="AO2804" s="9"/>
      <c r="AP2804" s="9"/>
      <c r="AQ2804" s="54">
        <f t="shared" si="39"/>
        <v>0</v>
      </c>
      <c r="AR2804" s="52"/>
      <c r="AS2804" s="52"/>
    </row>
    <row r="2805" spans="1:45" ht="14.5" hidden="1">
      <c r="A2805" s="9"/>
      <c r="B2805" s="9"/>
      <c r="C2805" s="9"/>
      <c r="D2805" s="9"/>
      <c r="E2805" s="9"/>
      <c r="F2805" s="9"/>
      <c r="G2805" s="9"/>
      <c r="H2805" s="9"/>
      <c r="I2805" s="9"/>
      <c r="J2805" s="10"/>
      <c r="K2805" s="10"/>
      <c r="L2805" s="50"/>
      <c r="M2805" s="10"/>
      <c r="N2805" s="9"/>
      <c r="O2805" s="9"/>
      <c r="P2805" s="9"/>
      <c r="Q2805" s="9"/>
      <c r="S2805" s="9"/>
      <c r="T2805" s="9"/>
      <c r="V2805" s="9"/>
      <c r="AH2805" s="9"/>
      <c r="AI2805" s="9"/>
      <c r="AJ2805" s="9"/>
      <c r="AK2805" s="23"/>
      <c r="AL2805" s="23"/>
      <c r="AM2805" s="26"/>
      <c r="AN2805" s="9"/>
      <c r="AO2805" s="9"/>
      <c r="AP2805" s="9"/>
      <c r="AQ2805" s="54">
        <f t="shared" si="39"/>
        <v>0</v>
      </c>
      <c r="AR2805" s="52"/>
      <c r="AS2805" s="52"/>
    </row>
    <row r="2806" spans="1:45" ht="14.5" hidden="1">
      <c r="A2806" s="9"/>
      <c r="B2806" s="9"/>
      <c r="C2806" s="9"/>
      <c r="D2806" s="9"/>
      <c r="E2806" s="9"/>
      <c r="F2806" s="9"/>
      <c r="G2806" s="9"/>
      <c r="H2806" s="9"/>
      <c r="I2806" s="9"/>
      <c r="J2806" s="10"/>
      <c r="K2806" s="10"/>
      <c r="L2806" s="50"/>
      <c r="M2806" s="10"/>
      <c r="N2806" s="9"/>
      <c r="O2806" s="9"/>
      <c r="P2806" s="9"/>
      <c r="Q2806" s="9"/>
      <c r="S2806" s="9"/>
      <c r="T2806" s="9"/>
      <c r="V2806" s="9"/>
      <c r="AH2806" s="9"/>
      <c r="AI2806" s="9"/>
      <c r="AJ2806" s="9"/>
      <c r="AK2806" s="23"/>
      <c r="AL2806" s="23"/>
      <c r="AM2806" s="26"/>
      <c r="AN2806" s="9"/>
      <c r="AO2806" s="9"/>
      <c r="AP2806" s="9"/>
      <c r="AQ2806" s="54">
        <f t="shared" si="39"/>
        <v>0</v>
      </c>
      <c r="AR2806" s="52"/>
      <c r="AS2806" s="52"/>
    </row>
    <row r="2807" spans="1:45" ht="14.5" hidden="1">
      <c r="A2807" s="9"/>
      <c r="B2807" s="9"/>
      <c r="C2807" s="9"/>
      <c r="D2807" s="9"/>
      <c r="E2807" s="9"/>
      <c r="F2807" s="9"/>
      <c r="G2807" s="9"/>
      <c r="H2807" s="9"/>
      <c r="I2807" s="9"/>
      <c r="J2807" s="10"/>
      <c r="K2807" s="10"/>
      <c r="L2807" s="50"/>
      <c r="M2807" s="10"/>
      <c r="N2807" s="9"/>
      <c r="O2807" s="9"/>
      <c r="P2807" s="9"/>
      <c r="Q2807" s="9"/>
      <c r="S2807" s="9"/>
      <c r="T2807" s="9"/>
      <c r="V2807" s="9"/>
      <c r="AH2807" s="9"/>
      <c r="AI2807" s="9"/>
      <c r="AJ2807" s="9"/>
      <c r="AK2807" s="23"/>
      <c r="AL2807" s="23"/>
      <c r="AM2807" s="26"/>
      <c r="AN2807" s="9"/>
      <c r="AO2807" s="9"/>
      <c r="AP2807" s="9"/>
      <c r="AQ2807" s="54">
        <f t="shared" si="39"/>
        <v>0</v>
      </c>
      <c r="AR2807" s="52"/>
      <c r="AS2807" s="52"/>
    </row>
    <row r="2808" spans="1:45" ht="14.5" hidden="1">
      <c r="A2808" s="9"/>
      <c r="B2808" s="9"/>
      <c r="C2808" s="9"/>
      <c r="D2808" s="9"/>
      <c r="E2808" s="9"/>
      <c r="F2808" s="9"/>
      <c r="G2808" s="9"/>
      <c r="H2808" s="9"/>
      <c r="I2808" s="9"/>
      <c r="J2808" s="10"/>
      <c r="K2808" s="10"/>
      <c r="L2808" s="50"/>
      <c r="M2808" s="10"/>
      <c r="N2808" s="9"/>
      <c r="O2808" s="9"/>
      <c r="P2808" s="9"/>
      <c r="Q2808" s="9"/>
      <c r="S2808" s="9"/>
      <c r="T2808" s="9"/>
      <c r="V2808" s="9"/>
      <c r="AH2808" s="9"/>
      <c r="AI2808" s="9"/>
      <c r="AJ2808" s="9"/>
      <c r="AK2808" s="23"/>
      <c r="AL2808" s="23"/>
      <c r="AM2808" s="26"/>
      <c r="AN2808" s="9"/>
      <c r="AO2808" s="9"/>
      <c r="AP2808" s="9"/>
      <c r="AQ2808" s="54">
        <f t="shared" si="39"/>
        <v>0</v>
      </c>
      <c r="AR2808" s="52"/>
      <c r="AS2808" s="52"/>
    </row>
    <row r="2809" spans="1:45" ht="14.5" hidden="1">
      <c r="A2809" s="9"/>
      <c r="B2809" s="9"/>
      <c r="C2809" s="9"/>
      <c r="D2809" s="9"/>
      <c r="E2809" s="9"/>
      <c r="F2809" s="9"/>
      <c r="G2809" s="9"/>
      <c r="H2809" s="9"/>
      <c r="I2809" s="9"/>
      <c r="J2809" s="10"/>
      <c r="K2809" s="10"/>
      <c r="L2809" s="50"/>
      <c r="M2809" s="10"/>
      <c r="N2809" s="9"/>
      <c r="O2809" s="9"/>
      <c r="P2809" s="9"/>
      <c r="Q2809" s="9"/>
      <c r="S2809" s="9"/>
      <c r="T2809" s="9"/>
      <c r="V2809" s="9"/>
      <c r="AH2809" s="9"/>
      <c r="AI2809" s="9"/>
      <c r="AJ2809" s="9"/>
      <c r="AK2809" s="23"/>
      <c r="AL2809" s="23"/>
      <c r="AM2809" s="26"/>
      <c r="AN2809" s="9"/>
      <c r="AO2809" s="9"/>
      <c r="AP2809" s="9"/>
      <c r="AQ2809" s="54">
        <f t="shared" si="39"/>
        <v>0</v>
      </c>
      <c r="AR2809" s="52"/>
      <c r="AS2809" s="52"/>
    </row>
    <row r="2810" spans="1:45" ht="14.5" hidden="1">
      <c r="A2810" s="9"/>
      <c r="B2810" s="9"/>
      <c r="C2810" s="9"/>
      <c r="D2810" s="9"/>
      <c r="E2810" s="9"/>
      <c r="F2810" s="9"/>
      <c r="G2810" s="9"/>
      <c r="H2810" s="9"/>
      <c r="I2810" s="9"/>
      <c r="J2810" s="10"/>
      <c r="K2810" s="10"/>
      <c r="L2810" s="50"/>
      <c r="M2810" s="10"/>
      <c r="N2810" s="9"/>
      <c r="O2810" s="9"/>
      <c r="P2810" s="9"/>
      <c r="Q2810" s="9"/>
      <c r="S2810" s="9"/>
      <c r="T2810" s="9"/>
      <c r="V2810" s="9"/>
      <c r="AH2810" s="9"/>
      <c r="AI2810" s="9"/>
      <c r="AJ2810" s="9"/>
      <c r="AK2810" s="23"/>
      <c r="AL2810" s="23"/>
      <c r="AM2810" s="26"/>
      <c r="AN2810" s="9"/>
      <c r="AO2810" s="9"/>
      <c r="AP2810" s="9"/>
      <c r="AQ2810" s="54">
        <f t="shared" si="39"/>
        <v>0</v>
      </c>
      <c r="AR2810" s="52"/>
      <c r="AS2810" s="52"/>
    </row>
    <row r="2811" spans="1:45" ht="14.5" hidden="1">
      <c r="A2811" s="9"/>
      <c r="B2811" s="9"/>
      <c r="C2811" s="9"/>
      <c r="D2811" s="9"/>
      <c r="E2811" s="9"/>
      <c r="F2811" s="9"/>
      <c r="G2811" s="9"/>
      <c r="H2811" s="9"/>
      <c r="I2811" s="9"/>
      <c r="J2811" s="10"/>
      <c r="K2811" s="10"/>
      <c r="L2811" s="50"/>
      <c r="M2811" s="10"/>
      <c r="N2811" s="9"/>
      <c r="O2811" s="9"/>
      <c r="P2811" s="9"/>
      <c r="Q2811" s="9"/>
      <c r="S2811" s="9"/>
      <c r="T2811" s="9"/>
      <c r="V2811" s="9"/>
      <c r="AH2811" s="9"/>
      <c r="AI2811" s="9"/>
      <c r="AJ2811" s="9"/>
      <c r="AK2811" s="23"/>
      <c r="AL2811" s="23"/>
      <c r="AM2811" s="26"/>
      <c r="AN2811" s="9"/>
      <c r="AO2811" s="9"/>
      <c r="AP2811" s="9"/>
      <c r="AQ2811" s="54">
        <f t="shared" si="39"/>
        <v>0</v>
      </c>
      <c r="AR2811" s="52"/>
      <c r="AS2811" s="52"/>
    </row>
    <row r="2812" spans="1:45" ht="14.5" hidden="1">
      <c r="A2812" s="9"/>
      <c r="B2812" s="9"/>
      <c r="C2812" s="9"/>
      <c r="D2812" s="9"/>
      <c r="E2812" s="9"/>
      <c r="F2812" s="9"/>
      <c r="G2812" s="9"/>
      <c r="H2812" s="9"/>
      <c r="I2812" s="9"/>
      <c r="J2812" s="10"/>
      <c r="K2812" s="10"/>
      <c r="L2812" s="50"/>
      <c r="M2812" s="10"/>
      <c r="N2812" s="9"/>
      <c r="O2812" s="9"/>
      <c r="P2812" s="9"/>
      <c r="Q2812" s="9"/>
      <c r="S2812" s="9"/>
      <c r="T2812" s="9"/>
      <c r="V2812" s="9"/>
      <c r="AH2812" s="9"/>
      <c r="AI2812" s="9"/>
      <c r="AJ2812" s="9"/>
      <c r="AK2812" s="23"/>
      <c r="AL2812" s="23"/>
      <c r="AM2812" s="26"/>
      <c r="AN2812" s="9"/>
      <c r="AO2812" s="9"/>
      <c r="AP2812" s="9"/>
      <c r="AQ2812" s="54">
        <f t="shared" si="39"/>
        <v>0</v>
      </c>
      <c r="AR2812" s="52"/>
      <c r="AS2812" s="52"/>
    </row>
    <row r="2813" spans="1:45" ht="14.5" hidden="1">
      <c r="A2813" s="9"/>
      <c r="B2813" s="9"/>
      <c r="C2813" s="9"/>
      <c r="D2813" s="9"/>
      <c r="E2813" s="9"/>
      <c r="F2813" s="9"/>
      <c r="G2813" s="9"/>
      <c r="H2813" s="9"/>
      <c r="I2813" s="9"/>
      <c r="J2813" s="10"/>
      <c r="K2813" s="10"/>
      <c r="L2813" s="50"/>
      <c r="M2813" s="10"/>
      <c r="N2813" s="9"/>
      <c r="O2813" s="9"/>
      <c r="P2813" s="9"/>
      <c r="Q2813" s="9"/>
      <c r="S2813" s="9"/>
      <c r="T2813" s="9"/>
      <c r="V2813" s="9"/>
      <c r="AH2813" s="9"/>
      <c r="AI2813" s="9"/>
      <c r="AJ2813" s="9"/>
      <c r="AK2813" s="23"/>
      <c r="AL2813" s="23"/>
      <c r="AM2813" s="26"/>
      <c r="AN2813" s="9"/>
      <c r="AO2813" s="9"/>
      <c r="AP2813" s="9"/>
      <c r="AQ2813" s="54">
        <f t="shared" si="39"/>
        <v>0</v>
      </c>
      <c r="AR2813" s="52"/>
      <c r="AS2813" s="52"/>
    </row>
    <row r="2814" spans="1:45" ht="14.5" hidden="1">
      <c r="A2814" s="9"/>
      <c r="B2814" s="9"/>
      <c r="C2814" s="9"/>
      <c r="D2814" s="9"/>
      <c r="E2814" s="9"/>
      <c r="F2814" s="9"/>
      <c r="G2814" s="9"/>
      <c r="H2814" s="9"/>
      <c r="I2814" s="9"/>
      <c r="J2814" s="10"/>
      <c r="K2814" s="10"/>
      <c r="L2814" s="50"/>
      <c r="M2814" s="10"/>
      <c r="N2814" s="9"/>
      <c r="O2814" s="9"/>
      <c r="P2814" s="9"/>
      <c r="Q2814" s="9"/>
      <c r="S2814" s="9"/>
      <c r="T2814" s="9"/>
      <c r="V2814" s="9"/>
      <c r="AH2814" s="9"/>
      <c r="AI2814" s="9"/>
      <c r="AJ2814" s="9"/>
      <c r="AK2814" s="23"/>
      <c r="AL2814" s="23"/>
      <c r="AM2814" s="26"/>
      <c r="AN2814" s="9"/>
      <c r="AO2814" s="9"/>
      <c r="AP2814" s="9"/>
      <c r="AQ2814" s="54">
        <f t="shared" si="39"/>
        <v>0</v>
      </c>
      <c r="AR2814" s="52"/>
      <c r="AS2814" s="52"/>
    </row>
    <row r="2815" spans="1:45" ht="14.5" hidden="1">
      <c r="A2815" s="9"/>
      <c r="B2815" s="9"/>
      <c r="C2815" s="9"/>
      <c r="D2815" s="9"/>
      <c r="E2815" s="9"/>
      <c r="F2815" s="9"/>
      <c r="G2815" s="9"/>
      <c r="H2815" s="9"/>
      <c r="I2815" s="9"/>
      <c r="J2815" s="10"/>
      <c r="K2815" s="10"/>
      <c r="L2815" s="50"/>
      <c r="M2815" s="10"/>
      <c r="N2815" s="9"/>
      <c r="O2815" s="9"/>
      <c r="P2815" s="9"/>
      <c r="Q2815" s="9"/>
      <c r="S2815" s="9"/>
      <c r="T2815" s="9"/>
      <c r="V2815" s="9"/>
      <c r="AH2815" s="9"/>
      <c r="AI2815" s="9"/>
      <c r="AJ2815" s="9"/>
      <c r="AK2815" s="23"/>
      <c r="AL2815" s="23"/>
      <c r="AM2815" s="26"/>
      <c r="AN2815" s="9"/>
      <c r="AO2815" s="9"/>
      <c r="AP2815" s="9"/>
      <c r="AQ2815" s="54">
        <f t="shared" si="39"/>
        <v>0</v>
      </c>
      <c r="AR2815" s="52"/>
      <c r="AS2815" s="52"/>
    </row>
    <row r="2816" spans="1:45" ht="14.5" hidden="1">
      <c r="A2816" s="9"/>
      <c r="B2816" s="9"/>
      <c r="C2816" s="9"/>
      <c r="D2816" s="9"/>
      <c r="E2816" s="9"/>
      <c r="F2816" s="9"/>
      <c r="G2816" s="9"/>
      <c r="H2816" s="9"/>
      <c r="I2816" s="9"/>
      <c r="J2816" s="10"/>
      <c r="K2816" s="10"/>
      <c r="L2816" s="50"/>
      <c r="M2816" s="10"/>
      <c r="N2816" s="9"/>
      <c r="O2816" s="9"/>
      <c r="P2816" s="9"/>
      <c r="Q2816" s="9"/>
      <c r="S2816" s="9"/>
      <c r="T2816" s="9"/>
      <c r="V2816" s="9"/>
      <c r="AH2816" s="9"/>
      <c r="AI2816" s="9"/>
      <c r="AJ2816" s="9"/>
      <c r="AK2816" s="23"/>
      <c r="AL2816" s="23"/>
      <c r="AM2816" s="26"/>
      <c r="AN2816" s="9"/>
      <c r="AO2816" s="9"/>
      <c r="AP2816" s="9"/>
      <c r="AQ2816" s="54">
        <f t="shared" si="39"/>
        <v>0</v>
      </c>
      <c r="AR2816" s="52"/>
      <c r="AS2816" s="52"/>
    </row>
    <row r="2817" spans="1:45" ht="14.5" hidden="1">
      <c r="A2817" s="9"/>
      <c r="B2817" s="9"/>
      <c r="C2817" s="9"/>
      <c r="D2817" s="9"/>
      <c r="E2817" s="9"/>
      <c r="F2817" s="9"/>
      <c r="G2817" s="9"/>
      <c r="H2817" s="9"/>
      <c r="I2817" s="9"/>
      <c r="J2817" s="10"/>
      <c r="K2817" s="10"/>
      <c r="L2817" s="50"/>
      <c r="M2817" s="10"/>
      <c r="N2817" s="9"/>
      <c r="O2817" s="9"/>
      <c r="P2817" s="9"/>
      <c r="Q2817" s="9"/>
      <c r="S2817" s="9"/>
      <c r="T2817" s="9"/>
      <c r="V2817" s="9"/>
      <c r="AH2817" s="9"/>
      <c r="AI2817" s="9"/>
      <c r="AJ2817" s="9"/>
      <c r="AK2817" s="23"/>
      <c r="AL2817" s="23"/>
      <c r="AM2817" s="26"/>
      <c r="AN2817" s="9"/>
      <c r="AO2817" s="9"/>
      <c r="AP2817" s="9"/>
      <c r="AQ2817" s="54">
        <f t="shared" si="39"/>
        <v>0</v>
      </c>
      <c r="AR2817" s="52"/>
      <c r="AS2817" s="52"/>
    </row>
    <row r="2818" spans="1:45" ht="14.5" hidden="1">
      <c r="A2818" s="9"/>
      <c r="B2818" s="9"/>
      <c r="C2818" s="9"/>
      <c r="D2818" s="9"/>
      <c r="E2818" s="9"/>
      <c r="F2818" s="9"/>
      <c r="G2818" s="9"/>
      <c r="H2818" s="9"/>
      <c r="I2818" s="9"/>
      <c r="J2818" s="10"/>
      <c r="K2818" s="10"/>
      <c r="L2818" s="50"/>
      <c r="M2818" s="10"/>
      <c r="N2818" s="9"/>
      <c r="O2818" s="9"/>
      <c r="P2818" s="9"/>
      <c r="Q2818" s="9"/>
      <c r="S2818" s="9"/>
      <c r="T2818" s="9"/>
      <c r="V2818" s="9"/>
      <c r="AH2818" s="9"/>
      <c r="AI2818" s="9"/>
      <c r="AJ2818" s="9"/>
      <c r="AK2818" s="23"/>
      <c r="AL2818" s="23"/>
      <c r="AM2818" s="26"/>
      <c r="AN2818" s="9"/>
      <c r="AO2818" s="9"/>
      <c r="AP2818" s="9"/>
      <c r="AQ2818" s="54">
        <f t="shared" si="39"/>
        <v>0</v>
      </c>
      <c r="AR2818" s="52"/>
      <c r="AS2818" s="52"/>
    </row>
    <row r="2819" spans="1:45" ht="14.5" hidden="1">
      <c r="A2819" s="9"/>
      <c r="B2819" s="9"/>
      <c r="C2819" s="9"/>
      <c r="D2819" s="9"/>
      <c r="E2819" s="9"/>
      <c r="F2819" s="9"/>
      <c r="G2819" s="9"/>
      <c r="H2819" s="9"/>
      <c r="I2819" s="9"/>
      <c r="J2819" s="10"/>
      <c r="K2819" s="10"/>
      <c r="L2819" s="50"/>
      <c r="M2819" s="10"/>
      <c r="N2819" s="9"/>
      <c r="O2819" s="9"/>
      <c r="P2819" s="9"/>
      <c r="Q2819" s="9"/>
      <c r="S2819" s="9"/>
      <c r="T2819" s="9"/>
      <c r="V2819" s="9"/>
      <c r="AH2819" s="9"/>
      <c r="AI2819" s="9"/>
      <c r="AJ2819" s="9"/>
      <c r="AK2819" s="23"/>
      <c r="AL2819" s="23"/>
      <c r="AM2819" s="26"/>
      <c r="AN2819" s="9"/>
      <c r="AO2819" s="9"/>
      <c r="AP2819" s="9"/>
      <c r="AQ2819" s="54">
        <f t="shared" si="39"/>
        <v>0</v>
      </c>
      <c r="AR2819" s="52"/>
      <c r="AS2819" s="52"/>
    </row>
    <row r="2820" spans="1:45" ht="14.5" hidden="1">
      <c r="A2820" s="9"/>
      <c r="B2820" s="9"/>
      <c r="C2820" s="9"/>
      <c r="D2820" s="9"/>
      <c r="E2820" s="9"/>
      <c r="F2820" s="9"/>
      <c r="G2820" s="9"/>
      <c r="H2820" s="9"/>
      <c r="I2820" s="9"/>
      <c r="J2820" s="10"/>
      <c r="K2820" s="10"/>
      <c r="L2820" s="50"/>
      <c r="M2820" s="10"/>
      <c r="N2820" s="9"/>
      <c r="O2820" s="9"/>
      <c r="P2820" s="9"/>
      <c r="Q2820" s="9"/>
      <c r="S2820" s="9"/>
      <c r="T2820" s="9"/>
      <c r="V2820" s="9"/>
      <c r="AH2820" s="9"/>
      <c r="AI2820" s="9"/>
      <c r="AJ2820" s="9"/>
      <c r="AK2820" s="23"/>
      <c r="AL2820" s="23"/>
      <c r="AM2820" s="26"/>
      <c r="AN2820" s="9"/>
      <c r="AO2820" s="9"/>
      <c r="AP2820" s="9"/>
      <c r="AQ2820" s="54">
        <f t="shared" si="39"/>
        <v>0</v>
      </c>
      <c r="AR2820" s="52"/>
      <c r="AS2820" s="52"/>
    </row>
    <row r="2821" spans="1:45" ht="14.5" hidden="1">
      <c r="A2821" s="9"/>
      <c r="B2821" s="9"/>
      <c r="C2821" s="9"/>
      <c r="D2821" s="9"/>
      <c r="E2821" s="9"/>
      <c r="F2821" s="9"/>
      <c r="G2821" s="9"/>
      <c r="H2821" s="9"/>
      <c r="I2821" s="9"/>
      <c r="J2821" s="10"/>
      <c r="K2821" s="10"/>
      <c r="L2821" s="50"/>
      <c r="M2821" s="10"/>
      <c r="N2821" s="9"/>
      <c r="O2821" s="9"/>
      <c r="P2821" s="9"/>
      <c r="Q2821" s="9"/>
      <c r="S2821" s="9"/>
      <c r="T2821" s="9"/>
      <c r="V2821" s="9"/>
      <c r="AH2821" s="9"/>
      <c r="AI2821" s="9"/>
      <c r="AJ2821" s="9"/>
      <c r="AK2821" s="23"/>
      <c r="AL2821" s="23"/>
      <c r="AM2821" s="26"/>
      <c r="AN2821" s="9"/>
      <c r="AO2821" s="9"/>
      <c r="AP2821" s="9"/>
      <c r="AQ2821" s="54">
        <f t="shared" si="39"/>
        <v>0</v>
      </c>
      <c r="AR2821" s="52"/>
      <c r="AS2821" s="52"/>
    </row>
    <row r="2822" spans="1:45" ht="14.5" hidden="1">
      <c r="A2822" s="9"/>
      <c r="B2822" s="9"/>
      <c r="C2822" s="9"/>
      <c r="D2822" s="9"/>
      <c r="E2822" s="9"/>
      <c r="F2822" s="9"/>
      <c r="G2822" s="9"/>
      <c r="H2822" s="9"/>
      <c r="I2822" s="9"/>
      <c r="J2822" s="10"/>
      <c r="K2822" s="10"/>
      <c r="L2822" s="50"/>
      <c r="M2822" s="10"/>
      <c r="N2822" s="9"/>
      <c r="O2822" s="9"/>
      <c r="P2822" s="9"/>
      <c r="Q2822" s="9"/>
      <c r="S2822" s="9"/>
      <c r="T2822" s="9"/>
      <c r="V2822" s="9"/>
      <c r="AH2822" s="9"/>
      <c r="AI2822" s="9"/>
      <c r="AJ2822" s="9"/>
      <c r="AK2822" s="23"/>
      <c r="AL2822" s="23"/>
      <c r="AM2822" s="26"/>
      <c r="AN2822" s="9"/>
      <c r="AO2822" s="9"/>
      <c r="AP2822" s="9"/>
      <c r="AQ2822" s="54">
        <f t="shared" si="39"/>
        <v>0</v>
      </c>
      <c r="AR2822" s="52"/>
      <c r="AS2822" s="52"/>
    </row>
    <row r="2823" spans="1:45" ht="14.5" hidden="1">
      <c r="A2823" s="9"/>
      <c r="B2823" s="9"/>
      <c r="C2823" s="9"/>
      <c r="D2823" s="9"/>
      <c r="E2823" s="9"/>
      <c r="F2823" s="9"/>
      <c r="G2823" s="9"/>
      <c r="H2823" s="9"/>
      <c r="I2823" s="9"/>
      <c r="J2823" s="10"/>
      <c r="K2823" s="10"/>
      <c r="L2823" s="50"/>
      <c r="M2823" s="10"/>
      <c r="N2823" s="9"/>
      <c r="O2823" s="9"/>
      <c r="P2823" s="9"/>
      <c r="Q2823" s="9"/>
      <c r="S2823" s="9"/>
      <c r="T2823" s="9"/>
      <c r="V2823" s="9"/>
      <c r="AH2823" s="9"/>
      <c r="AI2823" s="9"/>
      <c r="AJ2823" s="9"/>
      <c r="AK2823" s="23"/>
      <c r="AL2823" s="23"/>
      <c r="AM2823" s="26"/>
      <c r="AN2823" s="9"/>
      <c r="AO2823" s="9"/>
      <c r="AP2823" s="9"/>
      <c r="AQ2823" s="54">
        <f t="shared" si="39"/>
        <v>0</v>
      </c>
      <c r="AR2823" s="52"/>
      <c r="AS2823" s="52"/>
    </row>
    <row r="2824" spans="1:45" ht="14.5" hidden="1">
      <c r="A2824" s="9"/>
      <c r="B2824" s="9"/>
      <c r="C2824" s="9"/>
      <c r="D2824" s="9"/>
      <c r="E2824" s="9"/>
      <c r="F2824" s="9"/>
      <c r="G2824" s="9"/>
      <c r="H2824" s="9"/>
      <c r="I2824" s="9"/>
      <c r="J2824" s="10"/>
      <c r="K2824" s="10"/>
      <c r="L2824" s="50"/>
      <c r="M2824" s="10"/>
      <c r="N2824" s="9"/>
      <c r="O2824" s="9"/>
      <c r="P2824" s="9"/>
      <c r="Q2824" s="9"/>
      <c r="S2824" s="9"/>
      <c r="T2824" s="9"/>
      <c r="V2824" s="9"/>
      <c r="AH2824" s="9"/>
      <c r="AI2824" s="9"/>
      <c r="AJ2824" s="9"/>
      <c r="AK2824" s="23"/>
      <c r="AL2824" s="23"/>
      <c r="AM2824" s="26"/>
      <c r="AN2824" s="9"/>
      <c r="AO2824" s="9"/>
      <c r="AP2824" s="9"/>
      <c r="AQ2824" s="54">
        <f t="shared" si="39"/>
        <v>0</v>
      </c>
      <c r="AR2824" s="52"/>
      <c r="AS2824" s="52"/>
    </row>
    <row r="2825" spans="1:45" ht="14.5" hidden="1">
      <c r="A2825" s="9"/>
      <c r="B2825" s="9"/>
      <c r="C2825" s="9"/>
      <c r="D2825" s="9"/>
      <c r="E2825" s="9"/>
      <c r="F2825" s="9"/>
      <c r="G2825" s="9"/>
      <c r="H2825" s="9"/>
      <c r="I2825" s="9"/>
      <c r="J2825" s="10"/>
      <c r="K2825" s="10"/>
      <c r="L2825" s="50"/>
      <c r="M2825" s="10"/>
      <c r="N2825" s="9"/>
      <c r="O2825" s="9"/>
      <c r="P2825" s="9"/>
      <c r="Q2825" s="9"/>
      <c r="S2825" s="9"/>
      <c r="T2825" s="9"/>
      <c r="V2825" s="9"/>
      <c r="AH2825" s="9"/>
      <c r="AI2825" s="9"/>
      <c r="AJ2825" s="9"/>
      <c r="AK2825" s="23"/>
      <c r="AL2825" s="23"/>
      <c r="AM2825" s="26"/>
      <c r="AN2825" s="9"/>
      <c r="AO2825" s="9"/>
      <c r="AP2825" s="9"/>
      <c r="AQ2825" s="54">
        <f t="shared" si="39"/>
        <v>0</v>
      </c>
      <c r="AR2825" s="52"/>
      <c r="AS2825" s="52"/>
    </row>
    <row r="2826" spans="1:45" ht="14.5" hidden="1">
      <c r="A2826" s="9"/>
      <c r="B2826" s="9"/>
      <c r="C2826" s="9"/>
      <c r="D2826" s="9"/>
      <c r="E2826" s="9"/>
      <c r="F2826" s="9"/>
      <c r="G2826" s="9"/>
      <c r="H2826" s="9"/>
      <c r="I2826" s="9"/>
      <c r="J2826" s="10"/>
      <c r="K2826" s="10"/>
      <c r="L2826" s="50"/>
      <c r="M2826" s="10"/>
      <c r="N2826" s="9"/>
      <c r="O2826" s="9"/>
      <c r="P2826" s="9"/>
      <c r="Q2826" s="9"/>
      <c r="S2826" s="9"/>
      <c r="T2826" s="9"/>
      <c r="V2826" s="9"/>
      <c r="AH2826" s="9"/>
      <c r="AI2826" s="9"/>
      <c r="AJ2826" s="9"/>
      <c r="AK2826" s="23"/>
      <c r="AL2826" s="23"/>
      <c r="AM2826" s="26"/>
      <c r="AN2826" s="9"/>
      <c r="AO2826" s="9"/>
      <c r="AP2826" s="9"/>
      <c r="AQ2826" s="54">
        <f t="shared" si="39"/>
        <v>0</v>
      </c>
      <c r="AR2826" s="52"/>
      <c r="AS2826" s="52"/>
    </row>
    <row r="2827" spans="1:45" ht="14.5" hidden="1">
      <c r="A2827" s="9"/>
      <c r="B2827" s="9"/>
      <c r="C2827" s="9"/>
      <c r="D2827" s="9"/>
      <c r="E2827" s="9"/>
      <c r="F2827" s="9"/>
      <c r="G2827" s="9"/>
      <c r="H2827" s="9"/>
      <c r="I2827" s="9"/>
      <c r="J2827" s="10"/>
      <c r="K2827" s="10"/>
      <c r="L2827" s="50"/>
      <c r="M2827" s="10"/>
      <c r="N2827" s="9"/>
      <c r="O2827" s="9"/>
      <c r="P2827" s="9"/>
      <c r="Q2827" s="9"/>
      <c r="S2827" s="9"/>
      <c r="T2827" s="9"/>
      <c r="V2827" s="9"/>
      <c r="AH2827" s="9"/>
      <c r="AI2827" s="9"/>
      <c r="AJ2827" s="9"/>
      <c r="AK2827" s="23"/>
      <c r="AL2827" s="23"/>
      <c r="AM2827" s="26"/>
      <c r="AN2827" s="9"/>
      <c r="AO2827" s="9"/>
      <c r="AP2827" s="9"/>
      <c r="AQ2827" s="54">
        <f t="shared" si="39"/>
        <v>0</v>
      </c>
      <c r="AR2827" s="52"/>
      <c r="AS2827" s="52"/>
    </row>
    <row r="2828" spans="1:45" ht="14.5" hidden="1">
      <c r="A2828" s="9"/>
      <c r="B2828" s="9"/>
      <c r="C2828" s="9"/>
      <c r="D2828" s="9"/>
      <c r="E2828" s="9"/>
      <c r="F2828" s="9"/>
      <c r="G2828" s="9"/>
      <c r="H2828" s="9"/>
      <c r="I2828" s="9"/>
      <c r="J2828" s="10"/>
      <c r="K2828" s="10"/>
      <c r="L2828" s="50"/>
      <c r="M2828" s="10"/>
      <c r="N2828" s="9"/>
      <c r="O2828" s="9"/>
      <c r="P2828" s="9"/>
      <c r="Q2828" s="9"/>
      <c r="S2828" s="9"/>
      <c r="T2828" s="9"/>
      <c r="V2828" s="9"/>
      <c r="AH2828" s="9"/>
      <c r="AI2828" s="9"/>
      <c r="AJ2828" s="9"/>
      <c r="AK2828" s="23"/>
      <c r="AL2828" s="23"/>
      <c r="AM2828" s="26"/>
      <c r="AN2828" s="9"/>
      <c r="AO2828" s="9"/>
      <c r="AP2828" s="9"/>
      <c r="AQ2828" s="54">
        <f t="shared" si="39"/>
        <v>0</v>
      </c>
      <c r="AR2828" s="52"/>
      <c r="AS2828" s="52"/>
    </row>
    <row r="2829" spans="1:45" ht="14.5" hidden="1">
      <c r="A2829" s="9"/>
      <c r="B2829" s="9"/>
      <c r="C2829" s="9"/>
      <c r="D2829" s="9"/>
      <c r="E2829" s="9"/>
      <c r="F2829" s="9"/>
      <c r="G2829" s="9"/>
      <c r="H2829" s="9"/>
      <c r="I2829" s="9"/>
      <c r="J2829" s="10"/>
      <c r="K2829" s="10"/>
      <c r="L2829" s="50"/>
      <c r="M2829" s="10"/>
      <c r="N2829" s="9"/>
      <c r="O2829" s="9"/>
      <c r="P2829" s="9"/>
      <c r="Q2829" s="9"/>
      <c r="S2829" s="9"/>
      <c r="T2829" s="9"/>
      <c r="V2829" s="9"/>
      <c r="AH2829" s="9"/>
      <c r="AI2829" s="9"/>
      <c r="AJ2829" s="9"/>
      <c r="AK2829" s="23"/>
      <c r="AL2829" s="23"/>
      <c r="AM2829" s="26"/>
      <c r="AN2829" s="9"/>
      <c r="AO2829" s="9"/>
      <c r="AP2829" s="9"/>
      <c r="AQ2829" s="54">
        <f t="shared" si="39"/>
        <v>0</v>
      </c>
      <c r="AR2829" s="52"/>
      <c r="AS2829" s="52"/>
    </row>
    <row r="2830" spans="1:45" ht="14.5" hidden="1">
      <c r="A2830" s="9"/>
      <c r="B2830" s="9"/>
      <c r="C2830" s="9"/>
      <c r="D2830" s="9"/>
      <c r="E2830" s="9"/>
      <c r="F2830" s="9"/>
      <c r="G2830" s="9"/>
      <c r="H2830" s="9"/>
      <c r="I2830" s="9"/>
      <c r="J2830" s="10"/>
      <c r="K2830" s="10"/>
      <c r="L2830" s="50"/>
      <c r="M2830" s="10"/>
      <c r="N2830" s="9"/>
      <c r="O2830" s="9"/>
      <c r="P2830" s="9"/>
      <c r="Q2830" s="9"/>
      <c r="S2830" s="9"/>
      <c r="T2830" s="9"/>
      <c r="V2830" s="9"/>
      <c r="AH2830" s="9"/>
      <c r="AI2830" s="9"/>
      <c r="AJ2830" s="9"/>
      <c r="AK2830" s="23"/>
      <c r="AL2830" s="23"/>
      <c r="AM2830" s="26"/>
      <c r="AN2830" s="9"/>
      <c r="AO2830" s="9"/>
      <c r="AP2830" s="9"/>
      <c r="AQ2830" s="54">
        <f t="shared" si="39"/>
        <v>0</v>
      </c>
      <c r="AR2830" s="52"/>
      <c r="AS2830" s="52"/>
    </row>
    <row r="2831" spans="1:45" ht="14.5" hidden="1">
      <c r="A2831" s="9"/>
      <c r="B2831" s="9"/>
      <c r="C2831" s="9"/>
      <c r="D2831" s="9"/>
      <c r="E2831" s="9"/>
      <c r="F2831" s="9"/>
      <c r="G2831" s="9"/>
      <c r="H2831" s="9"/>
      <c r="I2831" s="9"/>
      <c r="J2831" s="10"/>
      <c r="K2831" s="10"/>
      <c r="L2831" s="50"/>
      <c r="M2831" s="10"/>
      <c r="N2831" s="9"/>
      <c r="O2831" s="9"/>
      <c r="P2831" s="9"/>
      <c r="Q2831" s="9"/>
      <c r="S2831" s="9"/>
      <c r="T2831" s="9"/>
      <c r="V2831" s="9"/>
      <c r="AH2831" s="9"/>
      <c r="AI2831" s="9"/>
      <c r="AJ2831" s="9"/>
      <c r="AK2831" s="23"/>
      <c r="AL2831" s="23"/>
      <c r="AM2831" s="26"/>
      <c r="AN2831" s="9"/>
      <c r="AO2831" s="9"/>
      <c r="AP2831" s="9"/>
      <c r="AQ2831" s="54">
        <f t="shared" si="39"/>
        <v>0</v>
      </c>
      <c r="AR2831" s="52"/>
      <c r="AS2831" s="52"/>
    </row>
    <row r="2832" spans="1:45" ht="14.5" hidden="1">
      <c r="A2832" s="9"/>
      <c r="B2832" s="9"/>
      <c r="C2832" s="9"/>
      <c r="D2832" s="9"/>
      <c r="E2832" s="9"/>
      <c r="F2832" s="9"/>
      <c r="G2832" s="9"/>
      <c r="H2832" s="9"/>
      <c r="I2832" s="9"/>
      <c r="J2832" s="10"/>
      <c r="K2832" s="10"/>
      <c r="L2832" s="50"/>
      <c r="M2832" s="10"/>
      <c r="N2832" s="9"/>
      <c r="O2832" s="9"/>
      <c r="P2832" s="9"/>
      <c r="Q2832" s="9"/>
      <c r="S2832" s="9"/>
      <c r="T2832" s="9"/>
      <c r="V2832" s="9"/>
      <c r="AH2832" s="9"/>
      <c r="AI2832" s="9"/>
      <c r="AJ2832" s="9"/>
      <c r="AK2832" s="23"/>
      <c r="AL2832" s="23"/>
      <c r="AM2832" s="26"/>
      <c r="AN2832" s="9"/>
      <c r="AO2832" s="9"/>
      <c r="AP2832" s="9"/>
      <c r="AQ2832" s="54">
        <f t="shared" si="39"/>
        <v>0</v>
      </c>
      <c r="AR2832" s="52"/>
      <c r="AS2832" s="52"/>
    </row>
    <row r="2833" spans="1:45" ht="14.5" hidden="1">
      <c r="A2833" s="9"/>
      <c r="B2833" s="9"/>
      <c r="C2833" s="9"/>
      <c r="D2833" s="9"/>
      <c r="E2833" s="9"/>
      <c r="F2833" s="9"/>
      <c r="G2833" s="9"/>
      <c r="H2833" s="9"/>
      <c r="I2833" s="9"/>
      <c r="J2833" s="10"/>
      <c r="K2833" s="10"/>
      <c r="L2833" s="50"/>
      <c r="M2833" s="10"/>
      <c r="N2833" s="9"/>
      <c r="O2833" s="9"/>
      <c r="P2833" s="9"/>
      <c r="Q2833" s="9"/>
      <c r="S2833" s="9"/>
      <c r="T2833" s="9"/>
      <c r="V2833" s="9"/>
      <c r="AH2833" s="9"/>
      <c r="AI2833" s="9"/>
      <c r="AJ2833" s="9"/>
      <c r="AK2833" s="23"/>
      <c r="AL2833" s="23"/>
      <c r="AM2833" s="26"/>
      <c r="AN2833" s="9"/>
      <c r="AO2833" s="9"/>
      <c r="AP2833" s="9"/>
      <c r="AQ2833" s="54">
        <f t="shared" si="39"/>
        <v>0</v>
      </c>
      <c r="AR2833" s="52"/>
      <c r="AS2833" s="52"/>
    </row>
    <row r="2834" spans="1:45" ht="14.5" hidden="1">
      <c r="A2834" s="9"/>
      <c r="B2834" s="9"/>
      <c r="C2834" s="9"/>
      <c r="D2834" s="9"/>
      <c r="E2834" s="9"/>
      <c r="F2834" s="9"/>
      <c r="G2834" s="9"/>
      <c r="H2834" s="9"/>
      <c r="I2834" s="9"/>
      <c r="J2834" s="10"/>
      <c r="K2834" s="10"/>
      <c r="L2834" s="50"/>
      <c r="M2834" s="10"/>
      <c r="N2834" s="9"/>
      <c r="O2834" s="9"/>
      <c r="P2834" s="9"/>
      <c r="Q2834" s="9"/>
      <c r="S2834" s="9"/>
      <c r="T2834" s="9"/>
      <c r="V2834" s="9"/>
      <c r="AH2834" s="9"/>
      <c r="AI2834" s="9"/>
      <c r="AJ2834" s="9"/>
      <c r="AK2834" s="23"/>
      <c r="AL2834" s="23"/>
      <c r="AM2834" s="26"/>
      <c r="AN2834" s="9"/>
      <c r="AO2834" s="9"/>
      <c r="AP2834" s="9"/>
      <c r="AQ2834" s="54">
        <f t="shared" si="39"/>
        <v>0</v>
      </c>
      <c r="AR2834" s="52"/>
      <c r="AS2834" s="52"/>
    </row>
    <row r="2835" spans="1:45" ht="14.5" hidden="1">
      <c r="A2835" s="9"/>
      <c r="B2835" s="9"/>
      <c r="C2835" s="9"/>
      <c r="D2835" s="9"/>
      <c r="E2835" s="9"/>
      <c r="F2835" s="9"/>
      <c r="G2835" s="9"/>
      <c r="H2835" s="9"/>
      <c r="I2835" s="9"/>
      <c r="J2835" s="10"/>
      <c r="K2835" s="10"/>
      <c r="L2835" s="50"/>
      <c r="M2835" s="10"/>
      <c r="N2835" s="9"/>
      <c r="O2835" s="9"/>
      <c r="P2835" s="9"/>
      <c r="Q2835" s="9"/>
      <c r="S2835" s="9"/>
      <c r="T2835" s="9"/>
      <c r="V2835" s="9"/>
      <c r="AH2835" s="9"/>
      <c r="AI2835" s="9"/>
      <c r="AJ2835" s="9"/>
      <c r="AK2835" s="23"/>
      <c r="AL2835" s="23"/>
      <c r="AM2835" s="26"/>
      <c r="AN2835" s="9"/>
      <c r="AO2835" s="9"/>
      <c r="AP2835" s="9"/>
      <c r="AQ2835" s="54">
        <f t="shared" si="39"/>
        <v>0</v>
      </c>
      <c r="AR2835" s="52"/>
      <c r="AS2835" s="52"/>
    </row>
    <row r="2836" spans="1:45" ht="14.5" hidden="1">
      <c r="A2836" s="9"/>
      <c r="B2836" s="9"/>
      <c r="C2836" s="9"/>
      <c r="D2836" s="9"/>
      <c r="E2836" s="9"/>
      <c r="F2836" s="9"/>
      <c r="G2836" s="9"/>
      <c r="H2836" s="9"/>
      <c r="I2836" s="9"/>
      <c r="J2836" s="10"/>
      <c r="K2836" s="10"/>
      <c r="L2836" s="50"/>
      <c r="M2836" s="10"/>
      <c r="N2836" s="9"/>
      <c r="O2836" s="9"/>
      <c r="P2836" s="9"/>
      <c r="Q2836" s="9"/>
      <c r="S2836" s="9"/>
      <c r="T2836" s="9"/>
      <c r="V2836" s="9"/>
      <c r="AH2836" s="9"/>
      <c r="AI2836" s="9"/>
      <c r="AJ2836" s="9"/>
      <c r="AK2836" s="23"/>
      <c r="AL2836" s="23"/>
      <c r="AM2836" s="26"/>
      <c r="AN2836" s="9"/>
      <c r="AO2836" s="9"/>
      <c r="AP2836" s="9"/>
      <c r="AQ2836" s="54">
        <f t="shared" si="39"/>
        <v>0</v>
      </c>
      <c r="AR2836" s="52"/>
      <c r="AS2836" s="52"/>
    </row>
    <row r="2837" spans="1:45" ht="14.5" hidden="1">
      <c r="A2837" s="9"/>
      <c r="B2837" s="9"/>
      <c r="C2837" s="9"/>
      <c r="D2837" s="9"/>
      <c r="E2837" s="9"/>
      <c r="F2837" s="9"/>
      <c r="G2837" s="9"/>
      <c r="H2837" s="9"/>
      <c r="I2837" s="9"/>
      <c r="J2837" s="10"/>
      <c r="K2837" s="10"/>
      <c r="L2837" s="50"/>
      <c r="M2837" s="10"/>
      <c r="N2837" s="9"/>
      <c r="O2837" s="9"/>
      <c r="P2837" s="9"/>
      <c r="Q2837" s="9"/>
      <c r="S2837" s="9"/>
      <c r="T2837" s="9"/>
      <c r="V2837" s="9"/>
      <c r="AH2837" s="9"/>
      <c r="AI2837" s="9"/>
      <c r="AJ2837" s="9"/>
      <c r="AK2837" s="23"/>
      <c r="AL2837" s="23"/>
      <c r="AM2837" s="26"/>
      <c r="AN2837" s="9"/>
      <c r="AO2837" s="9"/>
      <c r="AP2837" s="9"/>
      <c r="AQ2837" s="54">
        <f t="shared" si="39"/>
        <v>0</v>
      </c>
      <c r="AR2837" s="52"/>
      <c r="AS2837" s="52"/>
    </row>
    <row r="2838" spans="1:45" ht="14.5" hidden="1">
      <c r="A2838" s="9"/>
      <c r="B2838" s="9"/>
      <c r="C2838" s="9"/>
      <c r="D2838" s="9"/>
      <c r="E2838" s="9"/>
      <c r="F2838" s="9"/>
      <c r="G2838" s="9"/>
      <c r="H2838" s="9"/>
      <c r="I2838" s="9"/>
      <c r="J2838" s="10"/>
      <c r="K2838" s="10"/>
      <c r="L2838" s="50"/>
      <c r="M2838" s="10"/>
      <c r="N2838" s="9"/>
      <c r="O2838" s="9"/>
      <c r="P2838" s="9"/>
      <c r="Q2838" s="9"/>
      <c r="S2838" s="9"/>
      <c r="T2838" s="9"/>
      <c r="V2838" s="9"/>
      <c r="AH2838" s="9"/>
      <c r="AI2838" s="9"/>
      <c r="AJ2838" s="9"/>
      <c r="AK2838" s="23"/>
      <c r="AL2838" s="23"/>
      <c r="AM2838" s="26"/>
      <c r="AN2838" s="9"/>
      <c r="AO2838" s="9"/>
      <c r="AP2838" s="9"/>
      <c r="AQ2838" s="54">
        <f t="shared" si="39"/>
        <v>0</v>
      </c>
      <c r="AR2838" s="52"/>
      <c r="AS2838" s="52"/>
    </row>
    <row r="2839" spans="1:45" ht="14.5" hidden="1">
      <c r="A2839" s="9"/>
      <c r="B2839" s="9"/>
      <c r="C2839" s="9"/>
      <c r="D2839" s="9"/>
      <c r="E2839" s="9"/>
      <c r="F2839" s="9"/>
      <c r="G2839" s="9"/>
      <c r="H2839" s="9"/>
      <c r="I2839" s="9"/>
      <c r="J2839" s="10"/>
      <c r="K2839" s="10"/>
      <c r="L2839" s="50"/>
      <c r="M2839" s="10"/>
      <c r="N2839" s="9"/>
      <c r="O2839" s="9"/>
      <c r="P2839" s="9"/>
      <c r="Q2839" s="9"/>
      <c r="S2839" s="9"/>
      <c r="T2839" s="9"/>
      <c r="V2839" s="9"/>
      <c r="AH2839" s="9"/>
      <c r="AI2839" s="9"/>
      <c r="AJ2839" s="9"/>
      <c r="AK2839" s="23"/>
      <c r="AL2839" s="23"/>
      <c r="AM2839" s="26"/>
      <c r="AN2839" s="9"/>
      <c r="AO2839" s="9"/>
      <c r="AP2839" s="9"/>
      <c r="AQ2839" s="54">
        <f t="shared" si="39"/>
        <v>0</v>
      </c>
      <c r="AR2839" s="52"/>
      <c r="AS2839" s="52"/>
    </row>
    <row r="2840" spans="1:45" ht="14.5" hidden="1">
      <c r="A2840" s="9"/>
      <c r="B2840" s="9"/>
      <c r="C2840" s="9"/>
      <c r="D2840" s="9"/>
      <c r="E2840" s="9"/>
      <c r="F2840" s="9"/>
      <c r="G2840" s="9"/>
      <c r="H2840" s="9"/>
      <c r="I2840" s="9"/>
      <c r="J2840" s="10"/>
      <c r="K2840" s="10"/>
      <c r="L2840" s="50"/>
      <c r="M2840" s="10"/>
      <c r="N2840" s="9"/>
      <c r="O2840" s="9"/>
      <c r="P2840" s="9"/>
      <c r="Q2840" s="9"/>
      <c r="S2840" s="9"/>
      <c r="T2840" s="9"/>
      <c r="V2840" s="9"/>
      <c r="AH2840" s="9"/>
      <c r="AI2840" s="9"/>
      <c r="AJ2840" s="9"/>
      <c r="AK2840" s="23"/>
      <c r="AL2840" s="23"/>
      <c r="AM2840" s="26"/>
      <c r="AN2840" s="9"/>
      <c r="AO2840" s="9"/>
      <c r="AP2840" s="9"/>
      <c r="AQ2840" s="54">
        <f t="shared" si="39"/>
        <v>0</v>
      </c>
      <c r="AR2840" s="52"/>
      <c r="AS2840" s="52"/>
    </row>
    <row r="2841" spans="1:45" ht="14.5" hidden="1">
      <c r="A2841" s="9"/>
      <c r="B2841" s="9"/>
      <c r="C2841" s="9"/>
      <c r="D2841" s="9"/>
      <c r="E2841" s="9"/>
      <c r="F2841" s="9"/>
      <c r="G2841" s="9"/>
      <c r="H2841" s="9"/>
      <c r="I2841" s="9"/>
      <c r="J2841" s="10"/>
      <c r="K2841" s="10"/>
      <c r="L2841" s="50"/>
      <c r="M2841" s="10"/>
      <c r="N2841" s="9"/>
      <c r="O2841" s="9"/>
      <c r="P2841" s="9"/>
      <c r="Q2841" s="9"/>
      <c r="S2841" s="9"/>
      <c r="T2841" s="9"/>
      <c r="V2841" s="9"/>
      <c r="AH2841" s="9"/>
      <c r="AI2841" s="9"/>
      <c r="AJ2841" s="9"/>
      <c r="AK2841" s="23"/>
      <c r="AL2841" s="23"/>
      <c r="AM2841" s="26"/>
      <c r="AN2841" s="9"/>
      <c r="AO2841" s="9"/>
      <c r="AP2841" s="9"/>
      <c r="AQ2841" s="54">
        <f t="shared" si="39"/>
        <v>0</v>
      </c>
      <c r="AR2841" s="52"/>
      <c r="AS2841" s="52"/>
    </row>
    <row r="2842" spans="1:45" ht="14.5" hidden="1">
      <c r="A2842" s="9"/>
      <c r="B2842" s="9"/>
      <c r="C2842" s="9"/>
      <c r="D2842" s="9"/>
      <c r="E2842" s="9"/>
      <c r="F2842" s="9"/>
      <c r="G2842" s="9"/>
      <c r="H2842" s="9"/>
      <c r="I2842" s="9"/>
      <c r="J2842" s="10"/>
      <c r="K2842" s="10"/>
      <c r="L2842" s="50"/>
      <c r="M2842" s="10"/>
      <c r="N2842" s="9"/>
      <c r="O2842" s="9"/>
      <c r="P2842" s="9"/>
      <c r="Q2842" s="9"/>
      <c r="S2842" s="9"/>
      <c r="T2842" s="9"/>
      <c r="V2842" s="9"/>
      <c r="AH2842" s="9"/>
      <c r="AI2842" s="9"/>
      <c r="AJ2842" s="9"/>
      <c r="AK2842" s="23"/>
      <c r="AL2842" s="23"/>
      <c r="AM2842" s="26"/>
      <c r="AN2842" s="9"/>
      <c r="AO2842" s="9"/>
      <c r="AP2842" s="9"/>
      <c r="AQ2842" s="54">
        <f t="shared" si="39"/>
        <v>0</v>
      </c>
      <c r="AR2842" s="52"/>
      <c r="AS2842" s="52"/>
    </row>
    <row r="2843" spans="1:45" ht="14.5" hidden="1">
      <c r="A2843" s="9"/>
      <c r="B2843" s="9"/>
      <c r="C2843" s="9"/>
      <c r="D2843" s="9"/>
      <c r="E2843" s="9"/>
      <c r="F2843" s="9"/>
      <c r="G2843" s="9"/>
      <c r="H2843" s="9"/>
      <c r="I2843" s="9"/>
      <c r="J2843" s="10"/>
      <c r="K2843" s="10"/>
      <c r="L2843" s="50"/>
      <c r="M2843" s="10"/>
      <c r="N2843" s="9"/>
      <c r="O2843" s="9"/>
      <c r="P2843" s="9"/>
      <c r="Q2843" s="9"/>
      <c r="S2843" s="9"/>
      <c r="T2843" s="9"/>
      <c r="V2843" s="9"/>
      <c r="AH2843" s="9"/>
      <c r="AI2843" s="9"/>
      <c r="AJ2843" s="9"/>
      <c r="AK2843" s="23"/>
      <c r="AL2843" s="23"/>
      <c r="AM2843" s="26"/>
      <c r="AN2843" s="9"/>
      <c r="AO2843" s="9"/>
      <c r="AP2843" s="9"/>
      <c r="AQ2843" s="54">
        <f t="shared" si="39"/>
        <v>0</v>
      </c>
      <c r="AR2843" s="52"/>
      <c r="AS2843" s="52"/>
    </row>
    <row r="2844" spans="1:45" ht="14.5" hidden="1">
      <c r="A2844" s="9"/>
      <c r="B2844" s="9"/>
      <c r="C2844" s="9"/>
      <c r="D2844" s="9"/>
      <c r="E2844" s="9"/>
      <c r="F2844" s="9"/>
      <c r="G2844" s="9"/>
      <c r="H2844" s="9"/>
      <c r="I2844" s="9"/>
      <c r="J2844" s="10"/>
      <c r="K2844" s="10"/>
      <c r="L2844" s="50"/>
      <c r="M2844" s="10"/>
      <c r="N2844" s="9"/>
      <c r="O2844" s="9"/>
      <c r="P2844" s="9"/>
      <c r="Q2844" s="9"/>
      <c r="S2844" s="9"/>
      <c r="T2844" s="9"/>
      <c r="V2844" s="9"/>
      <c r="AH2844" s="9"/>
      <c r="AI2844" s="9"/>
      <c r="AJ2844" s="9"/>
      <c r="AK2844" s="23"/>
      <c r="AL2844" s="23"/>
      <c r="AM2844" s="26"/>
      <c r="AN2844" s="9"/>
      <c r="AO2844" s="9"/>
      <c r="AP2844" s="9"/>
      <c r="AQ2844" s="54">
        <f t="shared" si="39"/>
        <v>0</v>
      </c>
      <c r="AR2844" s="52"/>
      <c r="AS2844" s="52"/>
    </row>
    <row r="2845" spans="1:45" ht="14.5" hidden="1">
      <c r="A2845" s="9"/>
      <c r="B2845" s="9"/>
      <c r="C2845" s="9"/>
      <c r="D2845" s="9"/>
      <c r="E2845" s="9"/>
      <c r="F2845" s="9"/>
      <c r="G2845" s="9"/>
      <c r="H2845" s="9"/>
      <c r="I2845" s="9"/>
      <c r="J2845" s="10"/>
      <c r="K2845" s="10"/>
      <c r="L2845" s="50"/>
      <c r="M2845" s="10"/>
      <c r="N2845" s="9"/>
      <c r="O2845" s="9"/>
      <c r="P2845" s="9"/>
      <c r="Q2845" s="9"/>
      <c r="S2845" s="9"/>
      <c r="T2845" s="9"/>
      <c r="V2845" s="9"/>
      <c r="AH2845" s="9"/>
      <c r="AI2845" s="9"/>
      <c r="AJ2845" s="9"/>
      <c r="AK2845" s="23"/>
      <c r="AL2845" s="23"/>
      <c r="AM2845" s="26"/>
      <c r="AN2845" s="9"/>
      <c r="AO2845" s="9"/>
      <c r="AP2845" s="9"/>
      <c r="AQ2845" s="54">
        <f t="shared" si="39"/>
        <v>0</v>
      </c>
      <c r="AR2845" s="52"/>
      <c r="AS2845" s="52"/>
    </row>
    <row r="2846" spans="1:45" ht="14.5" hidden="1">
      <c r="A2846" s="9"/>
      <c r="B2846" s="9"/>
      <c r="C2846" s="9"/>
      <c r="D2846" s="9"/>
      <c r="E2846" s="9"/>
      <c r="F2846" s="9"/>
      <c r="G2846" s="9"/>
      <c r="H2846" s="9"/>
      <c r="I2846" s="9"/>
      <c r="J2846" s="10"/>
      <c r="K2846" s="10"/>
      <c r="L2846" s="50"/>
      <c r="M2846" s="10"/>
      <c r="N2846" s="9"/>
      <c r="O2846" s="9"/>
      <c r="P2846" s="9"/>
      <c r="Q2846" s="9"/>
      <c r="S2846" s="9"/>
      <c r="T2846" s="9"/>
      <c r="V2846" s="9"/>
      <c r="AH2846" s="9"/>
      <c r="AI2846" s="9"/>
      <c r="AJ2846" s="9"/>
      <c r="AK2846" s="23"/>
      <c r="AL2846" s="23"/>
      <c r="AM2846" s="26"/>
      <c r="AN2846" s="9"/>
      <c r="AO2846" s="9"/>
      <c r="AP2846" s="9"/>
      <c r="AQ2846" s="54">
        <f t="shared" si="39"/>
        <v>0</v>
      </c>
      <c r="AR2846" s="52"/>
      <c r="AS2846" s="52"/>
    </row>
    <row r="2847" spans="1:45" ht="14.5" hidden="1">
      <c r="A2847" s="9"/>
      <c r="B2847" s="9"/>
      <c r="C2847" s="9"/>
      <c r="D2847" s="9"/>
      <c r="E2847" s="9"/>
      <c r="F2847" s="9"/>
      <c r="G2847" s="9"/>
      <c r="H2847" s="9"/>
      <c r="I2847" s="9"/>
      <c r="J2847" s="10"/>
      <c r="K2847" s="10"/>
      <c r="L2847" s="50"/>
      <c r="M2847" s="10"/>
      <c r="N2847" s="9"/>
      <c r="O2847" s="9"/>
      <c r="P2847" s="9"/>
      <c r="Q2847" s="9"/>
      <c r="S2847" s="9"/>
      <c r="T2847" s="9"/>
      <c r="V2847" s="9"/>
      <c r="AH2847" s="9"/>
      <c r="AI2847" s="9"/>
      <c r="AJ2847" s="9"/>
      <c r="AK2847" s="23"/>
      <c r="AL2847" s="23"/>
      <c r="AM2847" s="26"/>
      <c r="AN2847" s="9"/>
      <c r="AO2847" s="9"/>
      <c r="AP2847" s="9"/>
      <c r="AQ2847" s="54">
        <f t="shared" si="39"/>
        <v>0</v>
      </c>
      <c r="AR2847" s="52"/>
      <c r="AS2847" s="52"/>
    </row>
    <row r="2848" spans="1:45" ht="14.5" hidden="1">
      <c r="A2848" s="9"/>
      <c r="B2848" s="9"/>
      <c r="C2848" s="9"/>
      <c r="D2848" s="9"/>
      <c r="E2848" s="9"/>
      <c r="F2848" s="9"/>
      <c r="G2848" s="9"/>
      <c r="H2848" s="9"/>
      <c r="I2848" s="9"/>
      <c r="J2848" s="10"/>
      <c r="K2848" s="10"/>
      <c r="L2848" s="50"/>
      <c r="M2848" s="10"/>
      <c r="N2848" s="9"/>
      <c r="O2848" s="9"/>
      <c r="P2848" s="9"/>
      <c r="Q2848" s="9"/>
      <c r="S2848" s="9"/>
      <c r="T2848" s="9"/>
      <c r="V2848" s="9"/>
      <c r="AH2848" s="9"/>
      <c r="AI2848" s="9"/>
      <c r="AJ2848" s="9"/>
      <c r="AK2848" s="23"/>
      <c r="AL2848" s="23"/>
      <c r="AM2848" s="26"/>
      <c r="AN2848" s="9"/>
      <c r="AO2848" s="9"/>
      <c r="AP2848" s="9"/>
      <c r="AQ2848" s="54">
        <f t="shared" si="39"/>
        <v>0</v>
      </c>
      <c r="AR2848" s="52"/>
      <c r="AS2848" s="52"/>
    </row>
    <row r="2849" spans="1:45" ht="14.5" hidden="1">
      <c r="A2849" s="9"/>
      <c r="B2849" s="9"/>
      <c r="C2849" s="9"/>
      <c r="D2849" s="9"/>
      <c r="E2849" s="9"/>
      <c r="F2849" s="9"/>
      <c r="G2849" s="9"/>
      <c r="H2849" s="9"/>
      <c r="I2849" s="9"/>
      <c r="J2849" s="10"/>
      <c r="K2849" s="10"/>
      <c r="L2849" s="50"/>
      <c r="M2849" s="10"/>
      <c r="N2849" s="9"/>
      <c r="O2849" s="9"/>
      <c r="P2849" s="9"/>
      <c r="Q2849" s="9"/>
      <c r="S2849" s="9"/>
      <c r="T2849" s="9"/>
      <c r="V2849" s="9"/>
      <c r="AH2849" s="9"/>
      <c r="AI2849" s="9"/>
      <c r="AJ2849" s="9"/>
      <c r="AK2849" s="23"/>
      <c r="AL2849" s="23"/>
      <c r="AM2849" s="26"/>
      <c r="AN2849" s="9"/>
      <c r="AO2849" s="9"/>
      <c r="AP2849" s="9"/>
      <c r="AQ2849" s="54">
        <f t="shared" si="39"/>
        <v>0</v>
      </c>
      <c r="AR2849" s="52"/>
      <c r="AS2849" s="52"/>
    </row>
    <row r="2850" spans="1:45" ht="14.5" hidden="1">
      <c r="A2850" s="9"/>
      <c r="B2850" s="9"/>
      <c r="C2850" s="9"/>
      <c r="D2850" s="9"/>
      <c r="E2850" s="9"/>
      <c r="F2850" s="9"/>
      <c r="G2850" s="9"/>
      <c r="H2850" s="9"/>
      <c r="I2850" s="9"/>
      <c r="J2850" s="10"/>
      <c r="K2850" s="10"/>
      <c r="L2850" s="50"/>
      <c r="M2850" s="10"/>
      <c r="N2850" s="9"/>
      <c r="O2850" s="9"/>
      <c r="P2850" s="9"/>
      <c r="Q2850" s="9"/>
      <c r="S2850" s="9"/>
      <c r="T2850" s="9"/>
      <c r="V2850" s="9"/>
      <c r="AH2850" s="9"/>
      <c r="AI2850" s="9"/>
      <c r="AJ2850" s="9"/>
      <c r="AK2850" s="23"/>
      <c r="AL2850" s="23"/>
      <c r="AM2850" s="26"/>
      <c r="AN2850" s="9"/>
      <c r="AO2850" s="9"/>
      <c r="AP2850" s="9"/>
      <c r="AQ2850" s="54">
        <f t="shared" si="39"/>
        <v>0</v>
      </c>
      <c r="AR2850" s="52"/>
      <c r="AS2850" s="52"/>
    </row>
    <row r="2851" spans="1:45" ht="14.5" hidden="1">
      <c r="A2851" s="9"/>
      <c r="B2851" s="9"/>
      <c r="C2851" s="9"/>
      <c r="D2851" s="9"/>
      <c r="E2851" s="9"/>
      <c r="F2851" s="9"/>
      <c r="G2851" s="9"/>
      <c r="H2851" s="9"/>
      <c r="I2851" s="9"/>
      <c r="J2851" s="10"/>
      <c r="K2851" s="10"/>
      <c r="L2851" s="50"/>
      <c r="M2851" s="10"/>
      <c r="N2851" s="9"/>
      <c r="O2851" s="9"/>
      <c r="P2851" s="9"/>
      <c r="Q2851" s="9"/>
      <c r="S2851" s="9"/>
      <c r="T2851" s="9"/>
      <c r="V2851" s="9"/>
      <c r="AH2851" s="9"/>
      <c r="AI2851" s="9"/>
      <c r="AJ2851" s="9"/>
      <c r="AK2851" s="23"/>
      <c r="AL2851" s="23"/>
      <c r="AM2851" s="26"/>
      <c r="AN2851" s="9"/>
      <c r="AO2851" s="9"/>
      <c r="AP2851" s="9"/>
      <c r="AQ2851" s="54">
        <f t="shared" si="39"/>
        <v>0</v>
      </c>
      <c r="AR2851" s="52"/>
      <c r="AS2851" s="52"/>
    </row>
    <row r="2852" spans="1:45" ht="14.5" hidden="1">
      <c r="A2852" s="9"/>
      <c r="B2852" s="9"/>
      <c r="C2852" s="9"/>
      <c r="D2852" s="9"/>
      <c r="E2852" s="9"/>
      <c r="F2852" s="9"/>
      <c r="G2852" s="9"/>
      <c r="H2852" s="9"/>
      <c r="I2852" s="9"/>
      <c r="J2852" s="10"/>
      <c r="K2852" s="10"/>
      <c r="L2852" s="50"/>
      <c r="M2852" s="10"/>
      <c r="N2852" s="9"/>
      <c r="O2852" s="9"/>
      <c r="P2852" s="9"/>
      <c r="Q2852" s="9"/>
      <c r="S2852" s="9"/>
      <c r="T2852" s="9"/>
      <c r="V2852" s="9"/>
      <c r="AH2852" s="9"/>
      <c r="AI2852" s="9"/>
      <c r="AJ2852" s="9"/>
      <c r="AK2852" s="23"/>
      <c r="AL2852" s="23"/>
      <c r="AM2852" s="26"/>
      <c r="AN2852" s="9"/>
      <c r="AO2852" s="9"/>
      <c r="AP2852" s="9"/>
      <c r="AQ2852" s="54">
        <f t="shared" si="39"/>
        <v>0</v>
      </c>
      <c r="AR2852" s="52"/>
      <c r="AS2852" s="52"/>
    </row>
    <row r="2853" spans="1:45" ht="14.5" hidden="1">
      <c r="A2853" s="9"/>
      <c r="B2853" s="9"/>
      <c r="C2853" s="9"/>
      <c r="D2853" s="9"/>
      <c r="E2853" s="9"/>
      <c r="F2853" s="9"/>
      <c r="G2853" s="9"/>
      <c r="H2853" s="9"/>
      <c r="I2853" s="9"/>
      <c r="J2853" s="10"/>
      <c r="K2853" s="10"/>
      <c r="L2853" s="50"/>
      <c r="M2853" s="10"/>
      <c r="N2853" s="9"/>
      <c r="O2853" s="9"/>
      <c r="P2853" s="9"/>
      <c r="Q2853" s="9"/>
      <c r="S2853" s="9"/>
      <c r="T2853" s="9"/>
      <c r="V2853" s="9"/>
      <c r="AH2853" s="9"/>
      <c r="AI2853" s="9"/>
      <c r="AJ2853" s="9"/>
      <c r="AK2853" s="23"/>
      <c r="AL2853" s="23"/>
      <c r="AM2853" s="26"/>
      <c r="AN2853" s="9"/>
      <c r="AO2853" s="9"/>
      <c r="AP2853" s="9"/>
      <c r="AQ2853" s="54">
        <f t="shared" si="39"/>
        <v>0</v>
      </c>
      <c r="AR2853" s="52"/>
      <c r="AS2853" s="52"/>
    </row>
    <row r="2854" spans="1:45" ht="14.5" hidden="1">
      <c r="A2854" s="9"/>
      <c r="B2854" s="9"/>
      <c r="C2854" s="9"/>
      <c r="D2854" s="9"/>
      <c r="E2854" s="9"/>
      <c r="F2854" s="9"/>
      <c r="G2854" s="9"/>
      <c r="H2854" s="9"/>
      <c r="I2854" s="9"/>
      <c r="J2854" s="10"/>
      <c r="K2854" s="10"/>
      <c r="L2854" s="50"/>
      <c r="M2854" s="10"/>
      <c r="N2854" s="9"/>
      <c r="O2854" s="9"/>
      <c r="P2854" s="9"/>
      <c r="Q2854" s="9"/>
      <c r="S2854" s="9"/>
      <c r="T2854" s="9"/>
      <c r="V2854" s="9"/>
      <c r="AH2854" s="9"/>
      <c r="AI2854" s="9"/>
      <c r="AJ2854" s="9"/>
      <c r="AK2854" s="23"/>
      <c r="AL2854" s="23"/>
      <c r="AM2854" s="26"/>
      <c r="AN2854" s="9"/>
      <c r="AO2854" s="9"/>
      <c r="AP2854" s="9"/>
      <c r="AQ2854" s="54">
        <f t="shared" si="39"/>
        <v>0</v>
      </c>
      <c r="AR2854" s="52"/>
      <c r="AS2854" s="52"/>
    </row>
    <row r="2855" spans="1:45" ht="14.5" hidden="1">
      <c r="A2855" s="9"/>
      <c r="B2855" s="9"/>
      <c r="C2855" s="9"/>
      <c r="D2855" s="9"/>
      <c r="E2855" s="9"/>
      <c r="F2855" s="9"/>
      <c r="G2855" s="9"/>
      <c r="H2855" s="9"/>
      <c r="I2855" s="9"/>
      <c r="J2855" s="10"/>
      <c r="K2855" s="10"/>
      <c r="L2855" s="50"/>
      <c r="M2855" s="10"/>
      <c r="N2855" s="9"/>
      <c r="O2855" s="9"/>
      <c r="P2855" s="9"/>
      <c r="Q2855" s="9"/>
      <c r="S2855" s="9"/>
      <c r="T2855" s="9"/>
      <c r="V2855" s="9"/>
      <c r="AH2855" s="9"/>
      <c r="AI2855" s="9"/>
      <c r="AJ2855" s="9"/>
      <c r="AK2855" s="23"/>
      <c r="AL2855" s="23"/>
      <c r="AM2855" s="26"/>
      <c r="AN2855" s="9"/>
      <c r="AO2855" s="9"/>
      <c r="AP2855" s="9"/>
      <c r="AQ2855" s="54">
        <f t="shared" si="39"/>
        <v>0</v>
      </c>
      <c r="AR2855" s="52"/>
      <c r="AS2855" s="52"/>
    </row>
    <row r="2856" spans="1:45" ht="14.5" hidden="1">
      <c r="A2856" s="9"/>
      <c r="B2856" s="9"/>
      <c r="C2856" s="9"/>
      <c r="D2856" s="9"/>
      <c r="E2856" s="9"/>
      <c r="F2856" s="9"/>
      <c r="G2856" s="9"/>
      <c r="H2856" s="9"/>
      <c r="I2856" s="9"/>
      <c r="J2856" s="10"/>
      <c r="K2856" s="10"/>
      <c r="L2856" s="50"/>
      <c r="M2856" s="10"/>
      <c r="N2856" s="9"/>
      <c r="O2856" s="9"/>
      <c r="P2856" s="9"/>
      <c r="Q2856" s="9"/>
      <c r="S2856" s="9"/>
      <c r="T2856" s="9"/>
      <c r="V2856" s="9"/>
      <c r="AH2856" s="9"/>
      <c r="AI2856" s="9"/>
      <c r="AJ2856" s="9"/>
      <c r="AK2856" s="23"/>
      <c r="AL2856" s="23"/>
      <c r="AM2856" s="26"/>
      <c r="AN2856" s="9"/>
      <c r="AO2856" s="9"/>
      <c r="AP2856" s="9"/>
      <c r="AQ2856" s="54">
        <f t="shared" si="39"/>
        <v>0</v>
      </c>
      <c r="AR2856" s="52"/>
      <c r="AS2856" s="52"/>
    </row>
    <row r="2857" spans="1:45" ht="14.5" hidden="1">
      <c r="A2857" s="9"/>
      <c r="B2857" s="9"/>
      <c r="C2857" s="9"/>
      <c r="D2857" s="9"/>
      <c r="E2857" s="9"/>
      <c r="F2857" s="9"/>
      <c r="G2857" s="9"/>
      <c r="H2857" s="9"/>
      <c r="I2857" s="9"/>
      <c r="J2857" s="10"/>
      <c r="K2857" s="10"/>
      <c r="L2857" s="50"/>
      <c r="M2857" s="10"/>
      <c r="N2857" s="9"/>
      <c r="O2857" s="9"/>
      <c r="P2857" s="9"/>
      <c r="Q2857" s="9"/>
      <c r="S2857" s="9"/>
      <c r="T2857" s="9"/>
      <c r="V2857" s="9"/>
      <c r="AH2857" s="9"/>
      <c r="AI2857" s="9"/>
      <c r="AJ2857" s="9"/>
      <c r="AK2857" s="23"/>
      <c r="AL2857" s="23"/>
      <c r="AM2857" s="26"/>
      <c r="AN2857" s="9"/>
      <c r="AO2857" s="9"/>
      <c r="AP2857" s="9"/>
      <c r="AQ2857" s="54">
        <f t="shared" si="39"/>
        <v>0</v>
      </c>
      <c r="AR2857" s="52"/>
      <c r="AS2857" s="52"/>
    </row>
    <row r="2858" spans="1:45" ht="14.5" hidden="1">
      <c r="A2858" s="9"/>
      <c r="B2858" s="9"/>
      <c r="C2858" s="9"/>
      <c r="D2858" s="9"/>
      <c r="E2858" s="9"/>
      <c r="F2858" s="9"/>
      <c r="G2858" s="9"/>
      <c r="H2858" s="9"/>
      <c r="I2858" s="9"/>
      <c r="J2858" s="10"/>
      <c r="K2858" s="10"/>
      <c r="L2858" s="50"/>
      <c r="M2858" s="10"/>
      <c r="N2858" s="9"/>
      <c r="O2858" s="9"/>
      <c r="P2858" s="9"/>
      <c r="Q2858" s="9"/>
      <c r="S2858" s="9"/>
      <c r="T2858" s="9"/>
      <c r="V2858" s="9"/>
      <c r="AH2858" s="9"/>
      <c r="AI2858" s="9"/>
      <c r="AJ2858" s="9"/>
      <c r="AK2858" s="23"/>
      <c r="AL2858" s="23"/>
      <c r="AM2858" s="26"/>
      <c r="AN2858" s="9"/>
      <c r="AO2858" s="9"/>
      <c r="AP2858" s="9"/>
      <c r="AQ2858" s="54">
        <f t="shared" si="39"/>
        <v>0</v>
      </c>
      <c r="AR2858" s="52"/>
      <c r="AS2858" s="52"/>
    </row>
    <row r="2859" spans="1:45" ht="14.5" hidden="1">
      <c r="A2859" s="9"/>
      <c r="B2859" s="9"/>
      <c r="C2859" s="9"/>
      <c r="D2859" s="9"/>
      <c r="E2859" s="9"/>
      <c r="F2859" s="9"/>
      <c r="G2859" s="9"/>
      <c r="H2859" s="9"/>
      <c r="I2859" s="9"/>
      <c r="J2859" s="10"/>
      <c r="K2859" s="10"/>
      <c r="L2859" s="50"/>
      <c r="M2859" s="10"/>
      <c r="N2859" s="9"/>
      <c r="O2859" s="9"/>
      <c r="P2859" s="9"/>
      <c r="Q2859" s="9"/>
      <c r="S2859" s="9"/>
      <c r="T2859" s="9"/>
      <c r="V2859" s="9"/>
      <c r="AH2859" s="9"/>
      <c r="AI2859" s="9"/>
      <c r="AJ2859" s="9"/>
      <c r="AK2859" s="23"/>
      <c r="AL2859" s="23"/>
      <c r="AM2859" s="26"/>
      <c r="AN2859" s="9"/>
      <c r="AO2859" s="9"/>
      <c r="AP2859" s="9"/>
      <c r="AQ2859" s="54">
        <f t="shared" si="39"/>
        <v>0</v>
      </c>
      <c r="AR2859" s="52"/>
      <c r="AS2859" s="52"/>
    </row>
    <row r="2860" spans="1:45" ht="14.5" hidden="1">
      <c r="A2860" s="9"/>
      <c r="B2860" s="9"/>
      <c r="C2860" s="9"/>
      <c r="D2860" s="9"/>
      <c r="E2860" s="9"/>
      <c r="F2860" s="9"/>
      <c r="G2860" s="9"/>
      <c r="H2860" s="9"/>
      <c r="I2860" s="9"/>
      <c r="J2860" s="10"/>
      <c r="K2860" s="10"/>
      <c r="L2860" s="50"/>
      <c r="M2860" s="10"/>
      <c r="N2860" s="9"/>
      <c r="O2860" s="9"/>
      <c r="P2860" s="9"/>
      <c r="Q2860" s="9"/>
      <c r="S2860" s="9"/>
      <c r="T2860" s="9"/>
      <c r="V2860" s="9"/>
      <c r="AH2860" s="9"/>
      <c r="AI2860" s="9"/>
      <c r="AJ2860" s="9"/>
      <c r="AK2860" s="23"/>
      <c r="AL2860" s="23"/>
      <c r="AM2860" s="26"/>
      <c r="AN2860" s="9"/>
      <c r="AO2860" s="9"/>
      <c r="AP2860" s="9"/>
      <c r="AQ2860" s="54">
        <f t="shared" si="39"/>
        <v>0</v>
      </c>
      <c r="AR2860" s="52"/>
      <c r="AS2860" s="52"/>
    </row>
    <row r="2861" spans="1:45" ht="14.5" hidden="1">
      <c r="A2861" s="9"/>
      <c r="B2861" s="9"/>
      <c r="C2861" s="9"/>
      <c r="D2861" s="9"/>
      <c r="E2861" s="9"/>
      <c r="F2861" s="9"/>
      <c r="G2861" s="9"/>
      <c r="H2861" s="9"/>
      <c r="I2861" s="9"/>
      <c r="J2861" s="10"/>
      <c r="K2861" s="10"/>
      <c r="L2861" s="50"/>
      <c r="M2861" s="10"/>
      <c r="N2861" s="9"/>
      <c r="O2861" s="9"/>
      <c r="P2861" s="9"/>
      <c r="Q2861" s="9"/>
      <c r="S2861" s="9"/>
      <c r="T2861" s="9"/>
      <c r="V2861" s="9"/>
      <c r="AH2861" s="9"/>
      <c r="AI2861" s="9"/>
      <c r="AJ2861" s="9"/>
      <c r="AK2861" s="23"/>
      <c r="AL2861" s="23"/>
      <c r="AM2861" s="26"/>
      <c r="AN2861" s="9"/>
      <c r="AO2861" s="9"/>
      <c r="AP2861" s="9"/>
      <c r="AQ2861" s="54">
        <f t="shared" si="39"/>
        <v>0</v>
      </c>
      <c r="AR2861" s="52"/>
      <c r="AS2861" s="52"/>
    </row>
    <row r="2862" spans="1:45" ht="14.5" hidden="1">
      <c r="A2862" s="9"/>
      <c r="B2862" s="9"/>
      <c r="C2862" s="9"/>
      <c r="D2862" s="9"/>
      <c r="E2862" s="9"/>
      <c r="F2862" s="9"/>
      <c r="G2862" s="9"/>
      <c r="H2862" s="9"/>
      <c r="I2862" s="9"/>
      <c r="J2862" s="10"/>
      <c r="K2862" s="10"/>
      <c r="L2862" s="50"/>
      <c r="M2862" s="10"/>
      <c r="N2862" s="9"/>
      <c r="O2862" s="9"/>
      <c r="P2862" s="9"/>
      <c r="Q2862" s="9"/>
      <c r="S2862" s="9"/>
      <c r="T2862" s="9"/>
      <c r="V2862" s="9"/>
      <c r="AH2862" s="9"/>
      <c r="AI2862" s="9"/>
      <c r="AJ2862" s="9"/>
      <c r="AK2862" s="23"/>
      <c r="AL2862" s="23"/>
      <c r="AM2862" s="26"/>
      <c r="AN2862" s="9"/>
      <c r="AO2862" s="9"/>
      <c r="AP2862" s="9"/>
      <c r="AQ2862" s="54">
        <f t="shared" si="39"/>
        <v>0</v>
      </c>
      <c r="AR2862" s="52"/>
      <c r="AS2862" s="52"/>
    </row>
    <row r="2863" spans="1:45" ht="14.5" hidden="1">
      <c r="A2863" s="9"/>
      <c r="B2863" s="9"/>
      <c r="C2863" s="9"/>
      <c r="D2863" s="9"/>
      <c r="E2863" s="9"/>
      <c r="F2863" s="9"/>
      <c r="G2863" s="9"/>
      <c r="H2863" s="9"/>
      <c r="I2863" s="9"/>
      <c r="J2863" s="10"/>
      <c r="K2863" s="10"/>
      <c r="L2863" s="50"/>
      <c r="M2863" s="10"/>
      <c r="N2863" s="9"/>
      <c r="O2863" s="9"/>
      <c r="P2863" s="9"/>
      <c r="Q2863" s="9"/>
      <c r="S2863" s="9"/>
      <c r="T2863" s="9"/>
      <c r="V2863" s="9"/>
      <c r="AH2863" s="9"/>
      <c r="AI2863" s="9"/>
      <c r="AJ2863" s="9"/>
      <c r="AK2863" s="23"/>
      <c r="AL2863" s="23"/>
      <c r="AM2863" s="26"/>
      <c r="AN2863" s="9"/>
      <c r="AO2863" s="9"/>
      <c r="AP2863" s="9"/>
      <c r="AQ2863" s="54">
        <f t="shared" si="39"/>
        <v>0</v>
      </c>
      <c r="AR2863" s="52"/>
      <c r="AS2863" s="52"/>
    </row>
    <row r="2864" spans="1:45" ht="14.5" hidden="1">
      <c r="A2864" s="9"/>
      <c r="B2864" s="9"/>
      <c r="C2864" s="9"/>
      <c r="D2864" s="9"/>
      <c r="E2864" s="9"/>
      <c r="F2864" s="9"/>
      <c r="G2864" s="9"/>
      <c r="H2864" s="9"/>
      <c r="I2864" s="9"/>
      <c r="J2864" s="10"/>
      <c r="K2864" s="10"/>
      <c r="L2864" s="50"/>
      <c r="M2864" s="10"/>
      <c r="N2864" s="9"/>
      <c r="O2864" s="9"/>
      <c r="P2864" s="9"/>
      <c r="Q2864" s="9"/>
      <c r="S2864" s="9"/>
      <c r="T2864" s="9"/>
      <c r="V2864" s="9"/>
      <c r="AH2864" s="9"/>
      <c r="AI2864" s="9"/>
      <c r="AJ2864" s="9"/>
      <c r="AK2864" s="23"/>
      <c r="AL2864" s="23"/>
      <c r="AM2864" s="26"/>
      <c r="AN2864" s="9"/>
      <c r="AO2864" s="9"/>
      <c r="AP2864" s="9"/>
      <c r="AQ2864" s="54">
        <f t="shared" si="39"/>
        <v>0</v>
      </c>
      <c r="AR2864" s="52"/>
      <c r="AS2864" s="52"/>
    </row>
    <row r="2865" spans="1:45" ht="14.5" hidden="1">
      <c r="A2865" s="9"/>
      <c r="B2865" s="9"/>
      <c r="C2865" s="9"/>
      <c r="D2865" s="9"/>
      <c r="E2865" s="9"/>
      <c r="F2865" s="9"/>
      <c r="G2865" s="9"/>
      <c r="H2865" s="9"/>
      <c r="I2865" s="9"/>
      <c r="J2865" s="10"/>
      <c r="K2865" s="10"/>
      <c r="L2865" s="50"/>
      <c r="M2865" s="10"/>
      <c r="N2865" s="9"/>
      <c r="O2865" s="9"/>
      <c r="P2865" s="9"/>
      <c r="Q2865" s="9"/>
      <c r="S2865" s="9"/>
      <c r="T2865" s="9"/>
      <c r="V2865" s="9"/>
      <c r="AH2865" s="9"/>
      <c r="AI2865" s="9"/>
      <c r="AJ2865" s="9"/>
      <c r="AK2865" s="23"/>
      <c r="AL2865" s="23"/>
      <c r="AM2865" s="26"/>
      <c r="AN2865" s="9"/>
      <c r="AO2865" s="9"/>
      <c r="AP2865" s="9"/>
      <c r="AQ2865" s="54">
        <f t="shared" si="39"/>
        <v>0</v>
      </c>
      <c r="AR2865" s="52"/>
      <c r="AS2865" s="52"/>
    </row>
    <row r="2866" spans="1:45" ht="14.5" hidden="1">
      <c r="A2866" s="9"/>
      <c r="B2866" s="9"/>
      <c r="C2866" s="9"/>
      <c r="D2866" s="9"/>
      <c r="E2866" s="9"/>
      <c r="F2866" s="9"/>
      <c r="G2866" s="9"/>
      <c r="H2866" s="9"/>
      <c r="I2866" s="9"/>
      <c r="J2866" s="10"/>
      <c r="K2866" s="10"/>
      <c r="L2866" s="50"/>
      <c r="M2866" s="10"/>
      <c r="N2866" s="9"/>
      <c r="O2866" s="9"/>
      <c r="P2866" s="9"/>
      <c r="Q2866" s="9"/>
      <c r="S2866" s="9"/>
      <c r="T2866" s="9"/>
      <c r="V2866" s="9"/>
      <c r="AH2866" s="9"/>
      <c r="AI2866" s="9"/>
      <c r="AJ2866" s="9"/>
      <c r="AK2866" s="23"/>
      <c r="AL2866" s="23"/>
      <c r="AM2866" s="26"/>
      <c r="AN2866" s="9"/>
      <c r="AO2866" s="9"/>
      <c r="AP2866" s="9"/>
      <c r="AQ2866" s="54">
        <f t="shared" si="39"/>
        <v>0</v>
      </c>
      <c r="AR2866" s="52"/>
      <c r="AS2866" s="52"/>
    </row>
    <row r="2867" spans="1:45" ht="14.5" hidden="1">
      <c r="A2867" s="9"/>
      <c r="B2867" s="9"/>
      <c r="C2867" s="9"/>
      <c r="D2867" s="9"/>
      <c r="E2867" s="9"/>
      <c r="F2867" s="9"/>
      <c r="G2867" s="9"/>
      <c r="H2867" s="9"/>
      <c r="I2867" s="9"/>
      <c r="J2867" s="10"/>
      <c r="K2867" s="10"/>
      <c r="L2867" s="50"/>
      <c r="M2867" s="10"/>
      <c r="N2867" s="9"/>
      <c r="O2867" s="9"/>
      <c r="P2867" s="9"/>
      <c r="Q2867" s="9"/>
      <c r="S2867" s="9"/>
      <c r="T2867" s="9"/>
      <c r="V2867" s="9"/>
      <c r="AH2867" s="9"/>
      <c r="AI2867" s="9"/>
      <c r="AJ2867" s="9"/>
      <c r="AK2867" s="23"/>
      <c r="AL2867" s="23"/>
      <c r="AM2867" s="26"/>
      <c r="AN2867" s="9"/>
      <c r="AO2867" s="9"/>
      <c r="AP2867" s="9"/>
      <c r="AQ2867" s="54">
        <f t="shared" si="39"/>
        <v>0</v>
      </c>
      <c r="AR2867" s="52"/>
      <c r="AS2867" s="52"/>
    </row>
    <row r="2868" spans="1:45" ht="14.5" hidden="1">
      <c r="A2868" s="9"/>
      <c r="B2868" s="9"/>
      <c r="C2868" s="9"/>
      <c r="D2868" s="9"/>
      <c r="E2868" s="9"/>
      <c r="F2868" s="9"/>
      <c r="G2868" s="9"/>
      <c r="H2868" s="9"/>
      <c r="I2868" s="9"/>
      <c r="J2868" s="10"/>
      <c r="K2868" s="10"/>
      <c r="L2868" s="50"/>
      <c r="M2868" s="10"/>
      <c r="N2868" s="9"/>
      <c r="O2868" s="9"/>
      <c r="P2868" s="9"/>
      <c r="Q2868" s="9"/>
      <c r="S2868" s="9"/>
      <c r="T2868" s="9"/>
      <c r="V2868" s="9"/>
      <c r="AH2868" s="9"/>
      <c r="AI2868" s="9"/>
      <c r="AJ2868" s="9"/>
      <c r="AK2868" s="23"/>
      <c r="AL2868" s="23"/>
      <c r="AM2868" s="26"/>
      <c r="AN2868" s="9"/>
      <c r="AO2868" s="9"/>
      <c r="AP2868" s="9"/>
      <c r="AQ2868" s="54">
        <f t="shared" si="39"/>
        <v>0</v>
      </c>
      <c r="AR2868" s="52"/>
      <c r="AS2868" s="52"/>
    </row>
    <row r="2869" spans="1:45" ht="14.5" hidden="1">
      <c r="A2869" s="9"/>
      <c r="B2869" s="9"/>
      <c r="C2869" s="9"/>
      <c r="D2869" s="9"/>
      <c r="E2869" s="9"/>
      <c r="F2869" s="9"/>
      <c r="G2869" s="9"/>
      <c r="H2869" s="9"/>
      <c r="I2869" s="9"/>
      <c r="J2869" s="10"/>
      <c r="K2869" s="10"/>
      <c r="L2869" s="50"/>
      <c r="M2869" s="10"/>
      <c r="N2869" s="9"/>
      <c r="O2869" s="9"/>
      <c r="P2869" s="9"/>
      <c r="Q2869" s="9"/>
      <c r="S2869" s="9"/>
      <c r="T2869" s="9"/>
      <c r="V2869" s="9"/>
      <c r="AH2869" s="9"/>
      <c r="AI2869" s="9"/>
      <c r="AJ2869" s="9"/>
      <c r="AK2869" s="23"/>
      <c r="AL2869" s="23"/>
      <c r="AM2869" s="26"/>
      <c r="AN2869" s="9"/>
      <c r="AO2869" s="9"/>
      <c r="AP2869" s="9"/>
      <c r="AQ2869" s="54">
        <f t="shared" si="39"/>
        <v>0</v>
      </c>
      <c r="AR2869" s="52"/>
      <c r="AS2869" s="52"/>
    </row>
    <row r="2870" spans="1:45" ht="14.5" hidden="1">
      <c r="A2870" s="9"/>
      <c r="B2870" s="9"/>
      <c r="C2870" s="9"/>
      <c r="D2870" s="9"/>
      <c r="E2870" s="9"/>
      <c r="F2870" s="9"/>
      <c r="G2870" s="9"/>
      <c r="H2870" s="9"/>
      <c r="I2870" s="9"/>
      <c r="J2870" s="10"/>
      <c r="K2870" s="10"/>
      <c r="L2870" s="50"/>
      <c r="M2870" s="10"/>
      <c r="N2870" s="9"/>
      <c r="O2870" s="9"/>
      <c r="P2870" s="9"/>
      <c r="Q2870" s="9"/>
      <c r="S2870" s="9"/>
      <c r="T2870" s="9"/>
      <c r="V2870" s="9"/>
      <c r="AH2870" s="9"/>
      <c r="AI2870" s="9"/>
      <c r="AJ2870" s="9"/>
      <c r="AK2870" s="23"/>
      <c r="AL2870" s="23"/>
      <c r="AM2870" s="26"/>
      <c r="AN2870" s="9"/>
      <c r="AO2870" s="9"/>
      <c r="AP2870" s="9"/>
      <c r="AQ2870" s="54">
        <f t="shared" si="39"/>
        <v>0</v>
      </c>
      <c r="AR2870" s="52"/>
      <c r="AS2870" s="52"/>
    </row>
    <row r="2871" spans="1:45" ht="14.5" hidden="1">
      <c r="A2871" s="9"/>
      <c r="B2871" s="9"/>
      <c r="C2871" s="9"/>
      <c r="D2871" s="9"/>
      <c r="E2871" s="9"/>
      <c r="F2871" s="9"/>
      <c r="G2871" s="9"/>
      <c r="H2871" s="9"/>
      <c r="I2871" s="9"/>
      <c r="J2871" s="10"/>
      <c r="K2871" s="10"/>
      <c r="L2871" s="50"/>
      <c r="M2871" s="10"/>
      <c r="N2871" s="9"/>
      <c r="O2871" s="9"/>
      <c r="P2871" s="9"/>
      <c r="Q2871" s="9"/>
      <c r="S2871" s="9"/>
      <c r="T2871" s="9"/>
      <c r="V2871" s="9"/>
      <c r="AH2871" s="9"/>
      <c r="AI2871" s="9"/>
      <c r="AJ2871" s="9"/>
      <c r="AK2871" s="23"/>
      <c r="AL2871" s="23"/>
      <c r="AM2871" s="26"/>
      <c r="AN2871" s="9"/>
      <c r="AO2871" s="9"/>
      <c r="AP2871" s="9"/>
      <c r="AQ2871" s="54">
        <f t="shared" si="39"/>
        <v>0</v>
      </c>
      <c r="AR2871" s="52"/>
      <c r="AS2871" s="52"/>
    </row>
    <row r="2872" spans="1:45" ht="14.5" hidden="1">
      <c r="A2872" s="9"/>
      <c r="B2872" s="9"/>
      <c r="C2872" s="9"/>
      <c r="D2872" s="9"/>
      <c r="E2872" s="9"/>
      <c r="F2872" s="9"/>
      <c r="G2872" s="9"/>
      <c r="H2872" s="9"/>
      <c r="I2872" s="9"/>
      <c r="J2872" s="10"/>
      <c r="K2872" s="10"/>
      <c r="L2872" s="50"/>
      <c r="M2872" s="10"/>
      <c r="N2872" s="9"/>
      <c r="O2872" s="9"/>
      <c r="P2872" s="9"/>
      <c r="Q2872" s="9"/>
      <c r="S2872" s="9"/>
      <c r="T2872" s="9"/>
      <c r="V2872" s="9"/>
      <c r="AH2872" s="9"/>
      <c r="AI2872" s="9"/>
      <c r="AJ2872" s="9"/>
      <c r="AK2872" s="23"/>
      <c r="AL2872" s="23"/>
      <c r="AM2872" s="26"/>
      <c r="AN2872" s="9"/>
      <c r="AO2872" s="9"/>
      <c r="AP2872" s="9"/>
      <c r="AQ2872" s="54">
        <f t="shared" si="39"/>
        <v>0</v>
      </c>
      <c r="AR2872" s="52"/>
      <c r="AS2872" s="52"/>
    </row>
    <row r="2873" spans="1:45" ht="14.5" hidden="1">
      <c r="A2873" s="9"/>
      <c r="B2873" s="9"/>
      <c r="C2873" s="9"/>
      <c r="D2873" s="9"/>
      <c r="E2873" s="9"/>
      <c r="F2873" s="9"/>
      <c r="G2873" s="9"/>
      <c r="H2873" s="9"/>
      <c r="I2873" s="9"/>
      <c r="J2873" s="10"/>
      <c r="K2873" s="10"/>
      <c r="L2873" s="50"/>
      <c r="M2873" s="10"/>
      <c r="N2873" s="9"/>
      <c r="O2873" s="9"/>
      <c r="P2873" s="9"/>
      <c r="Q2873" s="9"/>
      <c r="S2873" s="9"/>
      <c r="T2873" s="9"/>
      <c r="V2873" s="9"/>
      <c r="AH2873" s="9"/>
      <c r="AI2873" s="9"/>
      <c r="AJ2873" s="9"/>
      <c r="AK2873" s="23"/>
      <c r="AL2873" s="23"/>
      <c r="AM2873" s="26"/>
      <c r="AN2873" s="9"/>
      <c r="AO2873" s="9"/>
      <c r="AP2873" s="9"/>
      <c r="AQ2873" s="54">
        <f t="shared" si="39"/>
        <v>0</v>
      </c>
      <c r="AR2873" s="52"/>
      <c r="AS2873" s="52"/>
    </row>
    <row r="2874" spans="1:45" ht="14.5" hidden="1">
      <c r="A2874" s="9"/>
      <c r="B2874" s="9"/>
      <c r="C2874" s="9"/>
      <c r="D2874" s="9"/>
      <c r="E2874" s="9"/>
      <c r="F2874" s="9"/>
      <c r="G2874" s="9"/>
      <c r="H2874" s="9"/>
      <c r="I2874" s="9"/>
      <c r="J2874" s="10"/>
      <c r="K2874" s="10"/>
      <c r="L2874" s="50"/>
      <c r="M2874" s="10"/>
      <c r="N2874" s="9"/>
      <c r="O2874" s="9"/>
      <c r="P2874" s="9"/>
      <c r="Q2874" s="9"/>
      <c r="S2874" s="9"/>
      <c r="T2874" s="9"/>
      <c r="V2874" s="9"/>
      <c r="AH2874" s="9"/>
      <c r="AI2874" s="9"/>
      <c r="AJ2874" s="9"/>
      <c r="AK2874" s="23"/>
      <c r="AL2874" s="23"/>
      <c r="AM2874" s="26"/>
      <c r="AN2874" s="9"/>
      <c r="AO2874" s="9"/>
      <c r="AP2874" s="9"/>
      <c r="AQ2874" s="54">
        <f t="shared" si="39"/>
        <v>0</v>
      </c>
      <c r="AR2874" s="52"/>
      <c r="AS2874" s="52"/>
    </row>
    <row r="2875" spans="1:45" ht="14.5" hidden="1">
      <c r="A2875" s="9"/>
      <c r="B2875" s="9"/>
      <c r="C2875" s="9"/>
      <c r="D2875" s="9"/>
      <c r="E2875" s="9"/>
      <c r="F2875" s="9"/>
      <c r="G2875" s="9"/>
      <c r="H2875" s="9"/>
      <c r="I2875" s="9"/>
      <c r="J2875" s="10"/>
      <c r="K2875" s="10"/>
      <c r="L2875" s="50"/>
      <c r="M2875" s="10"/>
      <c r="N2875" s="9"/>
      <c r="O2875" s="9"/>
      <c r="P2875" s="9"/>
      <c r="Q2875" s="9"/>
      <c r="S2875" s="9"/>
      <c r="T2875" s="9"/>
      <c r="V2875" s="9"/>
      <c r="AH2875" s="9"/>
      <c r="AI2875" s="9"/>
      <c r="AJ2875" s="9"/>
      <c r="AK2875" s="23"/>
      <c r="AL2875" s="23"/>
      <c r="AM2875" s="26"/>
      <c r="AN2875" s="9"/>
      <c r="AO2875" s="9"/>
      <c r="AP2875" s="9"/>
      <c r="AQ2875" s="54">
        <f t="shared" si="39"/>
        <v>0</v>
      </c>
      <c r="AR2875" s="52"/>
      <c r="AS2875" s="52"/>
    </row>
    <row r="2876" spans="1:45" ht="14.5" hidden="1">
      <c r="A2876" s="9"/>
      <c r="B2876" s="9"/>
      <c r="C2876" s="9"/>
      <c r="D2876" s="9"/>
      <c r="E2876" s="9"/>
      <c r="F2876" s="9"/>
      <c r="G2876" s="9"/>
      <c r="H2876" s="9"/>
      <c r="I2876" s="9"/>
      <c r="J2876" s="10"/>
      <c r="K2876" s="10"/>
      <c r="L2876" s="50"/>
      <c r="M2876" s="10"/>
      <c r="N2876" s="9"/>
      <c r="O2876" s="9"/>
      <c r="P2876" s="9"/>
      <c r="Q2876" s="9"/>
      <c r="S2876" s="9"/>
      <c r="T2876" s="9"/>
      <c r="V2876" s="9"/>
      <c r="AH2876" s="9"/>
      <c r="AI2876" s="9"/>
      <c r="AJ2876" s="9"/>
      <c r="AK2876" s="23"/>
      <c r="AL2876" s="23"/>
      <c r="AM2876" s="26"/>
      <c r="AN2876" s="9"/>
      <c r="AO2876" s="9"/>
      <c r="AP2876" s="9"/>
      <c r="AQ2876" s="54">
        <f t="shared" si="39"/>
        <v>0</v>
      </c>
      <c r="AR2876" s="52"/>
      <c r="AS2876" s="52"/>
    </row>
    <row r="2877" spans="1:45" ht="14.5" hidden="1">
      <c r="A2877" s="9"/>
      <c r="B2877" s="9"/>
      <c r="C2877" s="9"/>
      <c r="D2877" s="9"/>
      <c r="E2877" s="9"/>
      <c r="F2877" s="9"/>
      <c r="G2877" s="9"/>
      <c r="H2877" s="9"/>
      <c r="I2877" s="9"/>
      <c r="J2877" s="10"/>
      <c r="K2877" s="10"/>
      <c r="L2877" s="50"/>
      <c r="M2877" s="10"/>
      <c r="N2877" s="9"/>
      <c r="O2877" s="9"/>
      <c r="P2877" s="9"/>
      <c r="Q2877" s="9"/>
      <c r="S2877" s="9"/>
      <c r="T2877" s="9"/>
      <c r="V2877" s="9"/>
      <c r="AH2877" s="9"/>
      <c r="AI2877" s="9"/>
      <c r="AJ2877" s="9"/>
      <c r="AK2877" s="23"/>
      <c r="AL2877" s="23"/>
      <c r="AM2877" s="26"/>
      <c r="AN2877" s="9"/>
      <c r="AO2877" s="9"/>
      <c r="AP2877" s="9"/>
      <c r="AQ2877" s="54">
        <f t="shared" si="39"/>
        <v>0</v>
      </c>
      <c r="AR2877" s="52"/>
      <c r="AS2877" s="52"/>
    </row>
    <row r="2878" spans="1:45" ht="14.5" hidden="1">
      <c r="A2878" s="9"/>
      <c r="B2878" s="9"/>
      <c r="C2878" s="9"/>
      <c r="D2878" s="9"/>
      <c r="E2878" s="9"/>
      <c r="F2878" s="9"/>
      <c r="G2878" s="9"/>
      <c r="H2878" s="9"/>
      <c r="I2878" s="9"/>
      <c r="J2878" s="10"/>
      <c r="K2878" s="10"/>
      <c r="L2878" s="50"/>
      <c r="M2878" s="10"/>
      <c r="N2878" s="9"/>
      <c r="O2878" s="9"/>
      <c r="P2878" s="9"/>
      <c r="Q2878" s="9"/>
      <c r="S2878" s="9"/>
      <c r="T2878" s="9"/>
      <c r="V2878" s="9"/>
      <c r="AH2878" s="9"/>
      <c r="AI2878" s="9"/>
      <c r="AJ2878" s="9"/>
      <c r="AK2878" s="23"/>
      <c r="AL2878" s="23"/>
      <c r="AM2878" s="26"/>
      <c r="AN2878" s="9"/>
      <c r="AO2878" s="9"/>
      <c r="AP2878" s="9"/>
      <c r="AQ2878" s="54">
        <f t="shared" si="39"/>
        <v>0</v>
      </c>
      <c r="AR2878" s="52"/>
      <c r="AS2878" s="52"/>
    </row>
    <row r="2879" spans="1:45" ht="14.5" hidden="1">
      <c r="A2879" s="9"/>
      <c r="B2879" s="9"/>
      <c r="C2879" s="9"/>
      <c r="D2879" s="9"/>
      <c r="E2879" s="9"/>
      <c r="F2879" s="9"/>
      <c r="G2879" s="9"/>
      <c r="H2879" s="9"/>
      <c r="I2879" s="9"/>
      <c r="J2879" s="10"/>
      <c r="K2879" s="10"/>
      <c r="L2879" s="50"/>
      <c r="M2879" s="10"/>
      <c r="N2879" s="9"/>
      <c r="O2879" s="9"/>
      <c r="P2879" s="9"/>
      <c r="Q2879" s="9"/>
      <c r="S2879" s="9"/>
      <c r="T2879" s="9"/>
      <c r="V2879" s="9"/>
      <c r="AH2879" s="9"/>
      <c r="AI2879" s="9"/>
      <c r="AJ2879" s="9"/>
      <c r="AK2879" s="23"/>
      <c r="AL2879" s="23"/>
      <c r="AM2879" s="26"/>
      <c r="AN2879" s="9"/>
      <c r="AO2879" s="9"/>
      <c r="AP2879" s="9"/>
      <c r="AQ2879" s="54">
        <f t="shared" si="39"/>
        <v>0</v>
      </c>
      <c r="AR2879" s="52"/>
      <c r="AS2879" s="52"/>
    </row>
    <row r="2880" spans="1:45" ht="14.5" hidden="1">
      <c r="A2880" s="9"/>
      <c r="B2880" s="9"/>
      <c r="C2880" s="9"/>
      <c r="D2880" s="9"/>
      <c r="E2880" s="9"/>
      <c r="F2880" s="9"/>
      <c r="G2880" s="9"/>
      <c r="H2880" s="9"/>
      <c r="I2880" s="9"/>
      <c r="J2880" s="10"/>
      <c r="K2880" s="10"/>
      <c r="L2880" s="50"/>
      <c r="M2880" s="10"/>
      <c r="N2880" s="9"/>
      <c r="O2880" s="9"/>
      <c r="P2880" s="9"/>
      <c r="Q2880" s="9"/>
      <c r="S2880" s="9"/>
      <c r="T2880" s="9"/>
      <c r="V2880" s="9"/>
      <c r="AH2880" s="9"/>
      <c r="AI2880" s="9"/>
      <c r="AJ2880" s="9"/>
      <c r="AK2880" s="23"/>
      <c r="AL2880" s="23"/>
      <c r="AM2880" s="26"/>
      <c r="AN2880" s="9"/>
      <c r="AO2880" s="9"/>
      <c r="AP2880" s="9"/>
      <c r="AQ2880" s="54">
        <f t="shared" si="39"/>
        <v>0</v>
      </c>
      <c r="AR2880" s="52"/>
      <c r="AS2880" s="52"/>
    </row>
    <row r="2881" spans="1:45" ht="14.5" hidden="1">
      <c r="A2881" s="9"/>
      <c r="B2881" s="9"/>
      <c r="C2881" s="9"/>
      <c r="D2881" s="9"/>
      <c r="E2881" s="9"/>
      <c r="F2881" s="9"/>
      <c r="G2881" s="9"/>
      <c r="H2881" s="9"/>
      <c r="I2881" s="9"/>
      <c r="J2881" s="10"/>
      <c r="K2881" s="10"/>
      <c r="L2881" s="50"/>
      <c r="M2881" s="10"/>
      <c r="N2881" s="9"/>
      <c r="O2881" s="9"/>
      <c r="P2881" s="9"/>
      <c r="Q2881" s="9"/>
      <c r="S2881" s="9"/>
      <c r="T2881" s="9"/>
      <c r="V2881" s="9"/>
      <c r="AH2881" s="9"/>
      <c r="AI2881" s="9"/>
      <c r="AJ2881" s="9"/>
      <c r="AK2881" s="23"/>
      <c r="AL2881" s="23"/>
      <c r="AM2881" s="26"/>
      <c r="AN2881" s="9"/>
      <c r="AO2881" s="9"/>
      <c r="AP2881" s="9"/>
      <c r="AQ2881" s="54">
        <f t="shared" si="39"/>
        <v>0</v>
      </c>
      <c r="AR2881" s="52"/>
      <c r="AS2881" s="52"/>
    </row>
    <row r="2882" spans="1:45" ht="14.5" hidden="1">
      <c r="A2882" s="9"/>
      <c r="B2882" s="9"/>
      <c r="C2882" s="9"/>
      <c r="D2882" s="9"/>
      <c r="E2882" s="9"/>
      <c r="F2882" s="9"/>
      <c r="G2882" s="9"/>
      <c r="H2882" s="9"/>
      <c r="I2882" s="9"/>
      <c r="J2882" s="10"/>
      <c r="K2882" s="10"/>
      <c r="L2882" s="50"/>
      <c r="M2882" s="10"/>
      <c r="N2882" s="9"/>
      <c r="O2882" s="9"/>
      <c r="P2882" s="9"/>
      <c r="Q2882" s="9"/>
      <c r="S2882" s="9"/>
      <c r="T2882" s="9"/>
      <c r="V2882" s="9"/>
      <c r="AH2882" s="9"/>
      <c r="AI2882" s="9"/>
      <c r="AJ2882" s="9"/>
      <c r="AK2882" s="23"/>
      <c r="AL2882" s="23"/>
      <c r="AM2882" s="26"/>
      <c r="AN2882" s="9"/>
      <c r="AO2882" s="9"/>
      <c r="AP2882" s="9"/>
      <c r="AQ2882" s="54">
        <f t="shared" si="39"/>
        <v>0</v>
      </c>
      <c r="AR2882" s="52"/>
      <c r="AS2882" s="52"/>
    </row>
    <row r="2883" spans="1:45" ht="14.5" hidden="1">
      <c r="A2883" s="9"/>
      <c r="B2883" s="9"/>
      <c r="C2883" s="9"/>
      <c r="D2883" s="9"/>
      <c r="E2883" s="9"/>
      <c r="F2883" s="9"/>
      <c r="G2883" s="9"/>
      <c r="H2883" s="9"/>
      <c r="I2883" s="9"/>
      <c r="J2883" s="10"/>
      <c r="K2883" s="10"/>
      <c r="L2883" s="50"/>
      <c r="M2883" s="10"/>
      <c r="N2883" s="9"/>
      <c r="O2883" s="9"/>
      <c r="P2883" s="9"/>
      <c r="Q2883" s="9"/>
      <c r="S2883" s="9"/>
      <c r="T2883" s="9"/>
      <c r="V2883" s="9"/>
      <c r="AH2883" s="9"/>
      <c r="AI2883" s="9"/>
      <c r="AJ2883" s="9"/>
      <c r="AK2883" s="23"/>
      <c r="AL2883" s="23"/>
      <c r="AM2883" s="26"/>
      <c r="AN2883" s="9"/>
      <c r="AO2883" s="9"/>
      <c r="AP2883" s="9"/>
      <c r="AQ2883" s="54">
        <f t="shared" si="39"/>
        <v>0</v>
      </c>
      <c r="AR2883" s="52"/>
      <c r="AS2883" s="52"/>
    </row>
    <row r="2884" spans="1:45" ht="14.5" hidden="1">
      <c r="A2884" s="9"/>
      <c r="B2884" s="9"/>
      <c r="C2884" s="9"/>
      <c r="D2884" s="9"/>
      <c r="E2884" s="9"/>
      <c r="F2884" s="9"/>
      <c r="G2884" s="9"/>
      <c r="H2884" s="9"/>
      <c r="I2884" s="9"/>
      <c r="J2884" s="10"/>
      <c r="K2884" s="10"/>
      <c r="L2884" s="50"/>
      <c r="M2884" s="10"/>
      <c r="N2884" s="9"/>
      <c r="O2884" s="9"/>
      <c r="P2884" s="9"/>
      <c r="Q2884" s="9"/>
      <c r="S2884" s="9"/>
      <c r="T2884" s="9"/>
      <c r="V2884" s="9"/>
      <c r="AH2884" s="9"/>
      <c r="AI2884" s="9"/>
      <c r="AJ2884" s="9"/>
      <c r="AK2884" s="23"/>
      <c r="AL2884" s="23"/>
      <c r="AM2884" s="26"/>
      <c r="AN2884" s="9"/>
      <c r="AO2884" s="9"/>
      <c r="AP2884" s="9"/>
      <c r="AQ2884" s="54">
        <f t="shared" si="39"/>
        <v>0</v>
      </c>
      <c r="AR2884" s="52"/>
      <c r="AS2884" s="52"/>
    </row>
    <row r="2885" spans="1:45" ht="14.5" hidden="1">
      <c r="A2885" s="9"/>
      <c r="B2885" s="9"/>
      <c r="C2885" s="9"/>
      <c r="D2885" s="9"/>
      <c r="E2885" s="9"/>
      <c r="F2885" s="9"/>
      <c r="G2885" s="9"/>
      <c r="H2885" s="9"/>
      <c r="I2885" s="9"/>
      <c r="J2885" s="10"/>
      <c r="K2885" s="10"/>
      <c r="L2885" s="50"/>
      <c r="M2885" s="10"/>
      <c r="N2885" s="9"/>
      <c r="O2885" s="9"/>
      <c r="P2885" s="9"/>
      <c r="Q2885" s="9"/>
      <c r="S2885" s="9"/>
      <c r="T2885" s="9"/>
      <c r="V2885" s="9"/>
      <c r="AH2885" s="9"/>
      <c r="AI2885" s="9"/>
      <c r="AJ2885" s="9"/>
      <c r="AK2885" s="23"/>
      <c r="AL2885" s="23"/>
      <c r="AM2885" s="26"/>
      <c r="AN2885" s="9"/>
      <c r="AO2885" s="9"/>
      <c r="AP2885" s="9"/>
      <c r="AQ2885" s="54">
        <f t="shared" si="39"/>
        <v>0</v>
      </c>
      <c r="AR2885" s="52"/>
      <c r="AS2885" s="52"/>
    </row>
    <row r="2886" spans="1:45" ht="14.5" hidden="1">
      <c r="A2886" s="9"/>
      <c r="B2886" s="9"/>
      <c r="C2886" s="9"/>
      <c r="D2886" s="9"/>
      <c r="E2886" s="9"/>
      <c r="F2886" s="9"/>
      <c r="G2886" s="9"/>
      <c r="H2886" s="9"/>
      <c r="I2886" s="9"/>
      <c r="J2886" s="10"/>
      <c r="K2886" s="10"/>
      <c r="L2886" s="50"/>
      <c r="M2886" s="10"/>
      <c r="N2886" s="9"/>
      <c r="O2886" s="9"/>
      <c r="P2886" s="9"/>
      <c r="Q2886" s="9"/>
      <c r="S2886" s="9"/>
      <c r="T2886" s="9"/>
      <c r="V2886" s="9"/>
      <c r="AH2886" s="9"/>
      <c r="AI2886" s="9"/>
      <c r="AJ2886" s="9"/>
      <c r="AK2886" s="23"/>
      <c r="AL2886" s="23"/>
      <c r="AM2886" s="26"/>
      <c r="AN2886" s="9"/>
      <c r="AO2886" s="9"/>
      <c r="AP2886" s="9"/>
      <c r="AQ2886" s="54">
        <f t="shared" si="39"/>
        <v>0</v>
      </c>
      <c r="AR2886" s="52"/>
      <c r="AS2886" s="52"/>
    </row>
    <row r="2887" spans="1:45" ht="14.5" hidden="1">
      <c r="A2887" s="9"/>
      <c r="B2887" s="9"/>
      <c r="C2887" s="9"/>
      <c r="D2887" s="9"/>
      <c r="E2887" s="9"/>
      <c r="F2887" s="9"/>
      <c r="G2887" s="9"/>
      <c r="H2887" s="9"/>
      <c r="I2887" s="9"/>
      <c r="J2887" s="10"/>
      <c r="K2887" s="10"/>
      <c r="L2887" s="50"/>
      <c r="M2887" s="10"/>
      <c r="N2887" s="9"/>
      <c r="O2887" s="9"/>
      <c r="P2887" s="9"/>
      <c r="Q2887" s="9"/>
      <c r="S2887" s="9"/>
      <c r="T2887" s="9"/>
      <c r="V2887" s="9"/>
      <c r="AH2887" s="9"/>
      <c r="AI2887" s="9"/>
      <c r="AJ2887" s="9"/>
      <c r="AK2887" s="23"/>
      <c r="AL2887" s="23"/>
      <c r="AM2887" s="26"/>
      <c r="AN2887" s="9"/>
      <c r="AO2887" s="9"/>
      <c r="AP2887" s="9"/>
      <c r="AQ2887" s="54">
        <f t="shared" si="39"/>
        <v>0</v>
      </c>
      <c r="AR2887" s="52"/>
      <c r="AS2887" s="52"/>
    </row>
    <row r="2888" spans="1:45" ht="14.5" hidden="1">
      <c r="A2888" s="9"/>
      <c r="B2888" s="9"/>
      <c r="C2888" s="9"/>
      <c r="D2888" s="9"/>
      <c r="E2888" s="9"/>
      <c r="F2888" s="9"/>
      <c r="G2888" s="9"/>
      <c r="H2888" s="9"/>
      <c r="I2888" s="9"/>
      <c r="J2888" s="10"/>
      <c r="K2888" s="10"/>
      <c r="L2888" s="50"/>
      <c r="M2888" s="10"/>
      <c r="N2888" s="9"/>
      <c r="O2888" s="9"/>
      <c r="P2888" s="9"/>
      <c r="Q2888" s="9"/>
      <c r="S2888" s="9"/>
      <c r="T2888" s="9"/>
      <c r="V2888" s="9"/>
      <c r="AH2888" s="9"/>
      <c r="AI2888" s="9"/>
      <c r="AJ2888" s="9"/>
      <c r="AK2888" s="23"/>
      <c r="AL2888" s="23"/>
      <c r="AM2888" s="26"/>
      <c r="AN2888" s="9"/>
      <c r="AO2888" s="9"/>
      <c r="AP2888" s="9"/>
      <c r="AQ2888" s="54">
        <f t="shared" si="39"/>
        <v>0</v>
      </c>
      <c r="AR2888" s="52"/>
      <c r="AS2888" s="52"/>
    </row>
    <row r="2889" spans="1:45" ht="14.5" hidden="1">
      <c r="A2889" s="9"/>
      <c r="B2889" s="9"/>
      <c r="C2889" s="9"/>
      <c r="D2889" s="9"/>
      <c r="E2889" s="9"/>
      <c r="F2889" s="9"/>
      <c r="G2889" s="9"/>
      <c r="H2889" s="9"/>
      <c r="I2889" s="9"/>
      <c r="J2889" s="10"/>
      <c r="K2889" s="10"/>
      <c r="L2889" s="50"/>
      <c r="M2889" s="10"/>
      <c r="N2889" s="9"/>
      <c r="O2889" s="9"/>
      <c r="P2889" s="9"/>
      <c r="Q2889" s="9"/>
      <c r="S2889" s="9"/>
      <c r="T2889" s="9"/>
      <c r="V2889" s="9"/>
      <c r="AH2889" s="9"/>
      <c r="AI2889" s="9"/>
      <c r="AJ2889" s="9"/>
      <c r="AK2889" s="23"/>
      <c r="AL2889" s="23"/>
      <c r="AM2889" s="26"/>
      <c r="AN2889" s="9"/>
      <c r="AO2889" s="9"/>
      <c r="AP2889" s="9"/>
      <c r="AQ2889" s="54">
        <f t="shared" si="39"/>
        <v>0</v>
      </c>
      <c r="AR2889" s="52"/>
      <c r="AS2889" s="52"/>
    </row>
    <row r="2890" spans="1:45" ht="14.5" hidden="1">
      <c r="A2890" s="9"/>
      <c r="B2890" s="9"/>
      <c r="C2890" s="9"/>
      <c r="D2890" s="9"/>
      <c r="E2890" s="9"/>
      <c r="F2890" s="9"/>
      <c r="G2890" s="9"/>
      <c r="H2890" s="9"/>
      <c r="I2890" s="9"/>
      <c r="J2890" s="10"/>
      <c r="K2890" s="10"/>
      <c r="L2890" s="50"/>
      <c r="M2890" s="10"/>
      <c r="N2890" s="9"/>
      <c r="O2890" s="9"/>
      <c r="P2890" s="9"/>
      <c r="Q2890" s="9"/>
      <c r="S2890" s="9"/>
      <c r="T2890" s="9"/>
      <c r="V2890" s="9"/>
      <c r="AH2890" s="9"/>
      <c r="AI2890" s="9"/>
      <c r="AJ2890" s="9"/>
      <c r="AK2890" s="23"/>
      <c r="AL2890" s="23"/>
      <c r="AM2890" s="26"/>
      <c r="AN2890" s="9"/>
      <c r="AO2890" s="9"/>
      <c r="AP2890" s="9"/>
      <c r="AQ2890" s="54">
        <f t="shared" si="39"/>
        <v>0</v>
      </c>
      <c r="AR2890" s="52"/>
      <c r="AS2890" s="52"/>
    </row>
    <row r="2891" spans="1:45" ht="14.5" hidden="1">
      <c r="A2891" s="9"/>
      <c r="B2891" s="9"/>
      <c r="C2891" s="9"/>
      <c r="D2891" s="9"/>
      <c r="E2891" s="9"/>
      <c r="F2891" s="9"/>
      <c r="G2891" s="9"/>
      <c r="H2891" s="9"/>
      <c r="I2891" s="9"/>
      <c r="J2891" s="10"/>
      <c r="K2891" s="10"/>
      <c r="L2891" s="50"/>
      <c r="M2891" s="10"/>
      <c r="N2891" s="9"/>
      <c r="O2891" s="9"/>
      <c r="P2891" s="9"/>
      <c r="Q2891" s="9"/>
      <c r="S2891" s="9"/>
      <c r="T2891" s="9"/>
      <c r="V2891" s="9"/>
      <c r="AH2891" s="9"/>
      <c r="AI2891" s="9"/>
      <c r="AJ2891" s="9"/>
      <c r="AK2891" s="23"/>
      <c r="AL2891" s="23"/>
      <c r="AM2891" s="26"/>
      <c r="AN2891" s="9"/>
      <c r="AO2891" s="9"/>
      <c r="AP2891" s="9"/>
      <c r="AQ2891" s="54">
        <f t="shared" si="39"/>
        <v>0</v>
      </c>
      <c r="AR2891" s="52"/>
      <c r="AS2891" s="52"/>
    </row>
    <row r="2892" spans="1:45" ht="14.5" hidden="1">
      <c r="A2892" s="9"/>
      <c r="B2892" s="9"/>
      <c r="C2892" s="9"/>
      <c r="D2892" s="9"/>
      <c r="E2892" s="9"/>
      <c r="F2892" s="9"/>
      <c r="G2892" s="9"/>
      <c r="H2892" s="9"/>
      <c r="I2892" s="9"/>
      <c r="J2892" s="10"/>
      <c r="K2892" s="10"/>
      <c r="L2892" s="50"/>
      <c r="M2892" s="10"/>
      <c r="N2892" s="9"/>
      <c r="O2892" s="9"/>
      <c r="P2892" s="9"/>
      <c r="Q2892" s="9"/>
      <c r="S2892" s="9"/>
      <c r="T2892" s="9"/>
      <c r="V2892" s="9"/>
      <c r="AH2892" s="9"/>
      <c r="AI2892" s="9"/>
      <c r="AJ2892" s="9"/>
      <c r="AK2892" s="23"/>
      <c r="AL2892" s="23"/>
      <c r="AM2892" s="26"/>
      <c r="AN2892" s="9"/>
      <c r="AO2892" s="9"/>
      <c r="AP2892" s="9"/>
      <c r="AQ2892" s="54">
        <f t="shared" si="39"/>
        <v>0</v>
      </c>
      <c r="AR2892" s="52"/>
      <c r="AS2892" s="52"/>
    </row>
    <row r="2893" spans="1:45" ht="14.5" hidden="1">
      <c r="A2893" s="9"/>
      <c r="B2893" s="9"/>
      <c r="C2893" s="9"/>
      <c r="D2893" s="9"/>
      <c r="E2893" s="9"/>
      <c r="F2893" s="9"/>
      <c r="G2893" s="9"/>
      <c r="H2893" s="9"/>
      <c r="I2893" s="9"/>
      <c r="J2893" s="10"/>
      <c r="K2893" s="10"/>
      <c r="L2893" s="50"/>
      <c r="M2893" s="10"/>
      <c r="N2893" s="9"/>
      <c r="O2893" s="9"/>
      <c r="P2893" s="9"/>
      <c r="Q2893" s="9"/>
      <c r="S2893" s="9"/>
      <c r="T2893" s="9"/>
      <c r="V2893" s="9"/>
      <c r="AH2893" s="9"/>
      <c r="AI2893" s="9"/>
      <c r="AJ2893" s="9"/>
      <c r="AK2893" s="23"/>
      <c r="AL2893" s="23"/>
      <c r="AM2893" s="26"/>
      <c r="AN2893" s="9"/>
      <c r="AO2893" s="9"/>
      <c r="AP2893" s="9"/>
      <c r="AQ2893" s="54">
        <f t="shared" si="39"/>
        <v>0</v>
      </c>
      <c r="AR2893" s="52"/>
      <c r="AS2893" s="52"/>
    </row>
    <row r="2894" spans="1:45" ht="14.5" hidden="1">
      <c r="A2894" s="9"/>
      <c r="B2894" s="9"/>
      <c r="C2894" s="9"/>
      <c r="D2894" s="9"/>
      <c r="E2894" s="9"/>
      <c r="F2894" s="9"/>
      <c r="G2894" s="9"/>
      <c r="H2894" s="9"/>
      <c r="I2894" s="9"/>
      <c r="J2894" s="10"/>
      <c r="K2894" s="10"/>
      <c r="L2894" s="50"/>
      <c r="M2894" s="10"/>
      <c r="N2894" s="9"/>
      <c r="O2894" s="9"/>
      <c r="P2894" s="9"/>
      <c r="Q2894" s="9"/>
      <c r="S2894" s="9"/>
      <c r="T2894" s="9"/>
      <c r="V2894" s="9"/>
      <c r="AH2894" s="9"/>
      <c r="AI2894" s="9"/>
      <c r="AJ2894" s="9"/>
      <c r="AK2894" s="23"/>
      <c r="AL2894" s="23"/>
      <c r="AM2894" s="26"/>
      <c r="AN2894" s="9"/>
      <c r="AO2894" s="9"/>
      <c r="AP2894" s="9"/>
      <c r="AQ2894" s="54">
        <f t="shared" si="39"/>
        <v>0</v>
      </c>
      <c r="AR2894" s="52"/>
      <c r="AS2894" s="52"/>
    </row>
    <row r="2895" spans="1:45" ht="14.5" hidden="1">
      <c r="A2895" s="9"/>
      <c r="B2895" s="9"/>
      <c r="C2895" s="9"/>
      <c r="D2895" s="9"/>
      <c r="E2895" s="9"/>
      <c r="F2895" s="9"/>
      <c r="G2895" s="9"/>
      <c r="H2895" s="9"/>
      <c r="I2895" s="9"/>
      <c r="J2895" s="10"/>
      <c r="K2895" s="10"/>
      <c r="L2895" s="50"/>
      <c r="M2895" s="10"/>
      <c r="N2895" s="9"/>
      <c r="O2895" s="9"/>
      <c r="P2895" s="9"/>
      <c r="Q2895" s="9"/>
      <c r="S2895" s="9"/>
      <c r="T2895" s="9"/>
      <c r="V2895" s="9"/>
      <c r="AH2895" s="9"/>
      <c r="AI2895" s="9"/>
      <c r="AJ2895" s="9"/>
      <c r="AK2895" s="23"/>
      <c r="AL2895" s="23"/>
      <c r="AM2895" s="26"/>
      <c r="AN2895" s="9"/>
      <c r="AO2895" s="9"/>
      <c r="AP2895" s="9"/>
      <c r="AQ2895" s="54">
        <f t="shared" si="39"/>
        <v>0</v>
      </c>
      <c r="AR2895" s="52"/>
      <c r="AS2895" s="52"/>
    </row>
    <row r="2896" spans="1:45" ht="14.5" hidden="1">
      <c r="A2896" s="9"/>
      <c r="B2896" s="9"/>
      <c r="C2896" s="9"/>
      <c r="D2896" s="9"/>
      <c r="E2896" s="9"/>
      <c r="F2896" s="9"/>
      <c r="G2896" s="9"/>
      <c r="H2896" s="9"/>
      <c r="I2896" s="9"/>
      <c r="J2896" s="10"/>
      <c r="K2896" s="10"/>
      <c r="L2896" s="50"/>
      <c r="M2896" s="10"/>
      <c r="N2896" s="9"/>
      <c r="O2896" s="9"/>
      <c r="P2896" s="9"/>
      <c r="Q2896" s="9"/>
      <c r="S2896" s="9"/>
      <c r="T2896" s="9"/>
      <c r="V2896" s="9"/>
      <c r="AH2896" s="9"/>
      <c r="AI2896" s="9"/>
      <c r="AJ2896" s="9"/>
      <c r="AK2896" s="23"/>
      <c r="AL2896" s="23"/>
      <c r="AM2896" s="26"/>
      <c r="AN2896" s="9"/>
      <c r="AO2896" s="9"/>
      <c r="AP2896" s="9"/>
      <c r="AQ2896" s="54">
        <f t="shared" si="39"/>
        <v>0</v>
      </c>
      <c r="AR2896" s="52"/>
      <c r="AS2896" s="52"/>
    </row>
    <row r="2897" spans="1:45" ht="14.5" hidden="1">
      <c r="A2897" s="9"/>
      <c r="B2897" s="9"/>
      <c r="C2897" s="9"/>
      <c r="D2897" s="9"/>
      <c r="E2897" s="9"/>
      <c r="F2897" s="9"/>
      <c r="G2897" s="9"/>
      <c r="H2897" s="9"/>
      <c r="I2897" s="9"/>
      <c r="J2897" s="10"/>
      <c r="K2897" s="10"/>
      <c r="L2897" s="50"/>
      <c r="M2897" s="10"/>
      <c r="N2897" s="9"/>
      <c r="O2897" s="9"/>
      <c r="P2897" s="9"/>
      <c r="Q2897" s="9"/>
      <c r="S2897" s="9"/>
      <c r="T2897" s="9"/>
      <c r="V2897" s="9"/>
      <c r="AH2897" s="9"/>
      <c r="AI2897" s="9"/>
      <c r="AJ2897" s="9"/>
      <c r="AK2897" s="23"/>
      <c r="AL2897" s="23"/>
      <c r="AM2897" s="26"/>
      <c r="AN2897" s="9"/>
      <c r="AO2897" s="9"/>
      <c r="AP2897" s="9"/>
      <c r="AQ2897" s="54">
        <f t="shared" si="39"/>
        <v>0</v>
      </c>
      <c r="AR2897" s="52"/>
      <c r="AS2897" s="52"/>
    </row>
    <row r="2898" spans="1:45" ht="14.5" hidden="1">
      <c r="A2898" s="9"/>
      <c r="B2898" s="9"/>
      <c r="C2898" s="9"/>
      <c r="D2898" s="9"/>
      <c r="E2898" s="9"/>
      <c r="F2898" s="9"/>
      <c r="G2898" s="9"/>
      <c r="H2898" s="9"/>
      <c r="I2898" s="9"/>
      <c r="J2898" s="10"/>
      <c r="K2898" s="10"/>
      <c r="L2898" s="50"/>
      <c r="M2898" s="10"/>
      <c r="N2898" s="9"/>
      <c r="O2898" s="9"/>
      <c r="P2898" s="9"/>
      <c r="Q2898" s="9"/>
      <c r="S2898" s="9"/>
      <c r="T2898" s="9"/>
      <c r="V2898" s="9"/>
      <c r="AH2898" s="9"/>
      <c r="AI2898" s="9"/>
      <c r="AJ2898" s="9"/>
      <c r="AK2898" s="23"/>
      <c r="AL2898" s="23"/>
      <c r="AM2898" s="26"/>
      <c r="AN2898" s="9"/>
      <c r="AO2898" s="9"/>
      <c r="AP2898" s="9"/>
      <c r="AQ2898" s="54">
        <f t="shared" si="39"/>
        <v>0</v>
      </c>
      <c r="AR2898" s="52"/>
      <c r="AS2898" s="52"/>
    </row>
    <row r="2899" spans="1:45" ht="14.5" hidden="1">
      <c r="A2899" s="9"/>
      <c r="B2899" s="9"/>
      <c r="C2899" s="9"/>
      <c r="D2899" s="9"/>
      <c r="E2899" s="9"/>
      <c r="F2899" s="9"/>
      <c r="G2899" s="9"/>
      <c r="H2899" s="9"/>
      <c r="I2899" s="9"/>
      <c r="J2899" s="10"/>
      <c r="K2899" s="10"/>
      <c r="L2899" s="50"/>
      <c r="M2899" s="10"/>
      <c r="N2899" s="9"/>
      <c r="O2899" s="9"/>
      <c r="P2899" s="9"/>
      <c r="Q2899" s="9"/>
      <c r="S2899" s="9"/>
      <c r="T2899" s="9"/>
      <c r="V2899" s="9"/>
      <c r="AH2899" s="9"/>
      <c r="AI2899" s="9"/>
      <c r="AJ2899" s="9"/>
      <c r="AK2899" s="23"/>
      <c r="AL2899" s="23"/>
      <c r="AM2899" s="26"/>
      <c r="AN2899" s="9"/>
      <c r="AO2899" s="9"/>
      <c r="AP2899" s="9"/>
      <c r="AQ2899" s="54">
        <f t="shared" si="39"/>
        <v>0</v>
      </c>
      <c r="AR2899" s="52"/>
      <c r="AS2899" s="52"/>
    </row>
    <row r="2900" spans="1:45" ht="14.5" hidden="1">
      <c r="A2900" s="9"/>
      <c r="B2900" s="9"/>
      <c r="C2900" s="9"/>
      <c r="D2900" s="9"/>
      <c r="E2900" s="9"/>
      <c r="F2900" s="9"/>
      <c r="G2900" s="9"/>
      <c r="H2900" s="9"/>
      <c r="I2900" s="9"/>
      <c r="J2900" s="10"/>
      <c r="K2900" s="10"/>
      <c r="L2900" s="50"/>
      <c r="M2900" s="10"/>
      <c r="N2900" s="9"/>
      <c r="O2900" s="9"/>
      <c r="P2900" s="9"/>
      <c r="Q2900" s="9"/>
      <c r="S2900" s="9"/>
      <c r="T2900" s="9"/>
      <c r="V2900" s="9"/>
      <c r="AH2900" s="9"/>
      <c r="AI2900" s="9"/>
      <c r="AJ2900" s="9"/>
      <c r="AK2900" s="23"/>
      <c r="AL2900" s="23"/>
      <c r="AM2900" s="26"/>
      <c r="AN2900" s="9"/>
      <c r="AO2900" s="9"/>
      <c r="AP2900" s="9"/>
      <c r="AQ2900" s="54">
        <f t="shared" si="39"/>
        <v>0</v>
      </c>
      <c r="AR2900" s="52"/>
      <c r="AS2900" s="52"/>
    </row>
    <row r="2901" spans="1:45" ht="14.5" hidden="1">
      <c r="A2901" s="9"/>
      <c r="B2901" s="9"/>
      <c r="C2901" s="9"/>
      <c r="D2901" s="9"/>
      <c r="E2901" s="9"/>
      <c r="F2901" s="9"/>
      <c r="G2901" s="9"/>
      <c r="H2901" s="9"/>
      <c r="I2901" s="9"/>
      <c r="J2901" s="10"/>
      <c r="K2901" s="10"/>
      <c r="L2901" s="50"/>
      <c r="M2901" s="10"/>
      <c r="N2901" s="9"/>
      <c r="O2901" s="9"/>
      <c r="P2901" s="9"/>
      <c r="Q2901" s="9"/>
      <c r="S2901" s="9"/>
      <c r="T2901" s="9"/>
      <c r="V2901" s="9"/>
      <c r="AH2901" s="9"/>
      <c r="AI2901" s="9"/>
      <c r="AJ2901" s="9"/>
      <c r="AK2901" s="23"/>
      <c r="AL2901" s="23"/>
      <c r="AM2901" s="26"/>
      <c r="AN2901" s="9"/>
      <c r="AO2901" s="9"/>
      <c r="AP2901" s="9"/>
      <c r="AQ2901" s="54">
        <f t="shared" si="39"/>
        <v>0</v>
      </c>
      <c r="AR2901" s="52"/>
      <c r="AS2901" s="52"/>
    </row>
    <row r="2902" spans="1:45" ht="14.5" hidden="1">
      <c r="A2902" s="9"/>
      <c r="B2902" s="9"/>
      <c r="C2902" s="9"/>
      <c r="D2902" s="9"/>
      <c r="E2902" s="9"/>
      <c r="F2902" s="9"/>
      <c r="G2902" s="9"/>
      <c r="H2902" s="9"/>
      <c r="I2902" s="9"/>
      <c r="J2902" s="10"/>
      <c r="K2902" s="10"/>
      <c r="L2902" s="50"/>
      <c r="M2902" s="10"/>
      <c r="N2902" s="9"/>
      <c r="O2902" s="9"/>
      <c r="P2902" s="9"/>
      <c r="Q2902" s="9"/>
      <c r="S2902" s="9"/>
      <c r="T2902" s="9"/>
      <c r="V2902" s="9"/>
      <c r="AH2902" s="9"/>
      <c r="AI2902" s="9"/>
      <c r="AJ2902" s="9"/>
      <c r="AK2902" s="23"/>
      <c r="AL2902" s="23"/>
      <c r="AM2902" s="26"/>
      <c r="AN2902" s="9"/>
      <c r="AO2902" s="9"/>
      <c r="AP2902" s="9"/>
      <c r="AQ2902" s="54">
        <f t="shared" si="39"/>
        <v>0</v>
      </c>
      <c r="AR2902" s="52"/>
      <c r="AS2902" s="52"/>
    </row>
    <row r="2903" spans="1:45" ht="14.5" hidden="1">
      <c r="A2903" s="9"/>
      <c r="B2903" s="9"/>
      <c r="C2903" s="9"/>
      <c r="D2903" s="9"/>
      <c r="E2903" s="9"/>
      <c r="F2903" s="9"/>
      <c r="G2903" s="9"/>
      <c r="H2903" s="9"/>
      <c r="I2903" s="9"/>
      <c r="J2903" s="10"/>
      <c r="K2903" s="10"/>
      <c r="L2903" s="50"/>
      <c r="M2903" s="10"/>
      <c r="N2903" s="9"/>
      <c r="O2903" s="9"/>
      <c r="P2903" s="9"/>
      <c r="Q2903" s="9"/>
      <c r="S2903" s="9"/>
      <c r="T2903" s="9"/>
      <c r="V2903" s="9"/>
      <c r="AH2903" s="9"/>
      <c r="AI2903" s="9"/>
      <c r="AJ2903" s="9"/>
      <c r="AK2903" s="23"/>
      <c r="AL2903" s="23"/>
      <c r="AM2903" s="26"/>
      <c r="AN2903" s="9"/>
      <c r="AO2903" s="9"/>
      <c r="AP2903" s="9"/>
      <c r="AQ2903" s="54">
        <f t="shared" si="39"/>
        <v>0</v>
      </c>
      <c r="AR2903" s="52"/>
      <c r="AS2903" s="52"/>
    </row>
    <row r="2904" spans="1:45" ht="14.5" hidden="1">
      <c r="A2904" s="9"/>
      <c r="B2904" s="9"/>
      <c r="C2904" s="9"/>
      <c r="D2904" s="9"/>
      <c r="E2904" s="9"/>
      <c r="F2904" s="9"/>
      <c r="G2904" s="9"/>
      <c r="H2904" s="9"/>
      <c r="I2904" s="9"/>
      <c r="J2904" s="10"/>
      <c r="K2904" s="10"/>
      <c r="L2904" s="50"/>
      <c r="M2904" s="10"/>
      <c r="N2904" s="9"/>
      <c r="O2904" s="9"/>
      <c r="P2904" s="9"/>
      <c r="Q2904" s="9"/>
      <c r="S2904" s="9"/>
      <c r="T2904" s="9"/>
      <c r="V2904" s="9"/>
      <c r="AH2904" s="9"/>
      <c r="AI2904" s="9"/>
      <c r="AJ2904" s="9"/>
      <c r="AK2904" s="23"/>
      <c r="AL2904" s="23"/>
      <c r="AM2904" s="26"/>
      <c r="AN2904" s="9"/>
      <c r="AO2904" s="9"/>
      <c r="AP2904" s="9"/>
      <c r="AQ2904" s="54">
        <f t="shared" si="39"/>
        <v>0</v>
      </c>
      <c r="AR2904" s="52"/>
      <c r="AS2904" s="52"/>
    </row>
    <row r="2905" spans="1:45" ht="14.5" hidden="1">
      <c r="A2905" s="9"/>
      <c r="B2905" s="9"/>
      <c r="C2905" s="9"/>
      <c r="D2905" s="9"/>
      <c r="E2905" s="9"/>
      <c r="F2905" s="9"/>
      <c r="G2905" s="9"/>
      <c r="H2905" s="9"/>
      <c r="I2905" s="9"/>
      <c r="J2905" s="10"/>
      <c r="K2905" s="10"/>
      <c r="L2905" s="50"/>
      <c r="M2905" s="10"/>
      <c r="N2905" s="9"/>
      <c r="O2905" s="9"/>
      <c r="P2905" s="9"/>
      <c r="Q2905" s="9"/>
      <c r="S2905" s="9"/>
      <c r="T2905" s="9"/>
      <c r="V2905" s="9"/>
      <c r="AH2905" s="9"/>
      <c r="AI2905" s="9"/>
      <c r="AJ2905" s="9"/>
      <c r="AK2905" s="23"/>
      <c r="AL2905" s="23"/>
      <c r="AM2905" s="26"/>
      <c r="AN2905" s="9"/>
      <c r="AO2905" s="9"/>
      <c r="AP2905" s="9"/>
      <c r="AQ2905" s="54">
        <f t="shared" si="39"/>
        <v>0</v>
      </c>
      <c r="AR2905" s="52"/>
      <c r="AS2905" s="52"/>
    </row>
    <row r="2906" spans="1:45" ht="14.5" hidden="1">
      <c r="A2906" s="9"/>
      <c r="B2906" s="9"/>
      <c r="C2906" s="9"/>
      <c r="D2906" s="9"/>
      <c r="E2906" s="9"/>
      <c r="F2906" s="9"/>
      <c r="G2906" s="9"/>
      <c r="H2906" s="9"/>
      <c r="I2906" s="9"/>
      <c r="J2906" s="10"/>
      <c r="K2906" s="10"/>
      <c r="L2906" s="50"/>
      <c r="M2906" s="10"/>
      <c r="N2906" s="9"/>
      <c r="O2906" s="9"/>
      <c r="P2906" s="9"/>
      <c r="Q2906" s="9"/>
      <c r="S2906" s="9"/>
      <c r="T2906" s="9"/>
      <c r="V2906" s="9"/>
      <c r="AH2906" s="9"/>
      <c r="AI2906" s="9"/>
      <c r="AJ2906" s="9"/>
      <c r="AK2906" s="23"/>
      <c r="AL2906" s="23"/>
      <c r="AM2906" s="26"/>
      <c r="AN2906" s="9"/>
      <c r="AO2906" s="9"/>
      <c r="AP2906" s="9"/>
      <c r="AQ2906" s="54">
        <f t="shared" si="39"/>
        <v>0</v>
      </c>
      <c r="AR2906" s="52"/>
      <c r="AS2906" s="52"/>
    </row>
    <row r="2907" spans="1:45" ht="14.5" hidden="1">
      <c r="A2907" s="9"/>
      <c r="B2907" s="9"/>
      <c r="C2907" s="9"/>
      <c r="D2907" s="9"/>
      <c r="E2907" s="9"/>
      <c r="F2907" s="9"/>
      <c r="G2907" s="9"/>
      <c r="H2907" s="9"/>
      <c r="I2907" s="9"/>
      <c r="J2907" s="10"/>
      <c r="K2907" s="10"/>
      <c r="L2907" s="50"/>
      <c r="M2907" s="10"/>
      <c r="N2907" s="9"/>
      <c r="O2907" s="9"/>
      <c r="P2907" s="9"/>
      <c r="Q2907" s="9"/>
      <c r="S2907" s="9"/>
      <c r="T2907" s="9"/>
      <c r="V2907" s="9"/>
      <c r="AH2907" s="9"/>
      <c r="AI2907" s="9"/>
      <c r="AJ2907" s="9"/>
      <c r="AK2907" s="23"/>
      <c r="AL2907" s="23"/>
      <c r="AM2907" s="26"/>
      <c r="AN2907" s="9"/>
      <c r="AO2907" s="9"/>
      <c r="AP2907" s="9"/>
      <c r="AQ2907" s="54">
        <f t="shared" si="39"/>
        <v>0</v>
      </c>
      <c r="AR2907" s="52"/>
      <c r="AS2907" s="52"/>
    </row>
    <row r="2908" spans="1:45" ht="14.5" hidden="1">
      <c r="A2908" s="9"/>
      <c r="B2908" s="9"/>
      <c r="C2908" s="9"/>
      <c r="D2908" s="9"/>
      <c r="E2908" s="9"/>
      <c r="F2908" s="9"/>
      <c r="G2908" s="9"/>
      <c r="H2908" s="9"/>
      <c r="I2908" s="9"/>
      <c r="J2908" s="10"/>
      <c r="K2908" s="10"/>
      <c r="L2908" s="50"/>
      <c r="M2908" s="10"/>
      <c r="N2908" s="9"/>
      <c r="O2908" s="9"/>
      <c r="P2908" s="9"/>
      <c r="Q2908" s="9"/>
      <c r="S2908" s="9"/>
      <c r="T2908" s="9"/>
      <c r="V2908" s="9"/>
      <c r="AH2908" s="9"/>
      <c r="AI2908" s="9"/>
      <c r="AJ2908" s="9"/>
      <c r="AK2908" s="23"/>
      <c r="AL2908" s="23"/>
      <c r="AM2908" s="26"/>
      <c r="AN2908" s="9"/>
      <c r="AO2908" s="9"/>
      <c r="AP2908" s="9"/>
      <c r="AQ2908" s="54">
        <f t="shared" si="39"/>
        <v>0</v>
      </c>
      <c r="AR2908" s="52"/>
      <c r="AS2908" s="52"/>
    </row>
    <row r="2909" spans="1:45" ht="14.5" hidden="1">
      <c r="A2909" s="9"/>
      <c r="B2909" s="9"/>
      <c r="C2909" s="9"/>
      <c r="D2909" s="9"/>
      <c r="E2909" s="9"/>
      <c r="F2909" s="9"/>
      <c r="G2909" s="9"/>
      <c r="H2909" s="9"/>
      <c r="I2909" s="9"/>
      <c r="J2909" s="10"/>
      <c r="K2909" s="10"/>
      <c r="L2909" s="50"/>
      <c r="M2909" s="10"/>
      <c r="N2909" s="9"/>
      <c r="O2909" s="9"/>
      <c r="P2909" s="9"/>
      <c r="Q2909" s="9"/>
      <c r="S2909" s="9"/>
      <c r="T2909" s="9"/>
      <c r="V2909" s="9"/>
      <c r="AH2909" s="9"/>
      <c r="AI2909" s="9"/>
      <c r="AJ2909" s="9"/>
      <c r="AK2909" s="23"/>
      <c r="AL2909" s="23"/>
      <c r="AM2909" s="26"/>
      <c r="AN2909" s="9"/>
      <c r="AO2909" s="9"/>
      <c r="AP2909" s="9"/>
      <c r="AQ2909" s="54">
        <f t="shared" si="39"/>
        <v>0</v>
      </c>
      <c r="AR2909" s="52"/>
      <c r="AS2909" s="52"/>
    </row>
    <row r="2910" spans="1:45" ht="14.5" hidden="1">
      <c r="A2910" s="9"/>
      <c r="B2910" s="9"/>
      <c r="C2910" s="9"/>
      <c r="D2910" s="9"/>
      <c r="E2910" s="9"/>
      <c r="F2910" s="9"/>
      <c r="G2910" s="9"/>
      <c r="H2910" s="9"/>
      <c r="I2910" s="9"/>
      <c r="J2910" s="10"/>
      <c r="K2910" s="10"/>
      <c r="L2910" s="50"/>
      <c r="M2910" s="10"/>
      <c r="N2910" s="9"/>
      <c r="O2910" s="9"/>
      <c r="P2910" s="9"/>
      <c r="Q2910" s="9"/>
      <c r="S2910" s="9"/>
      <c r="T2910" s="9"/>
      <c r="V2910" s="9"/>
      <c r="AH2910" s="9"/>
      <c r="AI2910" s="9"/>
      <c r="AJ2910" s="9"/>
      <c r="AK2910" s="23"/>
      <c r="AL2910" s="23"/>
      <c r="AM2910" s="26"/>
      <c r="AN2910" s="9"/>
      <c r="AO2910" s="9"/>
      <c r="AP2910" s="9"/>
      <c r="AQ2910" s="54">
        <f t="shared" si="39"/>
        <v>0</v>
      </c>
      <c r="AR2910" s="52"/>
      <c r="AS2910" s="52"/>
    </row>
    <row r="2911" spans="1:45" ht="14.5" hidden="1">
      <c r="A2911" s="9"/>
      <c r="B2911" s="9"/>
      <c r="C2911" s="9"/>
      <c r="D2911" s="9"/>
      <c r="E2911" s="9"/>
      <c r="F2911" s="9"/>
      <c r="G2911" s="9"/>
      <c r="H2911" s="9"/>
      <c r="I2911" s="9"/>
      <c r="J2911" s="10"/>
      <c r="K2911" s="10"/>
      <c r="L2911" s="50"/>
      <c r="M2911" s="10"/>
      <c r="N2911" s="9"/>
      <c r="O2911" s="9"/>
      <c r="P2911" s="9"/>
      <c r="Q2911" s="9"/>
      <c r="S2911" s="9"/>
      <c r="T2911" s="9"/>
      <c r="V2911" s="9"/>
      <c r="AH2911" s="9"/>
      <c r="AI2911" s="9"/>
      <c r="AJ2911" s="9"/>
      <c r="AK2911" s="23"/>
      <c r="AL2911" s="23"/>
      <c r="AM2911" s="26"/>
      <c r="AN2911" s="9"/>
      <c r="AO2911" s="9"/>
      <c r="AP2911" s="9"/>
      <c r="AQ2911" s="54">
        <f t="shared" si="39"/>
        <v>0</v>
      </c>
      <c r="AR2911" s="52"/>
      <c r="AS2911" s="52"/>
    </row>
    <row r="2912" spans="1:45" ht="14.5" hidden="1">
      <c r="A2912" s="9"/>
      <c r="B2912" s="9"/>
      <c r="C2912" s="9"/>
      <c r="D2912" s="9"/>
      <c r="E2912" s="9"/>
      <c r="F2912" s="9"/>
      <c r="G2912" s="9"/>
      <c r="H2912" s="9"/>
      <c r="I2912" s="9"/>
      <c r="J2912" s="10"/>
      <c r="K2912" s="10"/>
      <c r="L2912" s="50"/>
      <c r="M2912" s="10"/>
      <c r="N2912" s="9"/>
      <c r="O2912" s="9"/>
      <c r="P2912" s="9"/>
      <c r="Q2912" s="9"/>
      <c r="S2912" s="9"/>
      <c r="T2912" s="9"/>
      <c r="V2912" s="9"/>
      <c r="AH2912" s="9"/>
      <c r="AI2912" s="9"/>
      <c r="AJ2912" s="9"/>
      <c r="AK2912" s="23"/>
      <c r="AL2912" s="23"/>
      <c r="AM2912" s="26"/>
      <c r="AN2912" s="9"/>
      <c r="AO2912" s="9"/>
      <c r="AP2912" s="9"/>
      <c r="AQ2912" s="54">
        <f t="shared" si="39"/>
        <v>0</v>
      </c>
      <c r="AR2912" s="52"/>
      <c r="AS2912" s="52"/>
    </row>
    <row r="2913" spans="1:45" ht="14.5" hidden="1">
      <c r="A2913" s="9"/>
      <c r="B2913" s="9"/>
      <c r="C2913" s="9"/>
      <c r="D2913" s="9"/>
      <c r="E2913" s="9"/>
      <c r="F2913" s="9"/>
      <c r="G2913" s="9"/>
      <c r="H2913" s="9"/>
      <c r="I2913" s="9"/>
      <c r="J2913" s="10"/>
      <c r="K2913" s="10"/>
      <c r="L2913" s="50"/>
      <c r="M2913" s="10"/>
      <c r="N2913" s="9"/>
      <c r="O2913" s="9"/>
      <c r="P2913" s="9"/>
      <c r="Q2913" s="9"/>
      <c r="S2913" s="9"/>
      <c r="T2913" s="9"/>
      <c r="V2913" s="9"/>
      <c r="AH2913" s="9"/>
      <c r="AI2913" s="9"/>
      <c r="AJ2913" s="9"/>
      <c r="AK2913" s="23"/>
      <c r="AL2913" s="23"/>
      <c r="AM2913" s="26"/>
      <c r="AN2913" s="9"/>
      <c r="AO2913" s="9"/>
      <c r="AP2913" s="9"/>
      <c r="AQ2913" s="54">
        <f t="shared" si="39"/>
        <v>0</v>
      </c>
      <c r="AR2913" s="52"/>
      <c r="AS2913" s="52"/>
    </row>
    <row r="2914" spans="1:45" ht="14.5" hidden="1">
      <c r="A2914" s="9"/>
      <c r="B2914" s="9"/>
      <c r="C2914" s="9"/>
      <c r="D2914" s="9"/>
      <c r="E2914" s="9"/>
      <c r="F2914" s="9"/>
      <c r="G2914" s="9"/>
      <c r="H2914" s="9"/>
      <c r="I2914" s="9"/>
      <c r="J2914" s="10"/>
      <c r="K2914" s="10"/>
      <c r="L2914" s="50"/>
      <c r="M2914" s="10"/>
      <c r="N2914" s="9"/>
      <c r="O2914" s="9"/>
      <c r="P2914" s="9"/>
      <c r="Q2914" s="9"/>
      <c r="S2914" s="9"/>
      <c r="T2914" s="9"/>
      <c r="V2914" s="9"/>
      <c r="AH2914" s="9"/>
      <c r="AI2914" s="9"/>
      <c r="AJ2914" s="9"/>
      <c r="AK2914" s="23"/>
      <c r="AL2914" s="23"/>
      <c r="AM2914" s="26"/>
      <c r="AN2914" s="9"/>
      <c r="AO2914" s="9"/>
      <c r="AP2914" s="9"/>
      <c r="AQ2914" s="54">
        <f t="shared" si="39"/>
        <v>0</v>
      </c>
      <c r="AR2914" s="52"/>
      <c r="AS2914" s="52"/>
    </row>
    <row r="2915" spans="1:45" ht="14.5" hidden="1">
      <c r="A2915" s="9"/>
      <c r="B2915" s="9"/>
      <c r="C2915" s="9"/>
      <c r="D2915" s="9"/>
      <c r="E2915" s="9"/>
      <c r="F2915" s="9"/>
      <c r="G2915" s="9"/>
      <c r="H2915" s="9"/>
      <c r="I2915" s="9"/>
      <c r="J2915" s="10"/>
      <c r="K2915" s="10"/>
      <c r="L2915" s="50"/>
      <c r="M2915" s="10"/>
      <c r="N2915" s="9"/>
      <c r="O2915" s="9"/>
      <c r="P2915" s="9"/>
      <c r="Q2915" s="9"/>
      <c r="S2915" s="9"/>
      <c r="T2915" s="9"/>
      <c r="V2915" s="9"/>
      <c r="AH2915" s="9"/>
      <c r="AI2915" s="9"/>
      <c r="AJ2915" s="9"/>
      <c r="AK2915" s="23"/>
      <c r="AL2915" s="23"/>
      <c r="AM2915" s="26"/>
      <c r="AN2915" s="9"/>
      <c r="AO2915" s="9"/>
      <c r="AP2915" s="9"/>
      <c r="AQ2915" s="54">
        <f t="shared" si="39"/>
        <v>0</v>
      </c>
      <c r="AR2915" s="52"/>
      <c r="AS2915" s="52"/>
    </row>
    <row r="2916" spans="1:45" ht="14.5" hidden="1">
      <c r="A2916" s="9"/>
      <c r="B2916" s="9"/>
      <c r="C2916" s="9"/>
      <c r="D2916" s="9"/>
      <c r="E2916" s="9"/>
      <c r="F2916" s="9"/>
      <c r="G2916" s="9"/>
      <c r="H2916" s="9"/>
      <c r="I2916" s="9"/>
      <c r="J2916" s="10"/>
      <c r="K2916" s="10"/>
      <c r="L2916" s="50"/>
      <c r="M2916" s="10"/>
      <c r="N2916" s="9"/>
      <c r="O2916" s="9"/>
      <c r="P2916" s="9"/>
      <c r="Q2916" s="9"/>
      <c r="S2916" s="9"/>
      <c r="T2916" s="9"/>
      <c r="V2916" s="9"/>
      <c r="AH2916" s="9"/>
      <c r="AI2916" s="9"/>
      <c r="AJ2916" s="9"/>
      <c r="AK2916" s="23"/>
      <c r="AL2916" s="23"/>
      <c r="AM2916" s="26"/>
      <c r="AN2916" s="9"/>
      <c r="AO2916" s="9"/>
      <c r="AP2916" s="9"/>
      <c r="AQ2916" s="54">
        <f t="shared" si="39"/>
        <v>0</v>
      </c>
      <c r="AR2916" s="52"/>
      <c r="AS2916" s="52"/>
    </row>
    <row r="2917" spans="1:45" ht="14.5" hidden="1">
      <c r="A2917" s="9"/>
      <c r="B2917" s="9"/>
      <c r="C2917" s="9"/>
      <c r="D2917" s="9"/>
      <c r="E2917" s="9"/>
      <c r="F2917" s="9"/>
      <c r="G2917" s="9"/>
      <c r="H2917" s="9"/>
      <c r="I2917" s="9"/>
      <c r="J2917" s="10"/>
      <c r="K2917" s="10"/>
      <c r="L2917" s="50"/>
      <c r="M2917" s="10"/>
      <c r="N2917" s="9"/>
      <c r="O2917" s="9"/>
      <c r="P2917" s="9"/>
      <c r="Q2917" s="9"/>
      <c r="S2917" s="9"/>
      <c r="T2917" s="9"/>
      <c r="V2917" s="9"/>
      <c r="AH2917" s="9"/>
      <c r="AI2917" s="9"/>
      <c r="AJ2917" s="9"/>
      <c r="AK2917" s="23"/>
      <c r="AL2917" s="23"/>
      <c r="AM2917" s="26"/>
      <c r="AN2917" s="9"/>
      <c r="AO2917" s="9"/>
      <c r="AP2917" s="9"/>
      <c r="AQ2917" s="54">
        <f t="shared" si="39"/>
        <v>0</v>
      </c>
      <c r="AR2917" s="52"/>
      <c r="AS2917" s="52"/>
    </row>
    <row r="2918" spans="1:45" ht="14.5" hidden="1">
      <c r="A2918" s="9"/>
      <c r="B2918" s="9"/>
      <c r="C2918" s="9"/>
      <c r="D2918" s="9"/>
      <c r="E2918" s="9"/>
      <c r="F2918" s="9"/>
      <c r="G2918" s="9"/>
      <c r="H2918" s="9"/>
      <c r="I2918" s="9"/>
      <c r="J2918" s="10"/>
      <c r="K2918" s="10"/>
      <c r="L2918" s="50"/>
      <c r="M2918" s="10"/>
      <c r="N2918" s="9"/>
      <c r="O2918" s="9"/>
      <c r="P2918" s="9"/>
      <c r="Q2918" s="9"/>
      <c r="S2918" s="9"/>
      <c r="T2918" s="9"/>
      <c r="V2918" s="9"/>
      <c r="AH2918" s="9"/>
      <c r="AI2918" s="9"/>
      <c r="AJ2918" s="9"/>
      <c r="AK2918" s="23"/>
      <c r="AL2918" s="23"/>
      <c r="AM2918" s="26"/>
      <c r="AN2918" s="9"/>
      <c r="AO2918" s="9"/>
      <c r="AP2918" s="9"/>
      <c r="AQ2918" s="54">
        <f t="shared" si="39"/>
        <v>0</v>
      </c>
      <c r="AR2918" s="52"/>
      <c r="AS2918" s="52"/>
    </row>
    <row r="2919" spans="1:45" ht="14.5" hidden="1">
      <c r="A2919" s="9"/>
      <c r="B2919" s="9"/>
      <c r="C2919" s="9"/>
      <c r="D2919" s="9"/>
      <c r="E2919" s="9"/>
      <c r="F2919" s="9"/>
      <c r="G2919" s="9"/>
      <c r="H2919" s="9"/>
      <c r="I2919" s="9"/>
      <c r="J2919" s="10"/>
      <c r="K2919" s="10"/>
      <c r="L2919" s="50"/>
      <c r="M2919" s="10"/>
      <c r="N2919" s="9"/>
      <c r="O2919" s="9"/>
      <c r="P2919" s="9"/>
      <c r="Q2919" s="9"/>
      <c r="S2919" s="9"/>
      <c r="T2919" s="9"/>
      <c r="V2919" s="9"/>
      <c r="AH2919" s="9"/>
      <c r="AI2919" s="9"/>
      <c r="AJ2919" s="9"/>
      <c r="AK2919" s="23"/>
      <c r="AL2919" s="23"/>
      <c r="AM2919" s="26"/>
      <c r="AN2919" s="9"/>
      <c r="AO2919" s="9"/>
      <c r="AP2919" s="9"/>
      <c r="AQ2919" s="54">
        <f t="shared" si="39"/>
        <v>0</v>
      </c>
      <c r="AR2919" s="52"/>
      <c r="AS2919" s="52"/>
    </row>
    <row r="2920" spans="1:45" ht="14.5" hidden="1">
      <c r="A2920" s="9"/>
      <c r="B2920" s="9"/>
      <c r="C2920" s="9"/>
      <c r="D2920" s="9"/>
      <c r="E2920" s="9"/>
      <c r="F2920" s="9"/>
      <c r="G2920" s="9"/>
      <c r="H2920" s="9"/>
      <c r="I2920" s="9"/>
      <c r="J2920" s="10"/>
      <c r="K2920" s="10"/>
      <c r="L2920" s="50"/>
      <c r="M2920" s="10"/>
      <c r="N2920" s="9"/>
      <c r="O2920" s="9"/>
      <c r="P2920" s="9"/>
      <c r="Q2920" s="9"/>
      <c r="S2920" s="9"/>
      <c r="T2920" s="9"/>
      <c r="V2920" s="9"/>
      <c r="AH2920" s="9"/>
      <c r="AI2920" s="9"/>
      <c r="AJ2920" s="9"/>
      <c r="AK2920" s="23"/>
      <c r="AL2920" s="23"/>
      <c r="AM2920" s="26"/>
      <c r="AN2920" s="9"/>
      <c r="AO2920" s="9"/>
      <c r="AP2920" s="9"/>
      <c r="AQ2920" s="54">
        <f t="shared" si="39"/>
        <v>0</v>
      </c>
      <c r="AR2920" s="52"/>
      <c r="AS2920" s="52"/>
    </row>
    <row r="2921" spans="1:45" ht="14.5" hidden="1">
      <c r="A2921" s="9"/>
      <c r="B2921" s="9"/>
      <c r="C2921" s="9"/>
      <c r="D2921" s="9"/>
      <c r="E2921" s="9"/>
      <c r="F2921" s="9"/>
      <c r="G2921" s="9"/>
      <c r="H2921" s="9"/>
      <c r="I2921" s="9"/>
      <c r="J2921" s="10"/>
      <c r="K2921" s="10"/>
      <c r="L2921" s="50"/>
      <c r="M2921" s="10"/>
      <c r="N2921" s="9"/>
      <c r="O2921" s="9"/>
      <c r="P2921" s="9"/>
      <c r="Q2921" s="9"/>
      <c r="S2921" s="9"/>
      <c r="T2921" s="9"/>
      <c r="V2921" s="9"/>
      <c r="AH2921" s="9"/>
      <c r="AI2921" s="9"/>
      <c r="AJ2921" s="9"/>
      <c r="AK2921" s="23"/>
      <c r="AL2921" s="23"/>
      <c r="AM2921" s="26"/>
      <c r="AN2921" s="9"/>
      <c r="AO2921" s="9"/>
      <c r="AP2921" s="9"/>
      <c r="AQ2921" s="54">
        <f t="shared" si="39"/>
        <v>0</v>
      </c>
      <c r="AR2921" s="52"/>
      <c r="AS2921" s="52"/>
    </row>
    <row r="2922" spans="1:45" ht="14.5" hidden="1">
      <c r="A2922" s="9"/>
      <c r="B2922" s="9"/>
      <c r="C2922" s="9"/>
      <c r="D2922" s="9"/>
      <c r="E2922" s="9"/>
      <c r="F2922" s="9"/>
      <c r="G2922" s="9"/>
      <c r="H2922" s="9"/>
      <c r="I2922" s="9"/>
      <c r="J2922" s="10"/>
      <c r="K2922" s="10"/>
      <c r="L2922" s="50"/>
      <c r="M2922" s="10"/>
      <c r="N2922" s="9"/>
      <c r="O2922" s="9"/>
      <c r="P2922" s="9"/>
      <c r="Q2922" s="9"/>
      <c r="S2922" s="9"/>
      <c r="T2922" s="9"/>
      <c r="V2922" s="9"/>
      <c r="AH2922" s="9"/>
      <c r="AI2922" s="9"/>
      <c r="AJ2922" s="9"/>
      <c r="AK2922" s="23"/>
      <c r="AL2922" s="23"/>
      <c r="AM2922" s="26"/>
      <c r="AN2922" s="9"/>
      <c r="AO2922" s="9"/>
      <c r="AP2922" s="9"/>
      <c r="AQ2922" s="54">
        <f t="shared" si="39"/>
        <v>0</v>
      </c>
      <c r="AR2922" s="52"/>
      <c r="AS2922" s="52"/>
    </row>
    <row r="2923" spans="1:45" ht="14.5" hidden="1">
      <c r="A2923" s="9"/>
      <c r="B2923" s="9"/>
      <c r="C2923" s="9"/>
      <c r="D2923" s="9"/>
      <c r="E2923" s="9"/>
      <c r="F2923" s="9"/>
      <c r="G2923" s="9"/>
      <c r="H2923" s="9"/>
      <c r="I2923" s="9"/>
      <c r="J2923" s="10"/>
      <c r="K2923" s="10"/>
      <c r="L2923" s="50"/>
      <c r="M2923" s="10"/>
      <c r="N2923" s="9"/>
      <c r="O2923" s="9"/>
      <c r="P2923" s="9"/>
      <c r="Q2923" s="9"/>
      <c r="S2923" s="9"/>
      <c r="T2923" s="9"/>
      <c r="V2923" s="9"/>
      <c r="AH2923" s="9"/>
      <c r="AI2923" s="9"/>
      <c r="AJ2923" s="9"/>
      <c r="AK2923" s="23"/>
      <c r="AL2923" s="23"/>
      <c r="AM2923" s="26"/>
      <c r="AN2923" s="9"/>
      <c r="AO2923" s="9"/>
      <c r="AP2923" s="9"/>
      <c r="AQ2923" s="54">
        <f t="shared" si="39"/>
        <v>0</v>
      </c>
      <c r="AR2923" s="52"/>
      <c r="AS2923" s="52"/>
    </row>
    <row r="2924" spans="1:45" ht="14.5" hidden="1">
      <c r="A2924" s="9"/>
      <c r="B2924" s="9"/>
      <c r="C2924" s="9"/>
      <c r="D2924" s="9"/>
      <c r="E2924" s="9"/>
      <c r="F2924" s="9"/>
      <c r="G2924" s="9"/>
      <c r="H2924" s="9"/>
      <c r="I2924" s="9"/>
      <c r="J2924" s="10"/>
      <c r="K2924" s="10"/>
      <c r="L2924" s="50"/>
      <c r="M2924" s="10"/>
      <c r="N2924" s="9"/>
      <c r="O2924" s="9"/>
      <c r="P2924" s="9"/>
      <c r="Q2924" s="9"/>
      <c r="S2924" s="9"/>
      <c r="T2924" s="9"/>
      <c r="V2924" s="9"/>
      <c r="AH2924" s="9"/>
      <c r="AI2924" s="9"/>
      <c r="AJ2924" s="9"/>
      <c r="AK2924" s="23"/>
      <c r="AL2924" s="23"/>
      <c r="AM2924" s="26"/>
      <c r="AN2924" s="9"/>
      <c r="AO2924" s="9"/>
      <c r="AP2924" s="9"/>
      <c r="AQ2924" s="54">
        <f t="shared" si="39"/>
        <v>0</v>
      </c>
      <c r="AR2924" s="52"/>
      <c r="AS2924" s="52"/>
    </row>
    <row r="2925" spans="1:45" ht="14.5" hidden="1">
      <c r="A2925" s="9"/>
      <c r="B2925" s="9"/>
      <c r="C2925" s="9"/>
      <c r="D2925" s="9"/>
      <c r="E2925" s="9"/>
      <c r="F2925" s="9"/>
      <c r="G2925" s="9"/>
      <c r="H2925" s="9"/>
      <c r="I2925" s="9"/>
      <c r="J2925" s="10"/>
      <c r="K2925" s="10"/>
      <c r="L2925" s="50"/>
      <c r="M2925" s="10"/>
      <c r="N2925" s="9"/>
      <c r="O2925" s="9"/>
      <c r="P2925" s="9"/>
      <c r="Q2925" s="9"/>
      <c r="S2925" s="9"/>
      <c r="T2925" s="9"/>
      <c r="V2925" s="9"/>
      <c r="AH2925" s="9"/>
      <c r="AI2925" s="9"/>
      <c r="AJ2925" s="9"/>
      <c r="AK2925" s="23"/>
      <c r="AL2925" s="23"/>
      <c r="AM2925" s="26"/>
      <c r="AN2925" s="9"/>
      <c r="AO2925" s="9"/>
      <c r="AP2925" s="9"/>
      <c r="AQ2925" s="54">
        <f t="shared" si="39"/>
        <v>0</v>
      </c>
      <c r="AR2925" s="52"/>
      <c r="AS2925" s="52"/>
    </row>
    <row r="2926" spans="1:45" ht="14.5" hidden="1">
      <c r="A2926" s="9"/>
      <c r="B2926" s="9"/>
      <c r="C2926" s="9"/>
      <c r="D2926" s="9"/>
      <c r="E2926" s="9"/>
      <c r="F2926" s="9"/>
      <c r="G2926" s="9"/>
      <c r="H2926" s="9"/>
      <c r="I2926" s="9"/>
      <c r="J2926" s="10"/>
      <c r="K2926" s="10"/>
      <c r="L2926" s="50"/>
      <c r="M2926" s="10"/>
      <c r="N2926" s="9"/>
      <c r="O2926" s="9"/>
      <c r="P2926" s="9"/>
      <c r="Q2926" s="9"/>
      <c r="S2926" s="9"/>
      <c r="T2926" s="9"/>
      <c r="V2926" s="9"/>
      <c r="AH2926" s="9"/>
      <c r="AI2926" s="9"/>
      <c r="AJ2926" s="9"/>
      <c r="AK2926" s="23"/>
      <c r="AL2926" s="23"/>
      <c r="AM2926" s="26"/>
      <c r="AN2926" s="9"/>
      <c r="AO2926" s="9"/>
      <c r="AP2926" s="9"/>
      <c r="AQ2926" s="54">
        <f t="shared" si="39"/>
        <v>0</v>
      </c>
      <c r="AR2926" s="52"/>
      <c r="AS2926" s="52"/>
    </row>
    <row r="2927" spans="1:45" ht="14.5" hidden="1">
      <c r="A2927" s="9"/>
      <c r="B2927" s="9"/>
      <c r="C2927" s="9"/>
      <c r="D2927" s="9"/>
      <c r="E2927" s="9"/>
      <c r="F2927" s="9"/>
      <c r="G2927" s="9"/>
      <c r="H2927" s="9"/>
      <c r="I2927" s="9"/>
      <c r="J2927" s="10"/>
      <c r="K2927" s="10"/>
      <c r="L2927" s="50"/>
      <c r="M2927" s="10"/>
      <c r="N2927" s="9"/>
      <c r="O2927" s="9"/>
      <c r="P2927" s="9"/>
      <c r="Q2927" s="9"/>
      <c r="S2927" s="9"/>
      <c r="T2927" s="9"/>
      <c r="V2927" s="9"/>
      <c r="AH2927" s="9"/>
      <c r="AI2927" s="9"/>
      <c r="AJ2927" s="9"/>
      <c r="AK2927" s="23"/>
      <c r="AL2927" s="23"/>
      <c r="AM2927" s="26"/>
      <c r="AN2927" s="9"/>
      <c r="AO2927" s="9"/>
      <c r="AP2927" s="9"/>
      <c r="AQ2927" s="54">
        <f t="shared" si="39"/>
        <v>0</v>
      </c>
      <c r="AR2927" s="52"/>
      <c r="AS2927" s="52"/>
    </row>
    <row r="2928" spans="1:45" ht="14.5" hidden="1">
      <c r="A2928" s="9"/>
      <c r="B2928" s="9"/>
      <c r="C2928" s="9"/>
      <c r="D2928" s="9"/>
      <c r="E2928" s="9"/>
      <c r="F2928" s="9"/>
      <c r="G2928" s="9"/>
      <c r="H2928" s="9"/>
      <c r="I2928" s="9"/>
      <c r="J2928" s="10"/>
      <c r="K2928" s="10"/>
      <c r="L2928" s="50"/>
      <c r="M2928" s="10"/>
      <c r="N2928" s="9"/>
      <c r="O2928" s="9"/>
      <c r="P2928" s="9"/>
      <c r="Q2928" s="9"/>
      <c r="S2928" s="9"/>
      <c r="T2928" s="9"/>
      <c r="V2928" s="9"/>
      <c r="AH2928" s="9"/>
      <c r="AI2928" s="9"/>
      <c r="AJ2928" s="9"/>
      <c r="AK2928" s="23"/>
      <c r="AL2928" s="23"/>
      <c r="AM2928" s="26"/>
      <c r="AN2928" s="9"/>
      <c r="AO2928" s="9"/>
      <c r="AP2928" s="9"/>
      <c r="AQ2928" s="54">
        <f t="shared" si="39"/>
        <v>0</v>
      </c>
      <c r="AR2928" s="52"/>
      <c r="AS2928" s="52"/>
    </row>
    <row r="2929" spans="1:45" ht="14.5" hidden="1">
      <c r="A2929" s="9"/>
      <c r="B2929" s="9"/>
      <c r="C2929" s="9"/>
      <c r="D2929" s="9"/>
      <c r="E2929" s="9"/>
      <c r="F2929" s="9"/>
      <c r="G2929" s="9"/>
      <c r="H2929" s="9"/>
      <c r="I2929" s="9"/>
      <c r="J2929" s="10"/>
      <c r="K2929" s="10"/>
      <c r="L2929" s="50"/>
      <c r="M2929" s="10"/>
      <c r="N2929" s="9"/>
      <c r="O2929" s="9"/>
      <c r="P2929" s="9"/>
      <c r="Q2929" s="9"/>
      <c r="S2929" s="9"/>
      <c r="T2929" s="9"/>
      <c r="V2929" s="9"/>
      <c r="AH2929" s="9"/>
      <c r="AI2929" s="9"/>
      <c r="AJ2929" s="9"/>
      <c r="AK2929" s="23"/>
      <c r="AL2929" s="23"/>
      <c r="AM2929" s="26"/>
      <c r="AN2929" s="9"/>
      <c r="AO2929" s="9"/>
      <c r="AP2929" s="9"/>
      <c r="AQ2929" s="54">
        <f t="shared" si="39"/>
        <v>0</v>
      </c>
      <c r="AR2929" s="52"/>
      <c r="AS2929" s="52"/>
    </row>
    <row r="2930" spans="1:45" ht="14.5" hidden="1">
      <c r="A2930" s="9"/>
      <c r="B2930" s="9"/>
      <c r="C2930" s="9"/>
      <c r="D2930" s="9"/>
      <c r="E2930" s="9"/>
      <c r="F2930" s="9"/>
      <c r="G2930" s="9"/>
      <c r="H2930" s="9"/>
      <c r="I2930" s="9"/>
      <c r="J2930" s="10"/>
      <c r="K2930" s="10"/>
      <c r="L2930" s="50"/>
      <c r="M2930" s="10"/>
      <c r="N2930" s="9"/>
      <c r="O2930" s="9"/>
      <c r="P2930" s="9"/>
      <c r="Q2930" s="9"/>
      <c r="S2930" s="9"/>
      <c r="T2930" s="9"/>
      <c r="V2930" s="9"/>
      <c r="AH2930" s="9"/>
      <c r="AI2930" s="9"/>
      <c r="AJ2930" s="9"/>
      <c r="AK2930" s="23"/>
      <c r="AL2930" s="23"/>
      <c r="AM2930" s="26"/>
      <c r="AN2930" s="9"/>
      <c r="AO2930" s="9"/>
      <c r="AP2930" s="9"/>
      <c r="AQ2930" s="54">
        <f t="shared" si="39"/>
        <v>0</v>
      </c>
      <c r="AR2930" s="52"/>
      <c r="AS2930" s="52"/>
    </row>
    <row r="2931" spans="1:45" ht="14.5" hidden="1">
      <c r="A2931" s="9"/>
      <c r="B2931" s="9"/>
      <c r="C2931" s="9"/>
      <c r="D2931" s="9"/>
      <c r="E2931" s="9"/>
      <c r="F2931" s="9"/>
      <c r="G2931" s="9"/>
      <c r="H2931" s="9"/>
      <c r="I2931" s="9"/>
      <c r="J2931" s="10"/>
      <c r="K2931" s="10"/>
      <c r="L2931" s="50"/>
      <c r="M2931" s="10"/>
      <c r="N2931" s="9"/>
      <c r="O2931" s="9"/>
      <c r="P2931" s="9"/>
      <c r="Q2931" s="9"/>
      <c r="S2931" s="9"/>
      <c r="T2931" s="9"/>
      <c r="V2931" s="9"/>
      <c r="AH2931" s="9"/>
      <c r="AI2931" s="9"/>
      <c r="AJ2931" s="9"/>
      <c r="AK2931" s="23"/>
      <c r="AL2931" s="23"/>
      <c r="AM2931" s="26"/>
      <c r="AN2931" s="9"/>
      <c r="AO2931" s="9"/>
      <c r="AP2931" s="9"/>
      <c r="AQ2931" s="54">
        <f t="shared" si="39"/>
        <v>0</v>
      </c>
      <c r="AR2931" s="52"/>
      <c r="AS2931" s="52"/>
    </row>
    <row r="2932" spans="1:45" ht="14.5" hidden="1">
      <c r="A2932" s="9"/>
      <c r="B2932" s="9"/>
      <c r="C2932" s="9"/>
      <c r="D2932" s="9"/>
      <c r="E2932" s="9"/>
      <c r="F2932" s="9"/>
      <c r="G2932" s="9"/>
      <c r="H2932" s="9"/>
      <c r="I2932" s="9"/>
      <c r="J2932" s="10"/>
      <c r="K2932" s="10"/>
      <c r="L2932" s="50"/>
      <c r="M2932" s="10"/>
      <c r="N2932" s="9"/>
      <c r="O2932" s="9"/>
      <c r="P2932" s="9"/>
      <c r="Q2932" s="9"/>
      <c r="S2932" s="9"/>
      <c r="T2932" s="9"/>
      <c r="V2932" s="9"/>
      <c r="AH2932" s="9"/>
      <c r="AI2932" s="9"/>
      <c r="AJ2932" s="9"/>
      <c r="AK2932" s="23"/>
      <c r="AL2932" s="23"/>
      <c r="AM2932" s="26"/>
      <c r="AN2932" s="9"/>
      <c r="AO2932" s="9"/>
      <c r="AP2932" s="9"/>
      <c r="AQ2932" s="54">
        <f t="shared" si="39"/>
        <v>0</v>
      </c>
      <c r="AR2932" s="52"/>
      <c r="AS2932" s="52"/>
    </row>
    <row r="2933" spans="1:45" ht="14.5" hidden="1">
      <c r="A2933" s="9"/>
      <c r="B2933" s="9"/>
      <c r="C2933" s="9"/>
      <c r="D2933" s="9"/>
      <c r="E2933" s="9"/>
      <c r="F2933" s="9"/>
      <c r="G2933" s="9"/>
      <c r="H2933" s="9"/>
      <c r="I2933" s="9"/>
      <c r="J2933" s="10"/>
      <c r="K2933" s="10"/>
      <c r="L2933" s="50"/>
      <c r="M2933" s="10"/>
      <c r="N2933" s="9"/>
      <c r="O2933" s="9"/>
      <c r="P2933" s="9"/>
      <c r="Q2933" s="9"/>
      <c r="S2933" s="9"/>
      <c r="T2933" s="9"/>
      <c r="V2933" s="9"/>
      <c r="AH2933" s="9"/>
      <c r="AI2933" s="9"/>
      <c r="AJ2933" s="9"/>
      <c r="AK2933" s="23"/>
      <c r="AL2933" s="23"/>
      <c r="AM2933" s="26"/>
      <c r="AN2933" s="9"/>
      <c r="AO2933" s="9"/>
      <c r="AP2933" s="9"/>
      <c r="AQ2933" s="54">
        <f t="shared" si="39"/>
        <v>0</v>
      </c>
      <c r="AR2933" s="52"/>
      <c r="AS2933" s="52"/>
    </row>
    <row r="2934" spans="1:45" ht="14.5" hidden="1">
      <c r="A2934" s="9"/>
      <c r="B2934" s="9"/>
      <c r="C2934" s="9"/>
      <c r="D2934" s="9"/>
      <c r="E2934" s="9"/>
      <c r="F2934" s="9"/>
      <c r="G2934" s="9"/>
      <c r="H2934" s="9"/>
      <c r="I2934" s="9"/>
      <c r="J2934" s="10"/>
      <c r="K2934" s="10"/>
      <c r="L2934" s="50"/>
      <c r="M2934" s="10"/>
      <c r="N2934" s="9"/>
      <c r="O2934" s="9"/>
      <c r="P2934" s="9"/>
      <c r="Q2934" s="9"/>
      <c r="S2934" s="9"/>
      <c r="T2934" s="9"/>
      <c r="V2934" s="9"/>
      <c r="AH2934" s="9"/>
      <c r="AI2934" s="9"/>
      <c r="AJ2934" s="9"/>
      <c r="AK2934" s="23"/>
      <c r="AL2934" s="23"/>
      <c r="AM2934" s="26"/>
      <c r="AN2934" s="9"/>
      <c r="AO2934" s="9"/>
      <c r="AP2934" s="9"/>
      <c r="AQ2934" s="54">
        <f t="shared" si="39"/>
        <v>0</v>
      </c>
      <c r="AR2934" s="52"/>
      <c r="AS2934" s="52"/>
    </row>
    <row r="2935" spans="1:45" ht="14.5" hidden="1">
      <c r="A2935" s="9"/>
      <c r="B2935" s="9"/>
      <c r="C2935" s="9"/>
      <c r="D2935" s="9"/>
      <c r="E2935" s="9"/>
      <c r="F2935" s="9"/>
      <c r="G2935" s="9"/>
      <c r="H2935" s="9"/>
      <c r="I2935" s="9"/>
      <c r="J2935" s="10"/>
      <c r="K2935" s="10"/>
      <c r="L2935" s="50"/>
      <c r="M2935" s="10"/>
      <c r="N2935" s="9"/>
      <c r="O2935" s="9"/>
      <c r="P2935" s="9"/>
      <c r="Q2935" s="9"/>
      <c r="S2935" s="9"/>
      <c r="T2935" s="9"/>
      <c r="V2935" s="9"/>
      <c r="AH2935" s="9"/>
      <c r="AI2935" s="9"/>
      <c r="AJ2935" s="9"/>
      <c r="AK2935" s="23"/>
      <c r="AL2935" s="23"/>
      <c r="AM2935" s="26"/>
      <c r="AN2935" s="9"/>
      <c r="AO2935" s="9"/>
      <c r="AP2935" s="9"/>
      <c r="AQ2935" s="54">
        <f t="shared" si="39"/>
        <v>0</v>
      </c>
      <c r="AR2935" s="52"/>
      <c r="AS2935" s="52"/>
    </row>
    <row r="2936" spans="1:45" ht="14.5" hidden="1">
      <c r="A2936" s="9"/>
      <c r="B2936" s="9"/>
      <c r="C2936" s="9"/>
      <c r="D2936" s="9"/>
      <c r="E2936" s="9"/>
      <c r="F2936" s="9"/>
      <c r="G2936" s="9"/>
      <c r="H2936" s="9"/>
      <c r="I2936" s="9"/>
      <c r="J2936" s="10"/>
      <c r="K2936" s="10"/>
      <c r="L2936" s="50"/>
      <c r="M2936" s="10"/>
      <c r="N2936" s="9"/>
      <c r="O2936" s="9"/>
      <c r="P2936" s="9"/>
      <c r="Q2936" s="9"/>
      <c r="S2936" s="9"/>
      <c r="T2936" s="9"/>
      <c r="V2936" s="9"/>
      <c r="AH2936" s="9"/>
      <c r="AI2936" s="9"/>
      <c r="AJ2936" s="9"/>
      <c r="AK2936" s="23"/>
      <c r="AL2936" s="23"/>
      <c r="AM2936" s="26"/>
      <c r="AN2936" s="9"/>
      <c r="AO2936" s="9"/>
      <c r="AP2936" s="9"/>
      <c r="AQ2936" s="54">
        <f t="shared" si="39"/>
        <v>0</v>
      </c>
      <c r="AR2936" s="52"/>
      <c r="AS2936" s="52"/>
    </row>
    <row r="2937" spans="1:45" ht="14.5" hidden="1">
      <c r="A2937" s="9"/>
      <c r="B2937" s="9"/>
      <c r="C2937" s="9"/>
      <c r="D2937" s="9"/>
      <c r="E2937" s="9"/>
      <c r="F2937" s="9"/>
      <c r="G2937" s="9"/>
      <c r="H2937" s="9"/>
      <c r="I2937" s="9"/>
      <c r="J2937" s="10"/>
      <c r="K2937" s="10"/>
      <c r="L2937" s="50"/>
      <c r="M2937" s="10"/>
      <c r="N2937" s="9"/>
      <c r="O2937" s="9"/>
      <c r="P2937" s="9"/>
      <c r="Q2937" s="9"/>
      <c r="S2937" s="9"/>
      <c r="T2937" s="9"/>
      <c r="V2937" s="9"/>
      <c r="AH2937" s="9"/>
      <c r="AI2937" s="9"/>
      <c r="AJ2937" s="9"/>
      <c r="AK2937" s="23"/>
      <c r="AL2937" s="23"/>
      <c r="AM2937" s="26"/>
      <c r="AN2937" s="9"/>
      <c r="AO2937" s="9"/>
      <c r="AP2937" s="9"/>
      <c r="AQ2937" s="54">
        <f t="shared" si="39"/>
        <v>0</v>
      </c>
      <c r="AR2937" s="52"/>
      <c r="AS2937" s="52"/>
    </row>
    <row r="2938" spans="1:45" ht="14.5" hidden="1">
      <c r="A2938" s="9"/>
      <c r="B2938" s="9"/>
      <c r="C2938" s="9"/>
      <c r="D2938" s="9"/>
      <c r="E2938" s="9"/>
      <c r="F2938" s="9"/>
      <c r="G2938" s="9"/>
      <c r="H2938" s="9"/>
      <c r="I2938" s="9"/>
      <c r="J2938" s="10"/>
      <c r="K2938" s="10"/>
      <c r="L2938" s="50"/>
      <c r="M2938" s="10"/>
      <c r="N2938" s="9"/>
      <c r="O2938" s="9"/>
      <c r="P2938" s="9"/>
      <c r="Q2938" s="9"/>
      <c r="S2938" s="9"/>
      <c r="T2938" s="9"/>
      <c r="V2938" s="9"/>
      <c r="AH2938" s="9"/>
      <c r="AI2938" s="9"/>
      <c r="AJ2938" s="9"/>
      <c r="AK2938" s="23"/>
      <c r="AL2938" s="23"/>
      <c r="AM2938" s="26"/>
      <c r="AN2938" s="9"/>
      <c r="AO2938" s="9"/>
      <c r="AP2938" s="9"/>
      <c r="AQ2938" s="54">
        <f t="shared" si="39"/>
        <v>0</v>
      </c>
      <c r="AR2938" s="52"/>
      <c r="AS2938" s="52"/>
    </row>
    <row r="2939" spans="1:45" ht="14.5" hidden="1">
      <c r="A2939" s="9"/>
      <c r="B2939" s="9"/>
      <c r="C2939" s="9"/>
      <c r="D2939" s="9"/>
      <c r="E2939" s="9"/>
      <c r="F2939" s="9"/>
      <c r="G2939" s="9"/>
      <c r="H2939" s="9"/>
      <c r="I2939" s="9"/>
      <c r="J2939" s="10"/>
      <c r="K2939" s="10"/>
      <c r="L2939" s="50"/>
      <c r="M2939" s="10"/>
      <c r="N2939" s="9"/>
      <c r="O2939" s="9"/>
      <c r="P2939" s="9"/>
      <c r="Q2939" s="9"/>
      <c r="S2939" s="9"/>
      <c r="T2939" s="9"/>
      <c r="V2939" s="9"/>
      <c r="AH2939" s="9"/>
      <c r="AI2939" s="9"/>
      <c r="AJ2939" s="9"/>
      <c r="AK2939" s="23"/>
      <c r="AL2939" s="23"/>
      <c r="AM2939" s="26"/>
      <c r="AN2939" s="9"/>
      <c r="AO2939" s="9"/>
      <c r="AP2939" s="9"/>
      <c r="AQ2939" s="54">
        <f t="shared" si="39"/>
        <v>0</v>
      </c>
      <c r="AR2939" s="52"/>
      <c r="AS2939" s="52"/>
    </row>
    <row r="2940" spans="1:45" ht="14.5" hidden="1">
      <c r="A2940" s="9"/>
      <c r="B2940" s="9"/>
      <c r="C2940" s="9"/>
      <c r="D2940" s="9"/>
      <c r="E2940" s="9"/>
      <c r="F2940" s="9"/>
      <c r="G2940" s="9"/>
      <c r="H2940" s="9"/>
      <c r="I2940" s="9"/>
      <c r="J2940" s="10"/>
      <c r="K2940" s="10"/>
      <c r="L2940" s="50"/>
      <c r="M2940" s="10"/>
      <c r="N2940" s="9"/>
      <c r="O2940" s="9"/>
      <c r="P2940" s="9"/>
      <c r="Q2940" s="9"/>
      <c r="S2940" s="9"/>
      <c r="T2940" s="9"/>
      <c r="V2940" s="9"/>
      <c r="AH2940" s="9"/>
      <c r="AI2940" s="9"/>
      <c r="AJ2940" s="9"/>
      <c r="AK2940" s="23"/>
      <c r="AL2940" s="23"/>
      <c r="AM2940" s="26"/>
      <c r="AN2940" s="9"/>
      <c r="AO2940" s="9"/>
      <c r="AP2940" s="9"/>
      <c r="AQ2940" s="54">
        <f t="shared" si="39"/>
        <v>0</v>
      </c>
      <c r="AR2940" s="52"/>
      <c r="AS2940" s="52"/>
    </row>
    <row r="2941" spans="1:45" ht="14.5" hidden="1">
      <c r="A2941" s="9"/>
      <c r="B2941" s="9"/>
      <c r="C2941" s="9"/>
      <c r="D2941" s="9"/>
      <c r="E2941" s="9"/>
      <c r="F2941" s="9"/>
      <c r="G2941" s="9"/>
      <c r="H2941" s="9"/>
      <c r="I2941" s="9"/>
      <c r="J2941" s="10"/>
      <c r="K2941" s="10"/>
      <c r="L2941" s="50"/>
      <c r="M2941" s="10"/>
      <c r="N2941" s="9"/>
      <c r="O2941" s="9"/>
      <c r="P2941" s="9"/>
      <c r="Q2941" s="9"/>
      <c r="S2941" s="9"/>
      <c r="T2941" s="9"/>
      <c r="V2941" s="9"/>
      <c r="AH2941" s="9"/>
      <c r="AI2941" s="9"/>
      <c r="AJ2941" s="9"/>
      <c r="AK2941" s="23"/>
      <c r="AL2941" s="23"/>
      <c r="AM2941" s="26"/>
      <c r="AN2941" s="9"/>
      <c r="AO2941" s="9"/>
      <c r="AP2941" s="9"/>
      <c r="AQ2941" s="54">
        <f t="shared" si="39"/>
        <v>0</v>
      </c>
      <c r="AR2941" s="52"/>
      <c r="AS2941" s="52"/>
    </row>
    <row r="2942" spans="1:45" ht="14.5" hidden="1">
      <c r="A2942" s="9"/>
      <c r="B2942" s="9"/>
      <c r="C2942" s="9"/>
      <c r="D2942" s="9"/>
      <c r="E2942" s="9"/>
      <c r="F2942" s="9"/>
      <c r="G2942" s="9"/>
      <c r="H2942" s="9"/>
      <c r="I2942" s="9"/>
      <c r="J2942" s="10"/>
      <c r="K2942" s="10"/>
      <c r="L2942" s="50"/>
      <c r="M2942" s="10"/>
      <c r="N2942" s="9"/>
      <c r="O2942" s="9"/>
      <c r="P2942" s="9"/>
      <c r="Q2942" s="9"/>
      <c r="S2942" s="9"/>
      <c r="T2942" s="9"/>
      <c r="V2942" s="9"/>
      <c r="AH2942" s="9"/>
      <c r="AI2942" s="9"/>
      <c r="AJ2942" s="9"/>
      <c r="AK2942" s="23"/>
      <c r="AL2942" s="23"/>
      <c r="AM2942" s="26"/>
      <c r="AN2942" s="9"/>
      <c r="AO2942" s="9"/>
      <c r="AP2942" s="9"/>
      <c r="AQ2942" s="54">
        <f t="shared" si="39"/>
        <v>0</v>
      </c>
      <c r="AR2942" s="52"/>
      <c r="AS2942" s="52"/>
    </row>
    <row r="2943" spans="1:45" ht="14.5" hidden="1">
      <c r="A2943" s="9"/>
      <c r="B2943" s="9"/>
      <c r="C2943" s="9"/>
      <c r="D2943" s="9"/>
      <c r="E2943" s="9"/>
      <c r="F2943" s="9"/>
      <c r="G2943" s="9"/>
      <c r="H2943" s="9"/>
      <c r="I2943" s="9"/>
      <c r="J2943" s="10"/>
      <c r="K2943" s="10"/>
      <c r="L2943" s="50"/>
      <c r="M2943" s="10"/>
      <c r="N2943" s="9"/>
      <c r="O2943" s="9"/>
      <c r="P2943" s="9"/>
      <c r="Q2943" s="9"/>
      <c r="S2943" s="9"/>
      <c r="T2943" s="9"/>
      <c r="V2943" s="9"/>
      <c r="AH2943" s="9"/>
      <c r="AI2943" s="9"/>
      <c r="AJ2943" s="9"/>
      <c r="AK2943" s="23"/>
      <c r="AL2943" s="23"/>
      <c r="AM2943" s="26"/>
      <c r="AN2943" s="9"/>
      <c r="AO2943" s="9"/>
      <c r="AP2943" s="9"/>
      <c r="AQ2943" s="54">
        <f t="shared" si="39"/>
        <v>0</v>
      </c>
      <c r="AR2943" s="52"/>
      <c r="AS2943" s="52"/>
    </row>
    <row r="2944" spans="1:45" ht="14.5" hidden="1">
      <c r="A2944" s="9"/>
      <c r="B2944" s="9"/>
      <c r="C2944" s="9"/>
      <c r="D2944" s="9"/>
      <c r="E2944" s="9"/>
      <c r="F2944" s="9"/>
      <c r="G2944" s="9"/>
      <c r="H2944" s="9"/>
      <c r="I2944" s="9"/>
      <c r="J2944" s="10"/>
      <c r="K2944" s="10"/>
      <c r="L2944" s="50"/>
      <c r="M2944" s="10"/>
      <c r="N2944" s="9"/>
      <c r="O2944" s="9"/>
      <c r="P2944" s="9"/>
      <c r="Q2944" s="9"/>
      <c r="S2944" s="9"/>
      <c r="T2944" s="9"/>
      <c r="V2944" s="9"/>
      <c r="AH2944" s="9"/>
      <c r="AI2944" s="9"/>
      <c r="AJ2944" s="9"/>
      <c r="AK2944" s="23"/>
      <c r="AL2944" s="23"/>
      <c r="AM2944" s="26"/>
      <c r="AN2944" s="9"/>
      <c r="AO2944" s="9"/>
      <c r="AP2944" s="9"/>
      <c r="AQ2944" s="54">
        <f t="shared" si="39"/>
        <v>0</v>
      </c>
      <c r="AR2944" s="52"/>
      <c r="AS2944" s="52"/>
    </row>
    <row r="2945" spans="1:45" ht="14.5" hidden="1">
      <c r="A2945" s="9"/>
      <c r="B2945" s="9"/>
      <c r="C2945" s="9"/>
      <c r="D2945" s="9"/>
      <c r="E2945" s="9"/>
      <c r="F2945" s="9"/>
      <c r="G2945" s="9"/>
      <c r="H2945" s="9"/>
      <c r="I2945" s="9"/>
      <c r="J2945" s="10"/>
      <c r="K2945" s="10"/>
      <c r="L2945" s="50"/>
      <c r="M2945" s="10"/>
      <c r="N2945" s="9"/>
      <c r="O2945" s="9"/>
      <c r="P2945" s="9"/>
      <c r="Q2945" s="9"/>
      <c r="S2945" s="9"/>
      <c r="T2945" s="9"/>
      <c r="V2945" s="9"/>
      <c r="AH2945" s="9"/>
      <c r="AI2945" s="9"/>
      <c r="AJ2945" s="9"/>
      <c r="AK2945" s="23"/>
      <c r="AL2945" s="23"/>
      <c r="AM2945" s="26"/>
      <c r="AN2945" s="9"/>
      <c r="AO2945" s="9"/>
      <c r="AP2945" s="9"/>
      <c r="AQ2945" s="54">
        <f t="shared" si="39"/>
        <v>0</v>
      </c>
      <c r="AR2945" s="52"/>
      <c r="AS2945" s="52"/>
    </row>
    <row r="2946" spans="1:45" ht="14.5" hidden="1">
      <c r="A2946" s="9"/>
      <c r="B2946" s="9"/>
      <c r="C2946" s="9"/>
      <c r="D2946" s="9"/>
      <c r="E2946" s="9"/>
      <c r="F2946" s="9"/>
      <c r="G2946" s="9"/>
      <c r="H2946" s="9"/>
      <c r="I2946" s="9"/>
      <c r="J2946" s="10"/>
      <c r="K2946" s="10"/>
      <c r="L2946" s="50"/>
      <c r="M2946" s="10"/>
      <c r="N2946" s="9"/>
      <c r="O2946" s="9"/>
      <c r="P2946" s="9"/>
      <c r="Q2946" s="9"/>
      <c r="S2946" s="9"/>
      <c r="T2946" s="9"/>
      <c r="V2946" s="9"/>
      <c r="AH2946" s="9"/>
      <c r="AI2946" s="9"/>
      <c r="AJ2946" s="9"/>
      <c r="AK2946" s="23"/>
      <c r="AL2946" s="23"/>
      <c r="AM2946" s="26"/>
      <c r="AN2946" s="9"/>
      <c r="AO2946" s="9"/>
      <c r="AP2946" s="9"/>
      <c r="AQ2946" s="54">
        <f t="shared" si="39"/>
        <v>0</v>
      </c>
      <c r="AR2946" s="52"/>
      <c r="AS2946" s="52"/>
    </row>
    <row r="2947" spans="1:45" ht="14.5" hidden="1">
      <c r="A2947" s="9"/>
      <c r="B2947" s="9"/>
      <c r="C2947" s="9"/>
      <c r="D2947" s="9"/>
      <c r="E2947" s="9"/>
      <c r="F2947" s="9"/>
      <c r="G2947" s="9"/>
      <c r="H2947" s="9"/>
      <c r="I2947" s="9"/>
      <c r="J2947" s="10"/>
      <c r="K2947" s="10"/>
      <c r="L2947" s="50"/>
      <c r="M2947" s="10"/>
      <c r="N2947" s="9"/>
      <c r="O2947" s="9"/>
      <c r="P2947" s="9"/>
      <c r="Q2947" s="9"/>
      <c r="S2947" s="9"/>
      <c r="T2947" s="9"/>
      <c r="V2947" s="9"/>
      <c r="AH2947" s="9"/>
      <c r="AI2947" s="9"/>
      <c r="AJ2947" s="9"/>
      <c r="AK2947" s="23"/>
      <c r="AL2947" s="23"/>
      <c r="AM2947" s="26"/>
      <c r="AN2947" s="9"/>
      <c r="AO2947" s="9"/>
      <c r="AP2947" s="9"/>
      <c r="AQ2947" s="54">
        <f t="shared" si="39"/>
        <v>0</v>
      </c>
      <c r="AR2947" s="52"/>
      <c r="AS2947" s="52"/>
    </row>
    <row r="2948" spans="1:45" ht="14.5" hidden="1">
      <c r="A2948" s="9"/>
      <c r="B2948" s="9"/>
      <c r="C2948" s="9"/>
      <c r="D2948" s="9"/>
      <c r="E2948" s="9"/>
      <c r="F2948" s="9"/>
      <c r="G2948" s="9"/>
      <c r="H2948" s="9"/>
      <c r="I2948" s="9"/>
      <c r="J2948" s="10"/>
      <c r="K2948" s="10"/>
      <c r="L2948" s="50"/>
      <c r="M2948" s="10"/>
      <c r="N2948" s="9"/>
      <c r="O2948" s="9"/>
      <c r="P2948" s="9"/>
      <c r="Q2948" s="9"/>
      <c r="S2948" s="9"/>
      <c r="T2948" s="9"/>
      <c r="V2948" s="9"/>
      <c r="AH2948" s="9"/>
      <c r="AI2948" s="9"/>
      <c r="AJ2948" s="9"/>
      <c r="AK2948" s="23"/>
      <c r="AL2948" s="23"/>
      <c r="AM2948" s="26"/>
      <c r="AN2948" s="9"/>
      <c r="AO2948" s="9"/>
      <c r="AP2948" s="9"/>
      <c r="AQ2948" s="54">
        <f t="shared" si="39"/>
        <v>0</v>
      </c>
      <c r="AR2948" s="52"/>
      <c r="AS2948" s="52"/>
    </row>
    <row r="2949" spans="1:45" ht="14.5" hidden="1">
      <c r="A2949" s="9"/>
      <c r="B2949" s="9"/>
      <c r="C2949" s="9"/>
      <c r="D2949" s="9"/>
      <c r="E2949" s="9"/>
      <c r="F2949" s="9"/>
      <c r="G2949" s="9"/>
      <c r="H2949" s="9"/>
      <c r="I2949" s="9"/>
      <c r="J2949" s="10"/>
      <c r="K2949" s="10"/>
      <c r="L2949" s="50"/>
      <c r="M2949" s="10"/>
      <c r="N2949" s="9"/>
      <c r="O2949" s="9"/>
      <c r="P2949" s="9"/>
      <c r="Q2949" s="9"/>
      <c r="S2949" s="9"/>
      <c r="T2949" s="9"/>
      <c r="V2949" s="9"/>
      <c r="AH2949" s="9"/>
      <c r="AI2949" s="9"/>
      <c r="AJ2949" s="9"/>
      <c r="AK2949" s="23"/>
      <c r="AL2949" s="23"/>
      <c r="AM2949" s="26"/>
      <c r="AN2949" s="9"/>
      <c r="AO2949" s="9"/>
      <c r="AP2949" s="9"/>
      <c r="AQ2949" s="54">
        <f t="shared" si="39"/>
        <v>0</v>
      </c>
      <c r="AR2949" s="52"/>
      <c r="AS2949" s="52"/>
    </row>
    <row r="2950" spans="1:45" ht="14.5" hidden="1">
      <c r="A2950" s="9"/>
      <c r="B2950" s="9"/>
      <c r="C2950" s="9"/>
      <c r="D2950" s="9"/>
      <c r="E2950" s="9"/>
      <c r="F2950" s="9"/>
      <c r="G2950" s="9"/>
      <c r="H2950" s="9"/>
      <c r="I2950" s="9"/>
      <c r="J2950" s="10"/>
      <c r="K2950" s="10"/>
      <c r="L2950" s="50"/>
      <c r="M2950" s="10"/>
      <c r="N2950" s="9"/>
      <c r="O2950" s="9"/>
      <c r="P2950" s="9"/>
      <c r="Q2950" s="9"/>
      <c r="S2950" s="9"/>
      <c r="T2950" s="9"/>
      <c r="V2950" s="9"/>
      <c r="AH2950" s="9"/>
      <c r="AI2950" s="9"/>
      <c r="AJ2950" s="9"/>
      <c r="AK2950" s="23"/>
      <c r="AL2950" s="23"/>
      <c r="AM2950" s="26"/>
      <c r="AN2950" s="9"/>
      <c r="AO2950" s="9"/>
      <c r="AP2950" s="9"/>
      <c r="AQ2950" s="54">
        <f t="shared" si="39"/>
        <v>0</v>
      </c>
      <c r="AR2950" s="52"/>
      <c r="AS2950" s="52"/>
    </row>
    <row r="2951" spans="1:45" ht="14.5" hidden="1">
      <c r="A2951" s="9"/>
      <c r="B2951" s="9"/>
      <c r="C2951" s="9"/>
      <c r="D2951" s="9"/>
      <c r="E2951" s="9"/>
      <c r="F2951" s="9"/>
      <c r="G2951" s="9"/>
      <c r="H2951" s="9"/>
      <c r="I2951" s="9"/>
      <c r="J2951" s="10"/>
      <c r="K2951" s="10"/>
      <c r="L2951" s="50"/>
      <c r="M2951" s="10"/>
      <c r="N2951" s="9"/>
      <c r="O2951" s="9"/>
      <c r="P2951" s="9"/>
      <c r="Q2951" s="9"/>
      <c r="S2951" s="9"/>
      <c r="T2951" s="9"/>
      <c r="V2951" s="9"/>
      <c r="AH2951" s="9"/>
      <c r="AI2951" s="9"/>
      <c r="AJ2951" s="9"/>
      <c r="AK2951" s="23"/>
      <c r="AL2951" s="23"/>
      <c r="AM2951" s="26"/>
      <c r="AN2951" s="9"/>
      <c r="AO2951" s="9"/>
      <c r="AP2951" s="9"/>
      <c r="AQ2951" s="54">
        <f t="shared" si="39"/>
        <v>0</v>
      </c>
      <c r="AR2951" s="52"/>
      <c r="AS2951" s="52"/>
    </row>
    <row r="2952" spans="1:45" ht="14.5" hidden="1">
      <c r="A2952" s="9"/>
      <c r="B2952" s="9"/>
      <c r="C2952" s="9"/>
      <c r="D2952" s="9"/>
      <c r="E2952" s="9"/>
      <c r="F2952" s="9"/>
      <c r="G2952" s="9"/>
      <c r="H2952" s="9"/>
      <c r="I2952" s="9"/>
      <c r="J2952" s="10"/>
      <c r="K2952" s="10"/>
      <c r="L2952" s="50"/>
      <c r="M2952" s="10"/>
      <c r="N2952" s="9"/>
      <c r="O2952" s="9"/>
      <c r="P2952" s="9"/>
      <c r="Q2952" s="9"/>
      <c r="S2952" s="9"/>
      <c r="T2952" s="9"/>
      <c r="V2952" s="9"/>
      <c r="AH2952" s="9"/>
      <c r="AI2952" s="9"/>
      <c r="AJ2952" s="9"/>
      <c r="AK2952" s="23"/>
      <c r="AL2952" s="23"/>
      <c r="AM2952" s="26"/>
      <c r="AN2952" s="9"/>
      <c r="AO2952" s="9"/>
      <c r="AP2952" s="9"/>
      <c r="AQ2952" s="54">
        <f t="shared" si="39"/>
        <v>0</v>
      </c>
      <c r="AR2952" s="52"/>
      <c r="AS2952" s="52"/>
    </row>
    <row r="2953" spans="1:45" ht="14.5" hidden="1">
      <c r="A2953" s="9"/>
      <c r="B2953" s="9"/>
      <c r="C2953" s="9"/>
      <c r="D2953" s="9"/>
      <c r="E2953" s="9"/>
      <c r="F2953" s="9"/>
      <c r="G2953" s="9"/>
      <c r="H2953" s="9"/>
      <c r="I2953" s="9"/>
      <c r="J2953" s="10"/>
      <c r="K2953" s="10"/>
      <c r="L2953" s="50"/>
      <c r="M2953" s="10"/>
      <c r="N2953" s="9"/>
      <c r="O2953" s="9"/>
      <c r="P2953" s="9"/>
      <c r="Q2953" s="9"/>
      <c r="S2953" s="9"/>
      <c r="T2953" s="9"/>
      <c r="V2953" s="9"/>
      <c r="AH2953" s="9"/>
      <c r="AI2953" s="9"/>
      <c r="AJ2953" s="9"/>
      <c r="AK2953" s="23"/>
      <c r="AL2953" s="23"/>
      <c r="AM2953" s="26"/>
      <c r="AN2953" s="9"/>
      <c r="AO2953" s="9"/>
      <c r="AP2953" s="9"/>
      <c r="AQ2953" s="54">
        <f t="shared" si="39"/>
        <v>0</v>
      </c>
      <c r="AR2953" s="52"/>
      <c r="AS2953" s="52"/>
    </row>
    <row r="2954" spans="1:45" ht="14.5" hidden="1">
      <c r="A2954" s="9"/>
      <c r="B2954" s="9"/>
      <c r="C2954" s="9"/>
      <c r="D2954" s="9"/>
      <c r="E2954" s="9"/>
      <c r="F2954" s="9"/>
      <c r="G2954" s="9"/>
      <c r="H2954" s="9"/>
      <c r="I2954" s="9"/>
      <c r="J2954" s="10"/>
      <c r="K2954" s="10"/>
      <c r="L2954" s="50"/>
      <c r="M2954" s="10"/>
      <c r="N2954" s="9"/>
      <c r="O2954" s="9"/>
      <c r="P2954" s="9"/>
      <c r="Q2954" s="9"/>
      <c r="S2954" s="9"/>
      <c r="T2954" s="9"/>
      <c r="V2954" s="9"/>
      <c r="AH2954" s="9"/>
      <c r="AI2954" s="9"/>
      <c r="AJ2954" s="9"/>
      <c r="AK2954" s="23"/>
      <c r="AL2954" s="23"/>
      <c r="AM2954" s="26"/>
      <c r="AN2954" s="9"/>
      <c r="AO2954" s="9"/>
      <c r="AP2954" s="9"/>
      <c r="AQ2954" s="54">
        <f t="shared" si="39"/>
        <v>0</v>
      </c>
      <c r="AR2954" s="52"/>
      <c r="AS2954" s="52"/>
    </row>
    <row r="2955" spans="1:45" ht="14.5" hidden="1">
      <c r="A2955" s="9"/>
      <c r="B2955" s="9"/>
      <c r="C2955" s="9"/>
      <c r="D2955" s="9"/>
      <c r="E2955" s="9"/>
      <c r="F2955" s="9"/>
      <c r="G2955" s="9"/>
      <c r="H2955" s="9"/>
      <c r="I2955" s="9"/>
      <c r="J2955" s="10"/>
      <c r="K2955" s="10"/>
      <c r="L2955" s="50"/>
      <c r="M2955" s="10"/>
      <c r="N2955" s="9"/>
      <c r="O2955" s="9"/>
      <c r="P2955" s="9"/>
      <c r="Q2955" s="9"/>
      <c r="S2955" s="9"/>
      <c r="T2955" s="9"/>
      <c r="V2955" s="9"/>
      <c r="AH2955" s="9"/>
      <c r="AI2955" s="9"/>
      <c r="AJ2955" s="9"/>
      <c r="AK2955" s="23"/>
      <c r="AL2955" s="23"/>
      <c r="AM2955" s="26"/>
      <c r="AN2955" s="9"/>
      <c r="AO2955" s="9"/>
      <c r="AP2955" s="9"/>
      <c r="AQ2955" s="54">
        <f t="shared" si="39"/>
        <v>0</v>
      </c>
      <c r="AR2955" s="52"/>
      <c r="AS2955" s="52"/>
    </row>
    <row r="2956" spans="1:45" ht="14.5" hidden="1">
      <c r="A2956" s="9"/>
      <c r="B2956" s="9"/>
      <c r="C2956" s="9"/>
      <c r="D2956" s="9"/>
      <c r="E2956" s="9"/>
      <c r="F2956" s="9"/>
      <c r="G2956" s="9"/>
      <c r="H2956" s="9"/>
      <c r="I2956" s="9"/>
      <c r="J2956" s="10"/>
      <c r="K2956" s="10"/>
      <c r="L2956" s="50"/>
      <c r="M2956" s="10"/>
      <c r="N2956" s="9"/>
      <c r="O2956" s="9"/>
      <c r="P2956" s="9"/>
      <c r="Q2956" s="9"/>
      <c r="S2956" s="9"/>
      <c r="T2956" s="9"/>
      <c r="V2956" s="9"/>
      <c r="AH2956" s="9"/>
      <c r="AI2956" s="9"/>
      <c r="AJ2956" s="9"/>
      <c r="AK2956" s="23"/>
      <c r="AL2956" s="23"/>
      <c r="AM2956" s="26"/>
      <c r="AN2956" s="9"/>
      <c r="AO2956" s="9"/>
      <c r="AP2956" s="9"/>
      <c r="AQ2956" s="54">
        <f t="shared" si="39"/>
        <v>0</v>
      </c>
      <c r="AR2956" s="52"/>
      <c r="AS2956" s="52"/>
    </row>
    <row r="2957" spans="1:45" ht="14.5" hidden="1">
      <c r="A2957" s="9"/>
      <c r="B2957" s="9"/>
      <c r="C2957" s="9"/>
      <c r="D2957" s="9"/>
      <c r="E2957" s="9"/>
      <c r="F2957" s="9"/>
      <c r="G2957" s="9"/>
      <c r="H2957" s="9"/>
      <c r="I2957" s="9"/>
      <c r="J2957" s="10"/>
      <c r="K2957" s="10"/>
      <c r="L2957" s="50"/>
      <c r="M2957" s="10"/>
      <c r="N2957" s="9"/>
      <c r="O2957" s="9"/>
      <c r="P2957" s="9"/>
      <c r="Q2957" s="9"/>
      <c r="S2957" s="9"/>
      <c r="T2957" s="9"/>
      <c r="V2957" s="9"/>
      <c r="AH2957" s="9"/>
      <c r="AI2957" s="9"/>
      <c r="AJ2957" s="9"/>
      <c r="AK2957" s="23"/>
      <c r="AL2957" s="23"/>
      <c r="AM2957" s="26"/>
      <c r="AN2957" s="9"/>
      <c r="AO2957" s="9"/>
      <c r="AP2957" s="9"/>
      <c r="AQ2957" s="54">
        <f t="shared" si="39"/>
        <v>0</v>
      </c>
      <c r="AR2957" s="52"/>
      <c r="AS2957" s="52"/>
    </row>
    <row r="2958" spans="1:45" ht="14.5" hidden="1">
      <c r="A2958" s="9"/>
      <c r="B2958" s="9"/>
      <c r="C2958" s="9"/>
      <c r="D2958" s="9"/>
      <c r="E2958" s="9"/>
      <c r="F2958" s="9"/>
      <c r="G2958" s="9"/>
      <c r="H2958" s="9"/>
      <c r="I2958" s="9"/>
      <c r="J2958" s="10"/>
      <c r="K2958" s="10"/>
      <c r="L2958" s="50"/>
      <c r="M2958" s="10"/>
      <c r="N2958" s="9"/>
      <c r="O2958" s="9"/>
      <c r="P2958" s="9"/>
      <c r="Q2958" s="9"/>
      <c r="S2958" s="9"/>
      <c r="T2958" s="9"/>
      <c r="V2958" s="9"/>
      <c r="AH2958" s="9"/>
      <c r="AI2958" s="9"/>
      <c r="AJ2958" s="9"/>
      <c r="AK2958" s="23"/>
      <c r="AL2958" s="23"/>
      <c r="AM2958" s="26"/>
      <c r="AN2958" s="9"/>
      <c r="AO2958" s="9"/>
      <c r="AP2958" s="9"/>
      <c r="AQ2958" s="54">
        <f t="shared" si="39"/>
        <v>0</v>
      </c>
      <c r="AR2958" s="52"/>
      <c r="AS2958" s="52"/>
    </row>
    <row r="2959" spans="1:45" ht="14.5" hidden="1">
      <c r="A2959" s="9"/>
      <c r="B2959" s="9"/>
      <c r="C2959" s="9"/>
      <c r="D2959" s="9"/>
      <c r="E2959" s="9"/>
      <c r="F2959" s="9"/>
      <c r="G2959" s="9"/>
      <c r="H2959" s="9"/>
      <c r="I2959" s="9"/>
      <c r="J2959" s="10"/>
      <c r="K2959" s="10"/>
      <c r="L2959" s="50"/>
      <c r="M2959" s="10"/>
      <c r="N2959" s="9"/>
      <c r="O2959" s="9"/>
      <c r="P2959" s="9"/>
      <c r="Q2959" s="9"/>
      <c r="S2959" s="9"/>
      <c r="T2959" s="9"/>
      <c r="V2959" s="9"/>
      <c r="AH2959" s="9"/>
      <c r="AI2959" s="9"/>
      <c r="AJ2959" s="9"/>
      <c r="AK2959" s="23"/>
      <c r="AL2959" s="23"/>
      <c r="AM2959" s="26"/>
      <c r="AN2959" s="9"/>
      <c r="AO2959" s="9"/>
      <c r="AP2959" s="9"/>
      <c r="AQ2959" s="54">
        <f t="shared" si="39"/>
        <v>0</v>
      </c>
      <c r="AR2959" s="52"/>
      <c r="AS2959" s="52"/>
    </row>
    <row r="2960" spans="1:45" ht="14.5" hidden="1">
      <c r="A2960" s="9"/>
      <c r="B2960" s="9"/>
      <c r="C2960" s="9"/>
      <c r="D2960" s="9"/>
      <c r="E2960" s="9"/>
      <c r="F2960" s="9"/>
      <c r="G2960" s="9"/>
      <c r="H2960" s="9"/>
      <c r="I2960" s="9"/>
      <c r="J2960" s="10"/>
      <c r="K2960" s="10"/>
      <c r="L2960" s="50"/>
      <c r="M2960" s="10"/>
      <c r="N2960" s="9"/>
      <c r="O2960" s="9"/>
      <c r="P2960" s="9"/>
      <c r="Q2960" s="9"/>
      <c r="S2960" s="9"/>
      <c r="T2960" s="9"/>
      <c r="V2960" s="9"/>
      <c r="AH2960" s="9"/>
      <c r="AI2960" s="9"/>
      <c r="AJ2960" s="9"/>
      <c r="AK2960" s="23"/>
      <c r="AL2960" s="23"/>
      <c r="AM2960" s="26"/>
      <c r="AN2960" s="9"/>
      <c r="AO2960" s="9"/>
      <c r="AP2960" s="9"/>
      <c r="AQ2960" s="54">
        <f t="shared" si="39"/>
        <v>0</v>
      </c>
      <c r="AR2960" s="52"/>
      <c r="AS2960" s="52"/>
    </row>
    <row r="2961" spans="1:45" ht="14.5" hidden="1">
      <c r="A2961" s="9"/>
      <c r="B2961" s="9"/>
      <c r="C2961" s="9"/>
      <c r="D2961" s="9"/>
      <c r="E2961" s="9"/>
      <c r="F2961" s="9"/>
      <c r="G2961" s="9"/>
      <c r="H2961" s="9"/>
      <c r="I2961" s="9"/>
      <c r="J2961" s="10"/>
      <c r="K2961" s="10"/>
      <c r="L2961" s="50"/>
      <c r="M2961" s="10"/>
      <c r="N2961" s="9"/>
      <c r="O2961" s="9"/>
      <c r="P2961" s="9"/>
      <c r="Q2961" s="9"/>
      <c r="S2961" s="9"/>
      <c r="T2961" s="9"/>
      <c r="V2961" s="9"/>
      <c r="AH2961" s="9"/>
      <c r="AI2961" s="9"/>
      <c r="AJ2961" s="9"/>
      <c r="AK2961" s="23"/>
      <c r="AL2961" s="23"/>
      <c r="AM2961" s="26"/>
      <c r="AN2961" s="9"/>
      <c r="AO2961" s="9"/>
      <c r="AP2961" s="9"/>
      <c r="AQ2961" s="54">
        <f t="shared" si="39"/>
        <v>0</v>
      </c>
      <c r="AR2961" s="52"/>
      <c r="AS2961" s="52"/>
    </row>
    <row r="2962" spans="1:45" ht="14.5" hidden="1">
      <c r="A2962" s="9"/>
      <c r="B2962" s="9"/>
      <c r="C2962" s="9"/>
      <c r="D2962" s="9"/>
      <c r="E2962" s="9"/>
      <c r="F2962" s="9"/>
      <c r="G2962" s="9"/>
      <c r="H2962" s="9"/>
      <c r="I2962" s="9"/>
      <c r="J2962" s="10"/>
      <c r="K2962" s="10"/>
      <c r="L2962" s="50"/>
      <c r="M2962" s="10"/>
      <c r="N2962" s="9"/>
      <c r="O2962" s="9"/>
      <c r="P2962" s="9"/>
      <c r="Q2962" s="9"/>
      <c r="S2962" s="9"/>
      <c r="T2962" s="9"/>
      <c r="V2962" s="9"/>
      <c r="AH2962" s="9"/>
      <c r="AI2962" s="9"/>
      <c r="AJ2962" s="9"/>
      <c r="AK2962" s="23"/>
      <c r="AL2962" s="23"/>
      <c r="AM2962" s="26"/>
      <c r="AN2962" s="9"/>
      <c r="AO2962" s="9"/>
      <c r="AP2962" s="9"/>
      <c r="AQ2962" s="54">
        <f t="shared" si="39"/>
        <v>0</v>
      </c>
      <c r="AR2962" s="52"/>
      <c r="AS2962" s="52"/>
    </row>
    <row r="2963" spans="1:45" ht="14.5" hidden="1">
      <c r="A2963" s="9"/>
      <c r="B2963" s="9"/>
      <c r="C2963" s="9"/>
      <c r="D2963" s="9"/>
      <c r="E2963" s="9"/>
      <c r="F2963" s="9"/>
      <c r="G2963" s="9"/>
      <c r="H2963" s="9"/>
      <c r="I2963" s="9"/>
      <c r="J2963" s="10"/>
      <c r="K2963" s="10"/>
      <c r="L2963" s="50"/>
      <c r="M2963" s="10"/>
      <c r="N2963" s="9"/>
      <c r="O2963" s="9"/>
      <c r="P2963" s="9"/>
      <c r="Q2963" s="9"/>
      <c r="S2963" s="9"/>
      <c r="T2963" s="9"/>
      <c r="V2963" s="9"/>
      <c r="AH2963" s="9"/>
      <c r="AI2963" s="9"/>
      <c r="AJ2963" s="9"/>
      <c r="AK2963" s="23"/>
      <c r="AL2963" s="23"/>
      <c r="AM2963" s="26"/>
      <c r="AN2963" s="9"/>
      <c r="AO2963" s="9"/>
      <c r="AP2963" s="9"/>
      <c r="AQ2963" s="54">
        <f t="shared" si="39"/>
        <v>0</v>
      </c>
      <c r="AR2963" s="52"/>
      <c r="AS2963" s="52"/>
    </row>
    <row r="2964" spans="1:45" ht="14.5" hidden="1">
      <c r="A2964" s="9"/>
      <c r="B2964" s="9"/>
      <c r="C2964" s="9"/>
      <c r="D2964" s="9"/>
      <c r="E2964" s="9"/>
      <c r="F2964" s="9"/>
      <c r="G2964" s="9"/>
      <c r="H2964" s="9"/>
      <c r="I2964" s="9"/>
      <c r="J2964" s="10"/>
      <c r="K2964" s="10"/>
      <c r="L2964" s="50"/>
      <c r="M2964" s="10"/>
      <c r="N2964" s="9"/>
      <c r="O2964" s="9"/>
      <c r="P2964" s="9"/>
      <c r="Q2964" s="9"/>
      <c r="S2964" s="9"/>
      <c r="T2964" s="9"/>
      <c r="V2964" s="9"/>
      <c r="AH2964" s="9"/>
      <c r="AI2964" s="9"/>
      <c r="AJ2964" s="9"/>
      <c r="AK2964" s="23"/>
      <c r="AL2964" s="23"/>
      <c r="AM2964" s="26"/>
      <c r="AN2964" s="9"/>
      <c r="AO2964" s="9"/>
      <c r="AP2964" s="9"/>
      <c r="AQ2964" s="54">
        <f t="shared" si="39"/>
        <v>0</v>
      </c>
      <c r="AR2964" s="52"/>
      <c r="AS2964" s="52"/>
    </row>
    <row r="2965" spans="1:45" ht="14.5" hidden="1">
      <c r="A2965" s="9"/>
      <c r="B2965" s="9"/>
      <c r="C2965" s="9"/>
      <c r="D2965" s="9"/>
      <c r="E2965" s="9"/>
      <c r="F2965" s="9"/>
      <c r="G2965" s="9"/>
      <c r="H2965" s="9"/>
      <c r="I2965" s="9"/>
      <c r="J2965" s="10"/>
      <c r="K2965" s="10"/>
      <c r="L2965" s="50"/>
      <c r="M2965" s="10"/>
      <c r="N2965" s="9"/>
      <c r="O2965" s="9"/>
      <c r="P2965" s="9"/>
      <c r="Q2965" s="9"/>
      <c r="S2965" s="9"/>
      <c r="T2965" s="9"/>
      <c r="V2965" s="9"/>
      <c r="AH2965" s="9"/>
      <c r="AI2965" s="9"/>
      <c r="AJ2965" s="9"/>
      <c r="AK2965" s="23"/>
      <c r="AL2965" s="23"/>
      <c r="AM2965" s="26"/>
      <c r="AN2965" s="9"/>
      <c r="AO2965" s="9"/>
      <c r="AP2965" s="9"/>
      <c r="AQ2965" s="54">
        <f t="shared" si="39"/>
        <v>0</v>
      </c>
      <c r="AR2965" s="52"/>
      <c r="AS2965" s="52"/>
    </row>
    <row r="2966" spans="1:45" ht="14.5" hidden="1">
      <c r="A2966" s="9"/>
      <c r="B2966" s="9"/>
      <c r="C2966" s="9"/>
      <c r="D2966" s="9"/>
      <c r="E2966" s="9"/>
      <c r="F2966" s="9"/>
      <c r="G2966" s="9"/>
      <c r="H2966" s="9"/>
      <c r="I2966" s="9"/>
      <c r="J2966" s="10"/>
      <c r="K2966" s="10"/>
      <c r="L2966" s="50"/>
      <c r="M2966" s="10"/>
      <c r="N2966" s="9"/>
      <c r="O2966" s="9"/>
      <c r="P2966" s="9"/>
      <c r="Q2966" s="9"/>
      <c r="S2966" s="9"/>
      <c r="T2966" s="9"/>
      <c r="V2966" s="9"/>
      <c r="AH2966" s="9"/>
      <c r="AI2966" s="9"/>
      <c r="AJ2966" s="9"/>
      <c r="AK2966" s="23"/>
      <c r="AL2966" s="23"/>
      <c r="AM2966" s="26"/>
      <c r="AN2966" s="9"/>
      <c r="AO2966" s="9"/>
      <c r="AP2966" s="9"/>
      <c r="AQ2966" s="54">
        <f t="shared" si="39"/>
        <v>0</v>
      </c>
      <c r="AR2966" s="52"/>
      <c r="AS2966" s="52"/>
    </row>
    <row r="2967" spans="1:45" ht="14.5" hidden="1">
      <c r="A2967" s="9"/>
      <c r="B2967" s="9"/>
      <c r="C2967" s="9"/>
      <c r="D2967" s="9"/>
      <c r="E2967" s="9"/>
      <c r="F2967" s="9"/>
      <c r="G2967" s="9"/>
      <c r="H2967" s="9"/>
      <c r="I2967" s="9"/>
      <c r="J2967" s="10"/>
      <c r="K2967" s="10"/>
      <c r="L2967" s="50"/>
      <c r="M2967" s="10"/>
      <c r="N2967" s="9"/>
      <c r="O2967" s="9"/>
      <c r="P2967" s="9"/>
      <c r="Q2967" s="9"/>
      <c r="S2967" s="9"/>
      <c r="T2967" s="9"/>
      <c r="V2967" s="9"/>
      <c r="AH2967" s="9"/>
      <c r="AI2967" s="9"/>
      <c r="AJ2967" s="9"/>
      <c r="AK2967" s="23"/>
      <c r="AL2967" s="23"/>
      <c r="AM2967" s="26"/>
      <c r="AN2967" s="9"/>
      <c r="AO2967" s="9"/>
      <c r="AP2967" s="9"/>
      <c r="AQ2967" s="54">
        <f t="shared" si="39"/>
        <v>0</v>
      </c>
      <c r="AR2967" s="52"/>
      <c r="AS2967" s="52"/>
    </row>
    <row r="2968" spans="1:45" ht="14.5" hidden="1">
      <c r="A2968" s="9"/>
      <c r="B2968" s="9"/>
      <c r="C2968" s="9"/>
      <c r="D2968" s="9"/>
      <c r="E2968" s="9"/>
      <c r="F2968" s="9"/>
      <c r="G2968" s="9"/>
      <c r="H2968" s="9"/>
      <c r="I2968" s="9"/>
      <c r="J2968" s="10"/>
      <c r="K2968" s="10"/>
      <c r="L2968" s="50"/>
      <c r="M2968" s="10"/>
      <c r="N2968" s="9"/>
      <c r="O2968" s="9"/>
      <c r="P2968" s="9"/>
      <c r="Q2968" s="9"/>
      <c r="S2968" s="9"/>
      <c r="T2968" s="9"/>
      <c r="V2968" s="9"/>
      <c r="AH2968" s="9"/>
      <c r="AI2968" s="9"/>
      <c r="AJ2968" s="9"/>
      <c r="AK2968" s="23"/>
      <c r="AL2968" s="23"/>
      <c r="AM2968" s="26"/>
      <c r="AN2968" s="9"/>
      <c r="AO2968" s="9"/>
      <c r="AP2968" s="9"/>
      <c r="AQ2968" s="54">
        <f t="shared" si="39"/>
        <v>0</v>
      </c>
      <c r="AR2968" s="52"/>
      <c r="AS2968" s="52"/>
    </row>
    <row r="2969" spans="1:45" ht="14.5" hidden="1">
      <c r="A2969" s="9"/>
      <c r="B2969" s="9"/>
      <c r="C2969" s="9"/>
      <c r="D2969" s="9"/>
      <c r="E2969" s="9"/>
      <c r="F2969" s="9"/>
      <c r="G2969" s="9"/>
      <c r="H2969" s="9"/>
      <c r="I2969" s="9"/>
      <c r="J2969" s="10"/>
      <c r="K2969" s="10"/>
      <c r="L2969" s="50"/>
      <c r="M2969" s="10"/>
      <c r="N2969" s="9"/>
      <c r="O2969" s="9"/>
      <c r="P2969" s="9"/>
      <c r="Q2969" s="9"/>
      <c r="S2969" s="9"/>
      <c r="T2969" s="9"/>
      <c r="V2969" s="9"/>
      <c r="AH2969" s="9"/>
      <c r="AI2969" s="9"/>
      <c r="AJ2969" s="9"/>
      <c r="AK2969" s="23"/>
      <c r="AL2969" s="23"/>
      <c r="AM2969" s="26"/>
      <c r="AN2969" s="9"/>
      <c r="AO2969" s="9"/>
      <c r="AP2969" s="9"/>
      <c r="AQ2969" s="54">
        <f t="shared" si="39"/>
        <v>0</v>
      </c>
      <c r="AR2969" s="52"/>
      <c r="AS2969" s="52"/>
    </row>
    <row r="2970" spans="1:45" ht="14.5" hidden="1">
      <c r="A2970" s="9"/>
      <c r="B2970" s="9"/>
      <c r="C2970" s="9"/>
      <c r="D2970" s="9"/>
      <c r="E2970" s="9"/>
      <c r="F2970" s="9"/>
      <c r="G2970" s="9"/>
      <c r="H2970" s="9"/>
      <c r="I2970" s="9"/>
      <c r="J2970" s="10"/>
      <c r="K2970" s="10"/>
      <c r="L2970" s="50"/>
      <c r="M2970" s="10"/>
      <c r="N2970" s="9"/>
      <c r="O2970" s="9"/>
      <c r="P2970" s="9"/>
      <c r="Q2970" s="9"/>
      <c r="S2970" s="9"/>
      <c r="T2970" s="9"/>
      <c r="V2970" s="9"/>
      <c r="AH2970" s="9"/>
      <c r="AI2970" s="9"/>
      <c r="AJ2970" s="9"/>
      <c r="AK2970" s="23"/>
      <c r="AL2970" s="23"/>
      <c r="AM2970" s="26"/>
      <c r="AN2970" s="9"/>
      <c r="AO2970" s="9"/>
      <c r="AP2970" s="9"/>
      <c r="AQ2970" s="54">
        <f t="shared" si="39"/>
        <v>0</v>
      </c>
      <c r="AR2970" s="52"/>
      <c r="AS2970" s="52"/>
    </row>
    <row r="2971" spans="1:45" ht="14.5" hidden="1">
      <c r="A2971" s="9"/>
      <c r="B2971" s="9"/>
      <c r="C2971" s="9"/>
      <c r="D2971" s="9"/>
      <c r="E2971" s="9"/>
      <c r="F2971" s="9"/>
      <c r="G2971" s="9"/>
      <c r="H2971" s="9"/>
      <c r="I2971" s="9"/>
      <c r="J2971" s="10"/>
      <c r="K2971" s="10"/>
      <c r="L2971" s="50"/>
      <c r="M2971" s="10"/>
      <c r="N2971" s="9"/>
      <c r="O2971" s="9"/>
      <c r="P2971" s="9"/>
      <c r="Q2971" s="9"/>
      <c r="S2971" s="9"/>
      <c r="T2971" s="9"/>
      <c r="V2971" s="9"/>
      <c r="AH2971" s="9"/>
      <c r="AI2971" s="9"/>
      <c r="AJ2971" s="9"/>
      <c r="AK2971" s="23"/>
      <c r="AL2971" s="23"/>
      <c r="AM2971" s="26"/>
      <c r="AN2971" s="9"/>
      <c r="AO2971" s="9"/>
      <c r="AP2971" s="9"/>
      <c r="AQ2971" s="54">
        <f t="shared" si="39"/>
        <v>0</v>
      </c>
      <c r="AR2971" s="52"/>
      <c r="AS2971" s="52"/>
    </row>
    <row r="2972" spans="1:45" ht="14.5" hidden="1">
      <c r="A2972" s="9"/>
      <c r="B2972" s="9"/>
      <c r="C2972" s="9"/>
      <c r="D2972" s="9"/>
      <c r="E2972" s="9"/>
      <c r="F2972" s="9"/>
      <c r="G2972" s="9"/>
      <c r="H2972" s="9"/>
      <c r="I2972" s="9"/>
      <c r="J2972" s="10"/>
      <c r="K2972" s="10"/>
      <c r="L2972" s="50"/>
      <c r="M2972" s="10"/>
      <c r="N2972" s="9"/>
      <c r="O2972" s="9"/>
      <c r="P2972" s="9"/>
      <c r="Q2972" s="9"/>
      <c r="S2972" s="9"/>
      <c r="T2972" s="9"/>
      <c r="V2972" s="9"/>
      <c r="AH2972" s="9"/>
      <c r="AI2972" s="9"/>
      <c r="AJ2972" s="9"/>
      <c r="AK2972" s="23"/>
      <c r="AL2972" s="23"/>
      <c r="AM2972" s="26"/>
      <c r="AN2972" s="9"/>
      <c r="AO2972" s="9"/>
      <c r="AP2972" s="9"/>
      <c r="AQ2972" s="54">
        <f t="shared" si="39"/>
        <v>0</v>
      </c>
      <c r="AR2972" s="52"/>
      <c r="AS2972" s="52"/>
    </row>
    <row r="2973" spans="1:45" ht="14.5" hidden="1">
      <c r="A2973" s="9"/>
      <c r="B2973" s="9"/>
      <c r="C2973" s="9"/>
      <c r="D2973" s="9"/>
      <c r="E2973" s="9"/>
      <c r="F2973" s="9"/>
      <c r="G2973" s="9"/>
      <c r="H2973" s="9"/>
      <c r="I2973" s="9"/>
      <c r="J2973" s="10"/>
      <c r="K2973" s="10"/>
      <c r="L2973" s="50"/>
      <c r="M2973" s="10"/>
      <c r="N2973" s="9"/>
      <c r="O2973" s="9"/>
      <c r="P2973" s="9"/>
      <c r="Q2973" s="9"/>
      <c r="S2973" s="9"/>
      <c r="T2973" s="9"/>
      <c r="V2973" s="9"/>
      <c r="AH2973" s="9"/>
      <c r="AI2973" s="9"/>
      <c r="AJ2973" s="9"/>
      <c r="AK2973" s="23"/>
      <c r="AL2973" s="23"/>
      <c r="AM2973" s="26"/>
      <c r="AN2973" s="9"/>
      <c r="AO2973" s="9"/>
      <c r="AP2973" s="9"/>
      <c r="AQ2973" s="54">
        <f t="shared" si="39"/>
        <v>0</v>
      </c>
      <c r="AR2973" s="52"/>
      <c r="AS2973" s="52"/>
    </row>
    <row r="2974" spans="1:45" ht="14.5" hidden="1">
      <c r="A2974" s="9"/>
      <c r="B2974" s="9"/>
      <c r="C2974" s="9"/>
      <c r="D2974" s="9"/>
      <c r="E2974" s="9"/>
      <c r="F2974" s="9"/>
      <c r="G2974" s="9"/>
      <c r="H2974" s="9"/>
      <c r="I2974" s="9"/>
      <c r="J2974" s="10"/>
      <c r="K2974" s="10"/>
      <c r="L2974" s="50"/>
      <c r="M2974" s="10"/>
      <c r="N2974" s="9"/>
      <c r="O2974" s="9"/>
      <c r="P2974" s="9"/>
      <c r="Q2974" s="9"/>
      <c r="S2974" s="9"/>
      <c r="T2974" s="9"/>
      <c r="V2974" s="9"/>
      <c r="AH2974" s="9"/>
      <c r="AI2974" s="9"/>
      <c r="AJ2974" s="9"/>
      <c r="AK2974" s="23"/>
      <c r="AL2974" s="23"/>
      <c r="AM2974" s="26"/>
      <c r="AN2974" s="9"/>
      <c r="AO2974" s="9"/>
      <c r="AP2974" s="9"/>
      <c r="AQ2974" s="54">
        <f t="shared" si="39"/>
        <v>0</v>
      </c>
      <c r="AR2974" s="52"/>
      <c r="AS2974" s="52"/>
    </row>
    <row r="2975" spans="1:45" ht="14.5" hidden="1">
      <c r="A2975" s="9"/>
      <c r="B2975" s="9"/>
      <c r="C2975" s="9"/>
      <c r="D2975" s="9"/>
      <c r="E2975" s="9"/>
      <c r="F2975" s="9"/>
      <c r="G2975" s="9"/>
      <c r="H2975" s="9"/>
      <c r="I2975" s="9"/>
      <c r="J2975" s="10"/>
      <c r="K2975" s="10"/>
      <c r="L2975" s="50"/>
      <c r="M2975" s="10"/>
      <c r="N2975" s="9"/>
      <c r="O2975" s="9"/>
      <c r="P2975" s="9"/>
      <c r="Q2975" s="9"/>
      <c r="S2975" s="9"/>
      <c r="T2975" s="9"/>
      <c r="V2975" s="9"/>
      <c r="AH2975" s="9"/>
      <c r="AI2975" s="9"/>
      <c r="AJ2975" s="9"/>
      <c r="AK2975" s="23"/>
      <c r="AL2975" s="23"/>
      <c r="AM2975" s="26"/>
      <c r="AN2975" s="9"/>
      <c r="AO2975" s="9"/>
      <c r="AP2975" s="9"/>
      <c r="AQ2975" s="54">
        <f t="shared" si="39"/>
        <v>0</v>
      </c>
      <c r="AR2975" s="52"/>
      <c r="AS2975" s="52"/>
    </row>
    <row r="2976" spans="1:45" ht="14.5" hidden="1">
      <c r="A2976" s="9"/>
      <c r="B2976" s="9"/>
      <c r="C2976" s="9"/>
      <c r="D2976" s="9"/>
      <c r="E2976" s="9"/>
      <c r="F2976" s="9"/>
      <c r="G2976" s="9"/>
      <c r="H2976" s="9"/>
      <c r="I2976" s="9"/>
      <c r="J2976" s="10"/>
      <c r="K2976" s="10"/>
      <c r="L2976" s="50"/>
      <c r="M2976" s="10"/>
      <c r="N2976" s="9"/>
      <c r="O2976" s="9"/>
      <c r="P2976" s="9"/>
      <c r="Q2976" s="9"/>
      <c r="S2976" s="9"/>
      <c r="T2976" s="9"/>
      <c r="V2976" s="9"/>
      <c r="AH2976" s="9"/>
      <c r="AI2976" s="9"/>
      <c r="AJ2976" s="9"/>
      <c r="AK2976" s="23"/>
      <c r="AL2976" s="23"/>
      <c r="AM2976" s="26"/>
      <c r="AN2976" s="9"/>
      <c r="AO2976" s="9"/>
      <c r="AP2976" s="9"/>
      <c r="AQ2976" s="54">
        <f t="shared" si="39"/>
        <v>0</v>
      </c>
      <c r="AR2976" s="52"/>
      <c r="AS2976" s="52"/>
    </row>
    <row r="2977" spans="1:45" ht="14.5" hidden="1">
      <c r="A2977" s="9"/>
      <c r="B2977" s="9"/>
      <c r="C2977" s="9"/>
      <c r="D2977" s="9"/>
      <c r="E2977" s="9"/>
      <c r="F2977" s="9"/>
      <c r="G2977" s="9"/>
      <c r="H2977" s="9"/>
      <c r="I2977" s="9"/>
      <c r="J2977" s="10"/>
      <c r="K2977" s="10"/>
      <c r="L2977" s="50"/>
      <c r="M2977" s="10"/>
      <c r="N2977" s="9"/>
      <c r="O2977" s="9"/>
      <c r="P2977" s="9"/>
      <c r="Q2977" s="9"/>
      <c r="S2977" s="9"/>
      <c r="T2977" s="9"/>
      <c r="V2977" s="9"/>
      <c r="AH2977" s="9"/>
      <c r="AI2977" s="9"/>
      <c r="AJ2977" s="9"/>
      <c r="AK2977" s="23"/>
      <c r="AL2977" s="23"/>
      <c r="AM2977" s="26"/>
      <c r="AN2977" s="9"/>
      <c r="AO2977" s="9"/>
      <c r="AP2977" s="9"/>
      <c r="AQ2977" s="54">
        <f t="shared" si="39"/>
        <v>0</v>
      </c>
      <c r="AR2977" s="52"/>
      <c r="AS2977" s="52"/>
    </row>
    <row r="2978" spans="1:45" ht="14.5" hidden="1">
      <c r="A2978" s="9"/>
      <c r="B2978" s="9"/>
      <c r="C2978" s="9"/>
      <c r="D2978" s="9"/>
      <c r="E2978" s="9"/>
      <c r="F2978" s="9"/>
      <c r="G2978" s="9"/>
      <c r="H2978" s="9"/>
      <c r="I2978" s="9"/>
      <c r="J2978" s="10"/>
      <c r="K2978" s="10"/>
      <c r="L2978" s="50"/>
      <c r="M2978" s="10"/>
      <c r="N2978" s="9"/>
      <c r="O2978" s="9"/>
      <c r="P2978" s="9"/>
      <c r="Q2978" s="9"/>
      <c r="S2978" s="9"/>
      <c r="T2978" s="9"/>
      <c r="V2978" s="9"/>
      <c r="AH2978" s="9"/>
      <c r="AI2978" s="9"/>
      <c r="AJ2978" s="9"/>
      <c r="AK2978" s="23"/>
      <c r="AL2978" s="23"/>
      <c r="AM2978" s="26"/>
      <c r="AN2978" s="9"/>
      <c r="AO2978" s="9"/>
      <c r="AP2978" s="9"/>
      <c r="AQ2978" s="54">
        <f t="shared" si="39"/>
        <v>0</v>
      </c>
      <c r="AR2978" s="52"/>
      <c r="AS2978" s="52"/>
    </row>
    <row r="2979" spans="1:45" ht="14.5" hidden="1">
      <c r="A2979" s="9"/>
      <c r="B2979" s="9"/>
      <c r="C2979" s="9"/>
      <c r="D2979" s="9"/>
      <c r="E2979" s="9"/>
      <c r="F2979" s="9"/>
      <c r="G2979" s="9"/>
      <c r="H2979" s="9"/>
      <c r="I2979" s="9"/>
      <c r="J2979" s="10"/>
      <c r="K2979" s="10"/>
      <c r="L2979" s="50"/>
      <c r="M2979" s="10"/>
      <c r="N2979" s="9"/>
      <c r="O2979" s="9"/>
      <c r="P2979" s="9"/>
      <c r="Q2979" s="9"/>
      <c r="S2979" s="9"/>
      <c r="T2979" s="9"/>
      <c r="V2979" s="9"/>
      <c r="AH2979" s="9"/>
      <c r="AI2979" s="9"/>
      <c r="AJ2979" s="9"/>
      <c r="AK2979" s="23"/>
      <c r="AL2979" s="23"/>
      <c r="AM2979" s="26"/>
      <c r="AN2979" s="9"/>
      <c r="AO2979" s="9"/>
      <c r="AP2979" s="9"/>
      <c r="AQ2979" s="54">
        <f t="shared" si="39"/>
        <v>0</v>
      </c>
      <c r="AR2979" s="52"/>
      <c r="AS2979" s="52"/>
    </row>
    <row r="2980" spans="1:45" ht="14.5" hidden="1">
      <c r="A2980" s="9"/>
      <c r="B2980" s="9"/>
      <c r="C2980" s="9"/>
      <c r="D2980" s="9"/>
      <c r="E2980" s="9"/>
      <c r="F2980" s="9"/>
      <c r="G2980" s="9"/>
      <c r="H2980" s="9"/>
      <c r="I2980" s="9"/>
      <c r="J2980" s="10"/>
      <c r="K2980" s="10"/>
      <c r="L2980" s="50"/>
      <c r="M2980" s="10"/>
      <c r="N2980" s="9"/>
      <c r="O2980" s="9"/>
      <c r="P2980" s="9"/>
      <c r="Q2980" s="9"/>
      <c r="S2980" s="9"/>
      <c r="T2980" s="9"/>
      <c r="V2980" s="9"/>
      <c r="AH2980" s="9"/>
      <c r="AI2980" s="9"/>
      <c r="AJ2980" s="9"/>
      <c r="AK2980" s="23"/>
      <c r="AL2980" s="23"/>
      <c r="AM2980" s="26"/>
      <c r="AN2980" s="9"/>
      <c r="AO2980" s="9"/>
      <c r="AP2980" s="9"/>
      <c r="AQ2980" s="54">
        <f t="shared" si="39"/>
        <v>0</v>
      </c>
      <c r="AR2980" s="52"/>
      <c r="AS2980" s="52"/>
    </row>
    <row r="2981" spans="1:45" ht="14.5" hidden="1">
      <c r="A2981" s="9"/>
      <c r="B2981" s="9"/>
      <c r="C2981" s="9"/>
      <c r="D2981" s="9"/>
      <c r="E2981" s="9"/>
      <c r="F2981" s="9"/>
      <c r="G2981" s="9"/>
      <c r="H2981" s="9"/>
      <c r="I2981" s="9"/>
      <c r="J2981" s="10"/>
      <c r="K2981" s="10"/>
      <c r="L2981" s="50"/>
      <c r="M2981" s="10"/>
      <c r="N2981" s="9"/>
      <c r="O2981" s="9"/>
      <c r="P2981" s="9"/>
      <c r="Q2981" s="9"/>
      <c r="S2981" s="9"/>
      <c r="T2981" s="9"/>
      <c r="V2981" s="9"/>
      <c r="AH2981" s="9"/>
      <c r="AI2981" s="9"/>
      <c r="AJ2981" s="9"/>
      <c r="AK2981" s="23"/>
      <c r="AL2981" s="23"/>
      <c r="AM2981" s="26"/>
      <c r="AN2981" s="9"/>
      <c r="AO2981" s="9"/>
      <c r="AP2981" s="9"/>
      <c r="AQ2981" s="54">
        <f t="shared" si="39"/>
        <v>0</v>
      </c>
      <c r="AR2981" s="52"/>
      <c r="AS2981" s="52"/>
    </row>
    <row r="2982" spans="1:45" ht="14.5" hidden="1">
      <c r="A2982" s="9"/>
      <c r="B2982" s="9"/>
      <c r="C2982" s="9"/>
      <c r="D2982" s="9"/>
      <c r="E2982" s="9"/>
      <c r="F2982" s="9"/>
      <c r="G2982" s="9"/>
      <c r="H2982" s="9"/>
      <c r="I2982" s="9"/>
      <c r="J2982" s="10"/>
      <c r="K2982" s="10"/>
      <c r="L2982" s="50"/>
      <c r="M2982" s="10"/>
      <c r="N2982" s="9"/>
      <c r="O2982" s="9"/>
      <c r="P2982" s="9"/>
      <c r="Q2982" s="9"/>
      <c r="S2982" s="9"/>
      <c r="T2982" s="9"/>
      <c r="V2982" s="9"/>
      <c r="AH2982" s="9"/>
      <c r="AI2982" s="9"/>
      <c r="AJ2982" s="9"/>
      <c r="AK2982" s="23"/>
      <c r="AL2982" s="23"/>
      <c r="AM2982" s="26"/>
      <c r="AN2982" s="9"/>
      <c r="AO2982" s="9"/>
      <c r="AP2982" s="9"/>
      <c r="AQ2982" s="54">
        <f t="shared" si="39"/>
        <v>0</v>
      </c>
      <c r="AR2982" s="52"/>
      <c r="AS2982" s="52"/>
    </row>
    <row r="2983" spans="1:45" ht="14.5" hidden="1">
      <c r="A2983" s="9"/>
      <c r="B2983" s="9"/>
      <c r="C2983" s="9"/>
      <c r="D2983" s="9"/>
      <c r="E2983" s="9"/>
      <c r="F2983" s="9"/>
      <c r="G2983" s="9"/>
      <c r="H2983" s="9"/>
      <c r="I2983" s="9"/>
      <c r="J2983" s="10"/>
      <c r="K2983" s="10"/>
      <c r="L2983" s="50"/>
      <c r="M2983" s="10"/>
      <c r="N2983" s="9"/>
      <c r="O2983" s="9"/>
      <c r="P2983" s="9"/>
      <c r="Q2983" s="9"/>
      <c r="S2983" s="9"/>
      <c r="T2983" s="9"/>
      <c r="V2983" s="9"/>
      <c r="AH2983" s="9"/>
      <c r="AI2983" s="9"/>
      <c r="AJ2983" s="9"/>
      <c r="AK2983" s="23"/>
      <c r="AL2983" s="23"/>
      <c r="AM2983" s="26"/>
      <c r="AN2983" s="9"/>
      <c r="AO2983" s="9"/>
      <c r="AP2983" s="9"/>
      <c r="AQ2983" s="54">
        <f t="shared" si="39"/>
        <v>0</v>
      </c>
      <c r="AR2983" s="52"/>
      <c r="AS2983" s="52"/>
    </row>
    <row r="2984" spans="1:45" ht="14.5" hidden="1">
      <c r="A2984" s="9"/>
      <c r="B2984" s="9"/>
      <c r="C2984" s="9"/>
      <c r="D2984" s="9"/>
      <c r="E2984" s="9"/>
      <c r="F2984" s="9"/>
      <c r="G2984" s="9"/>
      <c r="H2984" s="9"/>
      <c r="I2984" s="9"/>
      <c r="J2984" s="10"/>
      <c r="K2984" s="10"/>
      <c r="L2984" s="50"/>
      <c r="M2984" s="10"/>
      <c r="N2984" s="9"/>
      <c r="O2984" s="9"/>
      <c r="P2984" s="9"/>
      <c r="Q2984" s="9"/>
      <c r="S2984" s="9"/>
      <c r="T2984" s="9"/>
      <c r="V2984" s="9"/>
      <c r="AH2984" s="9"/>
      <c r="AI2984" s="9"/>
      <c r="AJ2984" s="9"/>
      <c r="AK2984" s="23"/>
      <c r="AL2984" s="23"/>
      <c r="AM2984" s="26"/>
      <c r="AN2984" s="9"/>
      <c r="AO2984" s="9"/>
      <c r="AP2984" s="9"/>
      <c r="AQ2984" s="54">
        <f t="shared" si="39"/>
        <v>0</v>
      </c>
      <c r="AR2984" s="52"/>
      <c r="AS2984" s="52"/>
    </row>
    <row r="2985" spans="1:45" ht="14.5" hidden="1">
      <c r="A2985" s="9"/>
      <c r="B2985" s="9"/>
      <c r="C2985" s="9"/>
      <c r="D2985" s="9"/>
      <c r="E2985" s="9"/>
      <c r="F2985" s="9"/>
      <c r="G2985" s="9"/>
      <c r="H2985" s="9"/>
      <c r="I2985" s="9"/>
      <c r="J2985" s="10"/>
      <c r="K2985" s="10"/>
      <c r="L2985" s="50"/>
      <c r="M2985" s="10"/>
      <c r="N2985" s="9"/>
      <c r="O2985" s="9"/>
      <c r="P2985" s="9"/>
      <c r="Q2985" s="9"/>
      <c r="S2985" s="9"/>
      <c r="T2985" s="9"/>
      <c r="V2985" s="9"/>
      <c r="AH2985" s="9"/>
      <c r="AI2985" s="9"/>
      <c r="AJ2985" s="9"/>
      <c r="AK2985" s="23"/>
      <c r="AL2985" s="23"/>
      <c r="AM2985" s="26"/>
      <c r="AN2985" s="9"/>
      <c r="AO2985" s="9"/>
      <c r="AP2985" s="9"/>
      <c r="AQ2985" s="54">
        <f t="shared" si="39"/>
        <v>0</v>
      </c>
      <c r="AR2985" s="52"/>
      <c r="AS2985" s="52"/>
    </row>
    <row r="2986" spans="1:45" ht="14.5" hidden="1">
      <c r="A2986" s="9"/>
      <c r="B2986" s="9"/>
      <c r="C2986" s="9"/>
      <c r="D2986" s="9"/>
      <c r="E2986" s="9"/>
      <c r="F2986" s="9"/>
      <c r="G2986" s="9"/>
      <c r="H2986" s="9"/>
      <c r="I2986" s="9"/>
      <c r="J2986" s="10"/>
      <c r="K2986" s="10"/>
      <c r="L2986" s="50"/>
      <c r="M2986" s="10"/>
      <c r="N2986" s="9"/>
      <c r="O2986" s="9"/>
      <c r="P2986" s="9"/>
      <c r="Q2986" s="9"/>
      <c r="S2986" s="9"/>
      <c r="T2986" s="9"/>
      <c r="V2986" s="9"/>
      <c r="AH2986" s="9"/>
      <c r="AI2986" s="9"/>
      <c r="AJ2986" s="9"/>
      <c r="AK2986" s="23"/>
      <c r="AL2986" s="23"/>
      <c r="AM2986" s="26"/>
      <c r="AN2986" s="9"/>
      <c r="AO2986" s="9"/>
      <c r="AP2986" s="9"/>
      <c r="AQ2986" s="54">
        <f t="shared" si="39"/>
        <v>0</v>
      </c>
      <c r="AR2986" s="52"/>
      <c r="AS2986" s="52"/>
    </row>
    <row r="2987" spans="1:45" ht="14.5" hidden="1">
      <c r="A2987" s="9"/>
      <c r="B2987" s="9"/>
      <c r="C2987" s="9"/>
      <c r="D2987" s="9"/>
      <c r="E2987" s="9"/>
      <c r="F2987" s="9"/>
      <c r="G2987" s="9"/>
      <c r="H2987" s="9"/>
      <c r="I2987" s="9"/>
      <c r="J2987" s="10"/>
      <c r="K2987" s="10"/>
      <c r="L2987" s="50"/>
      <c r="M2987" s="10"/>
      <c r="N2987" s="9"/>
      <c r="O2987" s="9"/>
      <c r="P2987" s="9"/>
      <c r="Q2987" s="9"/>
      <c r="S2987" s="9"/>
      <c r="T2987" s="9"/>
      <c r="V2987" s="9"/>
      <c r="AH2987" s="9"/>
      <c r="AI2987" s="9"/>
      <c r="AJ2987" s="9"/>
      <c r="AK2987" s="23"/>
      <c r="AL2987" s="23"/>
      <c r="AM2987" s="26"/>
      <c r="AN2987" s="9"/>
      <c r="AO2987" s="9"/>
      <c r="AP2987" s="9"/>
      <c r="AQ2987" s="54">
        <f t="shared" si="39"/>
        <v>0</v>
      </c>
      <c r="AR2987" s="52"/>
      <c r="AS2987" s="52"/>
    </row>
    <row r="2988" spans="1:45" ht="14.5" hidden="1">
      <c r="A2988" s="9"/>
      <c r="B2988" s="9"/>
      <c r="C2988" s="9"/>
      <c r="D2988" s="9"/>
      <c r="E2988" s="9"/>
      <c r="F2988" s="9"/>
      <c r="G2988" s="9"/>
      <c r="H2988" s="9"/>
      <c r="I2988" s="9"/>
      <c r="J2988" s="10"/>
      <c r="K2988" s="10"/>
      <c r="L2988" s="50"/>
      <c r="M2988" s="10"/>
      <c r="N2988" s="9"/>
      <c r="O2988" s="9"/>
      <c r="P2988" s="9"/>
      <c r="Q2988" s="9"/>
      <c r="S2988" s="9"/>
      <c r="T2988" s="9"/>
      <c r="V2988" s="9"/>
      <c r="AH2988" s="9"/>
      <c r="AI2988" s="9"/>
      <c r="AJ2988" s="9"/>
      <c r="AK2988" s="23"/>
      <c r="AL2988" s="23"/>
      <c r="AM2988" s="26"/>
      <c r="AN2988" s="9"/>
      <c r="AO2988" s="9"/>
      <c r="AP2988" s="9"/>
      <c r="AQ2988" s="54">
        <f t="shared" si="39"/>
        <v>0</v>
      </c>
      <c r="AR2988" s="52"/>
      <c r="AS2988" s="52"/>
    </row>
    <row r="2989" spans="1:45" ht="14.5" hidden="1">
      <c r="A2989" s="9"/>
      <c r="B2989" s="9"/>
      <c r="C2989" s="9"/>
      <c r="D2989" s="9"/>
      <c r="E2989" s="9"/>
      <c r="F2989" s="9"/>
      <c r="G2989" s="9"/>
      <c r="H2989" s="9"/>
      <c r="I2989" s="9"/>
      <c r="J2989" s="10"/>
      <c r="K2989" s="10"/>
      <c r="L2989" s="50"/>
      <c r="M2989" s="10"/>
      <c r="N2989" s="9"/>
      <c r="O2989" s="9"/>
      <c r="P2989" s="9"/>
      <c r="Q2989" s="9"/>
      <c r="S2989" s="9"/>
      <c r="T2989" s="9"/>
      <c r="V2989" s="9"/>
      <c r="AH2989" s="9"/>
      <c r="AI2989" s="9"/>
      <c r="AJ2989" s="9"/>
      <c r="AK2989" s="23"/>
      <c r="AL2989" s="23"/>
      <c r="AM2989" s="26"/>
      <c r="AN2989" s="9"/>
      <c r="AO2989" s="9"/>
      <c r="AP2989" s="9"/>
      <c r="AQ2989" s="54">
        <f t="shared" si="39"/>
        <v>0</v>
      </c>
      <c r="AR2989" s="52"/>
      <c r="AS2989" s="52"/>
    </row>
    <row r="2990" spans="1:45" ht="14.5" hidden="1">
      <c r="A2990" s="9"/>
      <c r="B2990" s="9"/>
      <c r="C2990" s="9"/>
      <c r="D2990" s="9"/>
      <c r="E2990" s="9"/>
      <c r="F2990" s="9"/>
      <c r="G2990" s="9"/>
      <c r="H2990" s="9"/>
      <c r="I2990" s="9"/>
      <c r="J2990" s="10"/>
      <c r="K2990" s="10"/>
      <c r="L2990" s="50"/>
      <c r="M2990" s="10"/>
      <c r="N2990" s="9"/>
      <c r="O2990" s="9"/>
      <c r="P2990" s="9"/>
      <c r="Q2990" s="9"/>
      <c r="S2990" s="9"/>
      <c r="T2990" s="9"/>
      <c r="V2990" s="9"/>
      <c r="AH2990" s="9"/>
      <c r="AI2990" s="9"/>
      <c r="AJ2990" s="9"/>
      <c r="AK2990" s="23"/>
      <c r="AL2990" s="23"/>
      <c r="AM2990" s="26"/>
      <c r="AN2990" s="9"/>
      <c r="AO2990" s="9"/>
      <c r="AP2990" s="9"/>
      <c r="AQ2990" s="54">
        <f t="shared" si="39"/>
        <v>0</v>
      </c>
      <c r="AR2990" s="52"/>
      <c r="AS2990" s="52"/>
    </row>
    <row r="2991" spans="1:45" ht="14.5" hidden="1">
      <c r="A2991" s="9"/>
      <c r="B2991" s="9"/>
      <c r="C2991" s="9"/>
      <c r="D2991" s="9"/>
      <c r="E2991" s="9"/>
      <c r="F2991" s="9"/>
      <c r="G2991" s="9"/>
      <c r="H2991" s="9"/>
      <c r="I2991" s="9"/>
      <c r="J2991" s="10"/>
      <c r="K2991" s="10"/>
      <c r="L2991" s="50"/>
      <c r="M2991" s="10"/>
      <c r="N2991" s="9"/>
      <c r="O2991" s="9"/>
      <c r="P2991" s="9"/>
      <c r="Q2991" s="9"/>
      <c r="S2991" s="9"/>
      <c r="T2991" s="9"/>
      <c r="V2991" s="9"/>
      <c r="AH2991" s="9"/>
      <c r="AI2991" s="9"/>
      <c r="AJ2991" s="9"/>
      <c r="AK2991" s="23"/>
      <c r="AL2991" s="23"/>
      <c r="AM2991" s="26"/>
      <c r="AN2991" s="9"/>
      <c r="AO2991" s="9"/>
      <c r="AP2991" s="9"/>
      <c r="AQ2991" s="54">
        <f t="shared" si="39"/>
        <v>0</v>
      </c>
      <c r="AR2991" s="52"/>
      <c r="AS2991" s="52"/>
    </row>
    <row r="2992" spans="1:45" ht="14.5" hidden="1">
      <c r="A2992" s="9"/>
      <c r="B2992" s="9"/>
      <c r="C2992" s="9"/>
      <c r="D2992" s="9"/>
      <c r="E2992" s="9"/>
      <c r="F2992" s="9"/>
      <c r="G2992" s="9"/>
      <c r="H2992" s="9"/>
      <c r="I2992" s="9"/>
      <c r="J2992" s="10"/>
      <c r="K2992" s="10"/>
      <c r="L2992" s="50"/>
      <c r="M2992" s="10"/>
      <c r="N2992" s="9"/>
      <c r="O2992" s="9"/>
      <c r="P2992" s="9"/>
      <c r="Q2992" s="9"/>
      <c r="S2992" s="9"/>
      <c r="T2992" s="9"/>
      <c r="V2992" s="9"/>
      <c r="AH2992" s="9"/>
      <c r="AI2992" s="9"/>
      <c r="AJ2992" s="9"/>
      <c r="AK2992" s="23"/>
      <c r="AL2992" s="23"/>
      <c r="AM2992" s="26"/>
      <c r="AN2992" s="9"/>
      <c r="AO2992" s="9"/>
      <c r="AP2992" s="9"/>
      <c r="AQ2992" s="54">
        <f t="shared" si="39"/>
        <v>0</v>
      </c>
      <c r="AR2992" s="52"/>
      <c r="AS2992" s="52"/>
    </row>
    <row r="2993" spans="1:45" ht="14.5" hidden="1">
      <c r="A2993" s="9"/>
      <c r="B2993" s="9"/>
      <c r="C2993" s="9"/>
      <c r="D2993" s="9"/>
      <c r="E2993" s="9"/>
      <c r="F2993" s="9"/>
      <c r="G2993" s="9"/>
      <c r="H2993" s="9"/>
      <c r="I2993" s="9"/>
      <c r="J2993" s="10"/>
      <c r="K2993" s="10"/>
      <c r="L2993" s="50"/>
      <c r="M2993" s="10"/>
      <c r="N2993" s="9"/>
      <c r="O2993" s="9"/>
      <c r="P2993" s="9"/>
      <c r="Q2993" s="9"/>
      <c r="S2993" s="9"/>
      <c r="T2993" s="9"/>
      <c r="V2993" s="9"/>
      <c r="AH2993" s="9"/>
      <c r="AI2993" s="9"/>
      <c r="AJ2993" s="9"/>
      <c r="AK2993" s="23"/>
      <c r="AL2993" s="23"/>
      <c r="AM2993" s="26"/>
      <c r="AN2993" s="9"/>
      <c r="AO2993" s="9"/>
      <c r="AP2993" s="9"/>
      <c r="AQ2993" s="54">
        <f t="shared" si="39"/>
        <v>0</v>
      </c>
      <c r="AR2993" s="52"/>
      <c r="AS2993" s="52"/>
    </row>
    <row r="2994" spans="1:45" ht="14.5" hidden="1">
      <c r="A2994" s="9"/>
      <c r="B2994" s="9"/>
      <c r="C2994" s="9"/>
      <c r="D2994" s="9"/>
      <c r="E2994" s="9"/>
      <c r="F2994" s="9"/>
      <c r="G2994" s="9"/>
      <c r="H2994" s="9"/>
      <c r="I2994" s="9"/>
      <c r="J2994" s="10"/>
      <c r="K2994" s="10"/>
      <c r="L2994" s="50"/>
      <c r="M2994" s="10"/>
      <c r="N2994" s="9"/>
      <c r="O2994" s="9"/>
      <c r="P2994" s="9"/>
      <c r="Q2994" s="9"/>
      <c r="S2994" s="9"/>
      <c r="T2994" s="9"/>
      <c r="V2994" s="9"/>
      <c r="AH2994" s="9"/>
      <c r="AI2994" s="9"/>
      <c r="AJ2994" s="9"/>
      <c r="AK2994" s="23"/>
      <c r="AL2994" s="23"/>
      <c r="AM2994" s="26"/>
      <c r="AN2994" s="9"/>
      <c r="AO2994" s="9"/>
      <c r="AP2994" s="9"/>
      <c r="AQ2994" s="54">
        <f t="shared" si="39"/>
        <v>0</v>
      </c>
      <c r="AR2994" s="52"/>
      <c r="AS2994" s="52"/>
    </row>
    <row r="2995" spans="1:45" ht="14.5" hidden="1">
      <c r="A2995" s="9"/>
      <c r="B2995" s="9"/>
      <c r="C2995" s="9"/>
      <c r="D2995" s="9"/>
      <c r="E2995" s="9"/>
      <c r="F2995" s="9"/>
      <c r="G2995" s="9"/>
      <c r="H2995" s="9"/>
      <c r="I2995" s="9"/>
      <c r="J2995" s="10"/>
      <c r="K2995" s="10"/>
      <c r="L2995" s="50"/>
      <c r="M2995" s="10"/>
      <c r="N2995" s="9"/>
      <c r="O2995" s="9"/>
      <c r="P2995" s="9"/>
      <c r="Q2995" s="9"/>
      <c r="S2995" s="9"/>
      <c r="T2995" s="9"/>
      <c r="V2995" s="9"/>
      <c r="AH2995" s="9"/>
      <c r="AI2995" s="9"/>
      <c r="AJ2995" s="9"/>
      <c r="AK2995" s="23"/>
      <c r="AL2995" s="23"/>
      <c r="AM2995" s="26"/>
      <c r="AN2995" s="9"/>
      <c r="AO2995" s="9"/>
      <c r="AP2995" s="9"/>
      <c r="AQ2995" s="54">
        <f t="shared" si="39"/>
        <v>0</v>
      </c>
      <c r="AR2995" s="52"/>
      <c r="AS2995" s="52"/>
    </row>
    <row r="2996" spans="1:45" ht="14.5" hidden="1">
      <c r="A2996" s="9"/>
      <c r="B2996" s="9"/>
      <c r="C2996" s="9"/>
      <c r="D2996" s="9"/>
      <c r="E2996" s="9"/>
      <c r="F2996" s="9"/>
      <c r="G2996" s="9"/>
      <c r="H2996" s="9"/>
      <c r="I2996" s="9"/>
      <c r="J2996" s="10"/>
      <c r="K2996" s="10"/>
      <c r="L2996" s="50"/>
      <c r="M2996" s="10"/>
      <c r="N2996" s="9"/>
      <c r="O2996" s="9"/>
      <c r="P2996" s="9"/>
      <c r="Q2996" s="9"/>
      <c r="S2996" s="9"/>
      <c r="T2996" s="9"/>
      <c r="V2996" s="9"/>
      <c r="AH2996" s="9"/>
      <c r="AI2996" s="9"/>
      <c r="AJ2996" s="9"/>
      <c r="AK2996" s="23"/>
      <c r="AL2996" s="23"/>
      <c r="AM2996" s="26"/>
      <c r="AN2996" s="9"/>
      <c r="AO2996" s="9"/>
      <c r="AP2996" s="9"/>
      <c r="AQ2996" s="54">
        <f t="shared" si="39"/>
        <v>0</v>
      </c>
      <c r="AR2996" s="52"/>
      <c r="AS2996" s="52"/>
    </row>
    <row r="2997" spans="1:45" ht="14.5" hidden="1">
      <c r="A2997" s="9"/>
      <c r="B2997" s="9"/>
      <c r="C2997" s="9"/>
      <c r="D2997" s="9"/>
      <c r="E2997" s="9"/>
      <c r="F2997" s="9"/>
      <c r="G2997" s="9"/>
      <c r="H2997" s="9"/>
      <c r="I2997" s="9"/>
      <c r="J2997" s="10"/>
      <c r="K2997" s="10"/>
      <c r="L2997" s="50"/>
      <c r="M2997" s="10"/>
      <c r="N2997" s="9"/>
      <c r="O2997" s="9"/>
      <c r="P2997" s="9"/>
      <c r="Q2997" s="9"/>
      <c r="S2997" s="9"/>
      <c r="T2997" s="9"/>
      <c r="V2997" s="9"/>
      <c r="AH2997" s="9"/>
      <c r="AI2997" s="9"/>
      <c r="AJ2997" s="9"/>
      <c r="AK2997" s="23"/>
      <c r="AL2997" s="23"/>
      <c r="AM2997" s="26"/>
      <c r="AN2997" s="9"/>
      <c r="AO2997" s="9"/>
      <c r="AP2997" s="9"/>
      <c r="AQ2997" s="54">
        <f t="shared" si="39"/>
        <v>0</v>
      </c>
      <c r="AR2997" s="52"/>
      <c r="AS2997" s="52"/>
    </row>
    <row r="2998" spans="1:45" ht="14.5" hidden="1">
      <c r="A2998" s="9"/>
      <c r="B2998" s="9"/>
      <c r="C2998" s="9"/>
      <c r="D2998" s="9"/>
      <c r="E2998" s="9"/>
      <c r="F2998" s="9"/>
      <c r="G2998" s="9"/>
      <c r="H2998" s="9"/>
      <c r="I2998" s="9"/>
      <c r="J2998" s="10"/>
      <c r="K2998" s="10"/>
      <c r="L2998" s="50"/>
      <c r="M2998" s="10"/>
      <c r="N2998" s="9"/>
      <c r="O2998" s="9"/>
      <c r="P2998" s="9"/>
      <c r="Q2998" s="9"/>
      <c r="S2998" s="9"/>
      <c r="T2998" s="9"/>
      <c r="V2998" s="9"/>
      <c r="AH2998" s="9"/>
      <c r="AI2998" s="9"/>
      <c r="AJ2998" s="9"/>
      <c r="AK2998" s="23"/>
      <c r="AL2998" s="23"/>
      <c r="AM2998" s="26"/>
      <c r="AN2998" s="9"/>
      <c r="AO2998" s="9"/>
      <c r="AP2998" s="9"/>
      <c r="AQ2998" s="54">
        <f t="shared" si="39"/>
        <v>0</v>
      </c>
      <c r="AR2998" s="52"/>
      <c r="AS2998" s="52"/>
    </row>
    <row r="2999" spans="1:45" ht="14.5" hidden="1">
      <c r="A2999" s="9"/>
      <c r="B2999" s="9"/>
      <c r="C2999" s="9"/>
      <c r="D2999" s="9"/>
      <c r="E2999" s="9"/>
      <c r="F2999" s="9"/>
      <c r="G2999" s="9"/>
      <c r="H2999" s="9"/>
      <c r="I2999" s="9"/>
      <c r="J2999" s="10"/>
      <c r="K2999" s="10"/>
      <c r="L2999" s="50"/>
      <c r="M2999" s="10"/>
      <c r="N2999" s="9"/>
      <c r="O2999" s="9"/>
      <c r="P2999" s="9"/>
      <c r="Q2999" s="9"/>
      <c r="S2999" s="9"/>
      <c r="T2999" s="9"/>
      <c r="V2999" s="9"/>
      <c r="AH2999" s="9"/>
      <c r="AI2999" s="9"/>
      <c r="AJ2999" s="9"/>
      <c r="AK2999" s="23"/>
      <c r="AL2999" s="23"/>
      <c r="AM2999" s="26"/>
      <c r="AN2999" s="9"/>
      <c r="AO2999" s="9"/>
      <c r="AP2999" s="9"/>
      <c r="AQ2999" s="54">
        <f t="shared" si="39"/>
        <v>0</v>
      </c>
      <c r="AR2999" s="52"/>
      <c r="AS2999" s="52"/>
    </row>
    <row r="3000" spans="1:45" ht="14.5" hidden="1">
      <c r="A3000" s="9"/>
      <c r="B3000" s="9"/>
      <c r="C3000" s="9"/>
      <c r="D3000" s="9"/>
      <c r="E3000" s="9"/>
      <c r="F3000" s="9"/>
      <c r="G3000" s="9"/>
      <c r="H3000" s="9"/>
      <c r="I3000" s="9"/>
      <c r="J3000" s="10"/>
      <c r="K3000" s="10"/>
      <c r="L3000" s="50"/>
      <c r="M3000" s="10"/>
      <c r="N3000" s="9"/>
      <c r="O3000" s="9"/>
      <c r="P3000" s="9"/>
      <c r="Q3000" s="9"/>
      <c r="S3000" s="9"/>
      <c r="T3000" s="9"/>
      <c r="V3000" s="9"/>
      <c r="AH3000" s="9"/>
      <c r="AI3000" s="9"/>
      <c r="AJ3000" s="9"/>
      <c r="AK3000" s="23"/>
      <c r="AL3000" s="23"/>
      <c r="AM3000" s="26"/>
      <c r="AN3000" s="9"/>
      <c r="AO3000" s="9"/>
      <c r="AP3000" s="9"/>
      <c r="AQ3000" s="54">
        <f t="shared" si="39"/>
        <v>0</v>
      </c>
      <c r="AR3000" s="52"/>
      <c r="AS3000" s="52"/>
    </row>
    <row r="3001" spans="1:45" ht="14.5" hidden="1">
      <c r="A3001" s="9"/>
      <c r="B3001" s="9"/>
      <c r="C3001" s="9"/>
      <c r="D3001" s="9"/>
      <c r="E3001" s="9"/>
      <c r="F3001" s="9"/>
      <c r="G3001" s="9"/>
      <c r="H3001" s="9"/>
      <c r="I3001" s="9"/>
      <c r="J3001" s="10"/>
      <c r="K3001" s="10"/>
      <c r="L3001" s="50"/>
      <c r="M3001" s="10"/>
      <c r="N3001" s="9"/>
      <c r="O3001" s="9"/>
      <c r="P3001" s="9"/>
      <c r="Q3001" s="9"/>
      <c r="S3001" s="9"/>
      <c r="T3001" s="9"/>
      <c r="V3001" s="9"/>
      <c r="AH3001" s="9"/>
      <c r="AI3001" s="9"/>
      <c r="AJ3001" s="9"/>
      <c r="AK3001" s="23"/>
      <c r="AL3001" s="23"/>
      <c r="AM3001" s="26"/>
      <c r="AN3001" s="9"/>
      <c r="AO3001" s="9"/>
      <c r="AP3001" s="9"/>
      <c r="AQ3001" s="54">
        <f t="shared" si="39"/>
        <v>0</v>
      </c>
      <c r="AR3001" s="52"/>
      <c r="AS3001" s="52"/>
    </row>
    <row r="3002" spans="1:45" ht="14.5" hidden="1">
      <c r="A3002" s="9"/>
      <c r="B3002" s="9"/>
      <c r="C3002" s="9"/>
      <c r="D3002" s="9"/>
      <c r="E3002" s="9"/>
      <c r="F3002" s="9"/>
      <c r="G3002" s="9"/>
      <c r="H3002" s="9"/>
      <c r="I3002" s="9"/>
      <c r="J3002" s="10"/>
      <c r="K3002" s="10"/>
      <c r="L3002" s="50"/>
      <c r="M3002" s="10"/>
      <c r="N3002" s="9"/>
      <c r="O3002" s="9"/>
      <c r="P3002" s="9"/>
      <c r="Q3002" s="9"/>
      <c r="S3002" s="9"/>
      <c r="T3002" s="9"/>
      <c r="V3002" s="9"/>
      <c r="AH3002" s="9"/>
      <c r="AI3002" s="9"/>
      <c r="AJ3002" s="9"/>
      <c r="AK3002" s="23"/>
      <c r="AL3002" s="23"/>
      <c r="AM3002" s="26"/>
      <c r="AN3002" s="9"/>
      <c r="AO3002" s="9"/>
      <c r="AP3002" s="9"/>
      <c r="AQ3002" s="54">
        <f t="shared" si="39"/>
        <v>0</v>
      </c>
      <c r="AR3002" s="52"/>
      <c r="AS3002" s="52"/>
    </row>
    <row r="3003" spans="1:45" ht="14.5" hidden="1">
      <c r="A3003" s="9"/>
      <c r="B3003" s="9"/>
      <c r="C3003" s="9"/>
      <c r="D3003" s="9"/>
      <c r="E3003" s="9"/>
      <c r="F3003" s="9"/>
      <c r="G3003" s="9"/>
      <c r="H3003" s="9"/>
      <c r="I3003" s="9"/>
      <c r="J3003" s="10"/>
      <c r="K3003" s="10"/>
      <c r="L3003" s="50"/>
      <c r="M3003" s="10"/>
      <c r="N3003" s="9"/>
      <c r="O3003" s="9"/>
      <c r="P3003" s="9"/>
      <c r="Q3003" s="9"/>
      <c r="S3003" s="9"/>
      <c r="T3003" s="9"/>
      <c r="V3003" s="9"/>
      <c r="AH3003" s="9"/>
      <c r="AI3003" s="9"/>
      <c r="AJ3003" s="9"/>
      <c r="AK3003" s="23"/>
      <c r="AL3003" s="23"/>
      <c r="AM3003" s="26"/>
      <c r="AN3003" s="9"/>
      <c r="AO3003" s="9"/>
      <c r="AP3003" s="9"/>
      <c r="AQ3003" s="54">
        <f t="shared" si="39"/>
        <v>0</v>
      </c>
      <c r="AR3003" s="52"/>
      <c r="AS3003" s="52"/>
    </row>
    <row r="3004" spans="1:45" ht="14.5" hidden="1">
      <c r="A3004" s="9"/>
      <c r="B3004" s="9"/>
      <c r="C3004" s="9"/>
      <c r="D3004" s="9"/>
      <c r="E3004" s="9"/>
      <c r="F3004" s="9"/>
      <c r="G3004" s="9"/>
      <c r="H3004" s="9"/>
      <c r="I3004" s="9"/>
      <c r="J3004" s="10"/>
      <c r="K3004" s="10"/>
      <c r="L3004" s="50"/>
      <c r="M3004" s="10"/>
      <c r="N3004" s="9"/>
      <c r="O3004" s="9"/>
      <c r="P3004" s="9"/>
      <c r="Q3004" s="9"/>
      <c r="S3004" s="9"/>
      <c r="T3004" s="9"/>
      <c r="V3004" s="9"/>
      <c r="AH3004" s="9"/>
      <c r="AI3004" s="9"/>
      <c r="AJ3004" s="9"/>
      <c r="AK3004" s="23"/>
      <c r="AL3004" s="23"/>
      <c r="AM3004" s="26"/>
      <c r="AN3004" s="9"/>
      <c r="AO3004" s="9"/>
      <c r="AP3004" s="9"/>
      <c r="AQ3004" s="54">
        <f t="shared" si="39"/>
        <v>0</v>
      </c>
      <c r="AR3004" s="52"/>
      <c r="AS3004" s="52"/>
    </row>
    <row r="3005" spans="1:45" ht="14.5" hidden="1">
      <c r="A3005" s="9"/>
      <c r="B3005" s="9"/>
      <c r="C3005" s="9"/>
      <c r="D3005" s="9"/>
      <c r="E3005" s="9"/>
      <c r="F3005" s="9"/>
      <c r="G3005" s="9"/>
      <c r="H3005" s="9"/>
      <c r="I3005" s="9"/>
      <c r="J3005" s="10"/>
      <c r="K3005" s="10"/>
      <c r="L3005" s="50"/>
      <c r="M3005" s="10"/>
      <c r="N3005" s="9"/>
      <c r="O3005" s="9"/>
      <c r="P3005" s="9"/>
      <c r="Q3005" s="9"/>
      <c r="S3005" s="9"/>
      <c r="T3005" s="9"/>
      <c r="V3005" s="9"/>
      <c r="AH3005" s="9"/>
      <c r="AI3005" s="9"/>
      <c r="AJ3005" s="9"/>
      <c r="AK3005" s="23"/>
      <c r="AL3005" s="23"/>
      <c r="AM3005" s="26"/>
      <c r="AN3005" s="9"/>
      <c r="AO3005" s="9"/>
      <c r="AP3005" s="9"/>
      <c r="AQ3005" s="54">
        <f t="shared" si="39"/>
        <v>0</v>
      </c>
      <c r="AR3005" s="52"/>
      <c r="AS3005" s="52"/>
    </row>
    <row r="3006" spans="1:45" ht="14.5" hidden="1">
      <c r="A3006" s="9"/>
      <c r="B3006" s="9"/>
      <c r="C3006" s="9"/>
      <c r="D3006" s="9"/>
      <c r="E3006" s="9"/>
      <c r="F3006" s="9"/>
      <c r="G3006" s="9"/>
      <c r="H3006" s="9"/>
      <c r="I3006" s="9"/>
      <c r="J3006" s="10"/>
      <c r="K3006" s="10"/>
      <c r="L3006" s="50"/>
      <c r="M3006" s="10"/>
      <c r="N3006" s="9"/>
      <c r="O3006" s="9"/>
      <c r="P3006" s="9"/>
      <c r="Q3006" s="9"/>
      <c r="S3006" s="9"/>
      <c r="T3006" s="9"/>
      <c r="V3006" s="9"/>
      <c r="AH3006" s="9"/>
      <c r="AI3006" s="9"/>
      <c r="AJ3006" s="9"/>
      <c r="AK3006" s="23"/>
      <c r="AL3006" s="23"/>
      <c r="AM3006" s="26"/>
      <c r="AN3006" s="9"/>
      <c r="AO3006" s="9"/>
      <c r="AP3006" s="9"/>
      <c r="AQ3006" s="54">
        <f t="shared" si="39"/>
        <v>0</v>
      </c>
      <c r="AR3006" s="52"/>
      <c r="AS3006" s="52"/>
    </row>
    <row r="3007" spans="1:45" ht="14.5" hidden="1">
      <c r="A3007" s="9"/>
      <c r="B3007" s="9"/>
      <c r="C3007" s="9"/>
      <c r="D3007" s="9"/>
      <c r="E3007" s="9"/>
      <c r="F3007" s="9"/>
      <c r="G3007" s="9"/>
      <c r="H3007" s="9"/>
      <c r="I3007" s="9"/>
      <c r="J3007" s="10"/>
      <c r="K3007" s="10"/>
      <c r="L3007" s="50"/>
      <c r="M3007" s="10"/>
      <c r="N3007" s="9"/>
      <c r="O3007" s="9"/>
      <c r="P3007" s="9"/>
      <c r="Q3007" s="9"/>
      <c r="S3007" s="9"/>
      <c r="T3007" s="9"/>
      <c r="V3007" s="9"/>
      <c r="AH3007" s="9"/>
      <c r="AI3007" s="9"/>
      <c r="AJ3007" s="9"/>
      <c r="AK3007" s="23"/>
      <c r="AL3007" s="23"/>
      <c r="AM3007" s="26"/>
      <c r="AN3007" s="9"/>
      <c r="AO3007" s="9"/>
      <c r="AP3007" s="9"/>
      <c r="AQ3007" s="54">
        <f t="shared" si="39"/>
        <v>0</v>
      </c>
      <c r="AR3007" s="52"/>
      <c r="AS3007" s="52"/>
    </row>
    <row r="3008" spans="1:45" ht="14.5" hidden="1">
      <c r="A3008" s="9"/>
      <c r="B3008" s="9"/>
      <c r="C3008" s="9"/>
      <c r="D3008" s="9"/>
      <c r="E3008" s="9"/>
      <c r="F3008" s="9"/>
      <c r="G3008" s="9"/>
      <c r="H3008" s="9"/>
      <c r="I3008" s="9"/>
      <c r="J3008" s="10"/>
      <c r="K3008" s="10"/>
      <c r="L3008" s="50"/>
      <c r="M3008" s="10"/>
      <c r="N3008" s="9"/>
      <c r="O3008" s="9"/>
      <c r="P3008" s="9"/>
      <c r="Q3008" s="9"/>
      <c r="S3008" s="9"/>
      <c r="T3008" s="9"/>
      <c r="V3008" s="9"/>
      <c r="AH3008" s="9"/>
      <c r="AI3008" s="9"/>
      <c r="AJ3008" s="9"/>
      <c r="AK3008" s="23"/>
      <c r="AL3008" s="23"/>
      <c r="AM3008" s="26"/>
      <c r="AN3008" s="9"/>
      <c r="AO3008" s="9"/>
      <c r="AP3008" s="9"/>
      <c r="AQ3008" s="54">
        <f t="shared" si="39"/>
        <v>0</v>
      </c>
      <c r="AR3008" s="52"/>
      <c r="AS3008" s="52"/>
    </row>
    <row r="3009" spans="1:45" ht="14.5" hidden="1">
      <c r="A3009" s="9"/>
      <c r="B3009" s="9"/>
      <c r="C3009" s="9"/>
      <c r="D3009" s="9"/>
      <c r="E3009" s="9"/>
      <c r="F3009" s="9"/>
      <c r="G3009" s="9"/>
      <c r="H3009" s="9"/>
      <c r="I3009" s="9"/>
      <c r="J3009" s="10"/>
      <c r="K3009" s="10"/>
      <c r="L3009" s="50"/>
      <c r="M3009" s="10"/>
      <c r="N3009" s="9"/>
      <c r="O3009" s="9"/>
      <c r="P3009" s="9"/>
      <c r="Q3009" s="9"/>
      <c r="S3009" s="9"/>
      <c r="T3009" s="9"/>
      <c r="V3009" s="9"/>
      <c r="AH3009" s="9"/>
      <c r="AI3009" s="9"/>
      <c r="AJ3009" s="9"/>
      <c r="AK3009" s="23"/>
      <c r="AL3009" s="23"/>
      <c r="AM3009" s="26"/>
      <c r="AN3009" s="9"/>
      <c r="AO3009" s="9"/>
      <c r="AP3009" s="9"/>
      <c r="AQ3009" s="54">
        <f t="shared" si="39"/>
        <v>0</v>
      </c>
      <c r="AR3009" s="52"/>
      <c r="AS3009" s="52"/>
    </row>
    <row r="3010" spans="1:45" ht="14.5" hidden="1">
      <c r="A3010" s="9"/>
      <c r="B3010" s="9"/>
      <c r="C3010" s="9"/>
      <c r="D3010" s="9"/>
      <c r="E3010" s="9"/>
      <c r="F3010" s="9"/>
      <c r="G3010" s="9"/>
      <c r="H3010" s="9"/>
      <c r="I3010" s="9"/>
      <c r="J3010" s="10"/>
      <c r="K3010" s="10"/>
      <c r="L3010" s="50"/>
      <c r="M3010" s="10"/>
      <c r="N3010" s="9"/>
      <c r="O3010" s="9"/>
      <c r="P3010" s="9"/>
      <c r="Q3010" s="9"/>
      <c r="S3010" s="9"/>
      <c r="T3010" s="9"/>
      <c r="V3010" s="9"/>
      <c r="AH3010" s="9"/>
      <c r="AI3010" s="9"/>
      <c r="AJ3010" s="9"/>
      <c r="AK3010" s="23"/>
      <c r="AL3010" s="23"/>
      <c r="AM3010" s="26"/>
      <c r="AN3010" s="9"/>
      <c r="AO3010" s="9"/>
      <c r="AP3010" s="9"/>
      <c r="AQ3010" s="54">
        <f t="shared" si="39"/>
        <v>0</v>
      </c>
      <c r="AR3010" s="52"/>
      <c r="AS3010" s="52"/>
    </row>
    <row r="3011" spans="1:45" ht="14.5" hidden="1">
      <c r="A3011" s="9"/>
      <c r="B3011" s="9"/>
      <c r="C3011" s="9"/>
      <c r="D3011" s="9"/>
      <c r="E3011" s="9"/>
      <c r="F3011" s="9"/>
      <c r="G3011" s="9"/>
      <c r="H3011" s="9"/>
      <c r="I3011" s="9"/>
      <c r="J3011" s="10"/>
      <c r="K3011" s="10"/>
      <c r="L3011" s="50"/>
      <c r="M3011" s="10"/>
      <c r="N3011" s="9"/>
      <c r="O3011" s="9"/>
      <c r="P3011" s="9"/>
      <c r="Q3011" s="9"/>
      <c r="S3011" s="9"/>
      <c r="T3011" s="9"/>
      <c r="V3011" s="9"/>
      <c r="AH3011" s="9"/>
      <c r="AI3011" s="9"/>
      <c r="AJ3011" s="9"/>
      <c r="AK3011" s="23"/>
      <c r="AL3011" s="23"/>
      <c r="AM3011" s="26"/>
      <c r="AN3011" s="9"/>
      <c r="AO3011" s="9"/>
      <c r="AP3011" s="9"/>
      <c r="AQ3011" s="54">
        <f t="shared" si="39"/>
        <v>0</v>
      </c>
      <c r="AR3011" s="52"/>
      <c r="AS3011" s="52"/>
    </row>
    <row r="3012" spans="1:45" ht="14.5" hidden="1">
      <c r="A3012" s="9"/>
      <c r="B3012" s="9"/>
      <c r="C3012" s="9"/>
      <c r="D3012" s="9"/>
      <c r="E3012" s="9"/>
      <c r="F3012" s="9"/>
      <c r="G3012" s="9"/>
      <c r="H3012" s="9"/>
      <c r="I3012" s="9"/>
      <c r="J3012" s="10"/>
      <c r="K3012" s="10"/>
      <c r="L3012" s="50"/>
      <c r="M3012" s="10"/>
      <c r="N3012" s="9"/>
      <c r="O3012" s="9"/>
      <c r="P3012" s="9"/>
      <c r="Q3012" s="9"/>
      <c r="S3012" s="9"/>
      <c r="T3012" s="9"/>
      <c r="V3012" s="9"/>
      <c r="AH3012" s="9"/>
      <c r="AI3012" s="9"/>
      <c r="AJ3012" s="9"/>
      <c r="AK3012" s="23"/>
      <c r="AL3012" s="23"/>
      <c r="AM3012" s="26"/>
      <c r="AN3012" s="9"/>
      <c r="AO3012" s="9"/>
      <c r="AP3012" s="9"/>
      <c r="AQ3012" s="54">
        <f t="shared" si="39"/>
        <v>0</v>
      </c>
      <c r="AR3012" s="52"/>
      <c r="AS3012" s="52"/>
    </row>
    <row r="3013" spans="1:45" ht="14.5" hidden="1">
      <c r="A3013" s="9"/>
      <c r="B3013" s="9"/>
      <c r="C3013" s="9"/>
      <c r="D3013" s="9"/>
      <c r="E3013" s="9"/>
      <c r="F3013" s="9"/>
      <c r="G3013" s="9"/>
      <c r="H3013" s="9"/>
      <c r="I3013" s="9"/>
      <c r="J3013" s="10"/>
      <c r="K3013" s="10"/>
      <c r="L3013" s="50"/>
      <c r="M3013" s="10"/>
      <c r="N3013" s="9"/>
      <c r="O3013" s="9"/>
      <c r="P3013" s="9"/>
      <c r="Q3013" s="9"/>
      <c r="S3013" s="9"/>
      <c r="T3013" s="9"/>
      <c r="V3013" s="9"/>
      <c r="AH3013" s="9"/>
      <c r="AI3013" s="9"/>
      <c r="AJ3013" s="9"/>
      <c r="AK3013" s="23"/>
      <c r="AL3013" s="23"/>
      <c r="AM3013" s="26"/>
      <c r="AN3013" s="9"/>
      <c r="AO3013" s="9"/>
      <c r="AP3013" s="9"/>
      <c r="AQ3013" s="54">
        <f t="shared" si="39"/>
        <v>0</v>
      </c>
      <c r="AR3013" s="52"/>
      <c r="AS3013" s="52"/>
    </row>
    <row r="3014" spans="1:45" ht="14.5" hidden="1">
      <c r="A3014" s="9"/>
      <c r="B3014" s="9"/>
      <c r="C3014" s="9"/>
      <c r="D3014" s="9"/>
      <c r="E3014" s="9"/>
      <c r="F3014" s="9"/>
      <c r="G3014" s="9"/>
      <c r="H3014" s="9"/>
      <c r="I3014" s="9"/>
      <c r="J3014" s="10"/>
      <c r="K3014" s="10"/>
      <c r="L3014" s="50"/>
      <c r="M3014" s="10"/>
      <c r="N3014" s="9"/>
      <c r="O3014" s="9"/>
      <c r="P3014" s="9"/>
      <c r="Q3014" s="9"/>
      <c r="S3014" s="9"/>
      <c r="T3014" s="9"/>
      <c r="V3014" s="9"/>
      <c r="AH3014" s="9"/>
      <c r="AI3014" s="9"/>
      <c r="AJ3014" s="9"/>
      <c r="AK3014" s="23"/>
      <c r="AL3014" s="23"/>
      <c r="AM3014" s="26"/>
      <c r="AN3014" s="9"/>
      <c r="AO3014" s="9"/>
      <c r="AP3014" s="9"/>
      <c r="AQ3014" s="54">
        <f t="shared" si="39"/>
        <v>0</v>
      </c>
      <c r="AR3014" s="52"/>
      <c r="AS3014" s="52"/>
    </row>
    <row r="3015" spans="1:45" ht="14.5" hidden="1">
      <c r="A3015" s="9"/>
      <c r="B3015" s="9"/>
      <c r="C3015" s="9"/>
      <c r="D3015" s="9"/>
      <c r="E3015" s="9"/>
      <c r="F3015" s="9"/>
      <c r="G3015" s="9"/>
      <c r="H3015" s="9"/>
      <c r="I3015" s="9"/>
      <c r="J3015" s="10"/>
      <c r="K3015" s="10"/>
      <c r="L3015" s="50"/>
      <c r="M3015" s="10"/>
      <c r="N3015" s="9"/>
      <c r="O3015" s="9"/>
      <c r="P3015" s="9"/>
      <c r="Q3015" s="9"/>
      <c r="S3015" s="9"/>
      <c r="T3015" s="9"/>
      <c r="V3015" s="9"/>
      <c r="AH3015" s="9"/>
      <c r="AI3015" s="9"/>
      <c r="AJ3015" s="9"/>
      <c r="AK3015" s="23"/>
      <c r="AL3015" s="23"/>
      <c r="AM3015" s="26"/>
      <c r="AN3015" s="9"/>
      <c r="AO3015" s="9"/>
      <c r="AP3015" s="9"/>
      <c r="AQ3015" s="54">
        <f t="shared" si="39"/>
        <v>0</v>
      </c>
      <c r="AR3015" s="52"/>
      <c r="AS3015" s="52"/>
    </row>
    <row r="3016" spans="1:45" ht="14.5" hidden="1">
      <c r="A3016" s="9"/>
      <c r="B3016" s="9"/>
      <c r="C3016" s="9"/>
      <c r="D3016" s="9"/>
      <c r="E3016" s="9"/>
      <c r="F3016" s="9"/>
      <c r="G3016" s="9"/>
      <c r="H3016" s="9"/>
      <c r="I3016" s="9"/>
      <c r="J3016" s="10"/>
      <c r="K3016" s="10"/>
      <c r="L3016" s="50"/>
      <c r="M3016" s="10"/>
      <c r="N3016" s="9"/>
      <c r="O3016" s="9"/>
      <c r="P3016" s="9"/>
      <c r="Q3016" s="9"/>
      <c r="S3016" s="9"/>
      <c r="T3016" s="9"/>
      <c r="V3016" s="9"/>
      <c r="AH3016" s="9"/>
      <c r="AI3016" s="9"/>
      <c r="AJ3016" s="9"/>
      <c r="AK3016" s="23"/>
      <c r="AL3016" s="23"/>
      <c r="AM3016" s="26"/>
      <c r="AN3016" s="9"/>
      <c r="AO3016" s="9"/>
      <c r="AP3016" s="9"/>
      <c r="AQ3016" s="54">
        <f t="shared" si="39"/>
        <v>0</v>
      </c>
      <c r="AR3016" s="52"/>
      <c r="AS3016" s="52"/>
    </row>
    <row r="3017" spans="1:45" ht="14.5" hidden="1">
      <c r="A3017" s="9"/>
      <c r="B3017" s="9"/>
      <c r="C3017" s="9"/>
      <c r="D3017" s="9"/>
      <c r="E3017" s="9"/>
      <c r="F3017" s="9"/>
      <c r="G3017" s="9"/>
      <c r="H3017" s="9"/>
      <c r="I3017" s="9"/>
      <c r="J3017" s="10"/>
      <c r="K3017" s="10"/>
      <c r="L3017" s="50"/>
      <c r="M3017" s="10"/>
      <c r="N3017" s="9"/>
      <c r="O3017" s="9"/>
      <c r="P3017" s="9"/>
      <c r="Q3017" s="9"/>
      <c r="S3017" s="9"/>
      <c r="T3017" s="9"/>
      <c r="V3017" s="9"/>
      <c r="AH3017" s="9"/>
      <c r="AI3017" s="9"/>
      <c r="AJ3017" s="9"/>
      <c r="AK3017" s="23"/>
      <c r="AL3017" s="23"/>
      <c r="AM3017" s="26"/>
      <c r="AN3017" s="9"/>
      <c r="AO3017" s="9"/>
      <c r="AP3017" s="9"/>
      <c r="AQ3017" s="54">
        <f t="shared" si="39"/>
        <v>0</v>
      </c>
      <c r="AR3017" s="52"/>
      <c r="AS3017" s="52"/>
    </row>
    <row r="3018" spans="1:45" ht="14.5" hidden="1">
      <c r="A3018" s="9"/>
      <c r="B3018" s="9"/>
      <c r="C3018" s="9"/>
      <c r="D3018" s="9"/>
      <c r="E3018" s="9"/>
      <c r="F3018" s="9"/>
      <c r="G3018" s="9"/>
      <c r="H3018" s="9"/>
      <c r="I3018" s="9"/>
      <c r="J3018" s="10"/>
      <c r="K3018" s="10"/>
      <c r="L3018" s="50"/>
      <c r="M3018" s="10"/>
      <c r="N3018" s="9"/>
      <c r="O3018" s="9"/>
      <c r="P3018" s="9"/>
      <c r="Q3018" s="9"/>
      <c r="S3018" s="9"/>
      <c r="T3018" s="9"/>
      <c r="V3018" s="9"/>
      <c r="AH3018" s="9"/>
      <c r="AI3018" s="9"/>
      <c r="AJ3018" s="9"/>
      <c r="AK3018" s="23"/>
      <c r="AL3018" s="23"/>
      <c r="AM3018" s="26"/>
      <c r="AN3018" s="9"/>
      <c r="AO3018" s="9"/>
      <c r="AP3018" s="9"/>
      <c r="AQ3018" s="54">
        <f t="shared" si="39"/>
        <v>0</v>
      </c>
      <c r="AR3018" s="52"/>
      <c r="AS3018" s="52"/>
    </row>
    <row r="3019" spans="1:45" ht="14.5" hidden="1">
      <c r="A3019" s="9"/>
      <c r="B3019" s="9"/>
      <c r="C3019" s="9"/>
      <c r="D3019" s="9"/>
      <c r="E3019" s="9"/>
      <c r="F3019" s="9"/>
      <c r="G3019" s="9"/>
      <c r="H3019" s="9"/>
      <c r="I3019" s="9"/>
      <c r="J3019" s="10"/>
      <c r="K3019" s="10"/>
      <c r="L3019" s="50"/>
      <c r="M3019" s="10"/>
      <c r="N3019" s="9"/>
      <c r="O3019" s="9"/>
      <c r="P3019" s="9"/>
      <c r="Q3019" s="9"/>
      <c r="S3019" s="9"/>
      <c r="T3019" s="9"/>
      <c r="V3019" s="9"/>
      <c r="AH3019" s="9"/>
      <c r="AI3019" s="9"/>
      <c r="AJ3019" s="9"/>
      <c r="AK3019" s="23"/>
      <c r="AL3019" s="23"/>
      <c r="AM3019" s="26"/>
      <c r="AN3019" s="9"/>
      <c r="AO3019" s="9"/>
      <c r="AP3019" s="9"/>
      <c r="AQ3019" s="54">
        <f t="shared" si="39"/>
        <v>0</v>
      </c>
      <c r="AR3019" s="52"/>
      <c r="AS3019" s="52"/>
    </row>
    <row r="3020" spans="1:45" ht="14.5" hidden="1">
      <c r="A3020" s="9"/>
      <c r="B3020" s="9"/>
      <c r="C3020" s="9"/>
      <c r="D3020" s="9"/>
      <c r="E3020" s="9"/>
      <c r="F3020" s="9"/>
      <c r="G3020" s="9"/>
      <c r="H3020" s="9"/>
      <c r="I3020" s="9"/>
      <c r="J3020" s="10"/>
      <c r="K3020" s="10"/>
      <c r="L3020" s="50"/>
      <c r="M3020" s="10"/>
      <c r="N3020" s="9"/>
      <c r="O3020" s="9"/>
      <c r="P3020" s="9"/>
      <c r="Q3020" s="9"/>
      <c r="S3020" s="9"/>
      <c r="T3020" s="9"/>
      <c r="V3020" s="9"/>
      <c r="AH3020" s="9"/>
      <c r="AI3020" s="9"/>
      <c r="AJ3020" s="9"/>
      <c r="AK3020" s="23"/>
      <c r="AL3020" s="23"/>
      <c r="AM3020" s="26"/>
      <c r="AN3020" s="9"/>
      <c r="AO3020" s="9"/>
      <c r="AP3020" s="9"/>
      <c r="AQ3020" s="54">
        <f t="shared" si="39"/>
        <v>0</v>
      </c>
      <c r="AR3020" s="52"/>
      <c r="AS3020" s="52"/>
    </row>
    <row r="3021" spans="1:45" ht="14.5" hidden="1">
      <c r="A3021" s="9"/>
      <c r="B3021" s="9"/>
      <c r="C3021" s="9"/>
      <c r="D3021" s="9"/>
      <c r="E3021" s="9"/>
      <c r="F3021" s="9"/>
      <c r="G3021" s="9"/>
      <c r="H3021" s="9"/>
      <c r="I3021" s="9"/>
      <c r="J3021" s="10"/>
      <c r="K3021" s="10"/>
      <c r="L3021" s="50"/>
      <c r="M3021" s="10"/>
      <c r="N3021" s="9"/>
      <c r="O3021" s="9"/>
      <c r="P3021" s="9"/>
      <c r="Q3021" s="9"/>
      <c r="S3021" s="9"/>
      <c r="T3021" s="9"/>
      <c r="V3021" s="9"/>
      <c r="AH3021" s="9"/>
      <c r="AI3021" s="9"/>
      <c r="AJ3021" s="9"/>
      <c r="AK3021" s="23"/>
      <c r="AL3021" s="23"/>
      <c r="AM3021" s="26"/>
      <c r="AN3021" s="9"/>
      <c r="AO3021" s="9"/>
      <c r="AP3021" s="9"/>
      <c r="AQ3021" s="54">
        <f t="shared" si="39"/>
        <v>0</v>
      </c>
      <c r="AR3021" s="52"/>
      <c r="AS3021" s="52"/>
    </row>
    <row r="3022" spans="1:45" ht="14.5" hidden="1">
      <c r="A3022" s="9"/>
      <c r="B3022" s="9"/>
      <c r="C3022" s="9"/>
      <c r="D3022" s="9"/>
      <c r="E3022" s="9"/>
      <c r="F3022" s="9"/>
      <c r="G3022" s="9"/>
      <c r="H3022" s="9"/>
      <c r="I3022" s="9"/>
      <c r="J3022" s="10"/>
      <c r="K3022" s="10"/>
      <c r="L3022" s="50"/>
      <c r="M3022" s="10"/>
      <c r="N3022" s="9"/>
      <c r="O3022" s="9"/>
      <c r="P3022" s="9"/>
      <c r="Q3022" s="9"/>
      <c r="S3022" s="9"/>
      <c r="T3022" s="9"/>
      <c r="V3022" s="9"/>
      <c r="AH3022" s="9"/>
      <c r="AI3022" s="9"/>
      <c r="AJ3022" s="9"/>
      <c r="AK3022" s="23"/>
      <c r="AL3022" s="23"/>
      <c r="AM3022" s="26"/>
      <c r="AN3022" s="9"/>
      <c r="AO3022" s="9"/>
      <c r="AP3022" s="9"/>
      <c r="AQ3022" s="54">
        <f t="shared" si="39"/>
        <v>0</v>
      </c>
      <c r="AR3022" s="52"/>
      <c r="AS3022" s="52"/>
    </row>
    <row r="3023" spans="1:45" ht="14.5" hidden="1">
      <c r="A3023" s="9"/>
      <c r="B3023" s="9"/>
      <c r="C3023" s="9"/>
      <c r="D3023" s="9"/>
      <c r="E3023" s="9"/>
      <c r="F3023" s="9"/>
      <c r="G3023" s="9"/>
      <c r="H3023" s="9"/>
      <c r="I3023" s="9"/>
      <c r="J3023" s="10"/>
      <c r="K3023" s="10"/>
      <c r="L3023" s="50"/>
      <c r="M3023" s="10"/>
      <c r="N3023" s="9"/>
      <c r="O3023" s="9"/>
      <c r="P3023" s="9"/>
      <c r="Q3023" s="9"/>
      <c r="S3023" s="9"/>
      <c r="T3023" s="9"/>
      <c r="V3023" s="9"/>
      <c r="AH3023" s="9"/>
      <c r="AI3023" s="9"/>
      <c r="AJ3023" s="9"/>
      <c r="AK3023" s="23"/>
      <c r="AL3023" s="23"/>
      <c r="AM3023" s="26"/>
      <c r="AN3023" s="9"/>
      <c r="AO3023" s="9"/>
      <c r="AP3023" s="9"/>
      <c r="AQ3023" s="54">
        <f t="shared" si="39"/>
        <v>0</v>
      </c>
      <c r="AR3023" s="52"/>
      <c r="AS3023" s="52"/>
    </row>
    <row r="3024" spans="1:45" ht="14.5" hidden="1">
      <c r="A3024" s="9"/>
      <c r="B3024" s="9"/>
      <c r="C3024" s="9"/>
      <c r="D3024" s="9"/>
      <c r="E3024" s="9"/>
      <c r="F3024" s="9"/>
      <c r="G3024" s="9"/>
      <c r="H3024" s="9"/>
      <c r="I3024" s="9"/>
      <c r="J3024" s="10"/>
      <c r="K3024" s="10"/>
      <c r="L3024" s="50"/>
      <c r="M3024" s="10"/>
      <c r="N3024" s="9"/>
      <c r="O3024" s="9"/>
      <c r="P3024" s="9"/>
      <c r="Q3024" s="9"/>
      <c r="S3024" s="9"/>
      <c r="T3024" s="9"/>
      <c r="V3024" s="9"/>
      <c r="AH3024" s="9"/>
      <c r="AI3024" s="9"/>
      <c r="AJ3024" s="9"/>
      <c r="AK3024" s="23"/>
      <c r="AL3024" s="23"/>
      <c r="AM3024" s="26"/>
      <c r="AN3024" s="9"/>
      <c r="AO3024" s="9"/>
      <c r="AP3024" s="9"/>
      <c r="AQ3024" s="54">
        <f t="shared" si="39"/>
        <v>0</v>
      </c>
      <c r="AR3024" s="52"/>
      <c r="AS3024" s="52"/>
    </row>
    <row r="3025" spans="1:45" ht="14.5" hidden="1">
      <c r="A3025" s="9"/>
      <c r="B3025" s="9"/>
      <c r="C3025" s="9"/>
      <c r="D3025" s="9"/>
      <c r="E3025" s="9"/>
      <c r="F3025" s="9"/>
      <c r="G3025" s="9"/>
      <c r="H3025" s="9"/>
      <c r="I3025" s="9"/>
      <c r="J3025" s="10"/>
      <c r="K3025" s="10"/>
      <c r="L3025" s="50"/>
      <c r="M3025" s="10"/>
      <c r="N3025" s="9"/>
      <c r="O3025" s="9"/>
      <c r="P3025" s="9"/>
      <c r="Q3025" s="9"/>
      <c r="S3025" s="9"/>
      <c r="T3025" s="9"/>
      <c r="V3025" s="9"/>
      <c r="AH3025" s="9"/>
      <c r="AI3025" s="9"/>
      <c r="AJ3025" s="9"/>
      <c r="AK3025" s="23"/>
      <c r="AL3025" s="23"/>
      <c r="AM3025" s="26"/>
      <c r="AN3025" s="9"/>
      <c r="AO3025" s="9"/>
      <c r="AP3025" s="9"/>
      <c r="AQ3025" s="54">
        <f t="shared" si="39"/>
        <v>0</v>
      </c>
      <c r="AR3025" s="52"/>
      <c r="AS3025" s="52"/>
    </row>
    <row r="3026" spans="1:45" ht="14.5" hidden="1">
      <c r="A3026" s="9"/>
      <c r="B3026" s="9"/>
      <c r="C3026" s="9"/>
      <c r="D3026" s="9"/>
      <c r="E3026" s="9"/>
      <c r="F3026" s="9"/>
      <c r="G3026" s="9"/>
      <c r="H3026" s="9"/>
      <c r="I3026" s="9"/>
      <c r="J3026" s="10"/>
      <c r="K3026" s="10"/>
      <c r="L3026" s="50"/>
      <c r="M3026" s="10"/>
      <c r="N3026" s="9"/>
      <c r="O3026" s="9"/>
      <c r="P3026" s="9"/>
      <c r="Q3026" s="9"/>
      <c r="S3026" s="9"/>
      <c r="T3026" s="9"/>
      <c r="V3026" s="9"/>
      <c r="AH3026" s="9"/>
      <c r="AI3026" s="9"/>
      <c r="AJ3026" s="9"/>
      <c r="AK3026" s="23"/>
      <c r="AL3026" s="23"/>
      <c r="AM3026" s="26"/>
      <c r="AN3026" s="9"/>
      <c r="AO3026" s="9"/>
      <c r="AP3026" s="9"/>
      <c r="AQ3026" s="54">
        <f t="shared" si="39"/>
        <v>0</v>
      </c>
      <c r="AR3026" s="52"/>
      <c r="AS3026" s="52"/>
    </row>
    <row r="3027" spans="1:45" ht="14.5" hidden="1">
      <c r="A3027" s="9"/>
      <c r="B3027" s="9"/>
      <c r="C3027" s="9"/>
      <c r="D3027" s="9"/>
      <c r="E3027" s="9"/>
      <c r="F3027" s="9"/>
      <c r="G3027" s="9"/>
      <c r="H3027" s="9"/>
      <c r="I3027" s="9"/>
      <c r="J3027" s="10"/>
      <c r="K3027" s="10"/>
      <c r="L3027" s="50"/>
      <c r="M3027" s="10"/>
      <c r="N3027" s="9"/>
      <c r="O3027" s="9"/>
      <c r="P3027" s="9"/>
      <c r="Q3027" s="9"/>
      <c r="S3027" s="9"/>
      <c r="T3027" s="9"/>
      <c r="V3027" s="9"/>
      <c r="AH3027" s="9"/>
      <c r="AI3027" s="9"/>
      <c r="AJ3027" s="9"/>
      <c r="AK3027" s="23"/>
      <c r="AL3027" s="23"/>
      <c r="AM3027" s="26"/>
      <c r="AN3027" s="9"/>
      <c r="AO3027" s="9"/>
      <c r="AP3027" s="9"/>
      <c r="AQ3027" s="54">
        <f t="shared" si="39"/>
        <v>0</v>
      </c>
      <c r="AR3027" s="52"/>
      <c r="AS3027" s="52"/>
    </row>
    <row r="3028" spans="1:45" ht="14.5" hidden="1">
      <c r="A3028" s="9"/>
      <c r="B3028" s="9"/>
      <c r="C3028" s="9"/>
      <c r="D3028" s="9"/>
      <c r="E3028" s="9"/>
      <c r="F3028" s="9"/>
      <c r="G3028" s="9"/>
      <c r="H3028" s="9"/>
      <c r="I3028" s="9"/>
      <c r="J3028" s="10"/>
      <c r="K3028" s="10"/>
      <c r="L3028" s="50"/>
      <c r="M3028" s="10"/>
      <c r="N3028" s="9"/>
      <c r="O3028" s="9"/>
      <c r="P3028" s="9"/>
      <c r="Q3028" s="9"/>
      <c r="S3028" s="9"/>
      <c r="T3028" s="9"/>
      <c r="V3028" s="9"/>
      <c r="AH3028" s="9"/>
      <c r="AI3028" s="9"/>
      <c r="AJ3028" s="9"/>
      <c r="AK3028" s="23"/>
      <c r="AL3028" s="23"/>
      <c r="AM3028" s="26"/>
      <c r="AN3028" s="9"/>
      <c r="AO3028" s="9"/>
      <c r="AP3028" s="9"/>
      <c r="AQ3028" s="54">
        <f t="shared" si="39"/>
        <v>0</v>
      </c>
      <c r="AR3028" s="52"/>
      <c r="AS3028" s="52"/>
    </row>
    <row r="3029" spans="1:45" ht="14.5" hidden="1">
      <c r="A3029" s="9"/>
      <c r="B3029" s="9"/>
      <c r="C3029" s="9"/>
      <c r="D3029" s="9"/>
      <c r="E3029" s="9"/>
      <c r="F3029" s="9"/>
      <c r="G3029" s="9"/>
      <c r="H3029" s="9"/>
      <c r="I3029" s="9"/>
      <c r="J3029" s="10"/>
      <c r="K3029" s="10"/>
      <c r="L3029" s="50"/>
      <c r="M3029" s="10"/>
      <c r="N3029" s="9"/>
      <c r="O3029" s="9"/>
      <c r="P3029" s="9"/>
      <c r="Q3029" s="9"/>
      <c r="S3029" s="9"/>
      <c r="T3029" s="9"/>
      <c r="V3029" s="9"/>
      <c r="AH3029" s="9"/>
      <c r="AI3029" s="9"/>
      <c r="AJ3029" s="9"/>
      <c r="AK3029" s="23"/>
      <c r="AL3029" s="23"/>
      <c r="AM3029" s="26"/>
      <c r="AN3029" s="9"/>
      <c r="AO3029" s="9"/>
      <c r="AP3029" s="9"/>
      <c r="AQ3029" s="54">
        <f t="shared" si="39"/>
        <v>0</v>
      </c>
      <c r="AR3029" s="52"/>
      <c r="AS3029" s="52"/>
    </row>
    <row r="3030" spans="1:45" ht="14.5" hidden="1">
      <c r="A3030" s="9"/>
      <c r="B3030" s="9"/>
      <c r="C3030" s="9"/>
      <c r="D3030" s="9"/>
      <c r="E3030" s="9"/>
      <c r="F3030" s="9"/>
      <c r="G3030" s="9"/>
      <c r="H3030" s="9"/>
      <c r="I3030" s="9"/>
      <c r="J3030" s="10"/>
      <c r="K3030" s="10"/>
      <c r="L3030" s="50"/>
      <c r="M3030" s="10"/>
      <c r="N3030" s="9"/>
      <c r="O3030" s="9"/>
      <c r="P3030" s="9"/>
      <c r="Q3030" s="9"/>
      <c r="S3030" s="9"/>
      <c r="T3030" s="9"/>
      <c r="V3030" s="9"/>
      <c r="AH3030" s="9"/>
      <c r="AI3030" s="9"/>
      <c r="AJ3030" s="9"/>
      <c r="AK3030" s="23"/>
      <c r="AL3030" s="23"/>
      <c r="AM3030" s="26"/>
      <c r="AN3030" s="9"/>
      <c r="AO3030" s="9"/>
      <c r="AP3030" s="9"/>
      <c r="AQ3030" s="54">
        <f t="shared" si="39"/>
        <v>0</v>
      </c>
      <c r="AR3030" s="52"/>
      <c r="AS3030" s="52"/>
    </row>
    <row r="3031" spans="1:45" ht="14.5" hidden="1">
      <c r="A3031" s="9"/>
      <c r="B3031" s="9"/>
      <c r="C3031" s="9"/>
      <c r="D3031" s="9"/>
      <c r="E3031" s="9"/>
      <c r="F3031" s="9"/>
      <c r="G3031" s="9"/>
      <c r="H3031" s="9"/>
      <c r="I3031" s="9"/>
      <c r="J3031" s="10"/>
      <c r="K3031" s="10"/>
      <c r="L3031" s="50"/>
      <c r="M3031" s="10"/>
      <c r="N3031" s="9"/>
      <c r="O3031" s="9"/>
      <c r="P3031" s="9"/>
      <c r="Q3031" s="9"/>
      <c r="S3031" s="9"/>
      <c r="T3031" s="9"/>
      <c r="V3031" s="9"/>
      <c r="AH3031" s="9"/>
      <c r="AI3031" s="9"/>
      <c r="AJ3031" s="9"/>
      <c r="AK3031" s="23"/>
      <c r="AL3031" s="23"/>
      <c r="AM3031" s="26"/>
      <c r="AN3031" s="9"/>
      <c r="AO3031" s="9"/>
      <c r="AP3031" s="9"/>
      <c r="AQ3031" s="54">
        <f t="shared" si="39"/>
        <v>0</v>
      </c>
      <c r="AR3031" s="52"/>
      <c r="AS3031" s="52"/>
    </row>
    <row r="3032" spans="1:45" ht="14.5" hidden="1">
      <c r="A3032" s="9"/>
      <c r="B3032" s="9"/>
      <c r="C3032" s="9"/>
      <c r="D3032" s="9"/>
      <c r="E3032" s="9"/>
      <c r="F3032" s="9"/>
      <c r="G3032" s="9"/>
      <c r="H3032" s="9"/>
      <c r="I3032" s="9"/>
      <c r="J3032" s="10"/>
      <c r="K3032" s="10"/>
      <c r="L3032" s="50"/>
      <c r="M3032" s="10"/>
      <c r="N3032" s="9"/>
      <c r="O3032" s="9"/>
      <c r="P3032" s="9"/>
      <c r="Q3032" s="9"/>
      <c r="S3032" s="9"/>
      <c r="T3032" s="9"/>
      <c r="V3032" s="9"/>
      <c r="AH3032" s="9"/>
      <c r="AI3032" s="9"/>
      <c r="AJ3032" s="9"/>
      <c r="AK3032" s="23"/>
      <c r="AL3032" s="23"/>
      <c r="AM3032" s="26"/>
      <c r="AN3032" s="9"/>
      <c r="AO3032" s="9"/>
      <c r="AP3032" s="9"/>
      <c r="AQ3032" s="54">
        <f t="shared" si="39"/>
        <v>0</v>
      </c>
      <c r="AR3032" s="52"/>
      <c r="AS3032" s="52"/>
    </row>
    <row r="3033" spans="1:45" ht="14.5" hidden="1">
      <c r="A3033" s="9"/>
      <c r="B3033" s="9"/>
      <c r="C3033" s="9"/>
      <c r="D3033" s="9"/>
      <c r="E3033" s="9"/>
      <c r="F3033" s="9"/>
      <c r="G3033" s="9"/>
      <c r="H3033" s="9"/>
      <c r="I3033" s="9"/>
      <c r="J3033" s="10"/>
      <c r="K3033" s="10"/>
      <c r="L3033" s="50"/>
      <c r="M3033" s="10"/>
      <c r="N3033" s="9"/>
      <c r="O3033" s="9"/>
      <c r="P3033" s="9"/>
      <c r="Q3033" s="9"/>
      <c r="S3033" s="9"/>
      <c r="T3033" s="9"/>
      <c r="V3033" s="9"/>
      <c r="AH3033" s="9"/>
      <c r="AI3033" s="9"/>
      <c r="AJ3033" s="9"/>
      <c r="AK3033" s="23"/>
      <c r="AL3033" s="23"/>
      <c r="AM3033" s="26"/>
      <c r="AN3033" s="9"/>
      <c r="AO3033" s="9"/>
      <c r="AP3033" s="9"/>
      <c r="AQ3033" s="54">
        <f t="shared" si="39"/>
        <v>0</v>
      </c>
      <c r="AR3033" s="52"/>
      <c r="AS3033" s="52"/>
    </row>
    <row r="3034" spans="1:45" ht="14.5" hidden="1">
      <c r="A3034" s="9"/>
      <c r="B3034" s="9"/>
      <c r="C3034" s="9"/>
      <c r="D3034" s="9"/>
      <c r="E3034" s="9"/>
      <c r="F3034" s="9"/>
      <c r="G3034" s="9"/>
      <c r="H3034" s="9"/>
      <c r="I3034" s="9"/>
      <c r="J3034" s="10"/>
      <c r="K3034" s="10"/>
      <c r="L3034" s="50"/>
      <c r="M3034" s="10"/>
      <c r="N3034" s="9"/>
      <c r="O3034" s="9"/>
      <c r="P3034" s="9"/>
      <c r="Q3034" s="9"/>
      <c r="S3034" s="9"/>
      <c r="T3034" s="9"/>
      <c r="V3034" s="9"/>
      <c r="AH3034" s="9"/>
      <c r="AI3034" s="9"/>
      <c r="AJ3034" s="9"/>
      <c r="AK3034" s="23"/>
      <c r="AL3034" s="23"/>
      <c r="AM3034" s="26"/>
      <c r="AN3034" s="9"/>
      <c r="AO3034" s="9"/>
      <c r="AP3034" s="9"/>
      <c r="AQ3034" s="54">
        <f t="shared" si="39"/>
        <v>0</v>
      </c>
      <c r="AR3034" s="52"/>
      <c r="AS3034" s="52"/>
    </row>
    <row r="3035" spans="1:45" ht="14.5" hidden="1">
      <c r="A3035" s="9"/>
      <c r="B3035" s="9"/>
      <c r="C3035" s="9"/>
      <c r="D3035" s="9"/>
      <c r="E3035" s="9"/>
      <c r="F3035" s="9"/>
      <c r="G3035" s="9"/>
      <c r="H3035" s="9"/>
      <c r="I3035" s="9"/>
      <c r="J3035" s="10"/>
      <c r="K3035" s="10"/>
      <c r="L3035" s="50"/>
      <c r="M3035" s="10"/>
      <c r="N3035" s="9"/>
      <c r="O3035" s="9"/>
      <c r="P3035" s="9"/>
      <c r="Q3035" s="9"/>
      <c r="S3035" s="9"/>
      <c r="T3035" s="9"/>
      <c r="V3035" s="9"/>
      <c r="AH3035" s="9"/>
      <c r="AI3035" s="9"/>
      <c r="AJ3035" s="9"/>
      <c r="AK3035" s="23"/>
      <c r="AL3035" s="23"/>
      <c r="AM3035" s="26"/>
      <c r="AN3035" s="9"/>
      <c r="AO3035" s="9"/>
      <c r="AP3035" s="9"/>
      <c r="AQ3035" s="54">
        <f t="shared" si="39"/>
        <v>0</v>
      </c>
      <c r="AR3035" s="52"/>
      <c r="AS3035" s="52"/>
    </row>
    <row r="3036" spans="1:45" ht="14.5" hidden="1">
      <c r="A3036" s="9"/>
      <c r="B3036" s="9"/>
      <c r="C3036" s="9"/>
      <c r="D3036" s="9"/>
      <c r="E3036" s="9"/>
      <c r="F3036" s="9"/>
      <c r="G3036" s="9"/>
      <c r="H3036" s="9"/>
      <c r="I3036" s="9"/>
      <c r="J3036" s="10"/>
      <c r="K3036" s="10"/>
      <c r="L3036" s="50"/>
      <c r="M3036" s="10"/>
      <c r="N3036" s="9"/>
      <c r="O3036" s="9"/>
      <c r="P3036" s="9"/>
      <c r="Q3036" s="9"/>
      <c r="S3036" s="9"/>
      <c r="T3036" s="9"/>
      <c r="V3036" s="9"/>
      <c r="AH3036" s="9"/>
      <c r="AI3036" s="9"/>
      <c r="AJ3036" s="9"/>
      <c r="AK3036" s="23"/>
      <c r="AL3036" s="23"/>
      <c r="AM3036" s="26"/>
      <c r="AN3036" s="9"/>
      <c r="AO3036" s="9"/>
      <c r="AP3036" s="9"/>
      <c r="AQ3036" s="54">
        <f t="shared" si="39"/>
        <v>0</v>
      </c>
      <c r="AR3036" s="52"/>
      <c r="AS3036" s="52"/>
    </row>
    <row r="3037" spans="1:45" ht="14.5" hidden="1">
      <c r="A3037" s="9"/>
      <c r="B3037" s="9"/>
      <c r="C3037" s="9"/>
      <c r="D3037" s="9"/>
      <c r="E3037" s="9"/>
      <c r="F3037" s="9"/>
      <c r="G3037" s="9"/>
      <c r="H3037" s="9"/>
      <c r="I3037" s="9"/>
      <c r="J3037" s="10"/>
      <c r="K3037" s="10"/>
      <c r="L3037" s="50"/>
      <c r="M3037" s="10"/>
      <c r="N3037" s="9"/>
      <c r="O3037" s="9"/>
      <c r="P3037" s="9"/>
      <c r="Q3037" s="9"/>
      <c r="S3037" s="9"/>
      <c r="T3037" s="9"/>
      <c r="V3037" s="9"/>
      <c r="AH3037" s="9"/>
      <c r="AI3037" s="9"/>
      <c r="AJ3037" s="9"/>
      <c r="AK3037" s="23"/>
      <c r="AL3037" s="23"/>
      <c r="AM3037" s="26"/>
      <c r="AN3037" s="9"/>
      <c r="AO3037" s="9"/>
      <c r="AP3037" s="9"/>
      <c r="AQ3037" s="54">
        <f t="shared" si="39"/>
        <v>0</v>
      </c>
      <c r="AR3037" s="52"/>
      <c r="AS3037" s="52"/>
    </row>
    <row r="3038" spans="1:45" ht="14.5" hidden="1">
      <c r="A3038" s="9"/>
      <c r="B3038" s="9"/>
      <c r="C3038" s="9"/>
      <c r="D3038" s="9"/>
      <c r="E3038" s="9"/>
      <c r="F3038" s="9"/>
      <c r="G3038" s="9"/>
      <c r="H3038" s="9"/>
      <c r="I3038" s="9"/>
      <c r="J3038" s="10"/>
      <c r="K3038" s="10"/>
      <c r="L3038" s="50"/>
      <c r="M3038" s="10"/>
      <c r="N3038" s="9"/>
      <c r="O3038" s="9"/>
      <c r="P3038" s="9"/>
      <c r="Q3038" s="9"/>
      <c r="S3038" s="9"/>
      <c r="T3038" s="9"/>
      <c r="V3038" s="9"/>
      <c r="AH3038" s="9"/>
      <c r="AI3038" s="9"/>
      <c r="AJ3038" s="9"/>
      <c r="AK3038" s="23"/>
      <c r="AL3038" s="23"/>
      <c r="AM3038" s="26"/>
      <c r="AN3038" s="9"/>
      <c r="AO3038" s="9"/>
      <c r="AP3038" s="9"/>
      <c r="AQ3038" s="54">
        <f t="shared" si="39"/>
        <v>0</v>
      </c>
      <c r="AR3038" s="52"/>
      <c r="AS3038" s="52"/>
    </row>
    <row r="3039" spans="1:45" ht="14.5" hidden="1">
      <c r="A3039" s="9"/>
      <c r="B3039" s="9"/>
      <c r="C3039" s="9"/>
      <c r="D3039" s="9"/>
      <c r="E3039" s="9"/>
      <c r="F3039" s="9"/>
      <c r="G3039" s="9"/>
      <c r="H3039" s="9"/>
      <c r="I3039" s="9"/>
      <c r="J3039" s="10"/>
      <c r="K3039" s="10"/>
      <c r="L3039" s="50"/>
      <c r="M3039" s="10"/>
      <c r="N3039" s="9"/>
      <c r="O3039" s="9"/>
      <c r="P3039" s="9"/>
      <c r="Q3039" s="9"/>
      <c r="S3039" s="9"/>
      <c r="T3039" s="9"/>
      <c r="V3039" s="9"/>
      <c r="AH3039" s="9"/>
      <c r="AI3039" s="9"/>
      <c r="AJ3039" s="9"/>
      <c r="AK3039" s="23"/>
      <c r="AL3039" s="23"/>
      <c r="AM3039" s="26"/>
      <c r="AN3039" s="9"/>
      <c r="AO3039" s="9"/>
      <c r="AP3039" s="9"/>
      <c r="AQ3039" s="54">
        <f t="shared" si="39"/>
        <v>0</v>
      </c>
      <c r="AR3039" s="52"/>
      <c r="AS3039" s="52"/>
    </row>
    <row r="3040" spans="1:45" ht="14.5" hidden="1">
      <c r="A3040" s="9"/>
      <c r="B3040" s="9"/>
      <c r="C3040" s="9"/>
      <c r="D3040" s="9"/>
      <c r="E3040" s="9"/>
      <c r="F3040" s="9"/>
      <c r="G3040" s="9"/>
      <c r="H3040" s="9"/>
      <c r="I3040" s="9"/>
      <c r="J3040" s="10"/>
      <c r="K3040" s="10"/>
      <c r="L3040" s="50"/>
      <c r="M3040" s="10"/>
      <c r="N3040" s="9"/>
      <c r="O3040" s="9"/>
      <c r="P3040" s="9"/>
      <c r="Q3040" s="9"/>
      <c r="S3040" s="9"/>
      <c r="T3040" s="9"/>
      <c r="V3040" s="9"/>
      <c r="AH3040" s="9"/>
      <c r="AI3040" s="9"/>
      <c r="AJ3040" s="9"/>
      <c r="AK3040" s="23"/>
      <c r="AL3040" s="23"/>
      <c r="AM3040" s="26"/>
      <c r="AN3040" s="9"/>
      <c r="AO3040" s="9"/>
      <c r="AP3040" s="9"/>
      <c r="AQ3040" s="54">
        <f t="shared" si="39"/>
        <v>0</v>
      </c>
      <c r="AR3040" s="52"/>
      <c r="AS3040" s="52"/>
    </row>
    <row r="3041" spans="1:45" ht="14.5" hidden="1">
      <c r="A3041" s="9"/>
      <c r="B3041" s="9"/>
      <c r="C3041" s="9"/>
      <c r="D3041" s="9"/>
      <c r="E3041" s="9"/>
      <c r="F3041" s="9"/>
      <c r="G3041" s="9"/>
      <c r="H3041" s="9"/>
      <c r="I3041" s="9"/>
      <c r="J3041" s="10"/>
      <c r="K3041" s="10"/>
      <c r="L3041" s="50"/>
      <c r="M3041" s="10"/>
      <c r="N3041" s="9"/>
      <c r="O3041" s="9"/>
      <c r="P3041" s="9"/>
      <c r="Q3041" s="9"/>
      <c r="S3041" s="9"/>
      <c r="T3041" s="9"/>
      <c r="V3041" s="9"/>
      <c r="AH3041" s="9"/>
      <c r="AI3041" s="9"/>
      <c r="AJ3041" s="9"/>
      <c r="AK3041" s="23"/>
      <c r="AL3041" s="23"/>
      <c r="AM3041" s="26"/>
      <c r="AN3041" s="9"/>
      <c r="AO3041" s="9"/>
      <c r="AP3041" s="9"/>
      <c r="AQ3041" s="54">
        <f t="shared" si="39"/>
        <v>0</v>
      </c>
      <c r="AR3041" s="52"/>
      <c r="AS3041" s="52"/>
    </row>
    <row r="3042" spans="1:45" ht="14.5" hidden="1">
      <c r="A3042" s="9"/>
      <c r="B3042" s="9"/>
      <c r="C3042" s="9"/>
      <c r="D3042" s="9"/>
      <c r="E3042" s="9"/>
      <c r="F3042" s="9"/>
      <c r="G3042" s="9"/>
      <c r="H3042" s="9"/>
      <c r="I3042" s="9"/>
      <c r="J3042" s="10"/>
      <c r="K3042" s="10"/>
      <c r="L3042" s="50"/>
      <c r="M3042" s="10"/>
      <c r="N3042" s="9"/>
      <c r="O3042" s="9"/>
      <c r="P3042" s="9"/>
      <c r="Q3042" s="9"/>
      <c r="S3042" s="9"/>
      <c r="T3042" s="9"/>
      <c r="V3042" s="9"/>
      <c r="AH3042" s="9"/>
      <c r="AI3042" s="9"/>
      <c r="AJ3042" s="9"/>
      <c r="AK3042" s="23"/>
      <c r="AL3042" s="23"/>
      <c r="AM3042" s="26"/>
      <c r="AN3042" s="9"/>
      <c r="AO3042" s="9"/>
      <c r="AP3042" s="9"/>
      <c r="AQ3042" s="54">
        <f t="shared" si="39"/>
        <v>0</v>
      </c>
      <c r="AR3042" s="52"/>
      <c r="AS3042" s="52"/>
    </row>
    <row r="3043" spans="1:45" ht="14.5" hidden="1">
      <c r="A3043" s="9"/>
      <c r="B3043" s="9"/>
      <c r="C3043" s="9"/>
      <c r="D3043" s="9"/>
      <c r="E3043" s="9"/>
      <c r="F3043" s="9"/>
      <c r="G3043" s="9"/>
      <c r="H3043" s="9"/>
      <c r="I3043" s="9"/>
      <c r="J3043" s="10"/>
      <c r="K3043" s="10"/>
      <c r="L3043" s="50"/>
      <c r="M3043" s="10"/>
      <c r="N3043" s="9"/>
      <c r="O3043" s="9"/>
      <c r="P3043" s="9"/>
      <c r="Q3043" s="9"/>
      <c r="S3043" s="9"/>
      <c r="T3043" s="9"/>
      <c r="V3043" s="9"/>
      <c r="AH3043" s="9"/>
      <c r="AI3043" s="9"/>
      <c r="AJ3043" s="9"/>
      <c r="AK3043" s="23"/>
      <c r="AL3043" s="23"/>
      <c r="AM3043" s="26"/>
      <c r="AN3043" s="9"/>
      <c r="AO3043" s="9"/>
      <c r="AP3043" s="9"/>
      <c r="AQ3043" s="54">
        <f t="shared" si="39"/>
        <v>0</v>
      </c>
      <c r="AR3043" s="52"/>
      <c r="AS3043" s="52"/>
    </row>
    <row r="3044" spans="1:45" ht="14.5" hidden="1">
      <c r="A3044" s="9"/>
      <c r="B3044" s="9"/>
      <c r="C3044" s="9"/>
      <c r="D3044" s="9"/>
      <c r="E3044" s="9"/>
      <c r="F3044" s="9"/>
      <c r="G3044" s="9"/>
      <c r="H3044" s="9"/>
      <c r="I3044" s="9"/>
      <c r="J3044" s="10"/>
      <c r="K3044" s="10"/>
      <c r="L3044" s="50"/>
      <c r="M3044" s="10"/>
      <c r="N3044" s="9"/>
      <c r="O3044" s="9"/>
      <c r="P3044" s="9"/>
      <c r="Q3044" s="9"/>
      <c r="S3044" s="9"/>
      <c r="T3044" s="9"/>
      <c r="V3044" s="9"/>
      <c r="AH3044" s="9"/>
      <c r="AI3044" s="9"/>
      <c r="AJ3044" s="9"/>
      <c r="AK3044" s="23"/>
      <c r="AL3044" s="23"/>
      <c r="AM3044" s="26"/>
      <c r="AN3044" s="9"/>
      <c r="AO3044" s="9"/>
      <c r="AP3044" s="9"/>
      <c r="AQ3044" s="54">
        <f t="shared" si="39"/>
        <v>0</v>
      </c>
      <c r="AR3044" s="52"/>
      <c r="AS3044" s="52"/>
    </row>
    <row r="3045" spans="1:45" ht="14.5" hidden="1">
      <c r="A3045" s="9"/>
      <c r="B3045" s="9"/>
      <c r="C3045" s="9"/>
      <c r="D3045" s="9"/>
      <c r="E3045" s="9"/>
      <c r="F3045" s="9"/>
      <c r="G3045" s="9"/>
      <c r="H3045" s="9"/>
      <c r="I3045" s="9"/>
      <c r="J3045" s="10"/>
      <c r="K3045" s="10"/>
      <c r="L3045" s="50"/>
      <c r="M3045" s="10"/>
      <c r="N3045" s="9"/>
      <c r="O3045" s="9"/>
      <c r="P3045" s="9"/>
      <c r="Q3045" s="9"/>
      <c r="S3045" s="9"/>
      <c r="T3045" s="9"/>
      <c r="V3045" s="9"/>
      <c r="AH3045" s="9"/>
      <c r="AI3045" s="9"/>
      <c r="AJ3045" s="9"/>
      <c r="AK3045" s="23"/>
      <c r="AL3045" s="23"/>
      <c r="AM3045" s="26"/>
      <c r="AN3045" s="9"/>
      <c r="AO3045" s="9"/>
      <c r="AP3045" s="9"/>
      <c r="AQ3045" s="54">
        <f t="shared" si="39"/>
        <v>0</v>
      </c>
      <c r="AR3045" s="52"/>
      <c r="AS3045" s="52"/>
    </row>
    <row r="3046" spans="1:45" ht="14.5" hidden="1">
      <c r="A3046" s="9"/>
      <c r="B3046" s="9"/>
      <c r="C3046" s="9"/>
      <c r="D3046" s="9"/>
      <c r="E3046" s="9"/>
      <c r="F3046" s="9"/>
      <c r="G3046" s="9"/>
      <c r="H3046" s="9"/>
      <c r="I3046" s="9"/>
      <c r="J3046" s="10"/>
      <c r="K3046" s="10"/>
      <c r="L3046" s="50"/>
      <c r="M3046" s="10"/>
      <c r="N3046" s="9"/>
      <c r="O3046" s="9"/>
      <c r="P3046" s="9"/>
      <c r="Q3046" s="9"/>
      <c r="S3046" s="9"/>
      <c r="T3046" s="9"/>
      <c r="V3046" s="9"/>
      <c r="AH3046" s="9"/>
      <c r="AI3046" s="9"/>
      <c r="AJ3046" s="9"/>
      <c r="AK3046" s="23"/>
      <c r="AL3046" s="23"/>
      <c r="AM3046" s="26"/>
      <c r="AN3046" s="9"/>
      <c r="AO3046" s="9"/>
      <c r="AP3046" s="9"/>
      <c r="AQ3046" s="54">
        <f t="shared" si="39"/>
        <v>0</v>
      </c>
      <c r="AR3046" s="52"/>
      <c r="AS3046" s="52"/>
    </row>
    <row r="3047" spans="1:45" ht="14.5" hidden="1">
      <c r="A3047" s="9"/>
      <c r="B3047" s="9"/>
      <c r="C3047" s="9"/>
      <c r="D3047" s="9"/>
      <c r="E3047" s="9"/>
      <c r="F3047" s="9"/>
      <c r="G3047" s="9"/>
      <c r="H3047" s="9"/>
      <c r="I3047" s="9"/>
      <c r="J3047" s="10"/>
      <c r="K3047" s="10"/>
      <c r="L3047" s="50"/>
      <c r="M3047" s="10"/>
      <c r="N3047" s="9"/>
      <c r="O3047" s="9"/>
      <c r="P3047" s="9"/>
      <c r="Q3047" s="9"/>
      <c r="S3047" s="9"/>
      <c r="T3047" s="9"/>
      <c r="V3047" s="9"/>
      <c r="AH3047" s="9"/>
      <c r="AI3047" s="9"/>
      <c r="AJ3047" s="9"/>
      <c r="AK3047" s="23"/>
      <c r="AL3047" s="23"/>
      <c r="AM3047" s="26"/>
      <c r="AN3047" s="9"/>
      <c r="AO3047" s="9"/>
      <c r="AP3047" s="9"/>
      <c r="AQ3047" s="54">
        <f t="shared" ref="AQ3047:AQ3176" si="40">E3047</f>
        <v>0</v>
      </c>
      <c r="AR3047" s="52"/>
      <c r="AS3047" s="52"/>
    </row>
    <row r="3048" spans="1:45" ht="14.5" hidden="1">
      <c r="A3048" s="9"/>
      <c r="B3048" s="9"/>
      <c r="C3048" s="9"/>
      <c r="D3048" s="9"/>
      <c r="E3048" s="9"/>
      <c r="F3048" s="9"/>
      <c r="G3048" s="9"/>
      <c r="H3048" s="9"/>
      <c r="I3048" s="9"/>
      <c r="J3048" s="10"/>
      <c r="K3048" s="10"/>
      <c r="L3048" s="50"/>
      <c r="M3048" s="10"/>
      <c r="N3048" s="9"/>
      <c r="O3048" s="9"/>
      <c r="P3048" s="9"/>
      <c r="Q3048" s="9"/>
      <c r="S3048" s="9"/>
      <c r="T3048" s="9"/>
      <c r="V3048" s="9"/>
      <c r="AH3048" s="9"/>
      <c r="AI3048" s="9"/>
      <c r="AJ3048" s="9"/>
      <c r="AK3048" s="23"/>
      <c r="AL3048" s="23"/>
      <c r="AM3048" s="26"/>
      <c r="AN3048" s="9"/>
      <c r="AO3048" s="9"/>
      <c r="AP3048" s="9"/>
      <c r="AQ3048" s="54">
        <f t="shared" si="40"/>
        <v>0</v>
      </c>
      <c r="AR3048" s="52"/>
      <c r="AS3048" s="52"/>
    </row>
    <row r="3049" spans="1:45" ht="14.5" hidden="1">
      <c r="A3049" s="9"/>
      <c r="B3049" s="9"/>
      <c r="C3049" s="9"/>
      <c r="D3049" s="9"/>
      <c r="E3049" s="9"/>
      <c r="F3049" s="9"/>
      <c r="G3049" s="9"/>
      <c r="H3049" s="9"/>
      <c r="I3049" s="9"/>
      <c r="J3049" s="10"/>
      <c r="K3049" s="10"/>
      <c r="L3049" s="50"/>
      <c r="M3049" s="10"/>
      <c r="N3049" s="9"/>
      <c r="O3049" s="9"/>
      <c r="P3049" s="9"/>
      <c r="Q3049" s="9"/>
      <c r="S3049" s="9"/>
      <c r="T3049" s="9"/>
      <c r="V3049" s="9"/>
      <c r="AH3049" s="9"/>
      <c r="AI3049" s="9"/>
      <c r="AJ3049" s="9"/>
      <c r="AK3049" s="23"/>
      <c r="AL3049" s="23"/>
      <c r="AM3049" s="26"/>
      <c r="AN3049" s="9"/>
      <c r="AO3049" s="9"/>
      <c r="AP3049" s="9"/>
      <c r="AQ3049" s="54">
        <f t="shared" si="40"/>
        <v>0</v>
      </c>
      <c r="AR3049" s="52"/>
      <c r="AS3049" s="52"/>
    </row>
    <row r="3050" spans="1:45" ht="14.5" hidden="1">
      <c r="A3050" s="9"/>
      <c r="B3050" s="9"/>
      <c r="C3050" s="9"/>
      <c r="D3050" s="9"/>
      <c r="E3050" s="9"/>
      <c r="F3050" s="9"/>
      <c r="G3050" s="9"/>
      <c r="H3050" s="9"/>
      <c r="I3050" s="9"/>
      <c r="J3050" s="10"/>
      <c r="K3050" s="10"/>
      <c r="L3050" s="50"/>
      <c r="M3050" s="10"/>
      <c r="N3050" s="9"/>
      <c r="O3050" s="9"/>
      <c r="P3050" s="9"/>
      <c r="Q3050" s="9"/>
      <c r="S3050" s="9"/>
      <c r="T3050" s="9"/>
      <c r="V3050" s="9"/>
      <c r="AH3050" s="9"/>
      <c r="AI3050" s="9"/>
      <c r="AJ3050" s="9"/>
      <c r="AK3050" s="23"/>
      <c r="AL3050" s="23"/>
      <c r="AM3050" s="26"/>
      <c r="AN3050" s="9"/>
      <c r="AO3050" s="9"/>
      <c r="AP3050" s="9"/>
      <c r="AQ3050" s="54">
        <f t="shared" si="40"/>
        <v>0</v>
      </c>
      <c r="AR3050" s="52"/>
      <c r="AS3050" s="52"/>
    </row>
    <row r="3051" spans="1:45" ht="14.5" hidden="1">
      <c r="A3051" s="9"/>
      <c r="B3051" s="9"/>
      <c r="C3051" s="9"/>
      <c r="D3051" s="9"/>
      <c r="E3051" s="9"/>
      <c r="F3051" s="9"/>
      <c r="G3051" s="9"/>
      <c r="H3051" s="9"/>
      <c r="I3051" s="9"/>
      <c r="J3051" s="10"/>
      <c r="K3051" s="10"/>
      <c r="L3051" s="50"/>
      <c r="M3051" s="10"/>
      <c r="N3051" s="9"/>
      <c r="O3051" s="9"/>
      <c r="P3051" s="9"/>
      <c r="Q3051" s="9"/>
      <c r="S3051" s="9"/>
      <c r="T3051" s="9"/>
      <c r="V3051" s="9"/>
      <c r="AH3051" s="9"/>
      <c r="AI3051" s="9"/>
      <c r="AJ3051" s="9"/>
      <c r="AK3051" s="23"/>
      <c r="AL3051" s="23"/>
      <c r="AM3051" s="26"/>
      <c r="AN3051" s="9"/>
      <c r="AO3051" s="9"/>
      <c r="AP3051" s="9"/>
      <c r="AQ3051" s="54">
        <f t="shared" si="40"/>
        <v>0</v>
      </c>
      <c r="AR3051" s="52"/>
      <c r="AS3051" s="52"/>
    </row>
    <row r="3052" spans="1:45" ht="14.5" hidden="1">
      <c r="A3052" s="9"/>
      <c r="B3052" s="9"/>
      <c r="C3052" s="9"/>
      <c r="D3052" s="9"/>
      <c r="E3052" s="9"/>
      <c r="F3052" s="9"/>
      <c r="G3052" s="9"/>
      <c r="H3052" s="9"/>
      <c r="I3052" s="9"/>
      <c r="J3052" s="10"/>
      <c r="K3052" s="10"/>
      <c r="L3052" s="50"/>
      <c r="M3052" s="10"/>
      <c r="N3052" s="9"/>
      <c r="O3052" s="9"/>
      <c r="P3052" s="9"/>
      <c r="Q3052" s="9"/>
      <c r="S3052" s="9"/>
      <c r="T3052" s="9"/>
      <c r="V3052" s="9"/>
      <c r="AH3052" s="9"/>
      <c r="AI3052" s="9"/>
      <c r="AJ3052" s="9"/>
      <c r="AK3052" s="23"/>
      <c r="AL3052" s="23"/>
      <c r="AM3052" s="26"/>
      <c r="AN3052" s="9"/>
      <c r="AO3052" s="9"/>
      <c r="AP3052" s="9"/>
      <c r="AQ3052" s="54">
        <f t="shared" si="40"/>
        <v>0</v>
      </c>
      <c r="AR3052" s="52"/>
      <c r="AS3052" s="52"/>
    </row>
    <row r="3053" spans="1:45" ht="14.5" hidden="1">
      <c r="A3053" s="9"/>
      <c r="B3053" s="9"/>
      <c r="C3053" s="9"/>
      <c r="D3053" s="9"/>
      <c r="E3053" s="9"/>
      <c r="F3053" s="9"/>
      <c r="G3053" s="9"/>
      <c r="H3053" s="9"/>
      <c r="I3053" s="9"/>
      <c r="J3053" s="10"/>
      <c r="K3053" s="10"/>
      <c r="L3053" s="50"/>
      <c r="M3053" s="10"/>
      <c r="N3053" s="9"/>
      <c r="O3053" s="9"/>
      <c r="P3053" s="9"/>
      <c r="Q3053" s="9"/>
      <c r="S3053" s="9"/>
      <c r="T3053" s="9"/>
      <c r="V3053" s="9"/>
      <c r="AH3053" s="9"/>
      <c r="AI3053" s="9"/>
      <c r="AJ3053" s="9"/>
      <c r="AK3053" s="23"/>
      <c r="AL3053" s="23"/>
      <c r="AM3053" s="26"/>
      <c r="AN3053" s="9"/>
      <c r="AO3053" s="9"/>
      <c r="AP3053" s="9"/>
      <c r="AQ3053" s="54">
        <f t="shared" si="40"/>
        <v>0</v>
      </c>
      <c r="AR3053" s="52"/>
      <c r="AS3053" s="52"/>
    </row>
    <row r="3054" spans="1:45" ht="14.5" hidden="1">
      <c r="A3054" s="9"/>
      <c r="B3054" s="9"/>
      <c r="C3054" s="9"/>
      <c r="D3054" s="9"/>
      <c r="E3054" s="9"/>
      <c r="F3054" s="9"/>
      <c r="G3054" s="9"/>
      <c r="H3054" s="9"/>
      <c r="I3054" s="9"/>
      <c r="J3054" s="10"/>
      <c r="K3054" s="10"/>
      <c r="L3054" s="50"/>
      <c r="M3054" s="10"/>
      <c r="N3054" s="9"/>
      <c r="O3054" s="9"/>
      <c r="P3054" s="9"/>
      <c r="Q3054" s="9"/>
      <c r="S3054" s="9"/>
      <c r="T3054" s="9"/>
      <c r="V3054" s="9"/>
      <c r="AH3054" s="9"/>
      <c r="AI3054" s="9"/>
      <c r="AJ3054" s="9"/>
      <c r="AK3054" s="23"/>
      <c r="AL3054" s="23"/>
      <c r="AM3054" s="26"/>
      <c r="AN3054" s="9"/>
      <c r="AO3054" s="9"/>
      <c r="AP3054" s="9"/>
      <c r="AQ3054" s="54">
        <f t="shared" si="40"/>
        <v>0</v>
      </c>
      <c r="AR3054" s="52"/>
      <c r="AS3054" s="52"/>
    </row>
    <row r="3055" spans="1:45" ht="14.5" hidden="1">
      <c r="A3055" s="9"/>
      <c r="B3055" s="9"/>
      <c r="C3055" s="9"/>
      <c r="D3055" s="9"/>
      <c r="E3055" s="9"/>
      <c r="F3055" s="9"/>
      <c r="G3055" s="9"/>
      <c r="H3055" s="9"/>
      <c r="I3055" s="9"/>
      <c r="J3055" s="10"/>
      <c r="K3055" s="10"/>
      <c r="L3055" s="50"/>
      <c r="M3055" s="10"/>
      <c r="N3055" s="9"/>
      <c r="O3055" s="9"/>
      <c r="P3055" s="9"/>
      <c r="Q3055" s="9"/>
      <c r="S3055" s="9"/>
      <c r="T3055" s="9"/>
      <c r="V3055" s="9"/>
      <c r="AH3055" s="9"/>
      <c r="AI3055" s="9"/>
      <c r="AJ3055" s="9"/>
      <c r="AK3055" s="23"/>
      <c r="AL3055" s="23"/>
      <c r="AM3055" s="26"/>
      <c r="AN3055" s="9"/>
      <c r="AO3055" s="9"/>
      <c r="AP3055" s="9"/>
      <c r="AQ3055" s="54">
        <f t="shared" si="40"/>
        <v>0</v>
      </c>
      <c r="AR3055" s="52"/>
      <c r="AS3055" s="52"/>
    </row>
    <row r="3056" spans="1:45" ht="14.5" hidden="1">
      <c r="A3056" s="9"/>
      <c r="B3056" s="9"/>
      <c r="C3056" s="9"/>
      <c r="D3056" s="9"/>
      <c r="E3056" s="9"/>
      <c r="F3056" s="9"/>
      <c r="G3056" s="9"/>
      <c r="H3056" s="9"/>
      <c r="I3056" s="9"/>
      <c r="J3056" s="10"/>
      <c r="K3056" s="10"/>
      <c r="L3056" s="50"/>
      <c r="M3056" s="10"/>
      <c r="N3056" s="9"/>
      <c r="O3056" s="9"/>
      <c r="P3056" s="9"/>
      <c r="Q3056" s="9"/>
      <c r="S3056" s="9"/>
      <c r="T3056" s="9"/>
      <c r="V3056" s="9"/>
      <c r="AH3056" s="9"/>
      <c r="AI3056" s="9"/>
      <c r="AJ3056" s="9"/>
      <c r="AK3056" s="23"/>
      <c r="AL3056" s="23"/>
      <c r="AM3056" s="26"/>
      <c r="AN3056" s="9"/>
      <c r="AO3056" s="9"/>
      <c r="AP3056" s="9"/>
      <c r="AQ3056" s="54">
        <f t="shared" si="40"/>
        <v>0</v>
      </c>
      <c r="AR3056" s="52"/>
      <c r="AS3056" s="52"/>
    </row>
    <row r="3057" spans="1:45" ht="14.5" hidden="1">
      <c r="A3057" s="9"/>
      <c r="B3057" s="9"/>
      <c r="C3057" s="9"/>
      <c r="D3057" s="9"/>
      <c r="E3057" s="9"/>
      <c r="F3057" s="9"/>
      <c r="G3057" s="9"/>
      <c r="H3057" s="9"/>
      <c r="I3057" s="9"/>
      <c r="J3057" s="10"/>
      <c r="K3057" s="10"/>
      <c r="L3057" s="50"/>
      <c r="M3057" s="10"/>
      <c r="N3057" s="9"/>
      <c r="O3057" s="9"/>
      <c r="P3057" s="9"/>
      <c r="Q3057" s="9"/>
      <c r="S3057" s="9"/>
      <c r="T3057" s="9"/>
      <c r="V3057" s="9"/>
      <c r="AH3057" s="9"/>
      <c r="AI3057" s="9"/>
      <c r="AJ3057" s="9"/>
      <c r="AK3057" s="23"/>
      <c r="AL3057" s="23"/>
      <c r="AM3057" s="26"/>
      <c r="AN3057" s="9"/>
      <c r="AO3057" s="9"/>
      <c r="AP3057" s="9"/>
      <c r="AQ3057" s="54">
        <f t="shared" si="40"/>
        <v>0</v>
      </c>
      <c r="AR3057" s="52"/>
      <c r="AS3057" s="52"/>
    </row>
    <row r="3058" spans="1:45" ht="14.5" hidden="1">
      <c r="A3058" s="9"/>
      <c r="B3058" s="9"/>
      <c r="C3058" s="9"/>
      <c r="D3058" s="9"/>
      <c r="E3058" s="9"/>
      <c r="F3058" s="9"/>
      <c r="G3058" s="9"/>
      <c r="H3058" s="9"/>
      <c r="I3058" s="9"/>
      <c r="J3058" s="10"/>
      <c r="K3058" s="10"/>
      <c r="L3058" s="50"/>
      <c r="M3058" s="10"/>
      <c r="N3058" s="9"/>
      <c r="O3058" s="9"/>
      <c r="P3058" s="9"/>
      <c r="Q3058" s="9"/>
      <c r="S3058" s="9"/>
      <c r="T3058" s="9"/>
      <c r="V3058" s="9"/>
      <c r="AH3058" s="9"/>
      <c r="AI3058" s="9"/>
      <c r="AJ3058" s="9"/>
      <c r="AK3058" s="23"/>
      <c r="AL3058" s="23"/>
      <c r="AM3058" s="26"/>
      <c r="AN3058" s="9"/>
      <c r="AO3058" s="9"/>
      <c r="AP3058" s="9"/>
      <c r="AQ3058" s="54">
        <f t="shared" si="40"/>
        <v>0</v>
      </c>
      <c r="AR3058" s="52"/>
      <c r="AS3058" s="52"/>
    </row>
    <row r="3059" spans="1:45" ht="14.5" hidden="1">
      <c r="A3059" s="9"/>
      <c r="B3059" s="9"/>
      <c r="C3059" s="9"/>
      <c r="D3059" s="9"/>
      <c r="E3059" s="9"/>
      <c r="F3059" s="9"/>
      <c r="G3059" s="9"/>
      <c r="H3059" s="9"/>
      <c r="I3059" s="9"/>
      <c r="J3059" s="10"/>
      <c r="K3059" s="10"/>
      <c r="L3059" s="50"/>
      <c r="M3059" s="10"/>
      <c r="N3059" s="9"/>
      <c r="O3059" s="9"/>
      <c r="P3059" s="9"/>
      <c r="Q3059" s="9"/>
      <c r="S3059" s="9"/>
      <c r="T3059" s="9"/>
      <c r="V3059" s="9"/>
      <c r="AH3059" s="9"/>
      <c r="AI3059" s="9"/>
      <c r="AJ3059" s="9"/>
      <c r="AK3059" s="23"/>
      <c r="AL3059" s="23"/>
      <c r="AM3059" s="26"/>
      <c r="AN3059" s="9"/>
      <c r="AO3059" s="9"/>
      <c r="AP3059" s="9"/>
      <c r="AQ3059" s="54">
        <f t="shared" si="40"/>
        <v>0</v>
      </c>
      <c r="AR3059" s="52"/>
      <c r="AS3059" s="52"/>
    </row>
    <row r="3060" spans="1:45" ht="14.5" hidden="1">
      <c r="A3060" s="9"/>
      <c r="B3060" s="9"/>
      <c r="C3060" s="9"/>
      <c r="D3060" s="9"/>
      <c r="E3060" s="9"/>
      <c r="F3060" s="9"/>
      <c r="G3060" s="9"/>
      <c r="H3060" s="9"/>
      <c r="I3060" s="9"/>
      <c r="J3060" s="10"/>
      <c r="K3060" s="10"/>
      <c r="L3060" s="50"/>
      <c r="M3060" s="10"/>
      <c r="N3060" s="9"/>
      <c r="O3060" s="9"/>
      <c r="P3060" s="9"/>
      <c r="Q3060" s="9"/>
      <c r="S3060" s="9"/>
      <c r="T3060" s="9"/>
      <c r="V3060" s="9"/>
      <c r="AH3060" s="9"/>
      <c r="AI3060" s="9"/>
      <c r="AJ3060" s="9"/>
      <c r="AK3060" s="23"/>
      <c r="AL3060" s="23"/>
      <c r="AM3060" s="26"/>
      <c r="AN3060" s="9"/>
      <c r="AO3060" s="9"/>
      <c r="AP3060" s="9"/>
      <c r="AQ3060" s="54">
        <f t="shared" si="40"/>
        <v>0</v>
      </c>
      <c r="AR3060" s="52"/>
      <c r="AS3060" s="52"/>
    </row>
    <row r="3061" spans="1:45" ht="14.5" hidden="1">
      <c r="A3061" s="9"/>
      <c r="B3061" s="9"/>
      <c r="C3061" s="9"/>
      <c r="D3061" s="9"/>
      <c r="E3061" s="9"/>
      <c r="F3061" s="9"/>
      <c r="G3061" s="9"/>
      <c r="H3061" s="9"/>
      <c r="I3061" s="9"/>
      <c r="J3061" s="10"/>
      <c r="K3061" s="10"/>
      <c r="L3061" s="50"/>
      <c r="M3061" s="10"/>
      <c r="N3061" s="9"/>
      <c r="O3061" s="9"/>
      <c r="P3061" s="9"/>
      <c r="Q3061" s="9"/>
      <c r="S3061" s="9"/>
      <c r="T3061" s="9"/>
      <c r="V3061" s="9"/>
      <c r="AH3061" s="9"/>
      <c r="AI3061" s="9"/>
      <c r="AJ3061" s="9"/>
      <c r="AK3061" s="23"/>
      <c r="AL3061" s="23"/>
      <c r="AM3061" s="26"/>
      <c r="AN3061" s="9"/>
      <c r="AO3061" s="9"/>
      <c r="AP3061" s="9"/>
      <c r="AQ3061" s="54">
        <f t="shared" si="40"/>
        <v>0</v>
      </c>
      <c r="AR3061" s="52"/>
      <c r="AS3061" s="52"/>
    </row>
    <row r="3062" spans="1:45" ht="14.5" hidden="1">
      <c r="A3062" s="9"/>
      <c r="B3062" s="9"/>
      <c r="C3062" s="9"/>
      <c r="D3062" s="9"/>
      <c r="E3062" s="9"/>
      <c r="F3062" s="9"/>
      <c r="G3062" s="9"/>
      <c r="H3062" s="9"/>
      <c r="I3062" s="9"/>
      <c r="J3062" s="10"/>
      <c r="K3062" s="10"/>
      <c r="L3062" s="50"/>
      <c r="M3062" s="10"/>
      <c r="N3062" s="9"/>
      <c r="O3062" s="9"/>
      <c r="P3062" s="9"/>
      <c r="Q3062" s="9"/>
      <c r="S3062" s="9"/>
      <c r="T3062" s="9"/>
      <c r="V3062" s="9"/>
      <c r="AH3062" s="9"/>
      <c r="AI3062" s="9"/>
      <c r="AJ3062" s="9"/>
      <c r="AK3062" s="23"/>
      <c r="AL3062" s="23"/>
      <c r="AM3062" s="26"/>
      <c r="AN3062" s="9"/>
      <c r="AO3062" s="9"/>
      <c r="AP3062" s="9"/>
      <c r="AQ3062" s="54">
        <f t="shared" si="40"/>
        <v>0</v>
      </c>
      <c r="AR3062" s="52"/>
      <c r="AS3062" s="52"/>
    </row>
    <row r="3063" spans="1:45" ht="14.5" hidden="1">
      <c r="A3063" s="9"/>
      <c r="B3063" s="9"/>
      <c r="C3063" s="9"/>
      <c r="D3063" s="9"/>
      <c r="E3063" s="9"/>
      <c r="F3063" s="9"/>
      <c r="G3063" s="9"/>
      <c r="H3063" s="9"/>
      <c r="I3063" s="9"/>
      <c r="J3063" s="10"/>
      <c r="K3063" s="10"/>
      <c r="L3063" s="50"/>
      <c r="M3063" s="10"/>
      <c r="N3063" s="9"/>
      <c r="O3063" s="9"/>
      <c r="P3063" s="9"/>
      <c r="Q3063" s="9"/>
      <c r="S3063" s="9"/>
      <c r="T3063" s="9"/>
      <c r="V3063" s="9"/>
      <c r="AH3063" s="9"/>
      <c r="AI3063" s="9"/>
      <c r="AJ3063" s="9"/>
      <c r="AK3063" s="23"/>
      <c r="AL3063" s="23"/>
      <c r="AM3063" s="26"/>
      <c r="AN3063" s="9"/>
      <c r="AO3063" s="9"/>
      <c r="AP3063" s="9"/>
      <c r="AQ3063" s="54">
        <f t="shared" si="40"/>
        <v>0</v>
      </c>
      <c r="AR3063" s="52"/>
      <c r="AS3063" s="52"/>
    </row>
    <row r="3064" spans="1:45" ht="14.5" hidden="1">
      <c r="A3064" s="9"/>
      <c r="B3064" s="9"/>
      <c r="C3064" s="9"/>
      <c r="D3064" s="9"/>
      <c r="E3064" s="9"/>
      <c r="F3064" s="9"/>
      <c r="G3064" s="9"/>
      <c r="H3064" s="9"/>
      <c r="I3064" s="9"/>
      <c r="J3064" s="10"/>
      <c r="K3064" s="10"/>
      <c r="L3064" s="50"/>
      <c r="M3064" s="10"/>
      <c r="N3064" s="9"/>
      <c r="O3064" s="9"/>
      <c r="P3064" s="9"/>
      <c r="Q3064" s="9"/>
      <c r="S3064" s="9"/>
      <c r="T3064" s="9"/>
      <c r="V3064" s="9"/>
      <c r="AH3064" s="9"/>
      <c r="AI3064" s="9"/>
      <c r="AJ3064" s="9"/>
      <c r="AK3064" s="23"/>
      <c r="AL3064" s="23"/>
      <c r="AM3064" s="26"/>
      <c r="AN3064" s="9"/>
      <c r="AO3064" s="9"/>
      <c r="AP3064" s="9"/>
      <c r="AQ3064" s="54">
        <f t="shared" si="40"/>
        <v>0</v>
      </c>
      <c r="AR3064" s="52"/>
      <c r="AS3064" s="52"/>
    </row>
    <row r="3065" spans="1:45" ht="14.5" hidden="1">
      <c r="A3065" s="9"/>
      <c r="B3065" s="9"/>
      <c r="C3065" s="9"/>
      <c r="D3065" s="9"/>
      <c r="E3065" s="9"/>
      <c r="F3065" s="9"/>
      <c r="G3065" s="9"/>
      <c r="H3065" s="9"/>
      <c r="I3065" s="9"/>
      <c r="J3065" s="10"/>
      <c r="K3065" s="10"/>
      <c r="L3065" s="50"/>
      <c r="M3065" s="10"/>
      <c r="N3065" s="9"/>
      <c r="O3065" s="9"/>
      <c r="P3065" s="9"/>
      <c r="Q3065" s="9"/>
      <c r="S3065" s="9"/>
      <c r="T3065" s="9"/>
      <c r="V3065" s="9"/>
      <c r="AH3065" s="9"/>
      <c r="AI3065" s="9"/>
      <c r="AJ3065" s="9"/>
      <c r="AK3065" s="23"/>
      <c r="AL3065" s="23"/>
      <c r="AM3065" s="26"/>
      <c r="AN3065" s="9"/>
      <c r="AO3065" s="9"/>
      <c r="AP3065" s="9"/>
      <c r="AQ3065" s="54">
        <f t="shared" si="40"/>
        <v>0</v>
      </c>
      <c r="AR3065" s="52"/>
      <c r="AS3065" s="52"/>
    </row>
    <row r="3066" spans="1:45" ht="14.5" hidden="1">
      <c r="A3066" s="9"/>
      <c r="B3066" s="9"/>
      <c r="C3066" s="9"/>
      <c r="D3066" s="9"/>
      <c r="E3066" s="9"/>
      <c r="F3066" s="9"/>
      <c r="G3066" s="9"/>
      <c r="H3066" s="9"/>
      <c r="I3066" s="9"/>
      <c r="J3066" s="10"/>
      <c r="K3066" s="10"/>
      <c r="L3066" s="50"/>
      <c r="M3066" s="10"/>
      <c r="N3066" s="9"/>
      <c r="O3066" s="9"/>
      <c r="P3066" s="9"/>
      <c r="Q3066" s="9"/>
      <c r="S3066" s="9"/>
      <c r="T3066" s="9"/>
      <c r="V3066" s="9"/>
      <c r="AH3066" s="9"/>
      <c r="AI3066" s="9"/>
      <c r="AJ3066" s="9"/>
      <c r="AK3066" s="23"/>
      <c r="AL3066" s="23"/>
      <c r="AM3066" s="26"/>
      <c r="AN3066" s="9"/>
      <c r="AO3066" s="9"/>
      <c r="AP3066" s="9"/>
      <c r="AQ3066" s="54">
        <f t="shared" si="40"/>
        <v>0</v>
      </c>
      <c r="AR3066" s="52"/>
      <c r="AS3066" s="52"/>
    </row>
    <row r="3067" spans="1:45" ht="14.5" hidden="1">
      <c r="A3067" s="9"/>
      <c r="B3067" s="9"/>
      <c r="C3067" s="9"/>
      <c r="D3067" s="9"/>
      <c r="E3067" s="9"/>
      <c r="F3067" s="9"/>
      <c r="G3067" s="9"/>
      <c r="H3067" s="9"/>
      <c r="I3067" s="9"/>
      <c r="J3067" s="10"/>
      <c r="K3067" s="10"/>
      <c r="L3067" s="50"/>
      <c r="M3067" s="10"/>
      <c r="N3067" s="9"/>
      <c r="O3067" s="9"/>
      <c r="P3067" s="9"/>
      <c r="Q3067" s="9"/>
      <c r="S3067" s="9"/>
      <c r="T3067" s="9"/>
      <c r="V3067" s="9"/>
      <c r="AH3067" s="9"/>
      <c r="AI3067" s="9"/>
      <c r="AJ3067" s="9"/>
      <c r="AK3067" s="23"/>
      <c r="AL3067" s="23"/>
      <c r="AM3067" s="26"/>
      <c r="AN3067" s="9"/>
      <c r="AO3067" s="9"/>
      <c r="AP3067" s="9"/>
      <c r="AQ3067" s="54">
        <f t="shared" si="40"/>
        <v>0</v>
      </c>
      <c r="AR3067" s="52"/>
      <c r="AS3067" s="52"/>
    </row>
    <row r="3068" spans="1:45" ht="14.5" hidden="1">
      <c r="A3068" s="9"/>
      <c r="B3068" s="9"/>
      <c r="C3068" s="9"/>
      <c r="D3068" s="9"/>
      <c r="E3068" s="9"/>
      <c r="F3068" s="9"/>
      <c r="G3068" s="9"/>
      <c r="H3068" s="9"/>
      <c r="I3068" s="9"/>
      <c r="J3068" s="10"/>
      <c r="K3068" s="10"/>
      <c r="L3068" s="50"/>
      <c r="M3068" s="10"/>
      <c r="N3068" s="9"/>
      <c r="O3068" s="9"/>
      <c r="P3068" s="9"/>
      <c r="Q3068" s="9"/>
      <c r="S3068" s="9"/>
      <c r="T3068" s="9"/>
      <c r="V3068" s="9"/>
      <c r="AH3068" s="9"/>
      <c r="AI3068" s="9"/>
      <c r="AJ3068" s="9"/>
      <c r="AK3068" s="23"/>
      <c r="AL3068" s="23"/>
      <c r="AM3068" s="26"/>
      <c r="AN3068" s="9"/>
      <c r="AO3068" s="9"/>
      <c r="AP3068" s="9"/>
      <c r="AQ3068" s="54">
        <f t="shared" si="40"/>
        <v>0</v>
      </c>
      <c r="AR3068" s="52"/>
      <c r="AS3068" s="52"/>
    </row>
    <row r="3069" spans="1:45" ht="14.5" hidden="1">
      <c r="A3069" s="9"/>
      <c r="B3069" s="9"/>
      <c r="C3069" s="9"/>
      <c r="D3069" s="9"/>
      <c r="E3069" s="9"/>
      <c r="F3069" s="9"/>
      <c r="G3069" s="9"/>
      <c r="H3069" s="9"/>
      <c r="I3069" s="9"/>
      <c r="J3069" s="10"/>
      <c r="K3069" s="10"/>
      <c r="L3069" s="50"/>
      <c r="M3069" s="10"/>
      <c r="N3069" s="9"/>
      <c r="O3069" s="9"/>
      <c r="P3069" s="9"/>
      <c r="Q3069" s="9"/>
      <c r="S3069" s="9"/>
      <c r="T3069" s="9"/>
      <c r="V3069" s="9"/>
      <c r="AH3069" s="9"/>
      <c r="AI3069" s="9"/>
      <c r="AJ3069" s="9"/>
      <c r="AK3069" s="23"/>
      <c r="AL3069" s="23"/>
      <c r="AM3069" s="26"/>
      <c r="AN3069" s="9"/>
      <c r="AO3069" s="9"/>
      <c r="AP3069" s="9"/>
      <c r="AQ3069" s="54">
        <f t="shared" si="40"/>
        <v>0</v>
      </c>
      <c r="AR3069" s="52"/>
      <c r="AS3069" s="52"/>
    </row>
    <row r="3070" spans="1:45" ht="14.5" hidden="1">
      <c r="A3070" s="9"/>
      <c r="B3070" s="9"/>
      <c r="C3070" s="9"/>
      <c r="D3070" s="9"/>
      <c r="E3070" s="9"/>
      <c r="F3070" s="9"/>
      <c r="G3070" s="9"/>
      <c r="H3070" s="9"/>
      <c r="I3070" s="9"/>
      <c r="J3070" s="10"/>
      <c r="K3070" s="10"/>
      <c r="L3070" s="50"/>
      <c r="M3070" s="10"/>
      <c r="N3070" s="9"/>
      <c r="O3070" s="9"/>
      <c r="P3070" s="9"/>
      <c r="Q3070" s="9"/>
      <c r="S3070" s="9"/>
      <c r="T3070" s="9"/>
      <c r="V3070" s="9"/>
      <c r="AH3070" s="9"/>
      <c r="AI3070" s="9"/>
      <c r="AJ3070" s="9"/>
      <c r="AK3070" s="23"/>
      <c r="AL3070" s="23"/>
      <c r="AM3070" s="26"/>
      <c r="AN3070" s="9"/>
      <c r="AO3070" s="9"/>
      <c r="AP3070" s="9"/>
      <c r="AQ3070" s="54">
        <f t="shared" si="40"/>
        <v>0</v>
      </c>
      <c r="AR3070" s="52"/>
      <c r="AS3070" s="52"/>
    </row>
    <row r="3071" spans="1:45" ht="14.5" hidden="1">
      <c r="A3071" s="9"/>
      <c r="B3071" s="9"/>
      <c r="C3071" s="9"/>
      <c r="D3071" s="9"/>
      <c r="E3071" s="9"/>
      <c r="F3071" s="9"/>
      <c r="G3071" s="9"/>
      <c r="H3071" s="9"/>
      <c r="I3071" s="9"/>
      <c r="J3071" s="10"/>
      <c r="K3071" s="10"/>
      <c r="L3071" s="50"/>
      <c r="M3071" s="10"/>
      <c r="N3071" s="9"/>
      <c r="O3071" s="9"/>
      <c r="P3071" s="9"/>
      <c r="Q3071" s="9"/>
      <c r="S3071" s="9"/>
      <c r="T3071" s="9"/>
      <c r="V3071" s="9"/>
      <c r="AH3071" s="9"/>
      <c r="AI3071" s="9"/>
      <c r="AJ3071" s="9"/>
      <c r="AK3071" s="23"/>
      <c r="AL3071" s="23"/>
      <c r="AM3071" s="26"/>
      <c r="AN3071" s="9"/>
      <c r="AO3071" s="9"/>
      <c r="AP3071" s="9"/>
      <c r="AQ3071" s="54">
        <f t="shared" si="40"/>
        <v>0</v>
      </c>
      <c r="AR3071" s="52"/>
      <c r="AS3071" s="52"/>
    </row>
    <row r="3072" spans="1:45" ht="14.5" hidden="1">
      <c r="A3072" s="9"/>
      <c r="B3072" s="9"/>
      <c r="C3072" s="9"/>
      <c r="D3072" s="9"/>
      <c r="E3072" s="9"/>
      <c r="F3072" s="9"/>
      <c r="G3072" s="9"/>
      <c r="H3072" s="9"/>
      <c r="I3072" s="9"/>
      <c r="J3072" s="10"/>
      <c r="K3072" s="10"/>
      <c r="L3072" s="50"/>
      <c r="M3072" s="10"/>
      <c r="N3072" s="9"/>
      <c r="O3072" s="9"/>
      <c r="P3072" s="9"/>
      <c r="Q3072" s="9"/>
      <c r="S3072" s="9"/>
      <c r="T3072" s="9"/>
      <c r="V3072" s="9"/>
      <c r="AH3072" s="9"/>
      <c r="AI3072" s="9"/>
      <c r="AJ3072" s="9"/>
      <c r="AK3072" s="23"/>
      <c r="AL3072" s="23"/>
      <c r="AM3072" s="26"/>
      <c r="AN3072" s="9"/>
      <c r="AO3072" s="9"/>
      <c r="AP3072" s="9"/>
      <c r="AQ3072" s="54">
        <f t="shared" si="40"/>
        <v>0</v>
      </c>
      <c r="AR3072" s="52"/>
      <c r="AS3072" s="52"/>
    </row>
    <row r="3073" spans="1:45" ht="14.5" hidden="1">
      <c r="A3073" s="9"/>
      <c r="B3073" s="9"/>
      <c r="C3073" s="9"/>
      <c r="D3073" s="9"/>
      <c r="E3073" s="9"/>
      <c r="F3073" s="9"/>
      <c r="G3073" s="9"/>
      <c r="H3073" s="9"/>
      <c r="I3073" s="9"/>
      <c r="J3073" s="10"/>
      <c r="K3073" s="10"/>
      <c r="L3073" s="50"/>
      <c r="M3073" s="10"/>
      <c r="N3073" s="9"/>
      <c r="O3073" s="9"/>
      <c r="P3073" s="9"/>
      <c r="Q3073" s="9"/>
      <c r="S3073" s="9"/>
      <c r="T3073" s="9"/>
      <c r="V3073" s="9"/>
      <c r="AH3073" s="9"/>
      <c r="AI3073" s="9"/>
      <c r="AJ3073" s="9"/>
      <c r="AK3073" s="23"/>
      <c r="AL3073" s="23"/>
      <c r="AM3073" s="26"/>
      <c r="AN3073" s="9"/>
      <c r="AO3073" s="9"/>
      <c r="AP3073" s="9"/>
      <c r="AQ3073" s="54">
        <f t="shared" si="40"/>
        <v>0</v>
      </c>
      <c r="AR3073" s="52"/>
      <c r="AS3073" s="52"/>
    </row>
    <row r="3074" spans="1:45" ht="14.5" hidden="1">
      <c r="A3074" s="9"/>
      <c r="B3074" s="9"/>
      <c r="C3074" s="9"/>
      <c r="D3074" s="9"/>
      <c r="E3074" s="9"/>
      <c r="F3074" s="9"/>
      <c r="G3074" s="9"/>
      <c r="H3074" s="9"/>
      <c r="I3074" s="9"/>
      <c r="J3074" s="10"/>
      <c r="K3074" s="10"/>
      <c r="L3074" s="50"/>
      <c r="M3074" s="10"/>
      <c r="N3074" s="9"/>
      <c r="O3074" s="9"/>
      <c r="P3074" s="9"/>
      <c r="Q3074" s="9"/>
      <c r="S3074" s="9"/>
      <c r="T3074" s="9"/>
      <c r="V3074" s="9"/>
      <c r="AH3074" s="9"/>
      <c r="AI3074" s="9"/>
      <c r="AJ3074" s="9"/>
      <c r="AK3074" s="23"/>
      <c r="AL3074" s="23"/>
      <c r="AM3074" s="26"/>
      <c r="AN3074" s="9"/>
      <c r="AO3074" s="9"/>
      <c r="AP3074" s="9"/>
      <c r="AQ3074" s="54">
        <f t="shared" si="40"/>
        <v>0</v>
      </c>
      <c r="AR3074" s="52"/>
      <c r="AS3074" s="52"/>
    </row>
    <row r="3075" spans="1:45" ht="14.5" hidden="1">
      <c r="A3075" s="9"/>
      <c r="B3075" s="9"/>
      <c r="C3075" s="9"/>
      <c r="D3075" s="9"/>
      <c r="E3075" s="9"/>
      <c r="F3075" s="9"/>
      <c r="G3075" s="9"/>
      <c r="H3075" s="9"/>
      <c r="I3075" s="9"/>
      <c r="J3075" s="10"/>
      <c r="K3075" s="10"/>
      <c r="L3075" s="50"/>
      <c r="M3075" s="10"/>
      <c r="N3075" s="9"/>
      <c r="O3075" s="9"/>
      <c r="P3075" s="9"/>
      <c r="Q3075" s="9"/>
      <c r="S3075" s="9"/>
      <c r="T3075" s="9"/>
      <c r="V3075" s="9"/>
      <c r="AH3075" s="9"/>
      <c r="AI3075" s="9"/>
      <c r="AJ3075" s="9"/>
      <c r="AK3075" s="23"/>
      <c r="AL3075" s="23"/>
      <c r="AM3075" s="26"/>
      <c r="AN3075" s="9"/>
      <c r="AO3075" s="9"/>
      <c r="AP3075" s="9"/>
      <c r="AQ3075" s="54">
        <f t="shared" si="40"/>
        <v>0</v>
      </c>
      <c r="AR3075" s="52"/>
      <c r="AS3075" s="52"/>
    </row>
    <row r="3076" spans="1:45" ht="14.5" hidden="1">
      <c r="A3076" s="9"/>
      <c r="B3076" s="9"/>
      <c r="C3076" s="9"/>
      <c r="D3076" s="9"/>
      <c r="E3076" s="9"/>
      <c r="F3076" s="9"/>
      <c r="G3076" s="9"/>
      <c r="H3076" s="9"/>
      <c r="I3076" s="9"/>
      <c r="J3076" s="10"/>
      <c r="K3076" s="10"/>
      <c r="L3076" s="50"/>
      <c r="M3076" s="10"/>
      <c r="N3076" s="9"/>
      <c r="O3076" s="9"/>
      <c r="P3076" s="9"/>
      <c r="Q3076" s="9"/>
      <c r="S3076" s="9"/>
      <c r="T3076" s="9"/>
      <c r="V3076" s="9"/>
      <c r="AH3076" s="9"/>
      <c r="AI3076" s="9"/>
      <c r="AJ3076" s="9"/>
      <c r="AK3076" s="23"/>
      <c r="AL3076" s="23"/>
      <c r="AM3076" s="26"/>
      <c r="AN3076" s="9"/>
      <c r="AO3076" s="9"/>
      <c r="AP3076" s="9"/>
      <c r="AQ3076" s="54">
        <f t="shared" si="40"/>
        <v>0</v>
      </c>
      <c r="AR3076" s="52"/>
      <c r="AS3076" s="52"/>
    </row>
    <row r="3077" spans="1:45" ht="14.5" hidden="1">
      <c r="A3077" s="9"/>
      <c r="B3077" s="9"/>
      <c r="C3077" s="9"/>
      <c r="D3077" s="9"/>
      <c r="E3077" s="9"/>
      <c r="F3077" s="9"/>
      <c r="G3077" s="9"/>
      <c r="H3077" s="9"/>
      <c r="I3077" s="9"/>
      <c r="J3077" s="10"/>
      <c r="K3077" s="10"/>
      <c r="L3077" s="50"/>
      <c r="M3077" s="10"/>
      <c r="N3077" s="9"/>
      <c r="O3077" s="9"/>
      <c r="P3077" s="9"/>
      <c r="Q3077" s="9"/>
      <c r="S3077" s="9"/>
      <c r="T3077" s="9"/>
      <c r="V3077" s="9"/>
      <c r="AH3077" s="9"/>
      <c r="AI3077" s="9"/>
      <c r="AJ3077" s="9"/>
      <c r="AK3077" s="23"/>
      <c r="AL3077" s="23"/>
      <c r="AM3077" s="26"/>
      <c r="AN3077" s="9"/>
      <c r="AO3077" s="9"/>
      <c r="AP3077" s="9"/>
      <c r="AQ3077" s="54">
        <f t="shared" si="40"/>
        <v>0</v>
      </c>
      <c r="AR3077" s="52"/>
      <c r="AS3077" s="52"/>
    </row>
    <row r="3078" spans="1:45" ht="14.5" hidden="1">
      <c r="A3078" s="9"/>
      <c r="B3078" s="9"/>
      <c r="C3078" s="9"/>
      <c r="D3078" s="9"/>
      <c r="E3078" s="9"/>
      <c r="F3078" s="9"/>
      <c r="G3078" s="9"/>
      <c r="H3078" s="9"/>
      <c r="I3078" s="9"/>
      <c r="J3078" s="10"/>
      <c r="K3078" s="10"/>
      <c r="L3078" s="50"/>
      <c r="M3078" s="10"/>
      <c r="N3078" s="9"/>
      <c r="O3078" s="9"/>
      <c r="P3078" s="9"/>
      <c r="Q3078" s="9"/>
      <c r="S3078" s="9"/>
      <c r="T3078" s="9"/>
      <c r="V3078" s="9"/>
      <c r="AH3078" s="9"/>
      <c r="AI3078" s="9"/>
      <c r="AJ3078" s="9"/>
      <c r="AK3078" s="23"/>
      <c r="AL3078" s="23"/>
      <c r="AM3078" s="26"/>
      <c r="AN3078" s="9"/>
      <c r="AO3078" s="9"/>
      <c r="AP3078" s="9"/>
      <c r="AQ3078" s="54">
        <f t="shared" si="40"/>
        <v>0</v>
      </c>
      <c r="AR3078" s="52"/>
      <c r="AS3078" s="52"/>
    </row>
    <row r="3079" spans="1:45" ht="14.5" hidden="1">
      <c r="A3079" s="9"/>
      <c r="B3079" s="9"/>
      <c r="C3079" s="9"/>
      <c r="D3079" s="9"/>
      <c r="E3079" s="9"/>
      <c r="F3079" s="9"/>
      <c r="G3079" s="9"/>
      <c r="H3079" s="9"/>
      <c r="I3079" s="9"/>
      <c r="J3079" s="10"/>
      <c r="K3079" s="10"/>
      <c r="L3079" s="50"/>
      <c r="M3079" s="10"/>
      <c r="N3079" s="9"/>
      <c r="O3079" s="9"/>
      <c r="P3079" s="9"/>
      <c r="Q3079" s="9"/>
      <c r="S3079" s="9"/>
      <c r="T3079" s="9"/>
      <c r="V3079" s="9"/>
      <c r="AH3079" s="9"/>
      <c r="AI3079" s="9"/>
      <c r="AJ3079" s="9"/>
      <c r="AK3079" s="23"/>
      <c r="AL3079" s="23"/>
      <c r="AM3079" s="26"/>
      <c r="AN3079" s="9"/>
      <c r="AO3079" s="9"/>
      <c r="AP3079" s="9"/>
      <c r="AQ3079" s="54">
        <f t="shared" si="40"/>
        <v>0</v>
      </c>
      <c r="AR3079" s="52"/>
      <c r="AS3079" s="52"/>
    </row>
    <row r="3080" spans="1:45" ht="14.5" hidden="1">
      <c r="A3080" s="9"/>
      <c r="B3080" s="9"/>
      <c r="C3080" s="9"/>
      <c r="D3080" s="9"/>
      <c r="E3080" s="9"/>
      <c r="F3080" s="9"/>
      <c r="G3080" s="9"/>
      <c r="H3080" s="9"/>
      <c r="I3080" s="9"/>
      <c r="J3080" s="10"/>
      <c r="K3080" s="10"/>
      <c r="L3080" s="50"/>
      <c r="M3080" s="10"/>
      <c r="N3080" s="9"/>
      <c r="O3080" s="9"/>
      <c r="P3080" s="9"/>
      <c r="Q3080" s="9"/>
      <c r="S3080" s="9"/>
      <c r="T3080" s="9"/>
      <c r="V3080" s="9"/>
      <c r="AH3080" s="9"/>
      <c r="AI3080" s="9"/>
      <c r="AJ3080" s="9"/>
      <c r="AK3080" s="23"/>
      <c r="AL3080" s="23"/>
      <c r="AM3080" s="26"/>
      <c r="AN3080" s="9"/>
      <c r="AO3080" s="9"/>
      <c r="AP3080" s="9"/>
      <c r="AQ3080" s="54">
        <f t="shared" si="40"/>
        <v>0</v>
      </c>
      <c r="AR3080" s="52"/>
      <c r="AS3080" s="52"/>
    </row>
    <row r="3081" spans="1:45" ht="14.5" hidden="1">
      <c r="A3081" s="9"/>
      <c r="B3081" s="9"/>
      <c r="C3081" s="9"/>
      <c r="D3081" s="9"/>
      <c r="E3081" s="9"/>
      <c r="F3081" s="9"/>
      <c r="G3081" s="9"/>
      <c r="H3081" s="9"/>
      <c r="I3081" s="9"/>
      <c r="J3081" s="10"/>
      <c r="K3081" s="10"/>
      <c r="L3081" s="50"/>
      <c r="M3081" s="10"/>
      <c r="N3081" s="9"/>
      <c r="O3081" s="9"/>
      <c r="P3081" s="9"/>
      <c r="Q3081" s="9"/>
      <c r="S3081" s="9"/>
      <c r="T3081" s="9"/>
      <c r="V3081" s="9"/>
      <c r="AH3081" s="9"/>
      <c r="AI3081" s="9"/>
      <c r="AJ3081" s="9"/>
      <c r="AK3081" s="23"/>
      <c r="AL3081" s="23"/>
      <c r="AM3081" s="26"/>
      <c r="AN3081" s="9"/>
      <c r="AO3081" s="9"/>
      <c r="AP3081" s="9"/>
      <c r="AQ3081" s="54">
        <f t="shared" si="40"/>
        <v>0</v>
      </c>
      <c r="AR3081" s="52"/>
      <c r="AS3081" s="52"/>
    </row>
    <row r="3082" spans="1:45" ht="14.5" hidden="1">
      <c r="A3082" s="9"/>
      <c r="B3082" s="9"/>
      <c r="C3082" s="9"/>
      <c r="D3082" s="9"/>
      <c r="E3082" s="9"/>
      <c r="F3082" s="9"/>
      <c r="G3082" s="9"/>
      <c r="H3082" s="9"/>
      <c r="I3082" s="9"/>
      <c r="J3082" s="10"/>
      <c r="K3082" s="10"/>
      <c r="L3082" s="50"/>
      <c r="M3082" s="10"/>
      <c r="N3082" s="9"/>
      <c r="O3082" s="9"/>
      <c r="P3082" s="9"/>
      <c r="Q3082" s="9"/>
      <c r="S3082" s="9"/>
      <c r="T3082" s="9"/>
      <c r="V3082" s="9"/>
      <c r="AH3082" s="9"/>
      <c r="AI3082" s="9"/>
      <c r="AJ3082" s="9"/>
      <c r="AK3082" s="23"/>
      <c r="AL3082" s="23"/>
      <c r="AM3082" s="26"/>
      <c r="AN3082" s="9"/>
      <c r="AO3082" s="9"/>
      <c r="AP3082" s="9"/>
      <c r="AQ3082" s="54">
        <f t="shared" si="40"/>
        <v>0</v>
      </c>
      <c r="AR3082" s="52"/>
      <c r="AS3082" s="52"/>
    </row>
    <row r="3083" spans="1:45" ht="14.5" hidden="1">
      <c r="A3083" s="9"/>
      <c r="B3083" s="9"/>
      <c r="C3083" s="9"/>
      <c r="D3083" s="9"/>
      <c r="E3083" s="9"/>
      <c r="F3083" s="9"/>
      <c r="G3083" s="9"/>
      <c r="H3083" s="9"/>
      <c r="I3083" s="9"/>
      <c r="J3083" s="10"/>
      <c r="K3083" s="10"/>
      <c r="L3083" s="50"/>
      <c r="M3083" s="10"/>
      <c r="N3083" s="9"/>
      <c r="O3083" s="9"/>
      <c r="P3083" s="9"/>
      <c r="Q3083" s="9"/>
      <c r="S3083" s="9"/>
      <c r="T3083" s="9"/>
      <c r="V3083" s="9"/>
      <c r="AH3083" s="9"/>
      <c r="AI3083" s="9"/>
      <c r="AJ3083" s="9"/>
      <c r="AK3083" s="23"/>
      <c r="AL3083" s="23"/>
      <c r="AM3083" s="26"/>
      <c r="AN3083" s="9"/>
      <c r="AO3083" s="9"/>
      <c r="AP3083" s="9"/>
      <c r="AQ3083" s="54">
        <f t="shared" si="40"/>
        <v>0</v>
      </c>
      <c r="AR3083" s="52"/>
      <c r="AS3083" s="52"/>
    </row>
    <row r="3084" spans="1:45" ht="14.5" hidden="1">
      <c r="A3084" s="9"/>
      <c r="B3084" s="9"/>
      <c r="C3084" s="9"/>
      <c r="D3084" s="9"/>
      <c r="E3084" s="9"/>
      <c r="F3084" s="9"/>
      <c r="G3084" s="9"/>
      <c r="H3084" s="9"/>
      <c r="I3084" s="9"/>
      <c r="J3084" s="10"/>
      <c r="K3084" s="10"/>
      <c r="L3084" s="50"/>
      <c r="M3084" s="10"/>
      <c r="N3084" s="9"/>
      <c r="O3084" s="9"/>
      <c r="P3084" s="9"/>
      <c r="Q3084" s="9"/>
      <c r="S3084" s="9"/>
      <c r="T3084" s="9"/>
      <c r="V3084" s="9"/>
      <c r="AH3084" s="9"/>
      <c r="AI3084" s="9"/>
      <c r="AJ3084" s="9"/>
      <c r="AK3084" s="23"/>
      <c r="AL3084" s="23"/>
      <c r="AM3084" s="26"/>
      <c r="AN3084" s="9"/>
      <c r="AO3084" s="9"/>
      <c r="AP3084" s="9"/>
      <c r="AQ3084" s="54">
        <f t="shared" si="40"/>
        <v>0</v>
      </c>
      <c r="AR3084" s="52"/>
      <c r="AS3084" s="52"/>
    </row>
    <row r="3085" spans="1:45" ht="14.5" hidden="1">
      <c r="A3085" s="9"/>
      <c r="B3085" s="9"/>
      <c r="C3085" s="9"/>
      <c r="D3085" s="9"/>
      <c r="E3085" s="9"/>
      <c r="F3085" s="9"/>
      <c r="G3085" s="9"/>
      <c r="H3085" s="9"/>
      <c r="I3085" s="9"/>
      <c r="J3085" s="10"/>
      <c r="K3085" s="10"/>
      <c r="L3085" s="50"/>
      <c r="M3085" s="10"/>
      <c r="N3085" s="9"/>
      <c r="O3085" s="9"/>
      <c r="P3085" s="9"/>
      <c r="Q3085" s="9"/>
      <c r="S3085" s="9"/>
      <c r="T3085" s="9"/>
      <c r="V3085" s="9"/>
      <c r="AH3085" s="9"/>
      <c r="AI3085" s="9"/>
      <c r="AJ3085" s="9"/>
      <c r="AK3085" s="23"/>
      <c r="AL3085" s="23"/>
      <c r="AM3085" s="26"/>
      <c r="AN3085" s="9"/>
      <c r="AO3085" s="9"/>
      <c r="AP3085" s="9"/>
      <c r="AQ3085" s="54">
        <f t="shared" si="40"/>
        <v>0</v>
      </c>
      <c r="AR3085" s="52"/>
      <c r="AS3085" s="52"/>
    </row>
    <row r="3086" spans="1:45" ht="14.5" hidden="1">
      <c r="A3086" s="9"/>
      <c r="B3086" s="9"/>
      <c r="C3086" s="9"/>
      <c r="D3086" s="9"/>
      <c r="E3086" s="9"/>
      <c r="F3086" s="9"/>
      <c r="G3086" s="9"/>
      <c r="H3086" s="9"/>
      <c r="I3086" s="9"/>
      <c r="J3086" s="10"/>
      <c r="K3086" s="10"/>
      <c r="L3086" s="50"/>
      <c r="M3086" s="10"/>
      <c r="N3086" s="9"/>
      <c r="O3086" s="9"/>
      <c r="P3086" s="9"/>
      <c r="Q3086" s="9"/>
      <c r="S3086" s="9"/>
      <c r="T3086" s="9"/>
      <c r="V3086" s="9"/>
      <c r="AH3086" s="9"/>
      <c r="AI3086" s="9"/>
      <c r="AJ3086" s="9"/>
      <c r="AK3086" s="23"/>
      <c r="AL3086" s="23"/>
      <c r="AM3086" s="26"/>
      <c r="AN3086" s="9"/>
      <c r="AO3086" s="9"/>
      <c r="AP3086" s="9"/>
      <c r="AQ3086" s="54">
        <f t="shared" si="40"/>
        <v>0</v>
      </c>
      <c r="AR3086" s="52"/>
      <c r="AS3086" s="52"/>
    </row>
    <row r="3087" spans="1:45" ht="14.5" hidden="1">
      <c r="A3087" s="9"/>
      <c r="B3087" s="9"/>
      <c r="C3087" s="9"/>
      <c r="D3087" s="9"/>
      <c r="E3087" s="9"/>
      <c r="F3087" s="9"/>
      <c r="G3087" s="9"/>
      <c r="H3087" s="9"/>
      <c r="I3087" s="9"/>
      <c r="J3087" s="10"/>
      <c r="K3087" s="10"/>
      <c r="L3087" s="50"/>
      <c r="M3087" s="10"/>
      <c r="N3087" s="9"/>
      <c r="O3087" s="9"/>
      <c r="P3087" s="9"/>
      <c r="Q3087" s="9"/>
      <c r="S3087" s="9"/>
      <c r="T3087" s="9"/>
      <c r="V3087" s="9"/>
      <c r="AH3087" s="9"/>
      <c r="AI3087" s="9"/>
      <c r="AJ3087" s="9"/>
      <c r="AK3087" s="23"/>
      <c r="AL3087" s="23"/>
      <c r="AM3087" s="26"/>
      <c r="AN3087" s="9"/>
      <c r="AO3087" s="9"/>
      <c r="AP3087" s="9"/>
      <c r="AQ3087" s="54">
        <f t="shared" si="40"/>
        <v>0</v>
      </c>
      <c r="AR3087" s="52"/>
      <c r="AS3087" s="52"/>
    </row>
    <row r="3088" spans="1:45" ht="14.5" hidden="1">
      <c r="A3088" s="9"/>
      <c r="B3088" s="9"/>
      <c r="C3088" s="9"/>
      <c r="D3088" s="9"/>
      <c r="E3088" s="9"/>
      <c r="F3088" s="9"/>
      <c r="G3088" s="9"/>
      <c r="H3088" s="9"/>
      <c r="I3088" s="9"/>
      <c r="J3088" s="10"/>
      <c r="K3088" s="10"/>
      <c r="L3088" s="50"/>
      <c r="M3088" s="10"/>
      <c r="N3088" s="9"/>
      <c r="O3088" s="9"/>
      <c r="P3088" s="9"/>
      <c r="Q3088" s="9"/>
      <c r="S3088" s="9"/>
      <c r="T3088" s="9"/>
      <c r="V3088" s="9"/>
      <c r="AH3088" s="9"/>
      <c r="AI3088" s="9"/>
      <c r="AJ3088" s="9"/>
      <c r="AK3088" s="23"/>
      <c r="AL3088" s="23"/>
      <c r="AM3088" s="26"/>
      <c r="AN3088" s="9"/>
      <c r="AO3088" s="9"/>
      <c r="AP3088" s="9"/>
      <c r="AQ3088" s="54">
        <f t="shared" si="40"/>
        <v>0</v>
      </c>
      <c r="AR3088" s="52"/>
      <c r="AS3088" s="52"/>
    </row>
    <row r="3089" spans="1:45" ht="14.5" hidden="1">
      <c r="A3089" s="9"/>
      <c r="B3089" s="9"/>
      <c r="C3089" s="9"/>
      <c r="D3089" s="9"/>
      <c r="E3089" s="9"/>
      <c r="F3089" s="9"/>
      <c r="G3089" s="9"/>
      <c r="H3089" s="9"/>
      <c r="I3089" s="9"/>
      <c r="J3089" s="10"/>
      <c r="K3089" s="10"/>
      <c r="L3089" s="50"/>
      <c r="M3089" s="10"/>
      <c r="N3089" s="9"/>
      <c r="O3089" s="9"/>
      <c r="P3089" s="9"/>
      <c r="Q3089" s="9"/>
      <c r="S3089" s="9"/>
      <c r="T3089" s="9"/>
      <c r="V3089" s="9"/>
      <c r="AH3089" s="9"/>
      <c r="AI3089" s="9"/>
      <c r="AJ3089" s="9"/>
      <c r="AK3089" s="23"/>
      <c r="AL3089" s="23"/>
      <c r="AM3089" s="26"/>
      <c r="AN3089" s="9"/>
      <c r="AO3089" s="9"/>
      <c r="AP3089" s="9"/>
      <c r="AQ3089" s="54">
        <f t="shared" si="40"/>
        <v>0</v>
      </c>
      <c r="AR3089" s="52"/>
      <c r="AS3089" s="52"/>
    </row>
    <row r="3090" spans="1:45" ht="14.5" hidden="1">
      <c r="A3090" s="9"/>
      <c r="B3090" s="9"/>
      <c r="C3090" s="9"/>
      <c r="D3090" s="9"/>
      <c r="E3090" s="9"/>
      <c r="F3090" s="9"/>
      <c r="G3090" s="9"/>
      <c r="H3090" s="9"/>
      <c r="I3090" s="9"/>
      <c r="J3090" s="10"/>
      <c r="K3090" s="10"/>
      <c r="L3090" s="50"/>
      <c r="M3090" s="10"/>
      <c r="N3090" s="9"/>
      <c r="O3090" s="9"/>
      <c r="P3090" s="9"/>
      <c r="Q3090" s="9"/>
      <c r="S3090" s="9"/>
      <c r="T3090" s="9"/>
      <c r="V3090" s="9"/>
      <c r="AH3090" s="9"/>
      <c r="AI3090" s="9"/>
      <c r="AJ3090" s="9"/>
      <c r="AK3090" s="23"/>
      <c r="AL3090" s="23"/>
      <c r="AM3090" s="26"/>
      <c r="AN3090" s="9"/>
      <c r="AO3090" s="9"/>
      <c r="AP3090" s="9"/>
      <c r="AQ3090" s="54">
        <f t="shared" si="40"/>
        <v>0</v>
      </c>
      <c r="AR3090" s="52"/>
      <c r="AS3090" s="52"/>
    </row>
    <row r="3091" spans="1:45" ht="14.5" hidden="1">
      <c r="A3091" s="9"/>
      <c r="B3091" s="9"/>
      <c r="C3091" s="9"/>
      <c r="D3091" s="9"/>
      <c r="E3091" s="9"/>
      <c r="F3091" s="9"/>
      <c r="G3091" s="9"/>
      <c r="H3091" s="9"/>
      <c r="I3091" s="9"/>
      <c r="J3091" s="10"/>
      <c r="K3091" s="10"/>
      <c r="L3091" s="50"/>
      <c r="M3091" s="10"/>
      <c r="N3091" s="9"/>
      <c r="O3091" s="9"/>
      <c r="P3091" s="9"/>
      <c r="Q3091" s="9"/>
      <c r="S3091" s="9"/>
      <c r="T3091" s="9"/>
      <c r="V3091" s="9"/>
      <c r="AH3091" s="9"/>
      <c r="AI3091" s="9"/>
      <c r="AJ3091" s="9"/>
      <c r="AK3091" s="23"/>
      <c r="AL3091" s="23"/>
      <c r="AM3091" s="26"/>
      <c r="AN3091" s="9"/>
      <c r="AO3091" s="9"/>
      <c r="AP3091" s="9"/>
      <c r="AQ3091" s="54">
        <f t="shared" si="40"/>
        <v>0</v>
      </c>
      <c r="AR3091" s="52"/>
      <c r="AS3091" s="52"/>
    </row>
    <row r="3092" spans="1:45" ht="14.5" hidden="1">
      <c r="A3092" s="9"/>
      <c r="B3092" s="9"/>
      <c r="C3092" s="9"/>
      <c r="D3092" s="9"/>
      <c r="E3092" s="9"/>
      <c r="F3092" s="9"/>
      <c r="G3092" s="9"/>
      <c r="H3092" s="9"/>
      <c r="I3092" s="9"/>
      <c r="J3092" s="10"/>
      <c r="K3092" s="10"/>
      <c r="L3092" s="50"/>
      <c r="M3092" s="10"/>
      <c r="N3092" s="9"/>
      <c r="O3092" s="9"/>
      <c r="P3092" s="9"/>
      <c r="Q3092" s="9"/>
      <c r="S3092" s="9"/>
      <c r="T3092" s="9"/>
      <c r="V3092" s="9"/>
      <c r="AH3092" s="9"/>
      <c r="AI3092" s="9"/>
      <c r="AJ3092" s="9"/>
      <c r="AK3092" s="23"/>
      <c r="AL3092" s="23"/>
      <c r="AM3092" s="26"/>
      <c r="AN3092" s="9"/>
      <c r="AO3092" s="9"/>
      <c r="AP3092" s="9"/>
      <c r="AQ3092" s="54">
        <f t="shared" si="40"/>
        <v>0</v>
      </c>
      <c r="AR3092" s="52"/>
      <c r="AS3092" s="52"/>
    </row>
    <row r="3093" spans="1:45" ht="14.5" hidden="1">
      <c r="A3093" s="9"/>
      <c r="B3093" s="9"/>
      <c r="C3093" s="9"/>
      <c r="D3093" s="9"/>
      <c r="E3093" s="9"/>
      <c r="F3093" s="9"/>
      <c r="G3093" s="9"/>
      <c r="H3093" s="9"/>
      <c r="I3093" s="9"/>
      <c r="J3093" s="10"/>
      <c r="K3093" s="10"/>
      <c r="L3093" s="50"/>
      <c r="M3093" s="10"/>
      <c r="N3093" s="9"/>
      <c r="O3093" s="9"/>
      <c r="P3093" s="9"/>
      <c r="Q3093" s="9"/>
      <c r="S3093" s="9"/>
      <c r="T3093" s="9"/>
      <c r="V3093" s="9"/>
      <c r="AH3093" s="9"/>
      <c r="AI3093" s="9"/>
      <c r="AJ3093" s="9"/>
      <c r="AK3093" s="23"/>
      <c r="AL3093" s="23"/>
      <c r="AM3093" s="26"/>
      <c r="AN3093" s="9"/>
      <c r="AO3093" s="9"/>
      <c r="AP3093" s="9"/>
      <c r="AQ3093" s="54">
        <f t="shared" si="40"/>
        <v>0</v>
      </c>
      <c r="AR3093" s="52"/>
      <c r="AS3093" s="52"/>
    </row>
    <row r="3094" spans="1:45" ht="14.5" hidden="1">
      <c r="A3094" s="9"/>
      <c r="B3094" s="9"/>
      <c r="C3094" s="9"/>
      <c r="D3094" s="9"/>
      <c r="E3094" s="9"/>
      <c r="F3094" s="9"/>
      <c r="G3094" s="9"/>
      <c r="H3094" s="9"/>
      <c r="I3094" s="9"/>
      <c r="J3094" s="10"/>
      <c r="K3094" s="10"/>
      <c r="L3094" s="50"/>
      <c r="M3094" s="10"/>
      <c r="N3094" s="9"/>
      <c r="O3094" s="9"/>
      <c r="P3094" s="9"/>
      <c r="Q3094" s="9"/>
      <c r="S3094" s="9"/>
      <c r="T3094" s="9"/>
      <c r="V3094" s="9"/>
      <c r="AH3094" s="9"/>
      <c r="AI3094" s="9"/>
      <c r="AJ3094" s="9"/>
      <c r="AK3094" s="23"/>
      <c r="AL3094" s="23"/>
      <c r="AM3094" s="26"/>
      <c r="AN3094" s="9"/>
      <c r="AO3094" s="9"/>
      <c r="AP3094" s="9"/>
      <c r="AQ3094" s="54">
        <f t="shared" si="40"/>
        <v>0</v>
      </c>
      <c r="AR3094" s="52"/>
      <c r="AS3094" s="52"/>
    </row>
    <row r="3095" spans="1:45" ht="14.5" hidden="1">
      <c r="A3095" s="9"/>
      <c r="B3095" s="9"/>
      <c r="C3095" s="9"/>
      <c r="D3095" s="9"/>
      <c r="E3095" s="9"/>
      <c r="F3095" s="9"/>
      <c r="G3095" s="9"/>
      <c r="H3095" s="9"/>
      <c r="I3095" s="9"/>
      <c r="J3095" s="10"/>
      <c r="K3095" s="10"/>
      <c r="L3095" s="50"/>
      <c r="M3095" s="10"/>
      <c r="N3095" s="9"/>
      <c r="O3095" s="9"/>
      <c r="P3095" s="9"/>
      <c r="Q3095" s="9"/>
      <c r="S3095" s="9"/>
      <c r="T3095" s="9"/>
      <c r="V3095" s="9"/>
      <c r="AH3095" s="9"/>
      <c r="AI3095" s="9"/>
      <c r="AJ3095" s="9"/>
      <c r="AK3095" s="23"/>
      <c r="AL3095" s="23"/>
      <c r="AM3095" s="26"/>
      <c r="AN3095" s="9"/>
      <c r="AO3095" s="9"/>
      <c r="AP3095" s="9"/>
      <c r="AQ3095" s="54">
        <f t="shared" si="40"/>
        <v>0</v>
      </c>
      <c r="AR3095" s="52"/>
      <c r="AS3095" s="52"/>
    </row>
    <row r="3096" spans="1:45" ht="14.5" hidden="1">
      <c r="A3096" s="9"/>
      <c r="B3096" s="9"/>
      <c r="C3096" s="9"/>
      <c r="D3096" s="9"/>
      <c r="E3096" s="9"/>
      <c r="F3096" s="9"/>
      <c r="G3096" s="9"/>
      <c r="H3096" s="9"/>
      <c r="I3096" s="9"/>
      <c r="J3096" s="10"/>
      <c r="K3096" s="10"/>
      <c r="L3096" s="50"/>
      <c r="M3096" s="10"/>
      <c r="N3096" s="9"/>
      <c r="O3096" s="9"/>
      <c r="P3096" s="9"/>
      <c r="Q3096" s="9"/>
      <c r="S3096" s="9"/>
      <c r="T3096" s="9"/>
      <c r="V3096" s="9"/>
      <c r="AH3096" s="9"/>
      <c r="AI3096" s="9"/>
      <c r="AJ3096" s="9"/>
      <c r="AK3096" s="23"/>
      <c r="AL3096" s="23"/>
      <c r="AM3096" s="26"/>
      <c r="AN3096" s="9"/>
      <c r="AO3096" s="9"/>
      <c r="AP3096" s="9"/>
      <c r="AQ3096" s="54">
        <f t="shared" si="40"/>
        <v>0</v>
      </c>
      <c r="AR3096" s="52"/>
      <c r="AS3096" s="52"/>
    </row>
    <row r="3097" spans="1:45" ht="14.5" hidden="1">
      <c r="A3097" s="9"/>
      <c r="B3097" s="9"/>
      <c r="C3097" s="9"/>
      <c r="D3097" s="9"/>
      <c r="E3097" s="9"/>
      <c r="F3097" s="9"/>
      <c r="G3097" s="9"/>
      <c r="H3097" s="9"/>
      <c r="I3097" s="9"/>
      <c r="J3097" s="10"/>
      <c r="K3097" s="10"/>
      <c r="L3097" s="50"/>
      <c r="M3097" s="10"/>
      <c r="N3097" s="9"/>
      <c r="O3097" s="9"/>
      <c r="P3097" s="9"/>
      <c r="Q3097" s="9"/>
      <c r="S3097" s="9"/>
      <c r="T3097" s="9"/>
      <c r="V3097" s="9"/>
      <c r="AH3097" s="9"/>
      <c r="AI3097" s="9"/>
      <c r="AJ3097" s="9"/>
      <c r="AK3097" s="23"/>
      <c r="AL3097" s="23"/>
      <c r="AM3097" s="26"/>
      <c r="AN3097" s="9"/>
      <c r="AO3097" s="9"/>
      <c r="AP3097" s="9"/>
      <c r="AQ3097" s="54">
        <f t="shared" si="40"/>
        <v>0</v>
      </c>
      <c r="AR3097" s="52"/>
      <c r="AS3097" s="52"/>
    </row>
    <row r="3098" spans="1:45" ht="14.5" hidden="1">
      <c r="A3098" s="9"/>
      <c r="B3098" s="9"/>
      <c r="C3098" s="9"/>
      <c r="D3098" s="9"/>
      <c r="E3098" s="9"/>
      <c r="F3098" s="9"/>
      <c r="G3098" s="9"/>
      <c r="H3098" s="9"/>
      <c r="I3098" s="9"/>
      <c r="J3098" s="10"/>
      <c r="K3098" s="10"/>
      <c r="L3098" s="50"/>
      <c r="M3098" s="10"/>
      <c r="N3098" s="9"/>
      <c r="O3098" s="9"/>
      <c r="P3098" s="9"/>
      <c r="Q3098" s="9"/>
      <c r="S3098" s="9"/>
      <c r="T3098" s="9"/>
      <c r="V3098" s="9"/>
      <c r="AH3098" s="9"/>
      <c r="AI3098" s="9"/>
      <c r="AJ3098" s="9"/>
      <c r="AK3098" s="23"/>
      <c r="AL3098" s="23"/>
      <c r="AM3098" s="26"/>
      <c r="AN3098" s="9"/>
      <c r="AO3098" s="9"/>
      <c r="AP3098" s="9"/>
      <c r="AQ3098" s="54">
        <f t="shared" si="40"/>
        <v>0</v>
      </c>
      <c r="AR3098" s="52"/>
      <c r="AS3098" s="52"/>
    </row>
    <row r="3099" spans="1:45" ht="14.5" hidden="1">
      <c r="A3099" s="9"/>
      <c r="B3099" s="9"/>
      <c r="C3099" s="9"/>
      <c r="D3099" s="9"/>
      <c r="E3099" s="9"/>
      <c r="F3099" s="9"/>
      <c r="G3099" s="9"/>
      <c r="H3099" s="9"/>
      <c r="I3099" s="9"/>
      <c r="J3099" s="10"/>
      <c r="K3099" s="10"/>
      <c r="L3099" s="50"/>
      <c r="M3099" s="10"/>
      <c r="N3099" s="9"/>
      <c r="O3099" s="9"/>
      <c r="P3099" s="9"/>
      <c r="Q3099" s="9"/>
      <c r="S3099" s="9"/>
      <c r="T3099" s="9"/>
      <c r="V3099" s="9"/>
      <c r="AH3099" s="9"/>
      <c r="AI3099" s="9"/>
      <c r="AJ3099" s="9"/>
      <c r="AK3099" s="23"/>
      <c r="AL3099" s="23"/>
      <c r="AM3099" s="26"/>
      <c r="AN3099" s="9"/>
      <c r="AO3099" s="9"/>
      <c r="AP3099" s="9"/>
      <c r="AQ3099" s="54">
        <f t="shared" si="40"/>
        <v>0</v>
      </c>
      <c r="AR3099" s="52"/>
      <c r="AS3099" s="52"/>
    </row>
    <row r="3100" spans="1:45" ht="14.5" hidden="1">
      <c r="A3100" s="9"/>
      <c r="B3100" s="9"/>
      <c r="C3100" s="9"/>
      <c r="D3100" s="9"/>
      <c r="E3100" s="9"/>
      <c r="F3100" s="9"/>
      <c r="G3100" s="9"/>
      <c r="H3100" s="9"/>
      <c r="I3100" s="9"/>
      <c r="J3100" s="10"/>
      <c r="K3100" s="10"/>
      <c r="L3100" s="50"/>
      <c r="M3100" s="10"/>
      <c r="N3100" s="9"/>
      <c r="O3100" s="9"/>
      <c r="P3100" s="9"/>
      <c r="Q3100" s="9"/>
      <c r="S3100" s="9"/>
      <c r="T3100" s="9"/>
      <c r="V3100" s="9"/>
      <c r="AH3100" s="9"/>
      <c r="AI3100" s="9"/>
      <c r="AJ3100" s="9"/>
      <c r="AK3100" s="23"/>
      <c r="AL3100" s="23"/>
      <c r="AM3100" s="26"/>
      <c r="AN3100" s="9"/>
      <c r="AO3100" s="9"/>
      <c r="AP3100" s="9"/>
      <c r="AQ3100" s="54">
        <f t="shared" si="40"/>
        <v>0</v>
      </c>
      <c r="AR3100" s="52"/>
      <c r="AS3100" s="52"/>
    </row>
    <row r="3101" spans="1:45" ht="14.5" hidden="1">
      <c r="A3101" s="9"/>
      <c r="B3101" s="9"/>
      <c r="C3101" s="9"/>
      <c r="D3101" s="9"/>
      <c r="E3101" s="9"/>
      <c r="F3101" s="9"/>
      <c r="G3101" s="9"/>
      <c r="H3101" s="9"/>
      <c r="I3101" s="9"/>
      <c r="J3101" s="10"/>
      <c r="K3101" s="10"/>
      <c r="L3101" s="50"/>
      <c r="M3101" s="10"/>
      <c r="N3101" s="9"/>
      <c r="O3101" s="9"/>
      <c r="P3101" s="9"/>
      <c r="Q3101" s="9"/>
      <c r="S3101" s="9"/>
      <c r="T3101" s="9"/>
      <c r="V3101" s="9"/>
      <c r="AH3101" s="9"/>
      <c r="AI3101" s="9"/>
      <c r="AJ3101" s="9"/>
      <c r="AK3101" s="23"/>
      <c r="AL3101" s="23"/>
      <c r="AM3101" s="26"/>
      <c r="AN3101" s="9"/>
      <c r="AO3101" s="9"/>
      <c r="AP3101" s="9"/>
      <c r="AQ3101" s="54">
        <f t="shared" si="40"/>
        <v>0</v>
      </c>
      <c r="AR3101" s="52"/>
      <c r="AS3101" s="52"/>
    </row>
    <row r="3102" spans="1:45" ht="14.5" hidden="1">
      <c r="A3102" s="9"/>
      <c r="B3102" s="9"/>
      <c r="C3102" s="9"/>
      <c r="D3102" s="9"/>
      <c r="E3102" s="9"/>
      <c r="F3102" s="9"/>
      <c r="G3102" s="9"/>
      <c r="H3102" s="9"/>
      <c r="I3102" s="9"/>
      <c r="J3102" s="10"/>
      <c r="K3102" s="10"/>
      <c r="L3102" s="50"/>
      <c r="M3102" s="10"/>
      <c r="N3102" s="9"/>
      <c r="O3102" s="9"/>
      <c r="P3102" s="9"/>
      <c r="Q3102" s="9"/>
      <c r="S3102" s="9"/>
      <c r="T3102" s="9"/>
      <c r="V3102" s="9"/>
      <c r="AH3102" s="9"/>
      <c r="AI3102" s="9"/>
      <c r="AJ3102" s="9"/>
      <c r="AK3102" s="23"/>
      <c r="AL3102" s="23"/>
      <c r="AM3102" s="26"/>
      <c r="AN3102" s="9"/>
      <c r="AO3102" s="9"/>
      <c r="AP3102" s="9"/>
      <c r="AQ3102" s="54">
        <f t="shared" si="40"/>
        <v>0</v>
      </c>
      <c r="AR3102" s="52"/>
      <c r="AS3102" s="52"/>
    </row>
    <row r="3103" spans="1:45" ht="14.5" hidden="1">
      <c r="A3103" s="9"/>
      <c r="B3103" s="9"/>
      <c r="C3103" s="9"/>
      <c r="D3103" s="9"/>
      <c r="E3103" s="9"/>
      <c r="F3103" s="9"/>
      <c r="G3103" s="9"/>
      <c r="H3103" s="9"/>
      <c r="I3103" s="9"/>
      <c r="J3103" s="10"/>
      <c r="K3103" s="10"/>
      <c r="L3103" s="50"/>
      <c r="M3103" s="10"/>
      <c r="N3103" s="9"/>
      <c r="O3103" s="9"/>
      <c r="P3103" s="9"/>
      <c r="Q3103" s="9"/>
      <c r="S3103" s="9"/>
      <c r="T3103" s="9"/>
      <c r="V3103" s="9"/>
      <c r="AH3103" s="9"/>
      <c r="AI3103" s="9"/>
      <c r="AJ3103" s="9"/>
      <c r="AK3103" s="23"/>
      <c r="AL3103" s="23"/>
      <c r="AM3103" s="26"/>
      <c r="AN3103" s="9"/>
      <c r="AO3103" s="9"/>
      <c r="AP3103" s="9"/>
      <c r="AQ3103" s="54">
        <f t="shared" si="40"/>
        <v>0</v>
      </c>
      <c r="AR3103" s="52"/>
      <c r="AS3103" s="52"/>
    </row>
    <row r="3104" spans="1:45" ht="14.5" hidden="1">
      <c r="A3104" s="9"/>
      <c r="B3104" s="9"/>
      <c r="C3104" s="9"/>
      <c r="D3104" s="9"/>
      <c r="E3104" s="9"/>
      <c r="F3104" s="9"/>
      <c r="G3104" s="9"/>
      <c r="H3104" s="9"/>
      <c r="I3104" s="9"/>
      <c r="J3104" s="10"/>
      <c r="K3104" s="10"/>
      <c r="L3104" s="50"/>
      <c r="M3104" s="10"/>
      <c r="N3104" s="9"/>
      <c r="O3104" s="9"/>
      <c r="P3104" s="9"/>
      <c r="Q3104" s="9"/>
      <c r="S3104" s="9"/>
      <c r="T3104" s="9"/>
      <c r="V3104" s="9"/>
      <c r="AH3104" s="9"/>
      <c r="AI3104" s="9"/>
      <c r="AJ3104" s="9"/>
      <c r="AK3104" s="23"/>
      <c r="AL3104" s="23"/>
      <c r="AM3104" s="26"/>
      <c r="AN3104" s="9"/>
      <c r="AO3104" s="9"/>
      <c r="AP3104" s="9"/>
      <c r="AQ3104" s="54">
        <f t="shared" si="40"/>
        <v>0</v>
      </c>
      <c r="AR3104" s="52"/>
      <c r="AS3104" s="52"/>
    </row>
    <row r="3105" spans="1:45" ht="14.5" hidden="1">
      <c r="A3105" s="9"/>
      <c r="B3105" s="9"/>
      <c r="C3105" s="9"/>
      <c r="D3105" s="9"/>
      <c r="E3105" s="9"/>
      <c r="F3105" s="9"/>
      <c r="G3105" s="9"/>
      <c r="H3105" s="9"/>
      <c r="I3105" s="9"/>
      <c r="J3105" s="10"/>
      <c r="K3105" s="10"/>
      <c r="L3105" s="50"/>
      <c r="M3105" s="10"/>
      <c r="N3105" s="9"/>
      <c r="O3105" s="9"/>
      <c r="P3105" s="9"/>
      <c r="Q3105" s="9"/>
      <c r="S3105" s="9"/>
      <c r="T3105" s="9"/>
      <c r="V3105" s="9"/>
      <c r="AH3105" s="9"/>
      <c r="AI3105" s="9"/>
      <c r="AJ3105" s="9"/>
      <c r="AK3105" s="23"/>
      <c r="AL3105" s="23"/>
      <c r="AM3105" s="26"/>
      <c r="AN3105" s="9"/>
      <c r="AO3105" s="9"/>
      <c r="AP3105" s="9"/>
      <c r="AQ3105" s="54">
        <f t="shared" si="40"/>
        <v>0</v>
      </c>
      <c r="AR3105" s="52"/>
      <c r="AS3105" s="52"/>
    </row>
    <row r="3106" spans="1:45" ht="14.5" hidden="1">
      <c r="A3106" s="9"/>
      <c r="B3106" s="9"/>
      <c r="C3106" s="9"/>
      <c r="D3106" s="9"/>
      <c r="E3106" s="9"/>
      <c r="F3106" s="9"/>
      <c r="G3106" s="9"/>
      <c r="H3106" s="9"/>
      <c r="I3106" s="9"/>
      <c r="J3106" s="10"/>
      <c r="K3106" s="10"/>
      <c r="L3106" s="50"/>
      <c r="M3106" s="10"/>
      <c r="N3106" s="9"/>
      <c r="O3106" s="9"/>
      <c r="P3106" s="9"/>
      <c r="Q3106" s="9"/>
      <c r="S3106" s="9"/>
      <c r="T3106" s="9"/>
      <c r="V3106" s="9"/>
      <c r="AH3106" s="9"/>
      <c r="AI3106" s="9"/>
      <c r="AJ3106" s="9"/>
      <c r="AK3106" s="23"/>
      <c r="AL3106" s="23"/>
      <c r="AM3106" s="26"/>
      <c r="AN3106" s="9"/>
      <c r="AO3106" s="9"/>
      <c r="AP3106" s="9"/>
      <c r="AQ3106" s="54">
        <f t="shared" si="40"/>
        <v>0</v>
      </c>
      <c r="AR3106" s="52"/>
      <c r="AS3106" s="52"/>
    </row>
    <row r="3107" spans="1:45" ht="14.5" hidden="1">
      <c r="A3107" s="9"/>
      <c r="B3107" s="9"/>
      <c r="C3107" s="9"/>
      <c r="D3107" s="9"/>
      <c r="E3107" s="9"/>
      <c r="F3107" s="9"/>
      <c r="G3107" s="9"/>
      <c r="H3107" s="9"/>
      <c r="I3107" s="9"/>
      <c r="J3107" s="10"/>
      <c r="K3107" s="10"/>
      <c r="L3107" s="50"/>
      <c r="M3107" s="10"/>
      <c r="N3107" s="9"/>
      <c r="O3107" s="9"/>
      <c r="P3107" s="9"/>
      <c r="Q3107" s="9"/>
      <c r="S3107" s="9"/>
      <c r="T3107" s="9"/>
      <c r="V3107" s="9"/>
      <c r="AH3107" s="9"/>
      <c r="AI3107" s="9"/>
      <c r="AJ3107" s="9"/>
      <c r="AK3107" s="23"/>
      <c r="AL3107" s="23"/>
      <c r="AM3107" s="26"/>
      <c r="AN3107" s="9"/>
      <c r="AO3107" s="9"/>
      <c r="AP3107" s="9"/>
      <c r="AQ3107" s="54">
        <f t="shared" si="40"/>
        <v>0</v>
      </c>
      <c r="AR3107" s="52"/>
      <c r="AS3107" s="52"/>
    </row>
    <row r="3108" spans="1:45" ht="14.5" hidden="1">
      <c r="A3108" s="9"/>
      <c r="B3108" s="9"/>
      <c r="C3108" s="9"/>
      <c r="D3108" s="9"/>
      <c r="E3108" s="9"/>
      <c r="F3108" s="9"/>
      <c r="G3108" s="9"/>
      <c r="H3108" s="9"/>
      <c r="I3108" s="9"/>
      <c r="J3108" s="10"/>
      <c r="K3108" s="10"/>
      <c r="L3108" s="50"/>
      <c r="M3108" s="10"/>
      <c r="N3108" s="9"/>
      <c r="O3108" s="9"/>
      <c r="P3108" s="9"/>
      <c r="Q3108" s="9"/>
      <c r="S3108" s="9"/>
      <c r="T3108" s="9"/>
      <c r="V3108" s="9"/>
      <c r="AH3108" s="9"/>
      <c r="AI3108" s="9"/>
      <c r="AJ3108" s="9"/>
      <c r="AK3108" s="23"/>
      <c r="AL3108" s="23"/>
      <c r="AM3108" s="26"/>
      <c r="AN3108" s="9"/>
      <c r="AO3108" s="9"/>
      <c r="AP3108" s="9"/>
      <c r="AQ3108" s="54">
        <f t="shared" si="40"/>
        <v>0</v>
      </c>
      <c r="AR3108" s="52"/>
      <c r="AS3108" s="52"/>
    </row>
    <row r="3109" spans="1:45" ht="14.5" hidden="1">
      <c r="A3109" s="9"/>
      <c r="B3109" s="9"/>
      <c r="C3109" s="9"/>
      <c r="D3109" s="9"/>
      <c r="E3109" s="9"/>
      <c r="F3109" s="9"/>
      <c r="G3109" s="9"/>
      <c r="H3109" s="9"/>
      <c r="I3109" s="9"/>
      <c r="J3109" s="10"/>
      <c r="K3109" s="10"/>
      <c r="L3109" s="50"/>
      <c r="M3109" s="10"/>
      <c r="N3109" s="9"/>
      <c r="O3109" s="9"/>
      <c r="P3109" s="9"/>
      <c r="Q3109" s="9"/>
      <c r="S3109" s="9"/>
      <c r="T3109" s="9"/>
      <c r="V3109" s="9"/>
      <c r="AH3109" s="9"/>
      <c r="AI3109" s="9"/>
      <c r="AJ3109" s="9"/>
      <c r="AK3109" s="23"/>
      <c r="AL3109" s="23"/>
      <c r="AM3109" s="26"/>
      <c r="AN3109" s="9"/>
      <c r="AO3109" s="9"/>
      <c r="AP3109" s="9"/>
      <c r="AQ3109" s="54">
        <f t="shared" si="40"/>
        <v>0</v>
      </c>
      <c r="AR3109" s="52"/>
      <c r="AS3109" s="52"/>
    </row>
    <row r="3110" spans="1:45" ht="14.5" hidden="1">
      <c r="A3110" s="9"/>
      <c r="B3110" s="9"/>
      <c r="C3110" s="9"/>
      <c r="D3110" s="9"/>
      <c r="E3110" s="9"/>
      <c r="F3110" s="9"/>
      <c r="G3110" s="9"/>
      <c r="H3110" s="9"/>
      <c r="I3110" s="9"/>
      <c r="J3110" s="10"/>
      <c r="K3110" s="10"/>
      <c r="L3110" s="50"/>
      <c r="M3110" s="10"/>
      <c r="N3110" s="9"/>
      <c r="O3110" s="9"/>
      <c r="P3110" s="9"/>
      <c r="Q3110" s="9"/>
      <c r="S3110" s="9"/>
      <c r="T3110" s="9"/>
      <c r="V3110" s="9"/>
      <c r="AH3110" s="9"/>
      <c r="AI3110" s="9"/>
      <c r="AJ3110" s="9"/>
      <c r="AK3110" s="23"/>
      <c r="AL3110" s="23"/>
      <c r="AM3110" s="26"/>
      <c r="AN3110" s="9"/>
      <c r="AO3110" s="9"/>
      <c r="AP3110" s="9"/>
      <c r="AQ3110" s="54">
        <f t="shared" si="40"/>
        <v>0</v>
      </c>
      <c r="AR3110" s="52"/>
      <c r="AS3110" s="52"/>
    </row>
    <row r="3111" spans="1:45" ht="14.5" hidden="1">
      <c r="A3111" s="9"/>
      <c r="B3111" s="9"/>
      <c r="C3111" s="9"/>
      <c r="D3111" s="9"/>
      <c r="E3111" s="9"/>
      <c r="F3111" s="9"/>
      <c r="G3111" s="9"/>
      <c r="H3111" s="9"/>
      <c r="I3111" s="9"/>
      <c r="J3111" s="10"/>
      <c r="K3111" s="10"/>
      <c r="L3111" s="50"/>
      <c r="M3111" s="10"/>
      <c r="N3111" s="9"/>
      <c r="O3111" s="9"/>
      <c r="P3111" s="9"/>
      <c r="Q3111" s="9"/>
      <c r="S3111" s="9"/>
      <c r="T3111" s="9"/>
      <c r="V3111" s="9"/>
      <c r="AH3111" s="9"/>
      <c r="AI3111" s="9"/>
      <c r="AJ3111" s="9"/>
      <c r="AK3111" s="23"/>
      <c r="AL3111" s="23"/>
      <c r="AM3111" s="26"/>
      <c r="AN3111" s="9"/>
      <c r="AO3111" s="9"/>
      <c r="AP3111" s="9"/>
      <c r="AQ3111" s="54">
        <f t="shared" si="40"/>
        <v>0</v>
      </c>
      <c r="AR3111" s="52"/>
      <c r="AS3111" s="52"/>
    </row>
    <row r="3112" spans="1:45" ht="14.5" hidden="1">
      <c r="A3112" s="9"/>
      <c r="B3112" s="9"/>
      <c r="C3112" s="9"/>
      <c r="D3112" s="9"/>
      <c r="E3112" s="9"/>
      <c r="F3112" s="9"/>
      <c r="G3112" s="9"/>
      <c r="H3112" s="9"/>
      <c r="I3112" s="9"/>
      <c r="J3112" s="10"/>
      <c r="K3112" s="10"/>
      <c r="L3112" s="50"/>
      <c r="M3112" s="10"/>
      <c r="N3112" s="9"/>
      <c r="O3112" s="9"/>
      <c r="P3112" s="9"/>
      <c r="Q3112" s="9"/>
      <c r="S3112" s="9"/>
      <c r="T3112" s="9"/>
      <c r="V3112" s="9"/>
      <c r="AH3112" s="9"/>
      <c r="AI3112" s="9"/>
      <c r="AJ3112" s="9"/>
      <c r="AK3112" s="23"/>
      <c r="AL3112" s="23"/>
      <c r="AM3112" s="26"/>
      <c r="AN3112" s="9"/>
      <c r="AO3112" s="9"/>
      <c r="AP3112" s="9"/>
      <c r="AQ3112" s="54">
        <f t="shared" si="40"/>
        <v>0</v>
      </c>
      <c r="AR3112" s="52"/>
      <c r="AS3112" s="52"/>
    </row>
    <row r="3113" spans="1:45" ht="14.5" hidden="1">
      <c r="A3113" s="9"/>
      <c r="B3113" s="9"/>
      <c r="C3113" s="9"/>
      <c r="D3113" s="9"/>
      <c r="E3113" s="9"/>
      <c r="F3113" s="9"/>
      <c r="G3113" s="9"/>
      <c r="H3113" s="9"/>
      <c r="I3113" s="9"/>
      <c r="J3113" s="10"/>
      <c r="K3113" s="10"/>
      <c r="L3113" s="50"/>
      <c r="M3113" s="10"/>
      <c r="N3113" s="9"/>
      <c r="O3113" s="9"/>
      <c r="P3113" s="9"/>
      <c r="Q3113" s="9"/>
      <c r="S3113" s="9"/>
      <c r="T3113" s="9"/>
      <c r="V3113" s="9"/>
      <c r="AH3113" s="9"/>
      <c r="AI3113" s="9"/>
      <c r="AJ3113" s="9"/>
      <c r="AK3113" s="23"/>
      <c r="AL3113" s="23"/>
      <c r="AM3113" s="26"/>
      <c r="AN3113" s="9"/>
      <c r="AO3113" s="9"/>
      <c r="AP3113" s="9"/>
      <c r="AQ3113" s="54">
        <f t="shared" si="40"/>
        <v>0</v>
      </c>
      <c r="AR3113" s="52"/>
      <c r="AS3113" s="52"/>
    </row>
    <row r="3114" spans="1:45" ht="14.5" hidden="1">
      <c r="A3114" s="9"/>
      <c r="B3114" s="9"/>
      <c r="C3114" s="9"/>
      <c r="D3114" s="9"/>
      <c r="E3114" s="9"/>
      <c r="F3114" s="9"/>
      <c r="G3114" s="9"/>
      <c r="H3114" s="9"/>
      <c r="I3114" s="9"/>
      <c r="J3114" s="10"/>
      <c r="K3114" s="10"/>
      <c r="L3114" s="50"/>
      <c r="M3114" s="10"/>
      <c r="N3114" s="9"/>
      <c r="O3114" s="9"/>
      <c r="P3114" s="9"/>
      <c r="Q3114" s="9"/>
      <c r="S3114" s="9"/>
      <c r="T3114" s="9"/>
      <c r="V3114" s="9"/>
      <c r="AH3114" s="9"/>
      <c r="AI3114" s="9"/>
      <c r="AJ3114" s="9"/>
      <c r="AK3114" s="23"/>
      <c r="AL3114" s="23"/>
      <c r="AM3114" s="26"/>
      <c r="AN3114" s="9"/>
      <c r="AO3114" s="9"/>
      <c r="AP3114" s="9"/>
      <c r="AQ3114" s="54">
        <f t="shared" si="40"/>
        <v>0</v>
      </c>
      <c r="AR3114" s="52"/>
      <c r="AS3114" s="52"/>
    </row>
    <row r="3115" spans="1:45" ht="14.5" hidden="1">
      <c r="A3115" s="9"/>
      <c r="B3115" s="9"/>
      <c r="C3115" s="9"/>
      <c r="D3115" s="9"/>
      <c r="E3115" s="9"/>
      <c r="F3115" s="9"/>
      <c r="G3115" s="9"/>
      <c r="H3115" s="9"/>
      <c r="I3115" s="9"/>
      <c r="J3115" s="10"/>
      <c r="K3115" s="10"/>
      <c r="L3115" s="50"/>
      <c r="M3115" s="10"/>
      <c r="N3115" s="9"/>
      <c r="O3115" s="9"/>
      <c r="P3115" s="9"/>
      <c r="Q3115" s="9"/>
      <c r="S3115" s="9"/>
      <c r="T3115" s="9"/>
      <c r="V3115" s="9"/>
      <c r="AH3115" s="9"/>
      <c r="AI3115" s="9"/>
      <c r="AJ3115" s="9"/>
      <c r="AK3115" s="23"/>
      <c r="AL3115" s="23"/>
      <c r="AM3115" s="26"/>
      <c r="AN3115" s="9"/>
      <c r="AO3115" s="9"/>
      <c r="AP3115" s="9"/>
      <c r="AQ3115" s="54">
        <f t="shared" si="40"/>
        <v>0</v>
      </c>
      <c r="AR3115" s="52"/>
      <c r="AS3115" s="52"/>
    </row>
    <row r="3116" spans="1:45" ht="14.5" hidden="1">
      <c r="A3116" s="9"/>
      <c r="B3116" s="9"/>
      <c r="C3116" s="9"/>
      <c r="D3116" s="9"/>
      <c r="E3116" s="9"/>
      <c r="F3116" s="9"/>
      <c r="G3116" s="9"/>
      <c r="H3116" s="9"/>
      <c r="I3116" s="9"/>
      <c r="J3116" s="10"/>
      <c r="K3116" s="10"/>
      <c r="L3116" s="50"/>
      <c r="M3116" s="10"/>
      <c r="N3116" s="9"/>
      <c r="O3116" s="9"/>
      <c r="P3116" s="9"/>
      <c r="Q3116" s="9"/>
      <c r="S3116" s="9"/>
      <c r="T3116" s="9"/>
      <c r="V3116" s="9"/>
      <c r="AH3116" s="9"/>
      <c r="AI3116" s="9"/>
      <c r="AJ3116" s="9"/>
      <c r="AK3116" s="23"/>
      <c r="AL3116" s="23"/>
      <c r="AM3116" s="26"/>
      <c r="AN3116" s="9"/>
      <c r="AO3116" s="9"/>
      <c r="AP3116" s="9"/>
      <c r="AQ3116" s="54">
        <f t="shared" si="40"/>
        <v>0</v>
      </c>
      <c r="AR3116" s="52"/>
      <c r="AS3116" s="52"/>
    </row>
    <row r="3117" spans="1:45" ht="14.5" hidden="1">
      <c r="A3117" s="9"/>
      <c r="B3117" s="9"/>
      <c r="C3117" s="9"/>
      <c r="D3117" s="9"/>
      <c r="E3117" s="9"/>
      <c r="F3117" s="9"/>
      <c r="G3117" s="9"/>
      <c r="H3117" s="9"/>
      <c r="I3117" s="9"/>
      <c r="J3117" s="10"/>
      <c r="K3117" s="10"/>
      <c r="L3117" s="50"/>
      <c r="M3117" s="10"/>
      <c r="N3117" s="9"/>
      <c r="O3117" s="9"/>
      <c r="P3117" s="9"/>
      <c r="Q3117" s="9"/>
      <c r="S3117" s="9"/>
      <c r="T3117" s="9"/>
      <c r="V3117" s="9"/>
      <c r="AH3117" s="9"/>
      <c r="AI3117" s="9"/>
      <c r="AJ3117" s="9"/>
      <c r="AK3117" s="23"/>
      <c r="AL3117" s="23"/>
      <c r="AM3117" s="26"/>
      <c r="AN3117" s="9"/>
      <c r="AO3117" s="9"/>
      <c r="AP3117" s="9"/>
      <c r="AQ3117" s="54">
        <f t="shared" si="40"/>
        <v>0</v>
      </c>
      <c r="AR3117" s="52"/>
      <c r="AS3117" s="52"/>
    </row>
    <row r="3118" spans="1:45" ht="14.5" hidden="1">
      <c r="A3118" s="9"/>
      <c r="B3118" s="9"/>
      <c r="C3118" s="9"/>
      <c r="D3118" s="9"/>
      <c r="E3118" s="9"/>
      <c r="F3118" s="9"/>
      <c r="G3118" s="9"/>
      <c r="H3118" s="9"/>
      <c r="I3118" s="9"/>
      <c r="J3118" s="10"/>
      <c r="K3118" s="10"/>
      <c r="L3118" s="50"/>
      <c r="M3118" s="10"/>
      <c r="N3118" s="9"/>
      <c r="O3118" s="9"/>
      <c r="P3118" s="9"/>
      <c r="Q3118" s="9"/>
      <c r="S3118" s="9"/>
      <c r="T3118" s="9"/>
      <c r="V3118" s="9"/>
      <c r="AH3118" s="9"/>
      <c r="AI3118" s="9"/>
      <c r="AJ3118" s="9"/>
      <c r="AK3118" s="23"/>
      <c r="AL3118" s="23"/>
      <c r="AM3118" s="26"/>
      <c r="AN3118" s="9"/>
      <c r="AO3118" s="9"/>
      <c r="AP3118" s="9"/>
      <c r="AQ3118" s="54">
        <f t="shared" si="40"/>
        <v>0</v>
      </c>
      <c r="AR3118" s="52"/>
      <c r="AS3118" s="52"/>
    </row>
    <row r="3119" spans="1:45" ht="14.5" hidden="1">
      <c r="A3119" s="9"/>
      <c r="B3119" s="9"/>
      <c r="C3119" s="9"/>
      <c r="D3119" s="9"/>
      <c r="E3119" s="9"/>
      <c r="F3119" s="9"/>
      <c r="G3119" s="9"/>
      <c r="H3119" s="9"/>
      <c r="I3119" s="9"/>
      <c r="J3119" s="10"/>
      <c r="K3119" s="10"/>
      <c r="L3119" s="50"/>
      <c r="M3119" s="10"/>
      <c r="N3119" s="9"/>
      <c r="O3119" s="9"/>
      <c r="P3119" s="9"/>
      <c r="Q3119" s="9"/>
      <c r="S3119" s="9"/>
      <c r="T3119" s="9"/>
      <c r="V3119" s="9"/>
      <c r="AH3119" s="9"/>
      <c r="AI3119" s="9"/>
      <c r="AJ3119" s="9"/>
      <c r="AK3119" s="23"/>
      <c r="AL3119" s="23"/>
      <c r="AM3119" s="26"/>
      <c r="AN3119" s="9"/>
      <c r="AO3119" s="9"/>
      <c r="AP3119" s="9"/>
      <c r="AQ3119" s="54">
        <f t="shared" si="40"/>
        <v>0</v>
      </c>
      <c r="AR3119" s="52"/>
      <c r="AS3119" s="52"/>
    </row>
    <row r="3120" spans="1:45" ht="14.5" hidden="1">
      <c r="A3120" s="9"/>
      <c r="B3120" s="9"/>
      <c r="C3120" s="9"/>
      <c r="D3120" s="9"/>
      <c r="E3120" s="9"/>
      <c r="F3120" s="9"/>
      <c r="G3120" s="9"/>
      <c r="H3120" s="9"/>
      <c r="I3120" s="9"/>
      <c r="J3120" s="10"/>
      <c r="K3120" s="10"/>
      <c r="L3120" s="50"/>
      <c r="M3120" s="10"/>
      <c r="N3120" s="9"/>
      <c r="O3120" s="9"/>
      <c r="P3120" s="9"/>
      <c r="Q3120" s="9"/>
      <c r="S3120" s="9"/>
      <c r="T3120" s="9"/>
      <c r="V3120" s="9"/>
      <c r="AH3120" s="9"/>
      <c r="AI3120" s="9"/>
      <c r="AJ3120" s="9"/>
      <c r="AK3120" s="23"/>
      <c r="AL3120" s="23"/>
      <c r="AM3120" s="26"/>
      <c r="AN3120" s="9"/>
      <c r="AO3120" s="9"/>
      <c r="AP3120" s="9"/>
      <c r="AQ3120" s="54">
        <f t="shared" si="40"/>
        <v>0</v>
      </c>
      <c r="AR3120" s="52"/>
      <c r="AS3120" s="52"/>
    </row>
    <row r="3121" spans="1:45" ht="14.5" hidden="1">
      <c r="A3121" s="9"/>
      <c r="B3121" s="9"/>
      <c r="C3121" s="9"/>
      <c r="D3121" s="9"/>
      <c r="E3121" s="9"/>
      <c r="F3121" s="9"/>
      <c r="G3121" s="9"/>
      <c r="H3121" s="9"/>
      <c r="I3121" s="9"/>
      <c r="J3121" s="10"/>
      <c r="K3121" s="10"/>
      <c r="L3121" s="50"/>
      <c r="M3121" s="10"/>
      <c r="N3121" s="9"/>
      <c r="O3121" s="9"/>
      <c r="P3121" s="9"/>
      <c r="Q3121" s="9"/>
      <c r="S3121" s="9"/>
      <c r="T3121" s="9"/>
      <c r="V3121" s="9"/>
      <c r="AH3121" s="9"/>
      <c r="AI3121" s="9"/>
      <c r="AJ3121" s="9"/>
      <c r="AK3121" s="23"/>
      <c r="AL3121" s="23"/>
      <c r="AM3121" s="26"/>
      <c r="AN3121" s="9"/>
      <c r="AO3121" s="9"/>
      <c r="AP3121" s="9"/>
      <c r="AQ3121" s="54">
        <f t="shared" si="40"/>
        <v>0</v>
      </c>
      <c r="AR3121" s="52"/>
      <c r="AS3121" s="52"/>
    </row>
    <row r="3122" spans="1:45" ht="14.5" hidden="1">
      <c r="A3122" s="9"/>
      <c r="B3122" s="9"/>
      <c r="C3122" s="9"/>
      <c r="D3122" s="9"/>
      <c r="E3122" s="9"/>
      <c r="F3122" s="9"/>
      <c r="G3122" s="9"/>
      <c r="H3122" s="9"/>
      <c r="I3122" s="9"/>
      <c r="J3122" s="10"/>
      <c r="K3122" s="10"/>
      <c r="L3122" s="50"/>
      <c r="M3122" s="10"/>
      <c r="N3122" s="9"/>
      <c r="O3122" s="9"/>
      <c r="P3122" s="9"/>
      <c r="Q3122" s="9"/>
      <c r="S3122" s="9"/>
      <c r="T3122" s="9"/>
      <c r="V3122" s="9"/>
      <c r="AH3122" s="9"/>
      <c r="AI3122" s="9"/>
      <c r="AJ3122" s="9"/>
      <c r="AK3122" s="23"/>
      <c r="AL3122" s="23"/>
      <c r="AM3122" s="26"/>
      <c r="AN3122" s="9"/>
      <c r="AO3122" s="9"/>
      <c r="AP3122" s="9"/>
      <c r="AQ3122" s="54">
        <f t="shared" si="40"/>
        <v>0</v>
      </c>
      <c r="AR3122" s="52"/>
      <c r="AS3122" s="52"/>
    </row>
    <row r="3123" spans="1:45" ht="14.5" hidden="1">
      <c r="A3123" s="9"/>
      <c r="B3123" s="9"/>
      <c r="C3123" s="9"/>
      <c r="D3123" s="9"/>
      <c r="E3123" s="9"/>
      <c r="F3123" s="9"/>
      <c r="G3123" s="9"/>
      <c r="H3123" s="9"/>
      <c r="I3123" s="9"/>
      <c r="J3123" s="10"/>
      <c r="K3123" s="10"/>
      <c r="L3123" s="50"/>
      <c r="M3123" s="10"/>
      <c r="N3123" s="9"/>
      <c r="O3123" s="9"/>
      <c r="P3123" s="9"/>
      <c r="Q3123" s="9"/>
      <c r="S3123" s="9"/>
      <c r="T3123" s="9"/>
      <c r="V3123" s="9"/>
      <c r="AH3123" s="9"/>
      <c r="AI3123" s="9"/>
      <c r="AJ3123" s="9"/>
      <c r="AK3123" s="23"/>
      <c r="AL3123" s="23"/>
      <c r="AM3123" s="26"/>
      <c r="AN3123" s="9"/>
      <c r="AO3123" s="9"/>
      <c r="AP3123" s="9"/>
      <c r="AQ3123" s="54">
        <f t="shared" si="40"/>
        <v>0</v>
      </c>
      <c r="AR3123" s="52"/>
      <c r="AS3123" s="52"/>
    </row>
    <row r="3124" spans="1:45" ht="14.5" hidden="1">
      <c r="A3124" s="9"/>
      <c r="B3124" s="9"/>
      <c r="C3124" s="9"/>
      <c r="D3124" s="9"/>
      <c r="E3124" s="9"/>
      <c r="F3124" s="9"/>
      <c r="G3124" s="9"/>
      <c r="H3124" s="9"/>
      <c r="I3124" s="9"/>
      <c r="J3124" s="10"/>
      <c r="K3124" s="10"/>
      <c r="L3124" s="50"/>
      <c r="M3124" s="10"/>
      <c r="N3124" s="9"/>
      <c r="O3124" s="9"/>
      <c r="P3124" s="9"/>
      <c r="Q3124" s="9"/>
      <c r="S3124" s="9"/>
      <c r="T3124" s="9"/>
      <c r="V3124" s="9"/>
      <c r="AH3124" s="9"/>
      <c r="AI3124" s="9"/>
      <c r="AJ3124" s="9"/>
      <c r="AK3124" s="23"/>
      <c r="AL3124" s="23"/>
      <c r="AM3124" s="26"/>
      <c r="AN3124" s="9"/>
      <c r="AO3124" s="9"/>
      <c r="AP3124" s="9"/>
      <c r="AQ3124" s="54">
        <f t="shared" si="40"/>
        <v>0</v>
      </c>
      <c r="AR3124" s="52"/>
      <c r="AS3124" s="52"/>
    </row>
    <row r="3125" spans="1:45" ht="14.5" hidden="1">
      <c r="A3125" s="9"/>
      <c r="B3125" s="9"/>
      <c r="C3125" s="9"/>
      <c r="D3125" s="9"/>
      <c r="E3125" s="9"/>
      <c r="F3125" s="9"/>
      <c r="G3125" s="9"/>
      <c r="H3125" s="9"/>
      <c r="I3125" s="9"/>
      <c r="J3125" s="10"/>
      <c r="K3125" s="10"/>
      <c r="L3125" s="50"/>
      <c r="M3125" s="10"/>
      <c r="N3125" s="9"/>
      <c r="O3125" s="9"/>
      <c r="P3125" s="9"/>
      <c r="Q3125" s="9"/>
      <c r="S3125" s="9"/>
      <c r="T3125" s="9"/>
      <c r="V3125" s="9"/>
      <c r="AH3125" s="9"/>
      <c r="AI3125" s="9"/>
      <c r="AJ3125" s="9"/>
      <c r="AK3125" s="23"/>
      <c r="AL3125" s="23"/>
      <c r="AM3125" s="26"/>
      <c r="AN3125" s="9"/>
      <c r="AO3125" s="9"/>
      <c r="AP3125" s="9"/>
      <c r="AQ3125" s="54">
        <f t="shared" si="40"/>
        <v>0</v>
      </c>
      <c r="AR3125" s="52"/>
      <c r="AS3125" s="52"/>
    </row>
    <row r="3126" spans="1:45" ht="14.5" hidden="1">
      <c r="A3126" s="9"/>
      <c r="B3126" s="9"/>
      <c r="C3126" s="9"/>
      <c r="D3126" s="9"/>
      <c r="E3126" s="9"/>
      <c r="F3126" s="9"/>
      <c r="G3126" s="9"/>
      <c r="H3126" s="9"/>
      <c r="I3126" s="9"/>
      <c r="J3126" s="10"/>
      <c r="K3126" s="10"/>
      <c r="L3126" s="50"/>
      <c r="M3126" s="10"/>
      <c r="N3126" s="9"/>
      <c r="O3126" s="9"/>
      <c r="P3126" s="9"/>
      <c r="Q3126" s="9"/>
      <c r="S3126" s="9"/>
      <c r="T3126" s="9"/>
      <c r="V3126" s="9"/>
      <c r="AH3126" s="9"/>
      <c r="AI3126" s="9"/>
      <c r="AJ3126" s="9"/>
      <c r="AK3126" s="23"/>
      <c r="AL3126" s="23"/>
      <c r="AM3126" s="26"/>
      <c r="AN3126" s="9"/>
      <c r="AO3126" s="9"/>
      <c r="AP3126" s="9"/>
      <c r="AQ3126" s="54">
        <f t="shared" si="40"/>
        <v>0</v>
      </c>
      <c r="AR3126" s="52"/>
      <c r="AS3126" s="52"/>
    </row>
    <row r="3127" spans="1:45" ht="14.5" hidden="1">
      <c r="A3127" s="9"/>
      <c r="B3127" s="9"/>
      <c r="C3127" s="9"/>
      <c r="D3127" s="9"/>
      <c r="E3127" s="9"/>
      <c r="F3127" s="9"/>
      <c r="G3127" s="9"/>
      <c r="H3127" s="9"/>
      <c r="I3127" s="9"/>
      <c r="J3127" s="10"/>
      <c r="K3127" s="10"/>
      <c r="L3127" s="50"/>
      <c r="M3127" s="10"/>
      <c r="N3127" s="9"/>
      <c r="O3127" s="9"/>
      <c r="P3127" s="9"/>
      <c r="Q3127" s="9"/>
      <c r="S3127" s="9"/>
      <c r="T3127" s="9"/>
      <c r="V3127" s="9"/>
      <c r="AH3127" s="9"/>
      <c r="AI3127" s="9"/>
      <c r="AJ3127" s="9"/>
      <c r="AK3127" s="23"/>
      <c r="AL3127" s="23"/>
      <c r="AM3127" s="26"/>
      <c r="AN3127" s="9"/>
      <c r="AO3127" s="9"/>
      <c r="AP3127" s="9"/>
      <c r="AQ3127" s="54">
        <f t="shared" si="40"/>
        <v>0</v>
      </c>
      <c r="AR3127" s="52"/>
      <c r="AS3127" s="52"/>
    </row>
    <row r="3128" spans="1:45" ht="14.5" hidden="1">
      <c r="A3128" s="9"/>
      <c r="B3128" s="9"/>
      <c r="C3128" s="9"/>
      <c r="D3128" s="9"/>
      <c r="E3128" s="9"/>
      <c r="F3128" s="9"/>
      <c r="G3128" s="9"/>
      <c r="H3128" s="9"/>
      <c r="I3128" s="9"/>
      <c r="J3128" s="10"/>
      <c r="K3128" s="10"/>
      <c r="L3128" s="50"/>
      <c r="M3128" s="10"/>
      <c r="N3128" s="9"/>
      <c r="O3128" s="9"/>
      <c r="P3128" s="9"/>
      <c r="Q3128" s="9"/>
      <c r="S3128" s="9"/>
      <c r="T3128" s="9"/>
      <c r="V3128" s="9"/>
      <c r="AH3128" s="9"/>
      <c r="AI3128" s="9"/>
      <c r="AJ3128" s="9"/>
      <c r="AK3128" s="23"/>
      <c r="AL3128" s="23"/>
      <c r="AM3128" s="26"/>
      <c r="AN3128" s="9"/>
      <c r="AO3128" s="9"/>
      <c r="AP3128" s="9"/>
      <c r="AQ3128" s="54">
        <f t="shared" si="40"/>
        <v>0</v>
      </c>
      <c r="AR3128" s="52"/>
      <c r="AS3128" s="52"/>
    </row>
    <row r="3129" spans="1:45" ht="14.5" hidden="1">
      <c r="A3129" s="9"/>
      <c r="B3129" s="9"/>
      <c r="C3129" s="9"/>
      <c r="D3129" s="9"/>
      <c r="E3129" s="9"/>
      <c r="F3129" s="9"/>
      <c r="G3129" s="9"/>
      <c r="H3129" s="9"/>
      <c r="I3129" s="9"/>
      <c r="J3129" s="10"/>
      <c r="K3129" s="10"/>
      <c r="L3129" s="50"/>
      <c r="M3129" s="10"/>
      <c r="N3129" s="9"/>
      <c r="O3129" s="9"/>
      <c r="P3129" s="9"/>
      <c r="Q3129" s="9"/>
      <c r="S3129" s="9"/>
      <c r="T3129" s="9"/>
      <c r="V3129" s="9"/>
      <c r="AH3129" s="9"/>
      <c r="AI3129" s="9"/>
      <c r="AJ3129" s="9"/>
      <c r="AK3129" s="23"/>
      <c r="AL3129" s="23"/>
      <c r="AM3129" s="26"/>
      <c r="AN3129" s="9"/>
      <c r="AO3129" s="9"/>
      <c r="AP3129" s="9"/>
      <c r="AQ3129" s="54">
        <f t="shared" si="40"/>
        <v>0</v>
      </c>
      <c r="AR3129" s="52"/>
      <c r="AS3129" s="52"/>
    </row>
    <row r="3130" spans="1:45" ht="14.5" hidden="1">
      <c r="A3130" s="9"/>
      <c r="B3130" s="9"/>
      <c r="C3130" s="9"/>
      <c r="D3130" s="9"/>
      <c r="E3130" s="9"/>
      <c r="F3130" s="9"/>
      <c r="G3130" s="9"/>
      <c r="H3130" s="9"/>
      <c r="I3130" s="9"/>
      <c r="J3130" s="10"/>
      <c r="K3130" s="10"/>
      <c r="L3130" s="50"/>
      <c r="M3130" s="10"/>
      <c r="N3130" s="9"/>
      <c r="O3130" s="9"/>
      <c r="P3130" s="9"/>
      <c r="Q3130" s="9"/>
      <c r="S3130" s="9"/>
      <c r="T3130" s="9"/>
      <c r="V3130" s="9"/>
      <c r="AH3130" s="9"/>
      <c r="AI3130" s="9"/>
      <c r="AJ3130" s="9"/>
      <c r="AK3130" s="23"/>
      <c r="AL3130" s="23"/>
      <c r="AM3130" s="26"/>
      <c r="AN3130" s="9"/>
      <c r="AO3130" s="9"/>
      <c r="AP3130" s="9"/>
      <c r="AQ3130" s="54">
        <f t="shared" si="40"/>
        <v>0</v>
      </c>
      <c r="AR3130" s="52"/>
      <c r="AS3130" s="52"/>
    </row>
    <row r="3131" spans="1:45" ht="14.5" hidden="1">
      <c r="A3131" s="9"/>
      <c r="B3131" s="9"/>
      <c r="C3131" s="9"/>
      <c r="D3131" s="9"/>
      <c r="E3131" s="9"/>
      <c r="F3131" s="9"/>
      <c r="G3131" s="9"/>
      <c r="H3131" s="9"/>
      <c r="I3131" s="9"/>
      <c r="J3131" s="10"/>
      <c r="K3131" s="10"/>
      <c r="L3131" s="50"/>
      <c r="M3131" s="10"/>
      <c r="N3131" s="9"/>
      <c r="O3131" s="9"/>
      <c r="P3131" s="9"/>
      <c r="Q3131" s="9"/>
      <c r="S3131" s="9"/>
      <c r="T3131" s="9"/>
      <c r="V3131" s="9"/>
      <c r="AH3131" s="9"/>
      <c r="AI3131" s="9"/>
      <c r="AJ3131" s="9"/>
      <c r="AK3131" s="23"/>
      <c r="AL3131" s="23"/>
      <c r="AM3131" s="26"/>
      <c r="AN3131" s="9"/>
      <c r="AO3131" s="9"/>
      <c r="AP3131" s="9"/>
      <c r="AQ3131" s="54">
        <f t="shared" si="40"/>
        <v>0</v>
      </c>
      <c r="AR3131" s="52"/>
      <c r="AS3131" s="52"/>
    </row>
    <row r="3132" spans="1:45" ht="14.5" hidden="1">
      <c r="A3132" s="9"/>
      <c r="B3132" s="9"/>
      <c r="C3132" s="9"/>
      <c r="D3132" s="9"/>
      <c r="E3132" s="9"/>
      <c r="F3132" s="9"/>
      <c r="G3132" s="9"/>
      <c r="H3132" s="9"/>
      <c r="I3132" s="9"/>
      <c r="J3132" s="10"/>
      <c r="K3132" s="10"/>
      <c r="L3132" s="50"/>
      <c r="M3132" s="10"/>
      <c r="N3132" s="9"/>
      <c r="O3132" s="9"/>
      <c r="P3132" s="9"/>
      <c r="Q3132" s="9"/>
      <c r="S3132" s="9"/>
      <c r="T3132" s="9"/>
      <c r="V3132" s="9"/>
      <c r="AH3132" s="9"/>
      <c r="AI3132" s="9"/>
      <c r="AJ3132" s="9"/>
      <c r="AK3132" s="23"/>
      <c r="AL3132" s="23"/>
      <c r="AM3132" s="26"/>
      <c r="AN3132" s="9"/>
      <c r="AO3132" s="9"/>
      <c r="AP3132" s="9"/>
      <c r="AQ3132" s="54">
        <f t="shared" si="40"/>
        <v>0</v>
      </c>
      <c r="AR3132" s="52"/>
      <c r="AS3132" s="52"/>
    </row>
    <row r="3133" spans="1:45" ht="14.5" hidden="1">
      <c r="A3133" s="9"/>
      <c r="B3133" s="9"/>
      <c r="C3133" s="9"/>
      <c r="D3133" s="9"/>
      <c r="E3133" s="9"/>
      <c r="F3133" s="9"/>
      <c r="G3133" s="9"/>
      <c r="H3133" s="9"/>
      <c r="I3133" s="9"/>
      <c r="J3133" s="10"/>
      <c r="K3133" s="10"/>
      <c r="L3133" s="50"/>
      <c r="M3133" s="10"/>
      <c r="N3133" s="9"/>
      <c r="O3133" s="9"/>
      <c r="P3133" s="9"/>
      <c r="Q3133" s="9"/>
      <c r="S3133" s="9"/>
      <c r="T3133" s="9"/>
      <c r="V3133" s="9"/>
      <c r="AH3133" s="9"/>
      <c r="AI3133" s="9"/>
      <c r="AJ3133" s="9"/>
      <c r="AK3133" s="23"/>
      <c r="AL3133" s="23"/>
      <c r="AM3133" s="26"/>
      <c r="AN3133" s="9"/>
      <c r="AO3133" s="9"/>
      <c r="AP3133" s="9"/>
      <c r="AQ3133" s="54">
        <f t="shared" si="40"/>
        <v>0</v>
      </c>
      <c r="AR3133" s="52"/>
      <c r="AS3133" s="52"/>
    </row>
    <row r="3134" spans="1:45" ht="14.5" hidden="1">
      <c r="A3134" s="9"/>
      <c r="B3134" s="9"/>
      <c r="C3134" s="9"/>
      <c r="D3134" s="9"/>
      <c r="E3134" s="9"/>
      <c r="F3134" s="9"/>
      <c r="G3134" s="9"/>
      <c r="H3134" s="9"/>
      <c r="I3134" s="9"/>
      <c r="J3134" s="10"/>
      <c r="K3134" s="10"/>
      <c r="L3134" s="50"/>
      <c r="M3134" s="10"/>
      <c r="N3134" s="9"/>
      <c r="O3134" s="9"/>
      <c r="P3134" s="9"/>
      <c r="Q3134" s="9"/>
      <c r="S3134" s="9"/>
      <c r="T3134" s="9"/>
      <c r="V3134" s="9"/>
      <c r="AH3134" s="9"/>
      <c r="AI3134" s="9"/>
      <c r="AJ3134" s="9"/>
      <c r="AK3134" s="23"/>
      <c r="AL3134" s="23"/>
      <c r="AM3134" s="26"/>
      <c r="AN3134" s="9"/>
      <c r="AO3134" s="9"/>
      <c r="AP3134" s="9"/>
      <c r="AQ3134" s="54">
        <f t="shared" si="40"/>
        <v>0</v>
      </c>
      <c r="AR3134" s="52"/>
      <c r="AS3134" s="52"/>
    </row>
    <row r="3135" spans="1:45" ht="14.5" hidden="1">
      <c r="A3135" s="9"/>
      <c r="B3135" s="9"/>
      <c r="C3135" s="9"/>
      <c r="D3135" s="9"/>
      <c r="E3135" s="9"/>
      <c r="F3135" s="9"/>
      <c r="G3135" s="9"/>
      <c r="H3135" s="9"/>
      <c r="I3135" s="9"/>
      <c r="J3135" s="10"/>
      <c r="K3135" s="10"/>
      <c r="L3135" s="50"/>
      <c r="M3135" s="10"/>
      <c r="N3135" s="9"/>
      <c r="O3135" s="9"/>
      <c r="P3135" s="9"/>
      <c r="Q3135" s="9"/>
      <c r="S3135" s="9"/>
      <c r="T3135" s="9"/>
      <c r="V3135" s="9"/>
      <c r="AH3135" s="9"/>
      <c r="AI3135" s="9"/>
      <c r="AJ3135" s="9"/>
      <c r="AK3135" s="23"/>
      <c r="AL3135" s="23"/>
      <c r="AM3135" s="26"/>
      <c r="AN3135" s="9"/>
      <c r="AO3135" s="9"/>
      <c r="AP3135" s="9"/>
      <c r="AQ3135" s="54">
        <f t="shared" si="40"/>
        <v>0</v>
      </c>
      <c r="AR3135" s="52"/>
      <c r="AS3135" s="52"/>
    </row>
    <row r="3136" spans="1:45" ht="14.5" hidden="1">
      <c r="A3136" s="9"/>
      <c r="B3136" s="9"/>
      <c r="C3136" s="9"/>
      <c r="D3136" s="9"/>
      <c r="E3136" s="9"/>
      <c r="F3136" s="9"/>
      <c r="G3136" s="9"/>
      <c r="H3136" s="9"/>
      <c r="I3136" s="9"/>
      <c r="J3136" s="10"/>
      <c r="K3136" s="10"/>
      <c r="L3136" s="50"/>
      <c r="M3136" s="10"/>
      <c r="N3136" s="9"/>
      <c r="O3136" s="9"/>
      <c r="P3136" s="9"/>
      <c r="Q3136" s="9"/>
      <c r="S3136" s="9"/>
      <c r="T3136" s="9"/>
      <c r="V3136" s="9"/>
      <c r="AH3136" s="9"/>
      <c r="AI3136" s="9"/>
      <c r="AJ3136" s="9"/>
      <c r="AK3136" s="23"/>
      <c r="AL3136" s="23"/>
      <c r="AM3136" s="26"/>
      <c r="AN3136" s="9"/>
      <c r="AO3136" s="9"/>
      <c r="AP3136" s="9"/>
      <c r="AQ3136" s="54">
        <f t="shared" si="40"/>
        <v>0</v>
      </c>
      <c r="AR3136" s="52"/>
      <c r="AS3136" s="52"/>
    </row>
    <row r="3137" spans="1:45" ht="14.5" hidden="1">
      <c r="A3137" s="9"/>
      <c r="B3137" s="9"/>
      <c r="C3137" s="9"/>
      <c r="D3137" s="9"/>
      <c r="E3137" s="9"/>
      <c r="F3137" s="9"/>
      <c r="G3137" s="9"/>
      <c r="H3137" s="9"/>
      <c r="I3137" s="9"/>
      <c r="J3137" s="10"/>
      <c r="K3137" s="10"/>
      <c r="L3137" s="50"/>
      <c r="M3137" s="10"/>
      <c r="N3137" s="9"/>
      <c r="O3137" s="9"/>
      <c r="P3137" s="9"/>
      <c r="Q3137" s="9"/>
      <c r="S3137" s="9"/>
      <c r="T3137" s="9"/>
      <c r="V3137" s="9"/>
      <c r="AH3137" s="9"/>
      <c r="AI3137" s="9"/>
      <c r="AJ3137" s="9"/>
      <c r="AK3137" s="23"/>
      <c r="AL3137" s="23"/>
      <c r="AM3137" s="26"/>
      <c r="AN3137" s="9"/>
      <c r="AO3137" s="9"/>
      <c r="AP3137" s="9"/>
      <c r="AQ3137" s="54">
        <f t="shared" si="40"/>
        <v>0</v>
      </c>
      <c r="AR3137" s="52"/>
      <c r="AS3137" s="52"/>
    </row>
    <row r="3138" spans="1:45" ht="14.5" hidden="1">
      <c r="A3138" s="9"/>
      <c r="B3138" s="9"/>
      <c r="C3138" s="9"/>
      <c r="D3138" s="9"/>
      <c r="E3138" s="9"/>
      <c r="F3138" s="9"/>
      <c r="G3138" s="9"/>
      <c r="H3138" s="9"/>
      <c r="I3138" s="9"/>
      <c r="J3138" s="10"/>
      <c r="K3138" s="10"/>
      <c r="L3138" s="50"/>
      <c r="M3138" s="10"/>
      <c r="N3138" s="9"/>
      <c r="O3138" s="9"/>
      <c r="P3138" s="9"/>
      <c r="Q3138" s="9"/>
      <c r="S3138" s="9"/>
      <c r="T3138" s="9"/>
      <c r="V3138" s="9"/>
      <c r="AH3138" s="9"/>
      <c r="AI3138" s="9"/>
      <c r="AJ3138" s="9"/>
      <c r="AK3138" s="23"/>
      <c r="AL3138" s="23"/>
      <c r="AM3138" s="26"/>
      <c r="AN3138" s="9"/>
      <c r="AO3138" s="9"/>
      <c r="AP3138" s="9"/>
      <c r="AQ3138" s="54">
        <f t="shared" si="40"/>
        <v>0</v>
      </c>
      <c r="AR3138" s="52"/>
      <c r="AS3138" s="52"/>
    </row>
    <row r="3139" spans="1:45" ht="14.5" hidden="1">
      <c r="A3139" s="9"/>
      <c r="B3139" s="9"/>
      <c r="C3139" s="9"/>
      <c r="D3139" s="9"/>
      <c r="E3139" s="9"/>
      <c r="F3139" s="9"/>
      <c r="G3139" s="9"/>
      <c r="H3139" s="9"/>
      <c r="I3139" s="9"/>
      <c r="J3139" s="10"/>
      <c r="K3139" s="10"/>
      <c r="L3139" s="50"/>
      <c r="M3139" s="10"/>
      <c r="N3139" s="9"/>
      <c r="O3139" s="9"/>
      <c r="P3139" s="9"/>
      <c r="Q3139" s="9"/>
      <c r="S3139" s="9"/>
      <c r="T3139" s="9"/>
      <c r="V3139" s="9"/>
      <c r="AH3139" s="9"/>
      <c r="AI3139" s="9"/>
      <c r="AJ3139" s="9"/>
      <c r="AK3139" s="23"/>
      <c r="AL3139" s="23"/>
      <c r="AM3139" s="26"/>
      <c r="AN3139" s="9"/>
      <c r="AO3139" s="9"/>
      <c r="AP3139" s="9"/>
      <c r="AQ3139" s="54">
        <f t="shared" si="40"/>
        <v>0</v>
      </c>
      <c r="AR3139" s="52"/>
      <c r="AS3139" s="52"/>
    </row>
    <row r="3140" spans="1:45" ht="14.5" hidden="1">
      <c r="A3140" s="9"/>
      <c r="B3140" s="9"/>
      <c r="C3140" s="9"/>
      <c r="D3140" s="9"/>
      <c r="E3140" s="9"/>
      <c r="F3140" s="9"/>
      <c r="G3140" s="9"/>
      <c r="H3140" s="9"/>
      <c r="I3140" s="9"/>
      <c r="J3140" s="10"/>
      <c r="K3140" s="10"/>
      <c r="L3140" s="50"/>
      <c r="M3140" s="10"/>
      <c r="N3140" s="9"/>
      <c r="O3140" s="9"/>
      <c r="P3140" s="9"/>
      <c r="Q3140" s="9"/>
      <c r="S3140" s="9"/>
      <c r="T3140" s="9"/>
      <c r="V3140" s="9"/>
      <c r="AH3140" s="9"/>
      <c r="AI3140" s="9"/>
      <c r="AJ3140" s="9"/>
      <c r="AK3140" s="23"/>
      <c r="AL3140" s="23"/>
      <c r="AM3140" s="26"/>
      <c r="AN3140" s="9"/>
      <c r="AO3140" s="9"/>
      <c r="AP3140" s="9"/>
      <c r="AQ3140" s="54">
        <f t="shared" si="40"/>
        <v>0</v>
      </c>
      <c r="AR3140" s="52"/>
      <c r="AS3140" s="52"/>
    </row>
    <row r="3141" spans="1:45" ht="14.5" hidden="1">
      <c r="A3141" s="9"/>
      <c r="B3141" s="9"/>
      <c r="C3141" s="9"/>
      <c r="D3141" s="9"/>
      <c r="E3141" s="9"/>
      <c r="F3141" s="9"/>
      <c r="G3141" s="9"/>
      <c r="H3141" s="9"/>
      <c r="I3141" s="9"/>
      <c r="J3141" s="10"/>
      <c r="K3141" s="10"/>
      <c r="L3141" s="50"/>
      <c r="M3141" s="10"/>
      <c r="N3141" s="9"/>
      <c r="O3141" s="9"/>
      <c r="P3141" s="9"/>
      <c r="Q3141" s="9"/>
      <c r="S3141" s="9"/>
      <c r="T3141" s="9"/>
      <c r="V3141" s="9"/>
      <c r="AH3141" s="9"/>
      <c r="AI3141" s="9"/>
      <c r="AJ3141" s="9"/>
      <c r="AK3141" s="23"/>
      <c r="AL3141" s="23"/>
      <c r="AM3141" s="26"/>
      <c r="AN3141" s="9"/>
      <c r="AO3141" s="9"/>
      <c r="AP3141" s="9"/>
      <c r="AQ3141" s="54">
        <f t="shared" si="40"/>
        <v>0</v>
      </c>
      <c r="AR3141" s="52"/>
      <c r="AS3141" s="52"/>
    </row>
    <row r="3142" spans="1:45" ht="14.5" hidden="1">
      <c r="A3142" s="9"/>
      <c r="B3142" s="9"/>
      <c r="C3142" s="9"/>
      <c r="D3142" s="9"/>
      <c r="E3142" s="9"/>
      <c r="F3142" s="9"/>
      <c r="G3142" s="9"/>
      <c r="H3142" s="9"/>
      <c r="I3142" s="9"/>
      <c r="J3142" s="10"/>
      <c r="K3142" s="10"/>
      <c r="L3142" s="50"/>
      <c r="M3142" s="10"/>
      <c r="N3142" s="9"/>
      <c r="O3142" s="9"/>
      <c r="P3142" s="9"/>
      <c r="Q3142" s="9"/>
      <c r="S3142" s="9"/>
      <c r="T3142" s="9"/>
      <c r="V3142" s="9"/>
      <c r="AH3142" s="9"/>
      <c r="AI3142" s="9"/>
      <c r="AJ3142" s="9"/>
      <c r="AK3142" s="23"/>
      <c r="AL3142" s="23"/>
      <c r="AM3142" s="26"/>
      <c r="AN3142" s="9"/>
      <c r="AO3142" s="9"/>
      <c r="AP3142" s="9"/>
      <c r="AQ3142" s="54">
        <f t="shared" si="40"/>
        <v>0</v>
      </c>
      <c r="AR3142" s="52"/>
      <c r="AS3142" s="52"/>
    </row>
    <row r="3143" spans="1:45" ht="14.5" hidden="1">
      <c r="A3143" s="9"/>
      <c r="B3143" s="9"/>
      <c r="C3143" s="9"/>
      <c r="D3143" s="9"/>
      <c r="E3143" s="9"/>
      <c r="F3143" s="9"/>
      <c r="G3143" s="9"/>
      <c r="H3143" s="9"/>
      <c r="I3143" s="9"/>
      <c r="J3143" s="10"/>
      <c r="K3143" s="10"/>
      <c r="L3143" s="50"/>
      <c r="M3143" s="10"/>
      <c r="N3143" s="9"/>
      <c r="O3143" s="9"/>
      <c r="P3143" s="9"/>
      <c r="Q3143" s="9"/>
      <c r="S3143" s="9"/>
      <c r="T3143" s="9"/>
      <c r="V3143" s="9"/>
      <c r="AH3143" s="9"/>
      <c r="AI3143" s="9"/>
      <c r="AJ3143" s="9"/>
      <c r="AK3143" s="23"/>
      <c r="AL3143" s="23"/>
      <c r="AM3143" s="26"/>
      <c r="AN3143" s="9"/>
      <c r="AO3143" s="9"/>
      <c r="AP3143" s="9"/>
      <c r="AQ3143" s="54">
        <f t="shared" si="40"/>
        <v>0</v>
      </c>
      <c r="AR3143" s="52"/>
      <c r="AS3143" s="52"/>
    </row>
    <row r="3144" spans="1:45" ht="14.5" hidden="1">
      <c r="A3144" s="9"/>
      <c r="B3144" s="9"/>
      <c r="C3144" s="9"/>
      <c r="D3144" s="9"/>
      <c r="E3144" s="9"/>
      <c r="F3144" s="9"/>
      <c r="G3144" s="9"/>
      <c r="H3144" s="9"/>
      <c r="I3144" s="9"/>
      <c r="J3144" s="10"/>
      <c r="K3144" s="10"/>
      <c r="L3144" s="50"/>
      <c r="M3144" s="10"/>
      <c r="N3144" s="9"/>
      <c r="O3144" s="9"/>
      <c r="P3144" s="9"/>
      <c r="Q3144" s="9"/>
      <c r="S3144" s="9"/>
      <c r="T3144" s="9"/>
      <c r="V3144" s="9"/>
      <c r="AH3144" s="9"/>
      <c r="AI3144" s="9"/>
      <c r="AJ3144" s="9"/>
      <c r="AK3144" s="23"/>
      <c r="AL3144" s="23"/>
      <c r="AM3144" s="26"/>
      <c r="AN3144" s="9"/>
      <c r="AO3144" s="9"/>
      <c r="AP3144" s="9"/>
      <c r="AQ3144" s="54">
        <f t="shared" si="40"/>
        <v>0</v>
      </c>
      <c r="AR3144" s="52"/>
      <c r="AS3144" s="52"/>
    </row>
    <row r="3145" spans="1:45" ht="14.5" hidden="1">
      <c r="A3145" s="9"/>
      <c r="B3145" s="9"/>
      <c r="C3145" s="9"/>
      <c r="D3145" s="9"/>
      <c r="E3145" s="9"/>
      <c r="F3145" s="9"/>
      <c r="G3145" s="9"/>
      <c r="H3145" s="9"/>
      <c r="I3145" s="9"/>
      <c r="J3145" s="10"/>
      <c r="K3145" s="10"/>
      <c r="L3145" s="50"/>
      <c r="M3145" s="10"/>
      <c r="N3145" s="9"/>
      <c r="O3145" s="9"/>
      <c r="P3145" s="9"/>
      <c r="Q3145" s="9"/>
      <c r="S3145" s="9"/>
      <c r="T3145" s="9"/>
      <c r="V3145" s="9"/>
      <c r="AH3145" s="9"/>
      <c r="AI3145" s="9"/>
      <c r="AJ3145" s="9"/>
      <c r="AK3145" s="23"/>
      <c r="AL3145" s="23"/>
      <c r="AM3145" s="26"/>
      <c r="AN3145" s="9"/>
      <c r="AO3145" s="9"/>
      <c r="AP3145" s="9"/>
      <c r="AQ3145" s="54">
        <f t="shared" si="40"/>
        <v>0</v>
      </c>
      <c r="AR3145" s="52"/>
      <c r="AS3145" s="52"/>
    </row>
    <row r="3146" spans="1:45" ht="14.5" hidden="1">
      <c r="A3146" s="9"/>
      <c r="B3146" s="9"/>
      <c r="C3146" s="9"/>
      <c r="D3146" s="9"/>
      <c r="E3146" s="9"/>
      <c r="F3146" s="9"/>
      <c r="G3146" s="9"/>
      <c r="H3146" s="9"/>
      <c r="I3146" s="9"/>
      <c r="J3146" s="10"/>
      <c r="K3146" s="10"/>
      <c r="L3146" s="50"/>
      <c r="M3146" s="10"/>
      <c r="N3146" s="9"/>
      <c r="O3146" s="9"/>
      <c r="P3146" s="9"/>
      <c r="Q3146" s="9"/>
      <c r="S3146" s="9"/>
      <c r="T3146" s="9"/>
      <c r="V3146" s="9"/>
      <c r="AH3146" s="9"/>
      <c r="AI3146" s="9"/>
      <c r="AJ3146" s="9"/>
      <c r="AK3146" s="23"/>
      <c r="AL3146" s="23"/>
      <c r="AM3146" s="26"/>
      <c r="AN3146" s="9"/>
      <c r="AO3146" s="9"/>
      <c r="AP3146" s="9"/>
      <c r="AQ3146" s="54">
        <f t="shared" si="40"/>
        <v>0</v>
      </c>
      <c r="AR3146" s="52"/>
      <c r="AS3146" s="52"/>
    </row>
    <row r="3147" spans="1:45" ht="14.5" hidden="1">
      <c r="A3147" s="9"/>
      <c r="B3147" s="9"/>
      <c r="C3147" s="9"/>
      <c r="D3147" s="9"/>
      <c r="E3147" s="9"/>
      <c r="F3147" s="9"/>
      <c r="G3147" s="9"/>
      <c r="H3147" s="9"/>
      <c r="I3147" s="9"/>
      <c r="J3147" s="10"/>
      <c r="K3147" s="10"/>
      <c r="L3147" s="50"/>
      <c r="M3147" s="10"/>
      <c r="N3147" s="9"/>
      <c r="O3147" s="9"/>
      <c r="P3147" s="9"/>
      <c r="Q3147" s="9"/>
      <c r="S3147" s="9"/>
      <c r="T3147" s="9"/>
      <c r="V3147" s="9"/>
      <c r="AH3147" s="9"/>
      <c r="AI3147" s="9"/>
      <c r="AJ3147" s="9"/>
      <c r="AK3147" s="23"/>
      <c r="AL3147" s="23"/>
      <c r="AM3147" s="26"/>
      <c r="AN3147" s="9"/>
      <c r="AO3147" s="9"/>
      <c r="AP3147" s="9"/>
      <c r="AQ3147" s="54">
        <f t="shared" si="40"/>
        <v>0</v>
      </c>
      <c r="AR3147" s="52"/>
      <c r="AS3147" s="52"/>
    </row>
    <row r="3148" spans="1:45" ht="14.5" hidden="1">
      <c r="A3148" s="9"/>
      <c r="B3148" s="9"/>
      <c r="C3148" s="9"/>
      <c r="D3148" s="9"/>
      <c r="E3148" s="9"/>
      <c r="F3148" s="9"/>
      <c r="G3148" s="9"/>
      <c r="H3148" s="9"/>
      <c r="I3148" s="9"/>
      <c r="J3148" s="10"/>
      <c r="K3148" s="10"/>
      <c r="L3148" s="50"/>
      <c r="M3148" s="10"/>
      <c r="N3148" s="9"/>
      <c r="O3148" s="9"/>
      <c r="P3148" s="9"/>
      <c r="Q3148" s="9"/>
      <c r="S3148" s="9"/>
      <c r="T3148" s="9"/>
      <c r="V3148" s="9"/>
      <c r="AH3148" s="9"/>
      <c r="AI3148" s="9"/>
      <c r="AJ3148" s="9"/>
      <c r="AK3148" s="23"/>
      <c r="AL3148" s="23"/>
      <c r="AM3148" s="26"/>
      <c r="AN3148" s="9"/>
      <c r="AO3148" s="9"/>
      <c r="AP3148" s="9"/>
      <c r="AQ3148" s="54">
        <f t="shared" si="40"/>
        <v>0</v>
      </c>
      <c r="AR3148" s="52"/>
      <c r="AS3148" s="52"/>
    </row>
    <row r="3149" spans="1:45" ht="14.5" hidden="1">
      <c r="A3149" s="9"/>
      <c r="B3149" s="9"/>
      <c r="C3149" s="9"/>
      <c r="D3149" s="9"/>
      <c r="E3149" s="9"/>
      <c r="F3149" s="9"/>
      <c r="G3149" s="9"/>
      <c r="H3149" s="9"/>
      <c r="I3149" s="9"/>
      <c r="J3149" s="10"/>
      <c r="K3149" s="10"/>
      <c r="L3149" s="50"/>
      <c r="M3149" s="10"/>
      <c r="N3149" s="9"/>
      <c r="O3149" s="9"/>
      <c r="P3149" s="9"/>
      <c r="Q3149" s="9"/>
      <c r="S3149" s="9"/>
      <c r="T3149" s="9"/>
      <c r="V3149" s="9"/>
      <c r="AH3149" s="9"/>
      <c r="AI3149" s="9"/>
      <c r="AJ3149" s="9"/>
      <c r="AK3149" s="23"/>
      <c r="AL3149" s="23"/>
      <c r="AM3149" s="26"/>
      <c r="AN3149" s="9"/>
      <c r="AO3149" s="9"/>
      <c r="AP3149" s="9"/>
      <c r="AQ3149" s="54">
        <f t="shared" si="40"/>
        <v>0</v>
      </c>
      <c r="AR3149" s="52"/>
      <c r="AS3149" s="52"/>
    </row>
    <row r="3150" spans="1:45" ht="14.5" hidden="1">
      <c r="A3150" s="9"/>
      <c r="B3150" s="9"/>
      <c r="C3150" s="9"/>
      <c r="D3150" s="9"/>
      <c r="E3150" s="9"/>
      <c r="F3150" s="9"/>
      <c r="G3150" s="9"/>
      <c r="H3150" s="9"/>
      <c r="I3150" s="9"/>
      <c r="J3150" s="10"/>
      <c r="K3150" s="10"/>
      <c r="L3150" s="50"/>
      <c r="M3150" s="10"/>
      <c r="N3150" s="9"/>
      <c r="O3150" s="9"/>
      <c r="P3150" s="9"/>
      <c r="Q3150" s="9"/>
      <c r="S3150" s="9"/>
      <c r="T3150" s="9"/>
      <c r="V3150" s="9"/>
      <c r="AH3150" s="9"/>
      <c r="AI3150" s="9"/>
      <c r="AJ3150" s="9"/>
      <c r="AK3150" s="23"/>
      <c r="AL3150" s="23"/>
      <c r="AM3150" s="26"/>
      <c r="AN3150" s="9"/>
      <c r="AO3150" s="9"/>
      <c r="AP3150" s="9"/>
      <c r="AQ3150" s="54">
        <f t="shared" si="40"/>
        <v>0</v>
      </c>
      <c r="AR3150" s="52"/>
      <c r="AS3150" s="52"/>
    </row>
    <row r="3151" spans="1:45" ht="14.5" hidden="1">
      <c r="A3151" s="9"/>
      <c r="B3151" s="9"/>
      <c r="C3151" s="9"/>
      <c r="D3151" s="9"/>
      <c r="E3151" s="9"/>
      <c r="F3151" s="9"/>
      <c r="G3151" s="9"/>
      <c r="H3151" s="9"/>
      <c r="I3151" s="9"/>
      <c r="J3151" s="10"/>
      <c r="K3151" s="10"/>
      <c r="L3151" s="50"/>
      <c r="M3151" s="10"/>
      <c r="N3151" s="9"/>
      <c r="O3151" s="9"/>
      <c r="P3151" s="9"/>
      <c r="Q3151" s="9"/>
      <c r="S3151" s="9"/>
      <c r="T3151" s="9"/>
      <c r="V3151" s="9"/>
      <c r="AH3151" s="9"/>
      <c r="AI3151" s="9"/>
      <c r="AJ3151" s="9"/>
      <c r="AK3151" s="23"/>
      <c r="AL3151" s="23"/>
      <c r="AM3151" s="26"/>
      <c r="AN3151" s="9"/>
      <c r="AO3151" s="9"/>
      <c r="AP3151" s="9"/>
      <c r="AQ3151" s="54">
        <f t="shared" si="40"/>
        <v>0</v>
      </c>
      <c r="AR3151" s="52"/>
      <c r="AS3151" s="52"/>
    </row>
    <row r="3152" spans="1:45" ht="14.5" hidden="1">
      <c r="A3152" s="9"/>
      <c r="B3152" s="9"/>
      <c r="C3152" s="9"/>
      <c r="D3152" s="9"/>
      <c r="E3152" s="9"/>
      <c r="F3152" s="9"/>
      <c r="G3152" s="9"/>
      <c r="H3152" s="9"/>
      <c r="I3152" s="9"/>
      <c r="J3152" s="10"/>
      <c r="K3152" s="10"/>
      <c r="L3152" s="50"/>
      <c r="M3152" s="10"/>
      <c r="N3152" s="9"/>
      <c r="O3152" s="9"/>
      <c r="P3152" s="9"/>
      <c r="Q3152" s="9"/>
      <c r="S3152" s="9"/>
      <c r="T3152" s="9"/>
      <c r="V3152" s="9"/>
      <c r="AH3152" s="9"/>
      <c r="AI3152" s="9"/>
      <c r="AJ3152" s="9"/>
      <c r="AK3152" s="23"/>
      <c r="AL3152" s="23"/>
      <c r="AM3152" s="26"/>
      <c r="AN3152" s="9"/>
      <c r="AO3152" s="9"/>
      <c r="AP3152" s="9"/>
      <c r="AQ3152" s="54">
        <f t="shared" si="40"/>
        <v>0</v>
      </c>
      <c r="AR3152" s="52"/>
      <c r="AS3152" s="52"/>
    </row>
    <row r="3153" spans="1:45" ht="14.5" hidden="1">
      <c r="A3153" s="9"/>
      <c r="B3153" s="9"/>
      <c r="C3153" s="9"/>
      <c r="D3153" s="9"/>
      <c r="E3153" s="9"/>
      <c r="F3153" s="9"/>
      <c r="G3153" s="9"/>
      <c r="H3153" s="9"/>
      <c r="I3153" s="9"/>
      <c r="J3153" s="10"/>
      <c r="K3153" s="10"/>
      <c r="L3153" s="50"/>
      <c r="M3153" s="10"/>
      <c r="N3153" s="9"/>
      <c r="O3153" s="9"/>
      <c r="P3153" s="9"/>
      <c r="Q3153" s="9"/>
      <c r="S3153" s="9"/>
      <c r="T3153" s="9"/>
      <c r="V3153" s="9"/>
      <c r="AH3153" s="9"/>
      <c r="AI3153" s="9"/>
      <c r="AJ3153" s="9"/>
      <c r="AK3153" s="23"/>
      <c r="AL3153" s="23"/>
      <c r="AM3153" s="26"/>
      <c r="AN3153" s="9"/>
      <c r="AO3153" s="9"/>
      <c r="AP3153" s="9"/>
      <c r="AQ3153" s="54">
        <f t="shared" si="40"/>
        <v>0</v>
      </c>
      <c r="AR3153" s="52"/>
      <c r="AS3153" s="52"/>
    </row>
    <row r="3154" spans="1:45" ht="14.5" hidden="1">
      <c r="A3154" s="9"/>
      <c r="B3154" s="9"/>
      <c r="C3154" s="9"/>
      <c r="D3154" s="9"/>
      <c r="E3154" s="9"/>
      <c r="F3154" s="9"/>
      <c r="G3154" s="9"/>
      <c r="H3154" s="9"/>
      <c r="I3154" s="9"/>
      <c r="J3154" s="10"/>
      <c r="K3154" s="10"/>
      <c r="L3154" s="50"/>
      <c r="M3154" s="10"/>
      <c r="N3154" s="9"/>
      <c r="O3154" s="9"/>
      <c r="P3154" s="9"/>
      <c r="Q3154" s="9"/>
      <c r="S3154" s="9"/>
      <c r="T3154" s="9"/>
      <c r="V3154" s="9"/>
      <c r="AH3154" s="9"/>
      <c r="AI3154" s="9"/>
      <c r="AJ3154" s="9"/>
      <c r="AK3154" s="23"/>
      <c r="AL3154" s="23"/>
      <c r="AM3154" s="26"/>
      <c r="AN3154" s="9"/>
      <c r="AO3154" s="9"/>
      <c r="AP3154" s="9"/>
      <c r="AQ3154" s="54">
        <f t="shared" si="40"/>
        <v>0</v>
      </c>
      <c r="AR3154" s="52"/>
      <c r="AS3154" s="52"/>
    </row>
    <row r="3155" spans="1:45" ht="14.5" hidden="1">
      <c r="A3155" s="9"/>
      <c r="B3155" s="9"/>
      <c r="C3155" s="9"/>
      <c r="D3155" s="9"/>
      <c r="E3155" s="9"/>
      <c r="F3155" s="9"/>
      <c r="G3155" s="9"/>
      <c r="H3155" s="9"/>
      <c r="I3155" s="9"/>
      <c r="J3155" s="10"/>
      <c r="K3155" s="10"/>
      <c r="L3155" s="50"/>
      <c r="M3155" s="10"/>
      <c r="N3155" s="9"/>
      <c r="O3155" s="9"/>
      <c r="P3155" s="9"/>
      <c r="Q3155" s="9"/>
      <c r="S3155" s="9"/>
      <c r="T3155" s="9"/>
      <c r="V3155" s="9"/>
      <c r="AH3155" s="9"/>
      <c r="AI3155" s="9"/>
      <c r="AJ3155" s="9"/>
      <c r="AK3155" s="23"/>
      <c r="AL3155" s="23"/>
      <c r="AM3155" s="26"/>
      <c r="AN3155" s="9"/>
      <c r="AO3155" s="9"/>
      <c r="AP3155" s="9"/>
      <c r="AQ3155" s="54">
        <f t="shared" si="40"/>
        <v>0</v>
      </c>
      <c r="AR3155" s="52"/>
      <c r="AS3155" s="52"/>
    </row>
    <row r="3156" spans="1:45" ht="14.5" hidden="1">
      <c r="A3156" s="9"/>
      <c r="B3156" s="9"/>
      <c r="C3156" s="9"/>
      <c r="D3156" s="9"/>
      <c r="E3156" s="9"/>
      <c r="F3156" s="9"/>
      <c r="G3156" s="9"/>
      <c r="H3156" s="9"/>
      <c r="I3156" s="9"/>
      <c r="J3156" s="10"/>
      <c r="K3156" s="10"/>
      <c r="L3156" s="50"/>
      <c r="M3156" s="10"/>
      <c r="N3156" s="9"/>
      <c r="O3156" s="9"/>
      <c r="P3156" s="9"/>
      <c r="Q3156" s="9"/>
      <c r="S3156" s="9"/>
      <c r="T3156" s="9"/>
      <c r="V3156" s="9"/>
      <c r="AH3156" s="9"/>
      <c r="AI3156" s="9"/>
      <c r="AJ3156" s="9"/>
      <c r="AK3156" s="23"/>
      <c r="AL3156" s="23"/>
      <c r="AM3156" s="26"/>
      <c r="AN3156" s="9"/>
      <c r="AO3156" s="9"/>
      <c r="AP3156" s="9"/>
      <c r="AQ3156" s="54">
        <f t="shared" si="40"/>
        <v>0</v>
      </c>
      <c r="AR3156" s="52"/>
      <c r="AS3156" s="52"/>
    </row>
    <row r="3157" spans="1:45" ht="14.5" hidden="1">
      <c r="A3157" s="9"/>
      <c r="B3157" s="9"/>
      <c r="C3157" s="9"/>
      <c r="D3157" s="9"/>
      <c r="E3157" s="9"/>
      <c r="F3157" s="9"/>
      <c r="G3157" s="9"/>
      <c r="H3157" s="9"/>
      <c r="I3157" s="9"/>
      <c r="J3157" s="10"/>
      <c r="K3157" s="10"/>
      <c r="L3157" s="50"/>
      <c r="M3157" s="10"/>
      <c r="N3157" s="9"/>
      <c r="O3157" s="9"/>
      <c r="P3157" s="9"/>
      <c r="Q3157" s="9"/>
      <c r="S3157" s="9"/>
      <c r="T3157" s="9"/>
      <c r="V3157" s="9"/>
      <c r="AH3157" s="9"/>
      <c r="AI3157" s="9"/>
      <c r="AJ3157" s="9"/>
      <c r="AK3157" s="23"/>
      <c r="AL3157" s="23"/>
      <c r="AM3157" s="26"/>
      <c r="AN3157" s="9"/>
      <c r="AO3157" s="9"/>
      <c r="AP3157" s="9"/>
      <c r="AQ3157" s="54">
        <f t="shared" si="40"/>
        <v>0</v>
      </c>
      <c r="AR3157" s="52"/>
      <c r="AS3157" s="52"/>
    </row>
    <row r="3158" spans="1:45" ht="14.5" hidden="1">
      <c r="A3158" s="9"/>
      <c r="B3158" s="9"/>
      <c r="C3158" s="9"/>
      <c r="D3158" s="9"/>
      <c r="E3158" s="9"/>
      <c r="F3158" s="9"/>
      <c r="G3158" s="9"/>
      <c r="H3158" s="9"/>
      <c r="I3158" s="9"/>
      <c r="J3158" s="10"/>
      <c r="K3158" s="10"/>
      <c r="L3158" s="50"/>
      <c r="M3158" s="10"/>
      <c r="N3158" s="9"/>
      <c r="O3158" s="9"/>
      <c r="P3158" s="9"/>
      <c r="Q3158" s="9"/>
      <c r="S3158" s="9"/>
      <c r="T3158" s="9"/>
      <c r="V3158" s="9"/>
      <c r="AH3158" s="9"/>
      <c r="AI3158" s="9"/>
      <c r="AJ3158" s="9"/>
      <c r="AK3158" s="23"/>
      <c r="AL3158" s="23"/>
      <c r="AM3158" s="26"/>
      <c r="AN3158" s="9"/>
      <c r="AO3158" s="9"/>
      <c r="AP3158" s="9"/>
      <c r="AQ3158" s="54">
        <f t="shared" si="40"/>
        <v>0</v>
      </c>
      <c r="AR3158" s="52"/>
      <c r="AS3158" s="52"/>
    </row>
    <row r="3159" spans="1:45" ht="14.5" hidden="1">
      <c r="A3159" s="9"/>
      <c r="B3159" s="9"/>
      <c r="C3159" s="9"/>
      <c r="D3159" s="9"/>
      <c r="E3159" s="9"/>
      <c r="F3159" s="9"/>
      <c r="G3159" s="9"/>
      <c r="H3159" s="9"/>
      <c r="I3159" s="9"/>
      <c r="J3159" s="10"/>
      <c r="K3159" s="10"/>
      <c r="L3159" s="50"/>
      <c r="M3159" s="10"/>
      <c r="N3159" s="9"/>
      <c r="O3159" s="9"/>
      <c r="P3159" s="9"/>
      <c r="Q3159" s="9"/>
      <c r="S3159" s="9"/>
      <c r="T3159" s="9"/>
      <c r="V3159" s="9"/>
      <c r="AH3159" s="9"/>
      <c r="AI3159" s="9"/>
      <c r="AJ3159" s="9"/>
      <c r="AK3159" s="23"/>
      <c r="AL3159" s="23"/>
      <c r="AM3159" s="26"/>
      <c r="AN3159" s="9"/>
      <c r="AO3159" s="9"/>
      <c r="AP3159" s="9"/>
      <c r="AQ3159" s="54">
        <f t="shared" si="40"/>
        <v>0</v>
      </c>
      <c r="AR3159" s="52"/>
      <c r="AS3159" s="52"/>
    </row>
    <row r="3160" spans="1:45" ht="14.5" hidden="1">
      <c r="A3160" s="9"/>
      <c r="B3160" s="9"/>
      <c r="C3160" s="9"/>
      <c r="D3160" s="9"/>
      <c r="E3160" s="9"/>
      <c r="F3160" s="9"/>
      <c r="G3160" s="9"/>
      <c r="H3160" s="9"/>
      <c r="I3160" s="9"/>
      <c r="J3160" s="10"/>
      <c r="K3160" s="10"/>
      <c r="L3160" s="50"/>
      <c r="M3160" s="10"/>
      <c r="N3160" s="9"/>
      <c r="O3160" s="9"/>
      <c r="P3160" s="9"/>
      <c r="Q3160" s="9"/>
      <c r="S3160" s="9"/>
      <c r="T3160" s="9"/>
      <c r="V3160" s="9"/>
      <c r="AH3160" s="9"/>
      <c r="AI3160" s="9"/>
      <c r="AJ3160" s="9"/>
      <c r="AK3160" s="23"/>
      <c r="AL3160" s="23"/>
      <c r="AM3160" s="26"/>
      <c r="AN3160" s="9"/>
      <c r="AO3160" s="9"/>
      <c r="AP3160" s="9"/>
      <c r="AQ3160" s="54">
        <f t="shared" si="40"/>
        <v>0</v>
      </c>
      <c r="AR3160" s="52"/>
      <c r="AS3160" s="52"/>
    </row>
    <row r="3161" spans="1:45" ht="14.5" hidden="1">
      <c r="A3161" s="9"/>
      <c r="B3161" s="9"/>
      <c r="C3161" s="9"/>
      <c r="D3161" s="9"/>
      <c r="E3161" s="9"/>
      <c r="F3161" s="9"/>
      <c r="G3161" s="9"/>
      <c r="H3161" s="9"/>
      <c r="I3161" s="9"/>
      <c r="J3161" s="10"/>
      <c r="K3161" s="10"/>
      <c r="L3161" s="50"/>
      <c r="M3161" s="10"/>
      <c r="N3161" s="9"/>
      <c r="O3161" s="9"/>
      <c r="P3161" s="9"/>
      <c r="Q3161" s="9"/>
      <c r="S3161" s="9"/>
      <c r="T3161" s="9"/>
      <c r="V3161" s="9"/>
      <c r="AH3161" s="9"/>
      <c r="AI3161" s="9"/>
      <c r="AJ3161" s="9"/>
      <c r="AK3161" s="23"/>
      <c r="AL3161" s="23"/>
      <c r="AM3161" s="26"/>
      <c r="AN3161" s="9"/>
      <c r="AO3161" s="9"/>
      <c r="AP3161" s="9"/>
      <c r="AQ3161" s="54">
        <f t="shared" si="40"/>
        <v>0</v>
      </c>
      <c r="AR3161" s="52"/>
      <c r="AS3161" s="52"/>
    </row>
    <row r="3162" spans="1:45" ht="14.5" hidden="1">
      <c r="A3162" s="9"/>
      <c r="B3162" s="9"/>
      <c r="C3162" s="9"/>
      <c r="D3162" s="9"/>
      <c r="E3162" s="9"/>
      <c r="F3162" s="9"/>
      <c r="G3162" s="9"/>
      <c r="H3162" s="9"/>
      <c r="I3162" s="9"/>
      <c r="J3162" s="10"/>
      <c r="K3162" s="10"/>
      <c r="L3162" s="50"/>
      <c r="M3162" s="10"/>
      <c r="N3162" s="9"/>
      <c r="O3162" s="9"/>
      <c r="P3162" s="9"/>
      <c r="Q3162" s="9"/>
      <c r="S3162" s="9"/>
      <c r="T3162" s="9"/>
      <c r="V3162" s="9"/>
      <c r="AH3162" s="9"/>
      <c r="AI3162" s="9"/>
      <c r="AJ3162" s="9"/>
      <c r="AK3162" s="23"/>
      <c r="AL3162" s="23"/>
      <c r="AM3162" s="26"/>
      <c r="AN3162" s="9"/>
      <c r="AO3162" s="9"/>
      <c r="AP3162" s="9"/>
      <c r="AQ3162" s="54">
        <f t="shared" si="40"/>
        <v>0</v>
      </c>
      <c r="AR3162" s="52"/>
      <c r="AS3162" s="52"/>
    </row>
    <row r="3163" spans="1:45" ht="14.5" hidden="1">
      <c r="A3163" s="9"/>
      <c r="B3163" s="9"/>
      <c r="C3163" s="9"/>
      <c r="D3163" s="9"/>
      <c r="E3163" s="9"/>
      <c r="F3163" s="9"/>
      <c r="G3163" s="9"/>
      <c r="H3163" s="9"/>
      <c r="I3163" s="9"/>
      <c r="J3163" s="10"/>
      <c r="K3163" s="10"/>
      <c r="L3163" s="50"/>
      <c r="M3163" s="10"/>
      <c r="N3163" s="9"/>
      <c r="O3163" s="9"/>
      <c r="P3163" s="9"/>
      <c r="Q3163" s="9"/>
      <c r="S3163" s="9"/>
      <c r="T3163" s="9"/>
      <c r="V3163" s="9"/>
      <c r="AH3163" s="9"/>
      <c r="AI3163" s="9"/>
      <c r="AJ3163" s="9"/>
      <c r="AK3163" s="23"/>
      <c r="AL3163" s="23"/>
      <c r="AM3163" s="26"/>
      <c r="AN3163" s="9"/>
      <c r="AO3163" s="9"/>
      <c r="AP3163" s="9"/>
      <c r="AQ3163" s="54">
        <f t="shared" si="40"/>
        <v>0</v>
      </c>
      <c r="AR3163" s="52"/>
      <c r="AS3163" s="52"/>
    </row>
    <row r="3164" spans="1:45" ht="14.5" hidden="1">
      <c r="A3164" s="9"/>
      <c r="B3164" s="9"/>
      <c r="C3164" s="9"/>
      <c r="D3164" s="9"/>
      <c r="E3164" s="9"/>
      <c r="F3164" s="9"/>
      <c r="G3164" s="9"/>
      <c r="H3164" s="9"/>
      <c r="I3164" s="9"/>
      <c r="J3164" s="10"/>
      <c r="K3164" s="10"/>
      <c r="L3164" s="50"/>
      <c r="M3164" s="10"/>
      <c r="N3164" s="9"/>
      <c r="O3164" s="9"/>
      <c r="P3164" s="9"/>
      <c r="Q3164" s="9"/>
      <c r="S3164" s="9"/>
      <c r="T3164" s="9"/>
      <c r="V3164" s="9"/>
      <c r="AH3164" s="9"/>
      <c r="AI3164" s="9"/>
      <c r="AJ3164" s="9"/>
      <c r="AK3164" s="23"/>
      <c r="AL3164" s="23"/>
      <c r="AM3164" s="26"/>
      <c r="AN3164" s="9"/>
      <c r="AO3164" s="9"/>
      <c r="AP3164" s="9"/>
      <c r="AQ3164" s="54">
        <f t="shared" si="40"/>
        <v>0</v>
      </c>
      <c r="AR3164" s="52"/>
      <c r="AS3164" s="52"/>
    </row>
    <row r="3165" spans="1:45" ht="14.5" hidden="1">
      <c r="A3165" s="9"/>
      <c r="B3165" s="9"/>
      <c r="C3165" s="9"/>
      <c r="D3165" s="9"/>
      <c r="E3165" s="9"/>
      <c r="F3165" s="9"/>
      <c r="G3165" s="9"/>
      <c r="H3165" s="9"/>
      <c r="I3165" s="9"/>
      <c r="J3165" s="10"/>
      <c r="K3165" s="10"/>
      <c r="L3165" s="50"/>
      <c r="M3165" s="10"/>
      <c r="N3165" s="9"/>
      <c r="O3165" s="9"/>
      <c r="P3165" s="9"/>
      <c r="Q3165" s="9"/>
      <c r="S3165" s="9"/>
      <c r="T3165" s="9"/>
      <c r="V3165" s="9"/>
      <c r="AH3165" s="9"/>
      <c r="AI3165" s="9"/>
      <c r="AJ3165" s="9"/>
      <c r="AK3165" s="23"/>
      <c r="AL3165" s="23"/>
      <c r="AM3165" s="26"/>
      <c r="AN3165" s="9"/>
      <c r="AO3165" s="9"/>
      <c r="AP3165" s="9"/>
      <c r="AQ3165" s="54">
        <f t="shared" si="40"/>
        <v>0</v>
      </c>
      <c r="AR3165" s="52"/>
      <c r="AS3165" s="52"/>
    </row>
    <row r="3166" spans="1:45" ht="14.5" hidden="1">
      <c r="A3166" s="9"/>
      <c r="B3166" s="9"/>
      <c r="C3166" s="9"/>
      <c r="D3166" s="9"/>
      <c r="E3166" s="9"/>
      <c r="F3166" s="9"/>
      <c r="G3166" s="9"/>
      <c r="H3166" s="9"/>
      <c r="I3166" s="9"/>
      <c r="J3166" s="10"/>
      <c r="K3166" s="10"/>
      <c r="L3166" s="50"/>
      <c r="M3166" s="10"/>
      <c r="N3166" s="9"/>
      <c r="O3166" s="9"/>
      <c r="P3166" s="9"/>
      <c r="Q3166" s="9"/>
      <c r="S3166" s="9"/>
      <c r="T3166" s="9"/>
      <c r="V3166" s="9"/>
      <c r="AH3166" s="9"/>
      <c r="AI3166" s="9"/>
      <c r="AJ3166" s="9"/>
      <c r="AK3166" s="23"/>
      <c r="AL3166" s="23"/>
      <c r="AM3166" s="26"/>
      <c r="AN3166" s="9"/>
      <c r="AO3166" s="9"/>
      <c r="AP3166" s="9"/>
      <c r="AQ3166" s="54">
        <f t="shared" si="40"/>
        <v>0</v>
      </c>
      <c r="AR3166" s="52"/>
      <c r="AS3166" s="52"/>
    </row>
    <row r="3167" spans="1:45" ht="14.5" hidden="1">
      <c r="A3167" s="9"/>
      <c r="B3167" s="9"/>
      <c r="C3167" s="9"/>
      <c r="D3167" s="9"/>
      <c r="E3167" s="9"/>
      <c r="F3167" s="9"/>
      <c r="G3167" s="9"/>
      <c r="H3167" s="9"/>
      <c r="I3167" s="9"/>
      <c r="J3167" s="10"/>
      <c r="K3167" s="10"/>
      <c r="L3167" s="50"/>
      <c r="M3167" s="10"/>
      <c r="N3167" s="9"/>
      <c r="O3167" s="9"/>
      <c r="P3167" s="9"/>
      <c r="Q3167" s="9"/>
      <c r="S3167" s="9"/>
      <c r="T3167" s="9"/>
      <c r="V3167" s="9"/>
      <c r="AH3167" s="9"/>
      <c r="AI3167" s="9"/>
      <c r="AJ3167" s="9"/>
      <c r="AK3167" s="23"/>
      <c r="AL3167" s="23"/>
      <c r="AM3167" s="26"/>
      <c r="AN3167" s="9"/>
      <c r="AO3167" s="9"/>
      <c r="AP3167" s="9"/>
      <c r="AQ3167" s="54">
        <f t="shared" si="40"/>
        <v>0</v>
      </c>
      <c r="AR3167" s="52"/>
      <c r="AS3167" s="52"/>
    </row>
    <row r="3168" spans="1:45" ht="14.5" hidden="1">
      <c r="A3168" s="9"/>
      <c r="B3168" s="9"/>
      <c r="C3168" s="9"/>
      <c r="D3168" s="9"/>
      <c r="E3168" s="9"/>
      <c r="F3168" s="9"/>
      <c r="G3168" s="9"/>
      <c r="H3168" s="9"/>
      <c r="I3168" s="9"/>
      <c r="J3168" s="10"/>
      <c r="K3168" s="10"/>
      <c r="L3168" s="50"/>
      <c r="M3168" s="10"/>
      <c r="N3168" s="9"/>
      <c r="O3168" s="9"/>
      <c r="P3168" s="9"/>
      <c r="Q3168" s="9"/>
      <c r="S3168" s="9"/>
      <c r="T3168" s="9"/>
      <c r="V3168" s="9"/>
      <c r="AH3168" s="9"/>
      <c r="AI3168" s="9"/>
      <c r="AJ3168" s="9"/>
      <c r="AK3168" s="23"/>
      <c r="AL3168" s="23"/>
      <c r="AM3168" s="26"/>
      <c r="AN3168" s="9"/>
      <c r="AO3168" s="9"/>
      <c r="AP3168" s="9"/>
      <c r="AQ3168" s="54">
        <f t="shared" si="40"/>
        <v>0</v>
      </c>
      <c r="AR3168" s="52"/>
      <c r="AS3168" s="52"/>
    </row>
    <row r="3169" spans="1:45" ht="14.5" hidden="1">
      <c r="A3169" s="9"/>
      <c r="B3169" s="9"/>
      <c r="C3169" s="9"/>
      <c r="D3169" s="9"/>
      <c r="E3169" s="9"/>
      <c r="F3169" s="9"/>
      <c r="G3169" s="9"/>
      <c r="H3169" s="9"/>
      <c r="I3169" s="9"/>
      <c r="J3169" s="10"/>
      <c r="K3169" s="10"/>
      <c r="L3169" s="50"/>
      <c r="M3169" s="10"/>
      <c r="N3169" s="9"/>
      <c r="O3169" s="9"/>
      <c r="P3169" s="9"/>
      <c r="Q3169" s="9"/>
      <c r="S3169" s="9"/>
      <c r="T3169" s="9"/>
      <c r="V3169" s="9"/>
      <c r="AH3169" s="9"/>
      <c r="AI3169" s="9"/>
      <c r="AJ3169" s="9"/>
      <c r="AK3169" s="23"/>
      <c r="AL3169" s="23"/>
      <c r="AM3169" s="26"/>
      <c r="AN3169" s="9"/>
      <c r="AO3169" s="9"/>
      <c r="AP3169" s="9"/>
      <c r="AQ3169" s="54">
        <f t="shared" si="40"/>
        <v>0</v>
      </c>
      <c r="AR3169" s="52"/>
      <c r="AS3169" s="52"/>
    </row>
    <row r="3170" spans="1:45" ht="14.5" hidden="1">
      <c r="A3170" s="9"/>
      <c r="B3170" s="9"/>
      <c r="C3170" s="9"/>
      <c r="D3170" s="9"/>
      <c r="E3170" s="9"/>
      <c r="F3170" s="9"/>
      <c r="G3170" s="9"/>
      <c r="H3170" s="9"/>
      <c r="I3170" s="9"/>
      <c r="J3170" s="10"/>
      <c r="K3170" s="10"/>
      <c r="L3170" s="50"/>
      <c r="M3170" s="10"/>
      <c r="N3170" s="9"/>
      <c r="O3170" s="9"/>
      <c r="P3170" s="9"/>
      <c r="Q3170" s="9"/>
      <c r="S3170" s="9"/>
      <c r="T3170" s="9"/>
      <c r="V3170" s="9"/>
      <c r="AH3170" s="9"/>
      <c r="AI3170" s="9"/>
      <c r="AJ3170" s="9"/>
      <c r="AK3170" s="23"/>
      <c r="AL3170" s="23"/>
      <c r="AM3170" s="26"/>
      <c r="AN3170" s="9"/>
      <c r="AO3170" s="9"/>
      <c r="AP3170" s="9"/>
      <c r="AQ3170" s="54">
        <f t="shared" si="40"/>
        <v>0</v>
      </c>
      <c r="AR3170" s="52"/>
      <c r="AS3170" s="52"/>
    </row>
    <row r="3171" spans="1:45" ht="14.5" hidden="1">
      <c r="A3171" s="9"/>
      <c r="B3171" s="9"/>
      <c r="C3171" s="9"/>
      <c r="D3171" s="9"/>
      <c r="E3171" s="9"/>
      <c r="F3171" s="9"/>
      <c r="G3171" s="9"/>
      <c r="H3171" s="9"/>
      <c r="I3171" s="9"/>
      <c r="J3171" s="10"/>
      <c r="K3171" s="10"/>
      <c r="L3171" s="50"/>
      <c r="M3171" s="10"/>
      <c r="N3171" s="9"/>
      <c r="O3171" s="9"/>
      <c r="P3171" s="9"/>
      <c r="Q3171" s="9"/>
      <c r="S3171" s="9"/>
      <c r="T3171" s="9"/>
      <c r="V3171" s="9"/>
      <c r="AH3171" s="9"/>
      <c r="AI3171" s="9"/>
      <c r="AJ3171" s="9"/>
      <c r="AK3171" s="23"/>
      <c r="AL3171" s="23"/>
      <c r="AM3171" s="26"/>
      <c r="AN3171" s="9"/>
      <c r="AO3171" s="9"/>
      <c r="AP3171" s="9"/>
      <c r="AQ3171" s="54">
        <f t="shared" si="40"/>
        <v>0</v>
      </c>
      <c r="AR3171" s="52"/>
      <c r="AS3171" s="52"/>
    </row>
    <row r="3172" spans="1:45" ht="14.5" hidden="1">
      <c r="A3172" s="9"/>
      <c r="B3172" s="9"/>
      <c r="C3172" s="9"/>
      <c r="D3172" s="9"/>
      <c r="E3172" s="9"/>
      <c r="F3172" s="9"/>
      <c r="G3172" s="9"/>
      <c r="H3172" s="9"/>
      <c r="I3172" s="9"/>
      <c r="J3172" s="10"/>
      <c r="K3172" s="10"/>
      <c r="L3172" s="50"/>
      <c r="M3172" s="10"/>
      <c r="N3172" s="9"/>
      <c r="O3172" s="9"/>
      <c r="P3172" s="9"/>
      <c r="Q3172" s="9"/>
      <c r="S3172" s="9"/>
      <c r="T3172" s="9"/>
      <c r="V3172" s="9"/>
      <c r="AH3172" s="9"/>
      <c r="AI3172" s="9"/>
      <c r="AJ3172" s="9"/>
      <c r="AK3172" s="23"/>
      <c r="AL3172" s="23"/>
      <c r="AM3172" s="26"/>
      <c r="AN3172" s="9"/>
      <c r="AO3172" s="9"/>
      <c r="AP3172" s="9"/>
      <c r="AQ3172" s="54">
        <f t="shared" si="40"/>
        <v>0</v>
      </c>
      <c r="AR3172" s="52"/>
      <c r="AS3172" s="52"/>
    </row>
    <row r="3173" spans="1:45" ht="14.5" hidden="1">
      <c r="A3173" s="9"/>
      <c r="B3173" s="9"/>
      <c r="C3173" s="9"/>
      <c r="D3173" s="9"/>
      <c r="E3173" s="9"/>
      <c r="F3173" s="9"/>
      <c r="G3173" s="9"/>
      <c r="H3173" s="9"/>
      <c r="I3173" s="9"/>
      <c r="J3173" s="10"/>
      <c r="K3173" s="10"/>
      <c r="L3173" s="50"/>
      <c r="M3173" s="10"/>
      <c r="N3173" s="9"/>
      <c r="O3173" s="9"/>
      <c r="P3173" s="9"/>
      <c r="Q3173" s="9"/>
      <c r="S3173" s="9"/>
      <c r="T3173" s="9"/>
      <c r="V3173" s="9"/>
      <c r="AH3173" s="9"/>
      <c r="AI3173" s="9"/>
      <c r="AJ3173" s="9"/>
      <c r="AK3173" s="23"/>
      <c r="AL3173" s="23"/>
      <c r="AM3173" s="26"/>
      <c r="AN3173" s="9"/>
      <c r="AO3173" s="9"/>
      <c r="AP3173" s="9"/>
      <c r="AQ3173" s="54">
        <f t="shared" si="40"/>
        <v>0</v>
      </c>
      <c r="AR3173" s="52"/>
      <c r="AS3173" s="52"/>
    </row>
    <row r="3174" spans="1:45" ht="14.5" hidden="1">
      <c r="A3174" s="9"/>
      <c r="B3174" s="9"/>
      <c r="C3174" s="9"/>
      <c r="D3174" s="9"/>
      <c r="E3174" s="9"/>
      <c r="F3174" s="9"/>
      <c r="G3174" s="9"/>
      <c r="H3174" s="9"/>
      <c r="I3174" s="9"/>
      <c r="J3174" s="10"/>
      <c r="K3174" s="10"/>
      <c r="L3174" s="50"/>
      <c r="M3174" s="10"/>
      <c r="N3174" s="9"/>
      <c r="O3174" s="9"/>
      <c r="P3174" s="9"/>
      <c r="Q3174" s="9"/>
      <c r="S3174" s="9"/>
      <c r="T3174" s="9"/>
      <c r="V3174" s="9"/>
      <c r="AH3174" s="9"/>
      <c r="AI3174" s="9"/>
      <c r="AJ3174" s="9"/>
      <c r="AK3174" s="23"/>
      <c r="AL3174" s="23"/>
      <c r="AM3174" s="26"/>
      <c r="AN3174" s="9"/>
      <c r="AO3174" s="9"/>
      <c r="AP3174" s="9"/>
      <c r="AQ3174" s="54">
        <f t="shared" si="40"/>
        <v>0</v>
      </c>
      <c r="AR3174" s="52"/>
      <c r="AS3174" s="52"/>
    </row>
    <row r="3175" spans="1:45" ht="14.5" hidden="1">
      <c r="A3175" s="9"/>
      <c r="B3175" s="9"/>
      <c r="C3175" s="9"/>
      <c r="D3175" s="9"/>
      <c r="E3175" s="9"/>
      <c r="F3175" s="9"/>
      <c r="G3175" s="9"/>
      <c r="H3175" s="9"/>
      <c r="I3175" s="9"/>
      <c r="J3175" s="10"/>
      <c r="K3175" s="10"/>
      <c r="L3175" s="50"/>
      <c r="M3175" s="10"/>
      <c r="N3175" s="9"/>
      <c r="O3175" s="9"/>
      <c r="P3175" s="9"/>
      <c r="Q3175" s="9"/>
      <c r="S3175" s="9"/>
      <c r="T3175" s="9"/>
      <c r="V3175" s="9"/>
      <c r="AH3175" s="9"/>
      <c r="AI3175" s="9"/>
      <c r="AJ3175" s="9"/>
      <c r="AK3175" s="23"/>
      <c r="AL3175" s="23"/>
      <c r="AM3175" s="26"/>
      <c r="AN3175" s="9"/>
      <c r="AO3175" s="9"/>
      <c r="AP3175" s="9"/>
      <c r="AQ3175" s="54">
        <f t="shared" si="40"/>
        <v>0</v>
      </c>
      <c r="AR3175" s="52"/>
      <c r="AS3175" s="52"/>
    </row>
    <row r="3176" spans="1:45" ht="14.5" hidden="1">
      <c r="A3176" s="9"/>
      <c r="B3176" s="9"/>
      <c r="C3176" s="9"/>
      <c r="D3176" s="9"/>
      <c r="E3176" s="9"/>
      <c r="F3176" s="9"/>
      <c r="G3176" s="9"/>
      <c r="H3176" s="9"/>
      <c r="I3176" s="9"/>
      <c r="J3176" s="10"/>
      <c r="K3176" s="10"/>
      <c r="L3176" s="50"/>
      <c r="M3176" s="10"/>
      <c r="N3176" s="9"/>
      <c r="O3176" s="9"/>
      <c r="P3176" s="9"/>
      <c r="Q3176" s="9"/>
      <c r="S3176" s="9"/>
      <c r="T3176" s="9"/>
      <c r="V3176" s="9"/>
      <c r="AH3176" s="9"/>
      <c r="AI3176" s="9"/>
      <c r="AJ3176" s="9"/>
      <c r="AK3176" s="23"/>
      <c r="AL3176" s="23"/>
      <c r="AM3176" s="26"/>
      <c r="AN3176" s="9"/>
      <c r="AO3176" s="9"/>
      <c r="AP3176" s="9"/>
      <c r="AQ3176" s="54">
        <f t="shared" si="40"/>
        <v>0</v>
      </c>
      <c r="AR3176" s="52"/>
      <c r="AS3176" s="52"/>
    </row>
  </sheetData>
  <autoFilter ref="A1:AS3176" xr:uid="{00000000-0009-0000-0000-000000000000}">
    <filterColumn colId="1">
      <filters>
        <filter val="10.1002/1873-3468.14579"/>
        <filter val="10.1002/1873-3468.14848"/>
        <filter val="10.1002/2211-5463.13417"/>
        <filter val="10.1002/2688-8319.12061"/>
        <filter val="10.1002/2688-8319.12188"/>
        <filter val="10.1002/adma.202003712"/>
        <filter val="10.1002/adma.202314121"/>
        <filter val="10.1002/adom.202300852"/>
        <filter val="10.1002/advs.202101058"/>
        <filter val="10.1002/aesr.202100059"/>
        <filter val="10.1002/ajpa.24140"/>
        <filter val="10.1002/ajpa.24340"/>
        <filter val="10.1002/ajpa.24343"/>
        <filter val="10.1002/anie.202010837"/>
        <filter val="10.1002/anie.202111462"/>
        <filter val="10.1002/anie.202214759"/>
        <filter val="10.1002/anie.202216106"/>
        <filter val="10.1002/anie.202217178"/>
        <filter val="10.1002/anie.202314423"/>
        <filter val="10.1002/anie.202318523"/>
        <filter val="10.1002/anie.202401358"/>
        <filter val="10.1002/aps3.11559"/>
        <filter val="10.1002/ar.24453"/>
        <filter val="10.1002/arp.1885"/>
        <filter val="10.1002/ase.1996"/>
        <filter val="10.1002/ase.2254"/>
        <filter val="10.1002/aur.2987"/>
        <filter val="10.1002/berj.3737"/>
        <filter val="10.1002/berj.3914"/>
        <filter val="10.1002/berj.4003"/>
        <filter val="10.1002/biot.202300257"/>
        <filter val="10.1002/brb3.1981"/>
        <filter val="10.1002/ca.23662"/>
        <filter val="10.1002/cam4.3110"/>
        <filter val="10.1002/cam4.6643"/>
        <filter val="10.1002/capr.12605"/>
        <filter val="10.1002/car.2803"/>
        <filter val="10.1002/cbic.202000406"/>
        <filter val="10.1002/cbic.202200136"/>
        <filter val="10.1002/cbic.202200558"/>
        <filter val="10.1002/cbic.202300313"/>
        <filter val="10.1002/ccr3.6867"/>
        <filter val="10.1002/cctc.202400702"/>
        <filter val="10.1002/cesm.12021"/>
        <filter val="10.1002/chem.202001077"/>
        <filter val="10.1002/chem.202001123"/>
        <filter val="10.1002/chem.202001349"/>
        <filter val="10.1002/chem.202002164"/>
        <filter val="10.1002/chem.202003779"/>
        <filter val="10.1002/chem.202004568"/>
        <filter val="10.1002/chem.202004585"/>
        <filter val="10.1002/chem.202100268"/>
        <filter val="10.1002/chem.202101405"/>
        <filter val="10.1002/chem.202102359"/>
        <filter val="10.1002/chem.202102472"/>
        <filter val="10.1002/chem.202202536"/>
        <filter val="10.1002/chem.202203038"/>
        <filter val="10.1002/chem.202203400"/>
        <filter val="10.1002/chem.202302110"/>
        <filter val="10.1002/chem.202303270"/>
        <filter val="10.1002/chem.202303436"/>
        <filter val="10.1002/chem.202303724"/>
        <filter val="10.1002/chem.202400399"/>
        <filter val="10.1002/chem.202401706"/>
        <filter val="10.1002/cnma.202400183"/>
        <filter val="10.1002/cphc.202000825"/>
        <filter val="10.1002/cphc.202300038"/>
        <filter val="10.1002/cptc.202300133"/>
        <filter val="10.1002/cssc.202000462"/>
        <filter val="10.1002/cssc.202000842"/>
        <filter val="10.1002/cssc.202001213"/>
        <filter val="10.1002/cssc.202300370"/>
        <filter val="10.1002/cssc.202301639"/>
        <filter val="10.1002/cssc.202400015"/>
        <filter val="10.1002/ece3.6331"/>
        <filter val="10.1002/ece3.6546"/>
        <filter val="10.1002/ece3.6755"/>
        <filter val="10.1002/ejic.202200174"/>
        <filter val="10.1002/etc.4838"/>
        <filter val="10.1002/etc.5272"/>
        <filter val="10.1002/etc.5284"/>
        <filter val="10.1002/etc.5348"/>
        <filter val="10.1002/etc.5355"/>
        <filter val="10.1002/etc.5496"/>
        <filter val="10.1002/etc.5700"/>
        <filter val="10.1002/etc.5763"/>
        <filter val="10.1002/etc.5775"/>
        <filter val="10.1002/etc.5827"/>
        <filter val="10.1002/etc.5880"/>
        <filter val="10.1002/fes3.261"/>
        <filter val="10.1002/hbm.26607"/>
        <filter val="10.1002/hbm.26628"/>
        <filter val="10.1002/hbm.26703"/>
        <filter val="10.1002/hec.4175"/>
        <filter val="10.1002/hec.4177"/>
        <filter val="10.1002/hec.4184"/>
        <filter val="10.1002/hec.4229"/>
        <filter val="10.1002/hec.4368"/>
        <filter val="10.1002/hec.4393"/>
        <filter val="10.1002/hec.4478"/>
        <filter val="10.1002/hec.4479"/>
        <filter val="10.1002/hec.4635"/>
        <filter val="10.1002/hec.4664"/>
        <filter val="10.1002/hec.4741"/>
        <filter val="10.1002/hec.4793"/>
        <filter val="10.1002/hec.4795"/>
        <filter val="10.1002/hec.4834"/>
        <filter val="10.1002/hec.4870"/>
        <filter val="10.1002/hipo.23605"/>
        <filter val="10.1002/hlca.202300008"/>
        <filter val="10.1002/hlca.202300041"/>
        <filter val="10.1002/hpm.3315"/>
        <filter val="10.1002/hsr2.1051"/>
        <filter val="10.1002/ieam.4411"/>
        <filter val="10.1002/ieam.4568"/>
        <filter val="10.1002/iid3.1052"/>
        <filter val="10.1002/ijc.34808"/>
        <filter val="10.1002/ijch.202200033"/>
        <filter val="10.1002/ijfe.2071"/>
        <filter val="10.1002/ijfe.2462"/>
        <filter val="10.1002/ijfe.2778"/>
        <filter val="10.1002/imhj.21883"/>
        <filter val="10.1002/jae.2756"/>
        <filter val="10.1002/jae.2981"/>
        <filter val="10.1002/jae.3000"/>
        <filter val="10.1002/jbmr.4796"/>
        <filter val="10.1002/jid.3696"/>
        <filter val="10.1002/jid.3744"/>
        <filter val="10.1002/joom.1207"/>
        <filter val="10.1002/jqs.3238"/>
        <filter val="10.1002/jqs.3418"/>
        <filter val="10.1002/jqs.3586"/>
        <filter val="10.1002/jsc.2395"/>
        <filter val="10.1002/mbo3.1283"/>
        <filter val="10.1002/mhs2.14"/>
        <filter val="10.1002/mhs2.49"/>
        <filter val="10.1002/mhs2.7"/>
        <filter val="10.1002/mrc.5152"/>
        <filter val="10.1002/mrm.29166"/>
        <filter val="10.1002/nml.21524"/>
        <filter val="10.1002/oa.2962"/>
        <filter val="10.1002/oa.3145"/>
        <filter val="10.1002/open.202000020"/>
        <filter val="10.1002/open.202000030"/>
        <filter val="10.1002/pan3.10386"/>
        <filter val="10.1002/pan3.10424"/>
        <filter val="10.1002/pan3.10449"/>
        <filter val="10.1002/pan3.10457"/>
        <filter val="10.1002/pan3.10543"/>
        <filter val="10.1002/pbc.30952"/>
        <filter val="10.1002/pei3.10026"/>
        <filter val="10.1002/pits.23061"/>
        <filter val="10.1002/pol.20220552"/>
        <filter val="10.1002/pro.3955"/>
        <filter val="10.1002/ps.7229"/>
        <filter val="10.1002/qute.201900139"/>
        <filter val="10.1002/qute.202100013"/>
        <filter val="10.1002/qute.202200013"/>
        <filter val="10.1002/qute.202300237"/>
        <filter val="10.1002/qute.202300238"/>
        <filter val="10.1002/rcm.9486"/>
        <filter val="10.1002/rcm.9771"/>
        <filter val="10.1002/rra.4241"/>
        <filter val="10.1002/sea2.12316"/>
        <filter val="10.1002/smll.201907419"/>
        <filter val="10.1002/smsc.202100123"/>
        <filter val="10.1002/spe.3119"/>
        <filter val="10.1002/stvr.1812"/>
        <filter val="10.1002/symb.689"/>
        <filter val="10.1002/wcc.825"/>
        <filter val="10.1002/wfs2.1505"/>
        <filter val="10.1002/wmh3.577"/>
        <filter val="10.1007/s00006-016-0675-9"/>
        <filter val="10.1007/s00006-021-01139-2"/>
        <filter val="10.1007/s00021-017-0351-4"/>
        <filter val="10.1007/s00023-019-00847-7"/>
        <filter val="10.1007/s00023-020-00890-9"/>
        <filter val="10.1007/s00023-021-01060-1"/>
        <filter val="10.1007/s00023-022-01167-z"/>
        <filter val="10.1007/s00023-022-01218-5"/>
        <filter val="10.1007/s00023-022-01239-0"/>
        <filter val="10.1007/s00023-023-01317-x"/>
        <filter val="10.1007/s00023-023-01388-w"/>
        <filter val="10.1007/s00026-018-0384-2"/>
        <filter val="10.1007/s00028-021-00710-5"/>
        <filter val="10.1007/s00029-017-0324-8"/>
        <filter val="10.1007/s00031-017-9438-5"/>
        <filter val="10.1007/s00038-019-01215-2"/>
        <filter val="10.1007/s00040-016-0534-7"/>
        <filter val="10.1007/s00040-020-00777-2"/>
        <filter val="10.1007/s00122-022-04129-5"/>
        <filter val="10.1007/s00127-017-1372-2"/>
        <filter val="10.1007/s00127-018-1639-2"/>
        <filter val="10.1007/s00127-019-01744-4"/>
        <filter val="10.1007/s00127-022-02306-x"/>
        <filter val="10.1007/s00127-023-02514-z"/>
        <filter val="10.1007/s00127-023-02608-8"/>
        <filter val="10.1007/s00128-016-1875-7"/>
        <filter val="10.1007/s00128-021-03448-5"/>
        <filter val="10.1007/s00146-021-01259-0"/>
        <filter val="10.1007/s00146-022-01445-8"/>
        <filter val="10.1007/s00146-022-01548-2"/>
        <filter val="10.1007/s00165-021-00537-4"/>
        <filter val="10.1007/s00165-021-00545-4"/>
        <filter val="10.1007/s00170-021-07985-5"/>
        <filter val="10.1007/s00180-019-00901-2"/>
        <filter val="10.1007/s00181-020-01938-9"/>
        <filter val="10.1007/s00181-023-02390-1"/>
        <filter val="10.1007/s00182-021-00800-1"/>
        <filter val="10.1007/s00209-019-02228-6"/>
        <filter val="10.1007/s00209-021-02829-0"/>
        <filter val="10.1007/s00209-022-03084-7"/>
        <filter val="10.1007/s00209-022-03106-4"/>
        <filter val="10.1007/s00220-016-2676-x"/>
        <filter val="10.1007/s00220-017-2944-4"/>
        <filter val="10.1007/s00220-017-2951-5"/>
        <filter val="10.1007/s00220-018-3098-8"/>
        <filter val="10.1007/s00220-019-03652-9"/>
        <filter val="10.1007/s00220-020-03800-6"/>
        <filter val="10.1007/s00220-021-04061-7"/>
        <filter val="10.1007/s00220-021-04249-x"/>
        <filter val="10.1007/s00221-016-4729-y"/>
        <filter val="10.1007/s00221-023-06759-7"/>
        <filter val="10.1007/s00222-017-0725-5"/>
        <filter val="10.1007/s00222-019-00856-7"/>
        <filter val="10.1007/s00233-016-9802-0"/>
        <filter val="10.1007/s00233-016-9840-7"/>
        <filter val="10.1007/s00233-017-9878-1"/>
        <filter val="10.1007/s00233-018-9965-y"/>
        <filter val="10.1007/s00233-019-10002-7"/>
        <filter val="10.1007/s00233-019-10033-0"/>
        <filter val="10.1007/s00233-020-10115-4"/>
        <filter val="10.1007/s00233-022-10301-6"/>
        <filter val="10.1007/s00233-022-10324-z"/>
        <filter val="10.1007/s00236-020-00394-3"/>
        <filter val="10.1007/s00238-020-01641-z"/>
        <filter val="10.1007/s00239-021-10028-y"/>
        <filter val="10.1007/s00244-016-0305-5"/>
        <filter val="10.1007/s00253-018-09583-0"/>
        <filter val="10.1007/s00267-016-0728-9"/>
        <filter val="10.1007/s00267-021-01500-y"/>
        <filter val="10.1007/s00283-017-9752-8"/>
        <filter val="10.1007/s00285-017-1132-7"/>
        <filter val="10.1007/s00300-018-2273-x"/>
        <filter val="10.1007/s00334-021-00845-y"/>
        <filter val="10.1007/s00335-016-9659-2"/>
        <filter val="10.1007/s00355-017-1038-8"/>
        <filter val="10.1007/s00374-020-01432-5"/>
        <filter val="10.1007/s00426-019-01262-7"/>
        <filter val="10.1007/s00429-021-02366-w"/>
        <filter val="10.1007/s00429-021-02374-w"/>
        <filter val="10.1007/s00429-022-02526-6"/>
        <filter val="10.1007/s00429-023-02729-5"/>
        <filter val="10.1007/s00440-018-0882-5"/>
        <filter val="10.1007/s00520-019-04961-4"/>
        <filter val="10.1007/s00520-019-05056-w"/>
        <filter val="10.1007/s00521-020-05097-x"/>
        <filter val="10.1007/s00521-022-08179-0"/>
        <filter val="10.1007/s00590-016-1820-9"/>
        <filter val="10.1007/s00605-016-0983-0"/>
        <filter val="10.1007/s00605-019-01274-w"/>
        <filter val="10.1007/s00737-017-0780-3"/>
        <filter val="10.1007/s00775-016-1385-4"/>
        <filter val="10.1007/s00775-022-01966-z"/>
        <filter val="10.1007/s00780-018-0374-6"/>
        <filter val="10.1007/s00787-019-01348-y"/>
        <filter val="10.1007/s00894-017-3224-0"/>
        <filter val="10.1007/s10058-017-0202-z"/>
        <filter val="10.1007/s10058-022-00294-7"/>
        <filter val="10.1007/s10067-016-3452-1"/>
        <filter val="10.1007/s10067-017-3703-9"/>
        <filter val="10.1007/s10071-016-1049-3"/>
        <filter val="10.1007/s10071-018-1172-4"/>
        <filter val="10.1007/s10113-017-1242-1"/>
        <filter val="10.1007/s10113-020-01737-z"/>
        <filter val="10.1007/s10113-022-01973-5"/>
        <filter val="10.1007/s10157-021-02072-1"/>
        <filter val="10.1007/s10162-016-0571-y"/>
        <filter val="10.1007/s10198-016-0775-4"/>
        <filter val="10.1007/s10198-017-0935-1"/>
        <filter val="10.1007/s10198-017-0952-0"/>
        <filter val="10.1007/s10198-018-0987-x"/>
        <filter val="10.1007/s10198-019-01088-5"/>
        <filter val="10.1007/s10198-019-01121-7"/>
        <filter val="10.1007/s10198-020-01160-5"/>
        <filter val="10.1007/s10198-022-01464-8"/>
        <filter val="10.1007/s10212-019-00433-9"/>
        <filter val="10.1007/s10265-023-01487-z"/>
        <filter val="10.1007/s10270-018-00710-z"/>
        <filter val="10.1007/s10270-018-0658-5"/>
        <filter val="10.1007/s10270-018-0666-5"/>
        <filter val="10.1007/s10270-019-00732-1"/>
        <filter val="10.1007/s10270-019-00773-6"/>
        <filter val="10.1007/s10270-020-00813-6"/>
        <filter val="10.1007/s10270-021-00878-x"/>
        <filter val="10.1007/s10270-021-00910-0"/>
        <filter val="10.1007/s10270-021-00916-8"/>
        <filter val="10.1007/s10270-022-01041-w"/>
        <filter val="10.1007/s10272-019-0851-y"/>
        <filter val="10.1007/s10287-022-00423-1"/>
        <filter val="10.1007/s10340-016-0788-x"/>
        <filter val="10.1007/s10389-017-0801-8"/>
        <filter val="10.1007/s10389-017-0861-9"/>
        <filter val="10.1007/s10393-018-1312-y"/>
        <filter val="10.1007/s10436-020-00367-z"/>
        <filter val="10.1007/s10437-016-9232-0"/>
        <filter val="10.1007/s10437-022-09476-8"/>
        <filter val="10.1007/s10437-023-09518-9"/>
        <filter val="10.1007/s10455-022-09875-9"/>
        <filter val="10.1007/s10459-021-10046-x"/>
        <filter val="10.1007/s10479-016-2286-1"/>
        <filter val="10.1007/s10479-023-05575-0"/>
        <filter val="10.1007/s10482-017-0901-z"/>
        <filter val="10.1007/s10482-018-1020-1"/>
        <filter val="10.1007/s10488-015-0711-4"/>
        <filter val="10.1007/s10488-019-00958-7"/>
        <filter val="10.1007/s10503-017-9432-z"/>
        <filter val="10.1007/s10515-018-0235-8"/>
        <filter val="10.1007/s10531-018-1660-5"/>
        <filter val="10.1007/s10531-022-02357-1"/>
        <filter val="10.1007/s10531-023-02701-z"/>
        <filter val="10.1007/s10549-022-06802-1"/>
        <filter val="10.1007/s10551-017-3747-4"/>
        <filter val="10.1007/s10551-018-3962-7"/>
        <filter val="10.1007/s10551-020-04603-4"/>
        <filter val="10.1007/s10551-020-04706-y"/>
        <filter val="10.1007/s10551-021-04749-9"/>
        <filter val="10.1007/s10551-021-04770-y"/>
        <filter val="10.1007/s10551-021-04970-6"/>
        <filter val="10.1007/s10551-023-05514-w"/>
        <filter val="10.1007/s10552-016-0780-z"/>
        <filter val="10.1007/s10567-019-00275-3"/>
        <filter val="10.1007/s10567-019-00276-2"/>
        <filter val="10.1007/s10567-019-00277-1"/>
        <filter val="10.1007/s10570-020-03444-8"/>
        <filter val="10.1007/s10570-021-03986-5"/>
        <filter val="10.1007/s10583-018-9372-8"/>
        <filter val="10.1007/s10583-018-9376-4"/>
        <filter val="10.1007/s10583-023-09550-y"/>
        <filter val="10.1007/s10584-020-02857-5"/>
        <filter val="10.1007/s10601-023-09364-1"/>
        <filter val="10.1007/s10602-021-09331-z"/>
        <filter val="10.1007/s10614-023-10471-7"/>
        <filter val="10.1007/s10643-016-0813-y"/>
        <filter val="10.1007/s10643-019-00970-4"/>
        <filter val="10.1007/s10648-018-9458-2"/>
        <filter val="10.1007/s10648-019-09474-4"/>
        <filter val="10.1007/s10663-016-9335-5"/>
        <filter val="10.1007/s10663-019-09440-x"/>
        <filter val="10.1007/s10664-020-09836-5"/>
        <filter val="10.1007/s10672-022-09413-6"/>
        <filter val="10.1007/s10677-017-9798-x"/>
        <filter val="10.1007/s10677-021-10262-9"/>
        <filter val="10.1007/s10683-017-9546-z"/>
        <filter val="10.1007/s10701-017-0082-7"/>
        <filter val="10.1007/s10701-018-0138-3"/>
        <filter val="10.1007/s10701-018-0150-7"/>
        <filter val="10.1007/s10701-019-00275-x"/>
        <filter val="10.1007/s10701-021-00512-2"/>
        <filter val="10.1007/s10710-016-9276-6"/>
        <filter val="10.1007/s10710-019-09347-3"/>
        <filter val="10.1007/s10710-019-09360-6"/>
        <filter val="10.1007/s10710-020-09378-1"/>
        <filter val="10.1007/s10711-018-0395-5"/>
        <filter val="10.1007/s10711-023-00793-z"/>
        <filter val="10.1007/s10714-018-2446-5"/>
        <filter val="10.1007/s10728-021-00436-y"/>
        <filter val="10.1007/s10734-018-0329-z"/>
        <filter val="10.1007/s10734-020-00515-4"/>
        <filter val="10.1007/s10734-021-00693-9"/>
        <filter val="10.1007/s10734-021-00811-7"/>
        <filter val="10.1007/s10742-021-00259-3"/>
        <filter val="10.1007/s10742-023-00309-y"/>
        <filter val="10.1007/s10745-019-00115-6"/>
        <filter val="10.1007/s10751-019-1618-3"/>
        <filter val="10.1007/s10754-017-9214-z"/>
        <filter val="10.1007/s10754-021-09312-7"/>
        <filter val="10.1007/s10761-021-00636-1"/>
        <filter val="10.1007/s10767-018-9287-9"/>
        <filter val="10.1007/s10773-022-05046-5"/>
        <filter val="10.1007/s10790-021-09823-z"/>
        <filter val="10.1007/s10797-017-9476-x"/>
        <filter val="10.1007/s10797-021-09690-1"/>
        <filter val="10.1007/s10803-017-3425-5"/>
        <filter val="10.1007/s10803-018-3484-2"/>
        <filter val="10.1007/s10803-018-3492-2"/>
        <filter val="10.1007/s10803-019-04116-8"/>
        <filter val="10.1007/s10803-020-04570-9"/>
        <filter val="10.1007/s10803-020-04577-2"/>
        <filter val="10.1007/s10803-020-04604-2"/>
        <filter val="10.1007/s10803-021-04931-y"/>
        <filter val="10.1007/s10803-021-05382-1"/>
        <filter val="10.1007/s10803-023-05966-z"/>
        <filter val="10.1007/s10806-018-9723-x"/>
        <filter val="10.1007/s10816-016-9287-x"/>
        <filter val="10.1007/s10816-016-9307-x"/>
        <filter val="10.1007/s10816-019-09428-8"/>
        <filter val="10.1007/s10816-020-09503-5"/>
        <filter val="10.1007/s10817-017-9409-5"/>
        <filter val="10.1007/s10818-019-09283-3"/>
        <filter val="10.1007/s10826-018-1039-y"/>
        <filter val="10.1007/s10826-021-01991-7"/>
        <filter val="10.1007/s10831-023-09251-z"/>
        <filter val="10.1007/s10846-023-01905-3"/>
        <filter val="10.1007/s10853-020-04917-8"/>
        <filter val="10.1007/s10858-017-0092-y"/>
        <filter val="10.1007/s10877-022-00937-8"/>
        <filter val="10.1007/s10882-021-09789-7"/>
        <filter val="10.1007/s10886-017-0921-1"/>
        <filter val="10.1007/s10896-022-00360-2"/>
        <filter val="10.1007/s10902-020-00242-8"/>
        <filter val="10.1007/s10903-020-00977-9"/>
        <filter val="10.1007/s10943-017-0481-2"/>
        <filter val="10.1007/s10963-016-9091-2"/>
        <filter val="10.1007/s10963-018-9119-x"/>
        <filter val="10.1007/s10963-018-9122-2"/>
        <filter val="10.1007/s10964-021-01495-z"/>
        <filter val="10.1007/s10974-019-09536-8"/>
        <filter val="10.1007/s10980-020-01067-9"/>
        <filter val="10.1007/s10994-023-06309-w"/>
        <filter val="10.1007/s10995-019-02749-w"/>
        <filter val="10.1007/s10995-020-02896-5"/>
        <filter val="10.1007/s10995-022-03581-5"/>
        <filter val="10.1007/s10995-023-03831-0"/>
        <filter val="10.1007/s10998-016-0134-3"/>
        <filter val="10.1007/s10998-023-00570-1"/>
        <filter val="10.1007/s11005-018-1124-6"/>
        <filter val="10.1007/s11005-020-01262-4"/>
        <filter val="10.1007/s11005-020-01268-y"/>
        <filter val="10.1007/s11005-021-01354-9"/>
        <filter val="10.1007/s11005-022-01567-6"/>
        <filter val="10.1007/s11005-022-01590-7"/>
        <filter val="10.1007/s11005-023-01697-5"/>
        <filter val="10.1007/s11007-021-09533-0"/>
        <filter val="10.1007/s11009-020-09796-9"/>
        <filter val="10.1007/s11013-020-09692-4"/>
        <filter val="10.1007/s11019-018-9854-x"/>
        <filter val="10.1007/s11019-020-09945-4"/>
        <filter val="10.1007/s11023-022-09614-w"/>
        <filter val="10.1007/s11027-021-09982-1"/>
        <filter val="10.1007/s11032-018-0781-6"/>
        <filter val="10.1007/s11032-019-1021-4"/>
        <filter val="10.1007/s11047-019-09738-6"/>
        <filter val="10.1007/s11047-019-09772-4"/>
        <filter val="10.1007/s11047-020-09805-3"/>
        <filter val="10.1007/s11047-020-09823-1"/>
        <filter val="10.1007/s11049-023-09576-3"/>
        <filter val="10.1007/s11050-017-9133-z"/>
        <filter val="10.1007/s11056-018-9632-x"/>
        <filter val="10.1007/s11059-016-0351-z"/>
        <filter val="10.1007/s11060-017-2546-1"/>
        <filter val="10.1007/s11069-022-05227-9"/>
        <filter val="10.1007/s11079-021-09637-3"/>
        <filter val="10.1007/s11082-017-1115-3"/>
        <filter val="10.1007/s11082-023-04887-6"/>
        <filter val="10.1007/s11096-017-0541-4"/>
        <filter val="10.1007/s11097-020-09666-2"/>
        <filter val="10.1007/s11097-020-09725-8"/>
        <filter val="10.1007/s11097-021-09759-6"/>
        <filter val="10.1007/s11097-022-09840-8"/>
        <filter val="10.1007/s11097-022-09878-8"/>
        <filter val="10.1007/s11097-023-09888-0"/>
        <filter val="10.1007/s11098-017-0890-9"/>
        <filter val="10.1007/s11098-017-0948-8"/>
        <filter val="10.1007/s11098-017-0995-1"/>
        <filter val="10.1007/s11098-018-1127-2"/>
        <filter val="10.1007/s11098-019-01242-y"/>
        <filter val="10.1007/s11109-021-09676-z"/>
        <filter val="10.1007/s11111-022-00402-3"/>
        <filter val="10.1007/s11111-023-00427-2"/>
        <filter val="10.1007/s11115-017-0381-7"/>
        <filter val="10.1007/s11127-018-0548-y"/>
        <filter val="10.1007/s11127-018-0552-2"/>
        <filter val="10.1007/s11128-020-02943-8"/>
        <filter val="10.1007/s11135-018-0746-1"/>
        <filter val="10.1007/s11135-018-0789-3"/>
        <filter val="10.1007/s11135-018-0820-8"/>
        <filter val="10.1007/s11136-017-1599-0"/>
        <filter val="10.1007/s11136-017-1719-x"/>
        <filter val="10.1007/s11136-018-1910-8"/>
        <filter val="10.1007/s11136-018-1917-1"/>
        <filter val="10.1007/s11136-018-1925-1"/>
        <filter val="10.1007/s11136-018-2070-6"/>
        <filter val="10.1007/s11136-021-02805-5"/>
        <filter val="10.1007/s11136-022-03340-7"/>
        <filter val="10.1007/s11145-016-9699-8"/>
        <filter val="10.1007/s11165-019-9843-y"/>
        <filter val="10.1007/s11166-017-9256-0"/>
        <filter val="10.1007/s11166-023-09418-y"/>
        <filter val="10.1007/s11191-019-00048-y"/>
        <filter val="10.1007/s11211-018-0311-z"/>
        <filter val="10.1007/s11229-016-1142-9"/>
        <filter val="10.1007/s11229-016-1309-4"/>
        <filter val="10.1007/s11229-019-02476-3"/>
        <filter val="10.1007/s11229-020-02925-4"/>
        <filter val="10.1007/s11229-020-02965-w"/>
        <filter val="10.1007/s11229-021-03253-x"/>
        <filter val="10.1007/s11229-023-04274-4"/>
        <filter val="10.1007/s11233-023-09115-0"/>
        <filter val="10.1007/s11238-017-9600-5"/>
        <filter val="10.1007/s11238-019-09719-2"/>
        <filter val="10.1007/s11238-021-09818-z"/>
        <filter val="10.1007/s11241-017-9294-3"/>
        <filter val="10.1007/s11241-017-9295-2"/>
        <filter val="10.1007/s11241-018-9305-z"/>
        <filter val="10.1007/s11241-022-09377-8"/>
        <filter val="10.1007/s11241-022-09383-w"/>
        <filter val="10.1007/s11241-023-09395-0"/>
        <filter val="10.1007/s11245-018-9582-0"/>
        <filter val="10.1007/s11245-023-09915-4"/>
        <filter val="10.1007/s11245-023-09931-4"/>
        <filter val="10.1007/s11245-023-09985-4"/>
        <filter val="10.1007/s11252-018-0762-x"/>
        <filter val="10.1007/s11257-021-09293-9"/>
        <filter val="10.1007/s11263-019-01197-x"/>
        <filter val="10.1007/s11263-019-01260-7"/>
        <filter val="10.1007/s11265-023-01894-4"/>
        <filter val="10.1007/s11273-019-09672-5"/>
        <filter val="10.1007/s11277-016-3341-6"/>
        <filter val="10.1007/s11277-017-3966-0"/>
        <filter val="10.1007/s11277-022-09499-z"/>
        <filter val="10.1007/s11292-017-9303-5"/>
        <filter val="10.1007/s11292-020-09453-8"/>
        <filter val="10.1007/s11306-016-0972-2"/>
        <filter val="10.1007/s11306-018-1424-y"/>
        <filter val="10.1007/s11356-016-6679-0"/>
        <filter val="10.1007/s11356-017-0064-5"/>
        <filter val="10.1007/s11356-017-8377-y"/>
        <filter val="10.1007/s11356-018-1836-2"/>
        <filter val="10.1007/s11356-018-3676-5"/>
        <filter val="10.1007/s11368-019-02431-2"/>
        <filter val="10.1007/s11406-016-9802-z"/>
        <filter val="10.1007/s11406-022-00560-6"/>
        <filter val="10.1007/s11422-021-10017-z"/>
        <filter val="10.1007/s11469-018-0024-4"/>
        <filter val="10.1007/s11469-018-9961-1"/>
        <filter val="10.1007/s11469-019-00204-z"/>
        <filter val="10.1007/s11524-017-0191-9"/>
        <filter val="10.1007/s11524-018-0232-z"/>
        <filter val="10.1007/s11524-022-00617-7"/>
        <filter val="10.1007/s11538-017-0288-z"/>
        <filter val="10.1007/s11538-018-00546-0"/>
        <filter val="10.1007/s11538-023-01189-6"/>
        <filter val="10.1007/s11572-021-09611-7"/>
        <filter val="10.1007/s11577-019-00637-3"/>
        <filter val="10.1007/s11579-020-00258-x"/>
        <filter val="10.1007/s11625-018-0622-x"/>
        <filter val="10.1007/s11625-019-00691-y"/>
        <filter val="10.1007/s11625-019-00715-7"/>
        <filter val="10.1007/s11625-019-00726-4"/>
        <filter val="10.1007/s11625-021-01075-x"/>
        <filter val="10.1007/s11625-022-01159-2"/>
        <filter val="10.1007/s11625-023-01317-0"/>
        <filter val="10.1007/s11625-023-01443-9"/>
        <filter val="10.1007/s11657-017-0355-y"/>
        <filter val="10.1007/s11695-016-2349-z"/>
        <filter val="10.1007/s11749-019-00692-0"/>
        <filter val="10.1007/s11759-020-09390-y"/>
        <filter val="10.1007/s11760-017-1199-z"/>
        <filter val="10.1007/s11786-020-00462-4"/>
        <filter val="10.1007/s11829-019-09671-6"/>
        <filter val="10.1007/s11841-017-0612-y"/>
        <filter val="10.1007/s11841-023-00956-1"/>
        <filter val="10.1007/s11864-023-01091-2"/>
        <filter val="10.1007/s11920-019-1044-x"/>
        <filter val="10.1007/s12065-022-00762-7"/>
        <filter val="10.1007/s12104-020-09949-4"/>
        <filter val="10.1007/s12104-020-09959-2"/>
        <filter val="10.1007/s12134-021-00876-4"/>
        <filter val="10.1007/s12140-023-09422-8"/>
        <filter val="10.1007/s12144-021-02061-3"/>
        <filter val="10.1007/s12187-016-9421-z"/>
        <filter val="10.1007/s12193-016-0220-0"/>
        <filter val="10.1007/s12231-017-9369-z"/>
        <filter val="10.1007/s12232-018-0302-2"/>
        <filter val="10.1007/s12232-020-00361-x"/>
        <filter val="10.1007/s12310-017-9207-6"/>
        <filter val="10.1007/s12369-020-00637-w"/>
        <filter val="10.1007/s12403-019-00310-2"/>
        <filter val="10.1007/s12520-018-0752-1"/>
        <filter val="10.1007/s12520-019-00804-9"/>
        <filter val="10.1007/s12520-019-00810-x"/>
        <filter val="10.1007/s12520-019-00822-7"/>
        <filter val="10.1007/s12520-019-00853-0"/>
        <filter val="10.1007/s12520-021-01288-2"/>
        <filter val="10.1007/s12520-021-01412-2"/>
        <filter val="10.1007/s12520-021-01450-w"/>
        <filter val="10.1007/s12520-022-01550-1"/>
        <filter val="10.1007/s12520-023-01843-z"/>
        <filter val="10.1007/s12520-023-01889-z"/>
        <filter val="10.1007/s12520-023-01905-2"/>
        <filter val="10.1007/s12526-016-0575-1"/>
        <filter val="10.1007/s12529-016-9580-9"/>
        <filter val="10.1007/s12551-021-00855-0"/>
        <filter val="10.1007/s12571-020-01014-1"/>
        <filter val="10.1007/s12571-022-01268-x"/>
        <filter val="10.1007/s12598-022-02117-8"/>
        <filter val="10.1007/s12639-020-01260-2"/>
        <filter val="10.1007/s12646-023-00736-4"/>
        <filter val="10.1007/s13157-021-01400-1"/>
        <filter val="10.1007/s13162-017-0092-9"/>
        <filter val="10.1007/s13178-021-00627-1"/>
        <filter val="10.1007/s13277-016-4911-7"/>
        <filter val="10.1007/s13280-018-1014-2"/>
        <filter val="10.1007/s13280-020-01436-3"/>
        <filter val="10.1007/s13280-021-01678-9"/>
        <filter val="10.1007/s13538-018-0589-1"/>
        <filter val="10.1007/s13593-020-00636-1"/>
        <filter val="10.1007/s13668-022-00399-z"/>
        <filter val="10.1007/s40062-016-0154-y"/>
        <filter val="10.1007/s40072-022-00238-w"/>
        <filter val="10.1007/s40152-022-00259-0"/>
        <filter val="10.1007/s40279-019-01193-8"/>
        <filter val="10.1007/s40316-021-00177-3"/>
        <filter val="10.1007/s40319-021-01113-2"/>
        <filter val="10.1007/s40429-017-0166-7"/>
        <filter val="10.1007/s40598-016-0046-6"/>
        <filter val="10.1007/s40615-023-01571-z"/>
        <filter val="10.1007/s40620-023-01599-8"/>
        <filter val="10.1007/s40670-019-00898-9"/>
        <filter val="10.1007/s40670-019-00912-0"/>
        <filter val="10.1007/s40670-020-00979-0"/>
        <filter val="10.1007/s40670-020-01021-z"/>
        <filter val="10.1007/s40670-020-01131-8"/>
        <filter val="10.1007/s40670-020-01137-2"/>
        <filter val="10.1007/s40670-021-01430-8"/>
        <filter val="10.1007/s40675-021-00207-0"/>
        <filter val="10.1007/s40839-022-00180-y"/>
        <filter val="10.1007/s40844-021-00210-8"/>
        <filter val="10.1007/s40881-020-00084-3"/>
        <filter val="10.1007/s40974-018-0102-2"/>
        <filter val="10.1007/s41020-022-00183-8"/>
        <filter val="10.1007/s41027-020-00272-z"/>
        <filter val="10.1007/s41061-017-0130-y"/>
        <filter val="10.1007/s41061-017-0133-8"/>
        <filter val="10.1007/s41061-017-0182-z"/>
        <filter val="10.1007/s41412-020-00097-7"/>
        <filter val="10.1007/s41664-023-00274-y"/>
        <filter val="10.1007/s41980-018-0108-8"/>
        <filter val="10.1007/s42113-022-00147-0"/>
        <filter val="10.1007/s42330-019-00057-7"/>
        <filter val="10.1007/s42330-021-00150-w"/>
        <filter val="10.1007/s42380-022-00130-0"/>
        <filter val="10.1007/s42979-022-01220-y"/>
        <filter val="10.1007/s43253-023-00111-z"/>
        <filter val="10.1007/s43477-023-00072-9"/>
        <filter val="10.1007/s43681-023-00297-2"/>
        <filter val="10.1007/s43681-023-00404-3"/>
        <filter val="10.1007/s44177-022-00027-z"/>
        <filter val="10.1007/s44177-023-00045-5"/>
        <filter val="10.1016/j.aca.2022.340700"/>
        <filter val="10.1016/j.addbeh.2023.107932"/>
        <filter val="10.1016/j.adhoc.2022.102894"/>
        <filter val="10.1016/j.aeaoa.2024.100241"/>
        <filter val="10.1016/j.aim.2022.108316"/>
        <filter val="10.1016/j.aim.2023.108994"/>
        <filter val="10.1016/j.aim.2023.109156"/>
        <filter val="10.1016/j.aim.2023.109182"/>
        <filter val="10.1016/j.aim.2023.109185"/>
        <filter val="10.1016/j.aim.2023.109435"/>
        <filter val="10.1016/j.algal.2023.103176"/>
        <filter val="10.1016/j.algal.2023.103248"/>
        <filter val="10.1016/j.anbehav.2022.04.007"/>
        <filter val="10.1016/j.annals.2023.103686"/>
        <filter val="10.1016/j.annals.2024.103789"/>
        <filter val="10.1016/j.apacoust.2022.108639"/>
        <filter val="10.1016/j.apergo.2024.104275"/>
        <filter val="10.1016/j.apgeochem.2023.105618"/>
        <filter val="10.1016/j.apsusc.2022.153490"/>
        <filter val="10.1016/j.atmosenv.2023.119598"/>
        <filter val="10.1016/j.bandl.2024.105402"/>
        <filter val="10.1016/j.bbih.2022.100518"/>
        <filter val="10.1016/j.beth.2023.04.001"/>
        <filter val="10.1016/j.biocon.2022.109828"/>
        <filter val="10.1016/j.biombioe.2024.107099"/>
        <filter val="10.1016/j.bios.2022.115056"/>
        <filter val="10.1016/j.bios.2023.115150"/>
        <filter val="10.1016/j.bios.2023.115743"/>
        <filter val="10.1016/j.bpj.2023.11.009"/>
        <filter val="10.1016/j.bspc.2023.105777"/>
        <filter val="10.1016/j.caeo.2022.100110"/>
        <filter val="10.1016/j.canep.2023.102513"/>
        <filter val="10.1016/j.cct.2022.106788"/>
        <filter val="10.1016/j.cdnut.2024.102096"/>
        <filter val="10.1016/j.cell.2023.07.037"/>
        <filter val="10.1016/j.celrep.2022.111183"/>
        <filter val="10.1016/j.checat.2023.100889"/>
        <filter val="10.1016/j.chest.2023.08.021"/>
        <filter val="10.1016/j.cities.2022.104077"/>
        <filter val="10.1016/j.cities.2023.104570"/>
        <filter val="10.1016/j.cities.2023.104740"/>
        <filter val="10.1016/j.cities.2024.104796"/>
        <filter val="10.1016/j.cobeha.2022.101171"/>
        <filter val="10.1016/j.cognition.2022.105175"/>
        <filter val="10.1016/j.cognition.2022.105203"/>
        <filter val="10.1016/j.cognition.2022.105227"/>
        <filter val="10.1016/j.cognition.2022.105288"/>
        <filter val="10.1016/j.cognition.2022.105319"/>
        <filter val="10.1016/j.cognition.2023.105477"/>
        <filter val="10.1016/j.cogsc.2022.100685"/>
        <filter val="10.1016/j.comnet.2023.109666"/>
        <filter val="10.1016/j.compedu.2023.104935"/>
        <filter val="10.1016/j.copbio.2024.103147"/>
        <filter val="10.1016/j.cortex.2022.04.011"/>
        <filter val="10.1016/j.cortex.2022.09.016"/>
        <filter val="10.1016/j.cortex.2023.06.001"/>
        <filter val="10.1016/j.cpc.2022.108462"/>
        <filter val="10.1016/j.crm.2023.100569"/>
        <filter val="10.1016/j.dib.2023.109065"/>
        <filter val="10.1016/j.drudis.2022.05.021"/>
        <filter val="10.1016/j.drugalcdep.2024.111337"/>
        <filter val="10.1016/j.drugpo.2023.103963"/>
        <filter val="10.1016/j.drugpo.2023.104149"/>
        <filter val="10.1016/j.drugpo.2024.104393"/>
        <filter val="10.1016/j.ebiom.2022.104378"/>
        <filter val="10.1016/j.ecoenv.2024.116240"/>
        <filter val="10.1016/j.ecolind.2022.108632"/>
        <filter val="10.1016/j.econlet.2023.111109"/>
        <filter val="10.1016/j.econlet.2023.111396"/>
        <filter val="10.1016/j.econmod.2023.106395"/>
        <filter val="10.1016/j.econmod.2023.106414"/>
        <filter val="10.1016/j.ecoser.2023.101511"/>
        <filter val="10.1016/j.ecss.2022.107926"/>
        <filter val="10.1016/j.ehb.2022.101153"/>
        <filter val="10.1016/j.ehb.2023.101338"/>
        <filter val="10.1016/j.ejon.2023.102349"/>
        <filter val="10.1016/j.ejon.2023.102421"/>
        <filter val="10.1016/j.ejor.2022.06.034"/>
        <filter val="10.1016/j.ejor.2023.04.004"/>
        <filter val="10.1016/j.ejpoleco.2023.102432"/>
        <filter val="10.1016/j.energy.2023.127807"/>
        <filter val="10.1016/j.entcom.2023.100591"/>
        <filter val="10.1016/j.envdev.2022.100739"/>
        <filter val="10.1016/j.envdev.2023.100891"/>
        <filter val="10.1016/j.envint.2023.108330"/>
        <filter val="10.1016/j.envint.2024.108560"/>
        <filter val="10.1016/j.envres.2023.115230"/>
        <filter val="10.1016/j.erss.2022.102646"/>
        <filter val="10.1016/j.erss.2023.103064"/>
        <filter val="10.1016/j.eswa.2023.122962"/>
        <filter val="10.1016/j.eti.2023.103014"/>
        <filter val="10.1016/j.exis.2023.101273"/>
        <filter val="10.1016/j.exphem.2022.10.004"/>
        <filter val="10.1016/j.exphem.2024.104246"/>
        <filter val="10.1016/j.foodcont.2023.109680"/>
        <filter val="10.1016/j.foodqual.2024.105163"/>
        <filter val="10.1016/j.futures.2022.103040"/>
        <filter val="10.1016/j.gecco.2022.e02305"/>
        <filter val="10.1016/j.gene.2022.146280"/>
        <filter val="10.1016/j.gene.2022.146533"/>
        <filter val="10.1016/j.genhosppsych.2023.06.010"/>
        <filter val="10.1016/j.genhosppsych.2024.02.009"/>
        <filter val="10.1016/j.geoderma.2023.116426"/>
        <filter val="10.1016/j.geoforum.2023.103706"/>
        <filter val="10.1016/j.geoforum.2023.103850"/>
        <filter val="10.1016/j.healthpol.2023.104800"/>
        <filter val="10.1016/j.healthpol.2023.104918"/>
        <filter val="10.1016/j.healthpol.2024.105016"/>
        <filter val="10.1016/j.hedp.2022.100995"/>
        <filter val="10.1016/j.heliyon.2023.e17041"/>
        <filter val="10.1016/j.heliyon.2023.e19098"/>
        <filter val="10.1016/j.heliyon.2023.e23179"/>
        <filter val="10.1016/j.heliyon.2024.e25455"/>
        <filter val="10.1016/j.heliyon.2024.e27178"/>
        <filter val="10.1016/j.hfh.2024.100075"/>
        <filter val="10.1016/j.ijbiomac.2022.11.306"/>
        <filter val="10.1016/j.ijcard.2023.03.041"/>
        <filter val="10.1016/j.ijdrr.2022.103480"/>
        <filter val="10.1016/j.ijdrr.2023.103657"/>
        <filter val="10.1016/j.ijedudev.2022.102633"/>
        <filter val="10.1016/j.ijer.2023.102301"/>
        <filter val="10.1016/j.ijhcs.2022.102940"/>
        <filter val="10.1016/j.ijleo.2024.171627"/>
        <filter val="10.1016/j.ijme.2023.100818"/>
        <filter val="10.1016/j.ijms.2022.116892"/>
        <filter val="10.1016/j.ijpe.2023.108836"/>
        <filter val="10.1016/j.infsof.2022.107143"/>
        <filter val="10.1016/j.intell.2023.101748"/>
        <filter val="10.1016/j.intell.2024.101834"/>
        <filter val="10.1016/j.invent.2023.100689"/>
        <filter val="10.1016/j.iref.2024.02.029"/>
        <filter val="10.1016/j.irfa.2023.102951"/>
        <filter val="10.1016/j.isci.2022.105675"/>
        <filter val="10.1016/j.isci.2023.108104"/>
        <filter val="10.1016/j.isci.2024.109843"/>
        <filter val="10.1016/j.jad.2023.02.122"/>
        <filter val="10.1016/j.jadohealth.2023.05.035"/>
        <filter val="10.1016/j.jalgebra.2022.12.018"/>
        <filter val="10.1016/j.jalgebra.2023.08.040"/>
        <filter val="10.1016/j.jalgebra.2023.08.042"/>
        <filter val="10.1016/j.jalgebra.2024.03.023"/>
        <filter val="10.1016/j.jas.2023.105824"/>
        <filter val="10.1016/j.jas.2023.105894"/>
        <filter val="10.1016/j.jasrep.2022.103478"/>
        <filter val="10.1016/j.jasrep.2023.104264"/>
        <filter val="10.1016/j.jasrep.2024.104591"/>
        <filter val="10.1016/j.jbusres.2022.113534"/>
        <filter val="10.1016/j.jbvi.2023.e00431"/>
        <filter val="10.1016/j.jclepro.2022.133802"/>
        <filter val="10.1016/j.jclepro.2022.134305"/>
        <filter val="10.1016/j.jclepro.2023.139292"/>
        <filter val="10.1016/j.jclinepi.2024.111357"/>
        <filter val="10.1016/j.jdin.2023.03.013"/>
        <filter val="10.1016/j.jebo.2022.10.017"/>
        <filter val="10.1016/j.jebo.2023.05.013"/>
        <filter val="10.1016/j.jecp.2022.105477"/>
        <filter val="10.1016/j.jecp.2023.105674"/>
        <filter val="10.1016/j.jelechem.2023.117264"/>
        <filter val="10.1016/j.jenvman.2022.115696"/>
        <filter val="10.1016/j.jet.2024.105803"/>
        <filter val="10.1016/j.jhazmat.2022.129174"/>
        <filter val="10.1016/j.jhazmat.2023.133395"/>
        <filter val="10.1016/j.jhazmat.2024.133744"/>
        <filter val="10.1016/j.jimonfin.2023.102824"/>
        <filter val="10.1016/j.jinorgbio.2022.111875"/>
        <filter val="10.1016/j.jlamp.2023.100940"/>
        <filter val="10.1016/j.jmaa.2022.126750"/>
        <filter val="10.1016/j.jmaa.2023.127249"/>
        <filter val="10.1016/j.jmateco.2023.102862"/>
        <filter val="10.1016/j.jmateco.2024.102957"/>
        <filter val="10.1016/j.jmb.2022.167696"/>
        <filter val="10.1016/j.jmb.2023.168369"/>
        <filter val="10.1016/j.jml.2022.104386"/>
        <filter val="10.1016/j.jml.2022.104389"/>
        <filter val="10.1016/j.jml.2023.104427"/>
        <filter val="10.1016/j.jml.2024.104529"/>
        <filter val="10.1016/j.jmmm.2022.169543"/>
        <filter val="10.1016/j.jmmm.2022.170041"/>
        <filter val="10.1016/j.jmmm.2023.170575"/>
        <filter val="10.1016/j.jmmm.2024.172035"/>
        <filter val="10.1016/j.jnt.2022.03.004"/>
        <filter val="10.1016/j.jorganchem.2022.122455"/>
        <filter val="10.1016/j.jpainsymman.2022.05.020"/>
        <filter val="10.1016/j.jphotochem.2023.114627"/>
        <filter val="10.1016/j.jpsychires.2022.11.026"/>
        <filter val="10.1016/j.jpsychires.2024.04.031"/>
        <filter val="10.1016/j.jpsychores.2022.110989"/>
        <filter val="10.1016/j.jpsychores.2022.111121"/>
        <filter val="10.1016/j.jpsychores.2023.111342"/>
        <filter val="10.1016/j.jpsychores.2023.111460"/>
        <filter val="10.1016/j.jpsychores.2023.111584"/>
        <filter val="10.1016/j.jrurstud.2023.01.006"/>
        <filter val="10.1016/j.jval.2023.04.008"/>
        <filter val="10.1016/j.jval.2023.06.014"/>
        <filter val="10.1016/j.jval.2023.10.001"/>
        <filter val="10.1016/j.jval.2024.01.015"/>
        <filter val="10.1016/j.jval.2024.02.003"/>
        <filter val="10.1016/j.jval.2024.02.013"/>
        <filter val="10.1016/j.jval.2024.03.007"/>
        <filter val="10.1016/j.jvoice.2022.11.004"/>
        <filter val="10.1016/j.jvoice.2023.11.020"/>
        <filter val="10.1016/j.landurbplan.2022.104510"/>
        <filter val="10.1016/j.landusepol.2022.106276"/>
        <filter val="10.1016/j.lindif.2023.102287"/>
        <filter val="10.1016/j.margeo.2022.106944"/>
        <filter val="10.1016/j.marpolbul.2022.114457"/>
        <filter val="10.1016/j.mechrescom.2022.103967"/>
        <filter val="10.1016/j.mhpa.2023.100542"/>
        <filter val="10.1016/j.mib.2022.102202"/>
        <filter val="10.1016/j.midw.2022.103389"/>
        <filter val="10.1016/j.midw.2024.103940"/>
        <filter val="10.1016/j.mlwa.2022.100338"/>
        <filter val="10.1016/j.mlwa.2023.100466"/>
        <filter val="10.1016/j.molbiopara.2024.111619"/>
        <filter val="10.1016/j.molliq.2022.119707"/>
        <filter val="10.1016/j.molp.2023.01.004"/>
        <filter val="10.1016/j.mtcomm.2022.103510"/>
        <filter val="10.1016/j.neunet.2023.04.009"/>
        <filter val="10.1016/j.neuroimage.2023.119936"/>
        <filter val="10.1016/j.neuroimage.2023.120228"/>
        <filter val="10.1016/j.neuropsychologia.2022.108275"/>
        <filter val="10.1016/j.neuropsychologia.2023.108622"/>
        <filter val="10.1016/j.neuroscience.2023.01.025"/>
        <filter val="10.1016/j.oneear.2022.10.011"/>
        <filter val="10.1016/j.oneear.2023.06.006"/>
        <filter val="10.1016/j.optcom.2022.128846"/>
        <filter val="10.1016/j.optcom.2023.129469"/>
        <filter val="10.1016/j.optcom.2023.130185"/>
        <filter val="10.1016/j.oret.2023.12.012"/>
        <filter val="10.1016/j.patcog.2023.110156"/>
        <filter val="10.1016/j.pec.2023.107861"/>
        <filter val="10.1016/j.pec.2024.108231"/>
        <filter val="10.1016/j.physa.2024.129753"/>
        <filter val="10.1016/j.physd.2023.133786"/>
        <filter val="10.1016/j.physd.2023.133824"/>
        <filter val="10.1016/j.polgeo.2023.103002"/>
        <filter val="10.1016/j.polgeo.2024.103090"/>
        <filter val="10.1016/j.psychres.2022.114988"/>
        <filter val="10.1016/j.psychres.2023.115091"/>
        <filter val="10.1016/j.pt.2022.08.009"/>
        <filter val="10.1016/j.pt.2024.02.002"/>
        <filter val="10.1016/j.puhe.2023.03.008"/>
        <filter val="10.1016/j.puhe.2023.03.020"/>
        <filter val="10.1016/j.puhip.2022.100346"/>
        <filter val="10.1016/j.quageo.2023.101473"/>
        <filter val="10.1016/j.quageo.2024.101543"/>
        <filter val="10.1016/j.quaint.2023.10.005"/>
        <filter val="10.1016/j.quascirev.2022.107719"/>
        <filter val="10.1016/j.rasd.2024.102392"/>
        <filter val="10.1016/j.rasd.2024.102400"/>
        <filter val="10.1016/j.resconrec.2022.106838"/>
        <filter val="10.1016/j.revpalbo.2023.104860"/>
        <filter val="10.1016/j.ridd.2024.104713"/>
        <filter val="10.1016/j.rmal.2022.100031"/>
        <filter val="10.1016/j.rmal.2023.100079"/>
        <filter val="10.1016/j.robot.2023.104386"/>
        <filter val="10.1016/j.scico.2023.103037"/>
        <filter val="10.1016/j.scico.2024.103118"/>
        <filter val="10.1016/j.scitotenv.2022.157107"/>
        <filter val="10.1016/j.scitotenv.2022.159702"/>
        <filter val="10.1016/j.scitotenv.2023.162621"/>
        <filter val="10.1016/j.scitotenv.2023.163497"/>
        <filter val="10.1016/j.scitotenv.2023.166129"/>
        <filter val="10.1016/j.scp.2022.100813"/>
        <filter val="10.1016/j.seizure.2024.01.015"/>
        <filter val="10.1016/j.semarthrit.2023.152264"/>
        <filter val="10.1016/j.seps.2024.101914"/>
        <filter val="10.1016/j.sigpro.2022.108599"/>
        <filter val="10.1016/j.sigpro.2022.108664"/>
        <filter val="10.1016/j.smrv.2024.101950"/>
        <filter val="10.1016/j.socscimed.2022.114746"/>
        <filter val="10.1016/j.socscimed.2022.114960"/>
        <filter val="10.1016/j.socscimed.2022.115427"/>
        <filter val="10.1016/j.socscimed.2023.116129"/>
        <filter val="10.1016/j.socscimed.2024.116582"/>
        <filter val="10.1016/j.sopen.2023.07.021"/>
        <filter val="10.1016/j.specom.2024.103042"/>
        <filter val="10.1016/j.ssaho.2022.100353"/>
        <filter val="10.1016/j.ssaho.2024.100935"/>
        <filter val="10.1016/j.ssci.2024.106424"/>
        <filter val="10.1016/j.ssmmh.2023.100227"/>
        <filter val="10.1016/j.ssmph.2024.101626"/>
        <filter val="10.1016/j.ssmqr.2022.100092"/>
        <filter val="10.1016/j.str.2023.01.010"/>
        <filter val="10.1016/j.system.2023.103122"/>
        <filter val="10.1016/j.talanta.2023.125300"/>
        <filter val="10.1016/j.tate.2023.104452"/>
        <filter val="10.1016/j.technovation.2023.102824"/>
        <filter val="10.1016/j.tet.2022.132921"/>
        <filter val="10.1016/j.tim.2024.05.002"/>
        <filter val="10.1016/j.tine.2024.100221"/>
        <filter val="10.1016/j.triboint.2023.108355"/>
        <filter val="10.1016/j.trre.2022.100708"/>
        <filter val="10.1016/j.tvr.2022.200250"/>
        <filter val="10.1016/j.ufug.2024.128372"/>
        <filter val="10.1016/j.vaa.2023.03.005"/>
        <filter val="10.1016/j.vhri.2022.04.006"/>
        <filter val="10.1016/j.vhri.2023.07.005"/>
        <filter val="10.1016/j.vhri.2023.08.005"/>
        <filter val="10.1016/j.vhri.2023.09.001"/>
        <filter val="10.1016/j.vhri.2023.10.008"/>
        <filter val="10.1016/j.vhri.2023.11.002"/>
        <filter val="10.1016/j.visres.2023.108209"/>
        <filter val="10.1016/j.visres.2023.108297"/>
        <filter val="10.1016/j.visres.2024.108398"/>
        <filter val="10.1016/j.wneu.2022.06.022"/>
        <filter val="10.1016/j.wneu.2022.06.058"/>
        <filter val="10.1016/j.wocn.2023.101224"/>
        <filter val="10.1016/j.worlddev.2022.106070"/>
        <filter val="10.1016/j.wsif.2023.102838"/>
        <filter val="10.1016/j.wsif.2024.102870"/>
        <filter val="10.1016/S2214-109X(24)00095-0"/>
        <filter val="10.1016/S2542-5196(23)00278-4"/>
        <filter val="10.1017/apa.2020.37"/>
        <filter val="10.1017/apa.2021.55"/>
        <filter val="10.1017/BrImp.2021.6"/>
        <filter val="10.1017/can.2021.17"/>
        <filter val="10.1017/can.2021.20"/>
        <filter val="10.1017/can.2022.28"/>
        <filter val="10.1017/dmp.2021.9"/>
        <filter val="10.1017/erm.2023.24"/>
        <filter val="10.1017/eso.2023.55"/>
        <filter val="10.1017/fms.2021.82"/>
        <filter val="10.1017/gmh.2022.21"/>
        <filter val="10.1017/gmh.2023.72"/>
        <filter val="10.1017/ics.2023.15"/>
        <filter val="10.1017/jbr.2021.189"/>
        <filter val="10.1017/jbr.2021.67"/>
        <filter val="10.1017/jns.2023.100"/>
        <filter val="10.1017/jog.2021.122"/>
        <filter val="10.1017/laq.2023.58"/>
        <filter val="10.1017/lst.2021.33"/>
        <filter val="10.1017/lst.2021.47"/>
        <filter val="10.1017/mah.2023.24"/>
        <filter val="10.1017/nps.2023.34"/>
        <filter val="10.1017/pli.2023.30"/>
        <filter val="10.1017/ppr.2022.12"/>
        <filter val="10.1017/psrm.2023.44"/>
        <filter val="10.1017/rma.2022.22"/>
        <filter val="10.1017/S0003581521000020"/>
        <filter val="10.1017/S000358152100007X"/>
        <filter val="10.1017/S0003581522000269"/>
        <filter val="10.1017/S0007123421000569"/>
        <filter val="10.1017/S0007680521000362"/>
        <filter val="10.1017/S0013091521000638"/>
        <filter val="10.1017/S001708952300023X"/>
        <filter val="10.1017/S0018246X20000333"/>
        <filter val="10.1017/S0018246X22000206"/>
        <filter val="10.1017/S002085902100047X"/>
        <filter val="10.1017/S0021875822000093"/>
        <filter val="10.1017/S0022050722000274"/>
        <filter val="10.1017/S0022226723000129"/>
        <filter val="10.1017/S0022377823001277"/>
        <filter val="10.1017/S003441252400012X"/>
        <filter val="10.1017/S0040298221000395"/>
        <filter val="10.1017/S0041977X22000544"/>
        <filter val="10.1017/S0047279422000320"/>
        <filter val="10.1017/S0047279423000193"/>
        <filter val="10.1017/S0066154622000102"/>
        <filter val="10.1017/S0067237821000023"/>
        <filter val="10.1017/S0067237822000017"/>
        <filter val="10.1017/S0080440121000037"/>
        <filter val="10.1017/S0142716423000334"/>
        <filter val="10.1017/S0144686X2200099X"/>
        <filter val="10.1017/S0144686X22001489"/>
        <filter val="10.1017/S0144686X23000594"/>
        <filter val="10.1017/S0165115321000140"/>
        <filter val="10.1017/S0260210524000020"/>
        <filter val="10.1017/S0261444822000301"/>
        <filter val="10.1017/S0263574723001339"/>
        <filter val="10.1017/S0266462322000022"/>
        <filter val="10.1017/S0266462322003233"/>
        <filter val="10.1017/S0268416022000108"/>
        <filter val="10.1017/S0272263121000723"/>
        <filter val="10.1017/S0272263123000475"/>
        <filter val="10.1017/S027226312400007X"/>
        <filter val="10.1017/S0305000922000368"/>
        <filter val="10.1017/S0305000922000393"/>
        <filter val="10.1017/S0305004122000470"/>
        <filter val="10.1017/S0307883322000098"/>
        <filter val="10.1017/S0373463324000018"/>
        <filter val="10.1017/S0953820822000218"/>
        <filter val="10.1017/S0954579422000657"/>
        <filter val="10.1017/S095457942300069X"/>
        <filter val="10.1017/S0954586723000034"/>
        <filter val="10.1017/S0956796822000028"/>
        <filter val="10.1017/S0959774321000263"/>
        <filter val="10.1017/S0959774321000585"/>
        <filter val="10.1017/S0959774322000300"/>
        <filter val="10.1017/S0959774323000124"/>
        <filter val="10.1017/S0959774323000203"/>
        <filter val="10.1017/S0963926821000249"/>
        <filter val="10.1017/S0963926821000870"/>
        <filter val="10.1017/S1047759421000726"/>
        <filter val="10.1017/S1049096524000143"/>
        <filter val="10.1017/S1352465822000315"/>
        <filter val="10.1017/S1352465823000322"/>
        <filter val="10.1017/S1356186321000730"/>
        <filter val="10.1017/S135824612200008X"/>
        <filter val="10.1017/S136067432100040X"/>
        <filter val="10.1017/S1360674323000679"/>
        <filter val="10.1017/S1366728921000535"/>
        <filter val="10.1017/S1366728922000554"/>
        <filter val="10.1017/S1380203823000077"/>
        <filter val="10.1017/S1463423623000506"/>
        <filter val="10.1017/S1474746421000245"/>
        <filter val="10.1017/S1474746421000580"/>
        <filter val="10.1017/S1474746423000167"/>
        <filter val="10.1017/S1474746424000071"/>
        <filter val="10.1017/S147474802200055X"/>
        <filter val="10.1017/S1478570622000318"/>
        <filter val="10.1017/S1478572221000311"/>
        <filter val="10.1017/S1479409821000446"/>
        <filter val="10.1017/S1537592721003273"/>
        <filter val="10.1017/S1744133121000074"/>
        <filter val="10.1017/S1744133121000141"/>
        <filter val="10.1017/S1744133121000293"/>
        <filter val="10.1017/S1744552322000337"/>
        <filter val="10.1017/S1744552323000174"/>
        <filter val="10.1017/S1755020321000435"/>
        <filter val="10.1017/S2058631022000277"/>
        <filter val="10.1017/ssh.2021.4"/>
        <filter val="10.1021/acs.accounts.3c00682"/>
        <filter val="10.1021/acs.accounts.3c00774"/>
        <filter val="10.1021/acs.analchem.3c03713"/>
        <filter val="10.1021/acs.bioconjchem.3c00396"/>
        <filter val="10.1021/acs.biomac.3c00290"/>
        <filter val="10.1021/acs.chemrev.3c00793"/>
        <filter val="10.1021/acs.est.3c00845"/>
        <filter val="10.1021/acs.estlett.3c00171"/>
        <filter val="10.1021/acs.inorgchem.2c02746"/>
        <filter val="10.1021/acs.inorgchem.2c02777"/>
        <filter val="10.1021/acs.inorgchem.3c03791"/>
        <filter val="10.1021/acs.inorgchem.3c04040"/>
        <filter val="10.1021/acs.jchemed.1c00400"/>
        <filter val="10.1021/acs.jchemed.2c00018"/>
        <filter val="10.1021/acs.jchemed.2c00134"/>
        <filter val="10.1021/acs.jchemed.2c00581"/>
        <filter val="10.1021/acs.jchemed.2c00728"/>
        <filter val="10.1021/acs.jchemed.2c00950"/>
        <filter val="10.1021/acs.jchemed.2c01003"/>
        <filter val="10.1021/acs.jchemed.2c01207"/>
        <filter val="10.1021/acs.jchemed.3c01126"/>
        <filter val="10.1021/acs.jchemed.6b00584"/>
        <filter val="10.1021/acs.jchemed.7b00235"/>
        <filter val="10.1021/acs.jchemed.8b00787"/>
        <filter val="10.1021/acs.jchemed.8b01009"/>
        <filter val="10.1021/acs.joc.2c02104"/>
        <filter val="10.1021/acs.jpca.2c00647"/>
        <filter val="10.1021/acs.jpca.2c06450"/>
        <filter val="10.1021/acs.jpca.3c00485"/>
        <filter val="10.1021/acs.jpcb.2c08709"/>
        <filter val="10.1021/acs.jpcb.3c02647"/>
        <filter val="10.1021/acs.jpcb.3c07965"/>
        <filter val="10.1021/acs.jpcc.2c06927"/>
        <filter val="10.1021/acs.jpclett.2c00704"/>
        <filter val="10.1021/acs.jpclett.2c01442"/>
        <filter val="10.1021/acs.jpclett.2c02338"/>
        <filter val="10.1021/acs.jpclett.4c00281"/>
        <filter val="10.1021/acs.langmuir.2c00753"/>
        <filter val="10.1021/acs.langmuir.2c01750"/>
        <filter val="10.1021/acs.langmuir.3c00256"/>
        <filter val="10.1021/acs.langmuir.3c00804"/>
        <filter val="10.1021/acs.langmuir.3c01243"/>
        <filter val="10.1021/acs.langmuir.3c02597"/>
        <filter val="10.1021/acs.oprd.2c00051"/>
        <filter val="10.1021/acs.organomet.2c00035"/>
        <filter val="10.1021/acs.organomet.2c00063"/>
        <filter val="10.1021/acs.organomet.2c00274"/>
        <filter val="10.1021/acs.organomet.3c00004"/>
        <filter val="10.1021/acs.organomet.3c00178"/>
        <filter val="10.1021/acs.organomet.3c00309"/>
        <filter val="10.1021/acs.organomet.3c00476"/>
        <filter val="10.1021/acs.orglett.2c04059"/>
        <filter val="10.1021/acscatal.2c03345"/>
        <filter val="10.1021/acscatal.2c03778"/>
        <filter val="10.1021/acscatal.2c06066"/>
        <filter val="10.1021/acscatal.3c05294"/>
        <filter val="10.1021/acscatal.3c05378"/>
        <filter val="10.1021/acscatal.3c05656"/>
        <filter val="10.1021/acsinfecdis.3c00431"/>
        <filter val="10.1021/acsmeasuresciau.2c00055"/>
        <filter val="10.1021/acsmeasuresciau.4c00008"/>
        <filter val="10.1021/acsnano.3c03100"/>
        <filter val="10.1021/acsomega.2c01832"/>
        <filter val="10.1021/acsomega.2c03669"/>
        <filter val="10.1021/acsphotonics.2c00188"/>
        <filter val="10.1021/acssensors.3c02419"/>
        <filter val="10.1021/acssuschemeng.2c05484"/>
        <filter val="10.1021/acssuschemeng.2c06144"/>
        <filter val="10.1021/acssuschemeng.2c06298"/>
        <filter val="10.1021/jacs.2c02619"/>
        <filter val="10.1021/jacs.2c03618"/>
        <filter val="10.1021/jacs.2c12642"/>
        <filter val="10.1021/jacs.3c06607"/>
        <filter val="10.1021/jacs.3c07376"/>
        <filter val="10.1021/jacs.3c10614"/>
        <filter val="10.1021/jacs.4c00659"/>
        <filter val="10.1029/2021JC017823"/>
        <filter val="10.1029/2022gl100997"/>
        <filter val="10.1037/xge0001435"/>
        <filter val="10.1037/xhp0001190"/>
        <filter val="10.1038/s41388-022-02235-8"/>
        <filter val="10.1038/s41390-021-01396-8"/>
        <filter val="10.1038/s41390-022-01975-3"/>
        <filter val="10.1038/s41390-022-02370-8"/>
        <filter val="10.1038/s41396-021-01130-6"/>
        <filter val="10.1038/s41396-022-01188-w"/>
        <filter val="10.1038/s41398-023-02633-w"/>
        <filter val="10.1038/s41416-022-01802-w"/>
        <filter val="10.1038/s41433-022-02360-4"/>
        <filter val="10.1038/s41467-023-41862-x"/>
        <filter val="10.1038/s41559-023-02244-0"/>
        <filter val="10.1038/s41562-023-01669-8"/>
        <filter val="10.1038/s41591-023-02636-6"/>
        <filter val="10.1038/s41598-023-42662-5"/>
        <filter val="10.1038/s41598-023-43886-1"/>
        <filter val="10.1038/s41598-023-47629-0"/>
        <filter val="10.1038/s41598-023-47777-3"/>
        <filter val="10.1038/s41598-023-47994-w"/>
        <filter val="10.1039/C9DT04065J"/>
        <filter val="10.1039/C9DT04878B"/>
        <filter val="10.1039/D0CC01140A"/>
        <filter val="10.1039/D0CC01192D"/>
        <filter val="10.1039/D0CC03004J"/>
        <filter val="10.1039/D0CC03962D"/>
        <filter val="10.1039/D0CP00897D"/>
        <filter val="10.1039/D0CP01956A"/>
        <filter val="10.1039/D0CP02713H"/>
        <filter val="10.1039/D0CP03152F"/>
        <filter val="10.1039/D0CP05122E"/>
        <filter val="10.1039/D0CP05920J"/>
        <filter val="10.1039/D0CP06479C"/>
        <filter val="10.1039/D0DT02612C"/>
        <filter val="10.1039/D0DT03598J"/>
        <filter val="10.1039/D0EM00504E"/>
        <filter val="10.1039/D0FD00087F"/>
        <filter val="10.1039/D0GC03036H"/>
        <filter val="10.1039/D0GC03465G"/>
        <filter val="10.1039/D0GC03808C"/>
        <filter val="10.1039/D0MD00343C"/>
        <filter val="10.1039/D0NP00031K"/>
        <filter val="10.1039/D0OB00972E"/>
        <filter val="10.1039/D0OB02502J"/>
        <filter val="10.1039/D0RE00109K"/>
        <filter val="10.1039/D0TA05388K"/>
        <filter val="10.1039/D0TB01005G"/>
        <filter val="10.1039/D0TC04839A"/>
        <filter val="10.1039/D1CC03701C"/>
        <filter val="10.1039/D1CC06942J"/>
        <filter val="10.1039/D1CP02233D"/>
        <filter val="10.1039/D1CP04394C"/>
        <filter val="10.1039/D1CS00826A"/>
        <filter val="10.1039/D1FD00068C"/>
        <filter val="10.1039/D1GC00623A"/>
        <filter val="10.1039/D1GC01264A"/>
        <filter val="10.1039/D1GC01783G"/>
        <filter val="10.1039/D1GC02247D"/>
        <filter val="10.1039/D1GC03715C"/>
        <filter val="10.1039/D1GC03999G"/>
        <filter val="10.1039/D1GC04519A"/>
        <filter val="10.1039/D1NR05754E"/>
        <filter val="10.1039/D1OB02287C"/>
        <filter val="10.1039/D1SE00610J"/>
        <filter val="10.1039/D1TA08307D"/>
        <filter val="10.1039/D1TC00443C"/>
        <filter val="10.1039/D1TC05954H"/>
        <filter val="10.1039/D2AY01266A"/>
        <filter val="10.1039/D2CC04003D"/>
        <filter val="10.1039/D2CE01354A"/>
        <filter val="10.1039/D2CE01555B"/>
        <filter val="10.1039/D2CP01528E"/>
        <filter val="10.1039/D2CP01612E"/>
        <filter val="10.1039/D2CP02684H"/>
        <filter val="10.1039/D2CP02695C"/>
        <filter val="10.1039/D2CP03831E"/>
        <filter val="10.1039/D2CP04188J"/>
        <filter val="10.1039/D2DT00335J"/>
        <filter val="10.1039/D2DT04114F"/>
        <filter val="10.1039/D2EM00444E"/>
        <filter val="10.1039/D2GC01692C"/>
        <filter val="10.1039/D2GC02292C"/>
        <filter val="10.1039/D2GC04423D"/>
        <filter val="10.1039/D2MD00239F"/>
        <filter val="10.1039/D2NP00005A"/>
        <filter val="10.1039/D2OB00023G"/>
        <filter val="10.1039/D2QM00028H"/>
        <filter val="10.1039/D3CC02087H"/>
        <filter val="10.1039/D3CC03201A"/>
        <filter val="10.1039/D3CE00266G"/>
        <filter val="10.1039/D3CP00178D"/>
        <filter val="10.1039/D3CP04359B"/>
        <filter val="10.1039/D3EM00167A"/>
        <filter val="10.1039/D3SM01301D"/>
        <filter val="10.1042/BCJ20200507"/>
        <filter val="10.1042/BCJ20210811"/>
        <filter val="10.1042/BSR20212218"/>
        <filter val="10.1042/BST20190338"/>
        <filter val="10.1042/BST20200839"/>
        <filter val="10.1042/BST20200986"/>
        <filter val="10.1042/BST20210586"/>
        <filter val="10.1042/ETLS20190134"/>
        <filter val="10.1042/ETLS20200303"/>
        <filter val="10.1042/ETLS20230109"/>
        <filter val="10.1057/s41286-017-0041-y"/>
        <filter val="10.1057/s41293-017-0060-x"/>
        <filter val="10.1063/5.0038651"/>
        <filter val="10.1063/5.0055398"/>
        <filter val="10.1063/5.0060213"/>
        <filter val="10.1063/5.0063384"/>
        <filter val="10.1063/5.0099477"/>
        <filter val="10.1063/5.0100090"/>
        <filter val="10.1063/5.0102653"/>
        <filter val="10.1063/5.0113425"/>
        <filter val="10.1063/5.0117631"/>
        <filter val="10.1063/5.0127680"/>
        <filter val="10.1063/5.0128768"/>
        <filter val="10.1063/5.0129480"/>
        <filter val="10.1063/5.0131967"/>
        <filter val="10.1063/5.0133453"/>
        <filter val="10.1063/5.0134966"/>
        <filter val="10.1063/5.0135971"/>
        <filter val="10.1063/5.0147435"/>
        <filter val="10.1063/5.0161825"/>
        <filter val="10.1063/5.0175150"/>
        <filter val="10.1073/pnas.2109324119"/>
        <filter val="10.1073/pnas.2113947119"/>
        <filter val="10.1073/pnas.2114064119"/>
        <filter val="10.1073/pnas.2116022119"/>
        <filter val="10.1073/pnas.2203167119"/>
        <filter val="10.1073/pnas.2203890119"/>
        <filter val="10.1073/pnas.2206486119"/>
        <filter val="10.1073/pnas.2303580120"/>
        <filter val="10.1073/pnas.2310138120"/>
        <filter val="10.1075/eww.22013.san"/>
        <filter val="10.1075/ld.00137.cho"/>
        <filter val="10.1080/00063657.2023.2239554"/>
        <filter val="10.1080/00071005.2021.1903192"/>
        <filter val="10.1080/00076791.2022.2036130"/>
        <filter val="10.1080/00076791.2022.2149738"/>
        <filter val="10.1080/00076791.2022.2151587"/>
        <filter val="10.1080/00076791.2023.2220653"/>
        <filter val="10.1080/00085006.2022.2027134"/>
        <filter val="10.1080/00131881.2021.1918014"/>
        <filter val="10.1080/00141844.2023.2240537"/>
        <filter val="10.1080/0020174X.2022.2126149"/>
        <filter val="10.1080/0020739X.2021.2008036"/>
        <filter val="10.1080/0020739X.2023.2258885"/>
        <filter val="10.1080/00207411.2023.2202431"/>
        <filter val="10.1080/00207543.2021.1930238"/>
        <filter val="10.1080/00207543.2022.2093682"/>
        <filter val="10.1080/0023656X.2021.1934424"/>
        <filter val="10.1080/0035919X.2023.2205373"/>
        <filter val="10.1080/00438243.2021.1882333"/>
        <filter val="10.1080/00438243.2022.2035802"/>
        <filter val="10.1080/0048721X.2023.2186960"/>
        <filter val="10.1080/00681288.2023.2221105"/>
        <filter val="10.1080/00794236.2021.1896211"/>
        <filter val="10.1080/00844276.2022.2069741"/>
        <filter val="10.1080/00844276.2022.2090716"/>
        <filter val="10.1080/00913367.2023.2249055"/>
        <filter val="10.1080/00927872.2022.2059493"/>
        <filter val="10.1080/00927872.2023.2175843"/>
        <filter val="10.1080/00934690.2021.1985304"/>
        <filter val="10.1080/01402382.2021.1949681"/>
        <filter val="10.1080/01419870.2023.2193259"/>
        <filter val="10.1080/01425692.2021.2003181"/>
        <filter val="10.1080/01426397.2023.2205631"/>
        <filter val="10.1080/01426397.2023.2289970"/>
        <filter val="10.1080/01433768.2021.1928901"/>
        <filter val="10.1080/01436597.2023.2213171"/>
        <filter val="10.1080/01436597.2023.2292176"/>
        <filter val="10.1080/0144929X.2021.2019832"/>
        <filter val="10.1080/01639625.2021.2014286"/>
        <filter val="10.1080/01691864.2023.2263062"/>
        <filter val="10.1080/01916599.2021.1975152"/>
        <filter val="10.1080/01916599.2022.2064679"/>
        <filter val="10.1080/02185385.2022.2077817"/>
        <filter val="10.1080/02607476.2021.1988826"/>
        <filter val="10.1080/02614367.2023.2271181"/>
        <filter val="10.1080/02615479.2023.2239838"/>
        <filter val="10.1080/02619768.2021.1931110"/>
        <filter val="10.1080/02635143.2023.2212247"/>
        <filter val="10.1080/02643294.2023.2269648"/>
        <filter val="10.1080/02643944.2022.2148176"/>
        <filter val="10.1080/02665433.2022.2041468"/>
        <filter val="10.1080/02665433.2023.2173636"/>
        <filter val="10.1080/02666286.2022.2068310"/>
        <filter val="10.1080/02673037.2021.1893281"/>
        <filter val="10.1080/02673037.2021.1902952"/>
        <filter val="10.1080/02673037.2021.1929859"/>
        <filter val="10.1080/02673037.2021.2014416"/>
        <filter val="10.1080/02673037.2023.2203095"/>
        <filter val="10.1080/02678292.2021.1991017"/>
        <filter val="10.1080/02678292.2021.2002445"/>
        <filter val="10.1080/02678292.2023.2196541"/>
        <filter val="10.1080/02678292.2023.2245362"/>
        <filter val="10.1080/02678292.2023.2299277"/>
        <filter val="10.1080/0268117X.2022.2144939"/>
        <filter val="10.1080/0268117X.2023.2207967"/>
        <filter val="10.1080/02690055.2021.1918421"/>
        <filter val="10.1080/03003930.2023.2292662"/>
        <filter val="10.1080/03007995.2022.2151734"/>
        <filter val="10.1080/03017605.2023.2267281"/>
        <filter val="10.1080/03044181.2022.2060486"/>
        <filter val="10.1080/0305764X.2021.1959519"/>
        <filter val="10.1080/03069400.2023.2246347"/>
        <filter val="10.1080/03071847.2023.2276305"/>
        <filter val="10.1080/03075079.2023.2249023"/>
        <filter val="10.1080/03080188.2022.2036408"/>
        <filter val="10.1080/03085147.2021.1876984"/>
        <filter val="10.1080/03086534.2022.2093475"/>
        <filter val="10.1080/03098265.2021.1926938"/>
        <filter val="10.1080/0309877X.2021.1879745"/>
        <filter val="10.1080/0309877X.2023.2226612"/>
        <filter val="10.1080/0309877X.2023.2258807"/>
        <filter val="10.1080/03323315.2023.2202654"/>
        <filter val="10.1080/03932729.2021.1935680"/>
        <filter val="10.1080/04353676.2022.2121999"/>
        <filter val="10.1080/07341512.2022.2085492"/>
        <filter val="10.1080/07350015.2021.1961787"/>
        <filter val="10.1080/07350015.2022.2076686"/>
        <filter val="10.1080/07350015.2022.2077349"/>
        <filter val="10.1080/07360932.2022.2080753"/>
        <filter val="10.1080/07370024.2022.2047971"/>
        <filter val="10.1080/07474938.2021.1991140"/>
        <filter val="10.1080/07494467.2022.2080452"/>
        <filter val="10.1080/08821127.2022.2098206"/>
        <filter val="10.1080/08873631.2021.1928828"/>
        <filter val="10.1080/08905495.2023.2161804"/>
        <filter val="10.1080/08913811.2023.2221504"/>
        <filter val="10.1080/08952841.2021.1965456"/>
        <filter val="10.1080/08952841.2023.2197658"/>
        <filter val="10.1080/0895769X.2021.1929809"/>
        <filter val="10.1080/09500693.2023.2253366"/>
        <filter val="10.1080/0950236X.2023.2205709"/>
        <filter val="10.1080/0950236X.2023.2243902"/>
        <filter val="10.1080/09503153.2021.1928620"/>
        <filter val="10.1080/09503153.2023.2248414"/>
        <filter val="10.1080/09515089.2022.2078187"/>
        <filter val="10.1080/09515089.2023.2294776"/>
        <filter val="10.1080/09537104.2021.1925102"/>
        <filter val="10.1080/09537287.2022.2101959"/>
        <filter val="10.1080/09537287.2022.2114959"/>
        <filter val="10.1080/09537287.2023.2217489"/>
        <filter val="10.1080/09537287.2023.2274920"/>
        <filter val="10.1080/09537287.2023.2296669"/>
        <filter val="10.1080/09540253.2021.1955093"/>
        <filter val="10.1080/09540962.2021.1986301"/>
        <filter val="10.1080/09546634.2022.2116924"/>
        <filter val="10.1080/09548963.2023.2247375"/>
        <filter val="10.1080/09571736.2022.2046353"/>
        <filter val="10.1080/09602011.2021.1895847"/>
        <filter val="10.1080/09608788.2023.2191650"/>
        <filter val="10.1080/09612025.2023.2208414"/>
        <filter val="10.1080/09615768.2022.2109233"/>
        <filter val="10.1080/09638237.2021.1922638"/>
        <filter val="10.1080/09638237.2022.2069702"/>
        <filter val="10.1080/09638237.2022.2069724"/>
        <filter val="10.1080/09644016.2021.1877477"/>
        <filter val="10.1080/09647775.2021.2001361"/>
        <filter val="10.1080/09649069.2022.2028408"/>
        <filter val="10.1080/09649069.2022.2029140"/>
        <filter val="10.1080/09649069.2022.2067652"/>
        <filter val="10.1080/09649069.2022.2067653"/>
        <filter val="10.1080/09649069.2023.2175554"/>
        <filter val="10.1080/09649069.2023.2206217"/>
        <filter val="10.1080/09649069.2023.2243150"/>
        <filter val="10.1080/09658211.2021.1896739"/>
        <filter val="10.1080/0966369X.2023.2226361"/>
        <filter val="10.1080/09687637.2023.2177524"/>
        <filter val="10.1080/09692290.2022.2060278"/>
        <filter val="10.1080/09699082.2022.2122322"/>
        <filter val="10.1080/10242694.2022.2031691"/>
        <filter val="10.1080/10242694.2022.2051953"/>
        <filter val="10.1080/10242694.2023.2185425"/>
        <filter val="10.1080/10253866.2023.2201444"/>
        <filter val="10.1080/10350330.2022.2060550"/>
        <filter val="10.1080/10371656.2023.2270851"/>
        <filter val="10.1080/10382046.2023.2270399"/>
        <filter val="10.1080/10401334.2021.1897598"/>
        <filter val="10.1080/10485252.2021.1951265"/>
        <filter val="10.1080/10486801.2021.1928653"/>
        <filter val="10.1080/10503307.2022.2140616"/>
        <filter val="10.1080/10509208.2021.1874853"/>
        <filter val="10.1080/10509585.2022.2138370"/>
        <filter val="10.1080/1057610X.2023.2195061"/>
        <filter val="10.1080/1070289X.2022.2109276"/>
        <filter val="10.1080/10854681.2021.2037277"/>
        <filter val="10.1080/10854681.2022.2111966"/>
        <filter val="10.1080/10854681.2023.2189405"/>
        <filter val="10.1080/10854681.2023.2218256"/>
        <filter val="10.1080/13229400.2023.2174445"/>
        <filter val="10.1080/13229400.2023.2225499"/>
        <filter val="10.1080/13501763.2023.2200820"/>
        <filter val="10.1080/1350178X.2021.1988131"/>
        <filter val="10.1080/13506285.2021.2023245"/>
        <filter val="10.1080/1351847X.2021.1957698"/>
        <filter val="10.1080/1351847X.2022.2156804"/>
        <filter val="10.1080/13527258.2021.2020878"/>
        <filter val="10.1080/13527258.2023.2289424"/>
        <filter val="10.1080/13528165.2020.1930786"/>
        <filter val="10.1080/13534645.2023.2271731"/>
        <filter val="10.1080/13534645.2023.2271736"/>
        <filter val="10.1080/13540602.2021.1982690"/>
        <filter val="10.1080/13562517.2023.2186169"/>
        <filter val="10.1080/13563467.2021.1961215"/>
        <filter val="10.1080/13563467.2023.2240237"/>
        <filter val="10.1080/13569317.2022.2066154"/>
        <filter val="10.1080/13569783.2023.2170220"/>
        <filter val="10.1080/13571516.2022.2133337"/>
        <filter val="10.1080/13576275.2021.1904864"/>
        <filter val="10.1080/13576275.2023.2248024"/>
        <filter val="10.1080/13597566.2021.1934454"/>
        <filter val="10.1080/1360080X.2023.2242079"/>
        <filter val="10.1080/13600818.2022.2156491"/>
        <filter val="10.1080/13619462.2021.1899913"/>
        <filter val="10.1080/13621025.2022.2131075"/>
        <filter val="10.1080/13642987.2022.2142212"/>
        <filter val="10.1080/13645579.2024.2303033"/>
        <filter val="10.1080/13670050.2021.1909452"/>
        <filter val="10.1080/13670050.2021.1988049"/>
        <filter val="10.1080/13675567.2021.1944070"/>
        <filter val="10.1080/13675567.2021.1948978"/>
        <filter val="10.1080/13675567.2022.2042226"/>
        <filter val="10.1080/13675567.2022.2104233"/>
        <filter val="10.1080/13675567.2022.2112159"/>
        <filter val="10.1080/13675567.2022.2118696"/>
        <filter val="10.1080/13675567.2022.2129045"/>
        <filter val="10.1080/13675567.2022.2144812"/>
        <filter val="10.1080/13675567.2023.2167959"/>
        <filter val="10.1080/13676261.2021.2010689"/>
        <filter val="10.1080/13676261.2022.2131381"/>
        <filter val="10.1080/13676261.2023.2261865"/>
        <filter val="10.1080/13676261.2023.2283513"/>
        <filter val="10.1080/13676261.2023.2288833"/>
        <filter val="10.1080/13688790.2022.2030596"/>
        <filter val="10.1080/13688790.2023.2243073"/>
        <filter val="10.1080/1369118X.2022.2147399"/>
        <filter val="10.1080/1369118X.2023.2166364"/>
        <filter val="10.1080/1369118X.2023.2264954"/>
        <filter val="10.1080/1369183X.2021.2020628"/>
        <filter val="10.1080/13696998.2021.2000780"/>
        <filter val="10.1080/13696998.2022.2120719"/>
        <filter val="10.1080/1369801X.2023.2288111"/>
        <filter val="10.1080/13698249.2023.2185376"/>
        <filter val="10.1080/13698249.2024.2302731"/>
        <filter val="10.1080/13698575.2021.1888892"/>
        <filter val="10.1080/13869795.2022.2070241"/>
        <filter val="10.1080/14036096.2023.2227633"/>
        <filter val="10.1080/14409917.2021.1953751"/>
        <filter val="10.1080/14616688.2023.2275734"/>
        <filter val="10.1080/1461670X.2022.2080754"/>
        <filter val="10.1080/14616742.2022.2050933"/>
        <filter val="10.1080/14616742.2022.2053295"/>
        <filter val="10.1080/14616742.2022.2053296"/>
        <filter val="10.1080/1462169X.2022.2025661"/>
        <filter val="10.1080/14623943.2022.2064445"/>
        <filter val="10.1080/14649357.2022.2036800"/>
        <filter val="10.1080/14662035.2022.2095128"/>
        <filter val="10.1080/14680777.2022.2110605"/>
        <filter val="10.1080/14680777.2023.2181136"/>
        <filter val="10.1080/14693062.2022.2125928"/>
        <filter val="10.1080/14702436.2022.2036608"/>
        <filter val="10.1080/14725886.2021.1929394"/>
        <filter val="10.1080/14732971.2021.1930775"/>
        <filter val="10.1080/14732971.2022.2101190"/>
        <filter val="10.1080/14735903.2022.2041229"/>
        <filter val="10.1080/14737167.2021.1876566"/>
        <filter val="10.1080/14737167.2021.1920402"/>
        <filter val="10.1080/14737167.2021.1954505"/>
        <filter val="10.1080/14739879.2022.2079428"/>
        <filter val="10.1080/14740338.2021.1948531"/>
        <filter val="10.1080/14742837.2021.1899910"/>
        <filter val="10.1080/14742837.2022.2123316"/>
        <filter val="10.1080/14742837.2023.2204428"/>
        <filter val="10.1080/14747731.2022.2068235"/>
        <filter val="10.1080/14759551.2021.1921776"/>
        <filter val="10.1080/14759551.2021.2001818"/>
        <filter val="10.1080/14759551.2022.2042538"/>
        <filter val="10.1080/14760584.2021.1990043"/>
        <filter val="10.1080/14760584.2021.1991795"/>
        <filter val="10.1080/14767333.2023.2218129"/>
        <filter val="10.1080/14767724.2023.2252428"/>
        <filter val="10.1080/14782804.2023.2288908"/>
        <filter val="10.1080/14789450.2022.2142565"/>
        <filter val="10.1080/14797585.2021.2024057"/>
        <filter val="10.1080/14797585.2022.2040337"/>
        <filter val="10.1080/1533256X.2021.1890903"/>
        <filter val="10.1080/15434303.2023.2283839"/>
        <filter val="10.1080/15475441.2022.2149401"/>
        <filter val="10.1080/15512169.2023.2284821"/>
        <filter val="10.1080/15528030.2022.2070820"/>
        <filter val="10.1080/16066359.2021.1952190"/>
        <filter val="10.1080/16066359.2023.2207017"/>
        <filter val="10.1080/17441692.2022.2043923"/>
        <filter val="10.1080/17449855.2021.1931943"/>
        <filter val="10.1080/17449855.2022.2035910"/>
        <filter val="10.1080/17449855.2023.2209906"/>
        <filter val="10.1080/17449855.2023.2209907"/>
        <filter val="10.1080/17458927.2023.2210035"/>
        <filter val="10.1080/17482631.2022.2122135"/>
        <filter val="10.1080/17496535.2023.2223786"/>
        <filter val="10.1080/17501229.2023.2204100"/>
        <filter val="10.1080/17502977.2021.1909297"/>
        <filter val="10.1080/17504902.2022.2057145"/>
        <filter val="10.1080/17510694.2023.2218635"/>
        <filter val="10.1080/17512786.2023.2297780"/>
        <filter val="10.1080/1751696X.2021.1961048"/>
        <filter val="10.1080/17522439.2022.2134443"/>
        <filter val="10.1080/17525098.2022.2114137"/>
        <filter val="10.1080/17530350.2023.2199428"/>
        <filter val="10.1080/17531055.2022.2163469"/>
        <filter val="10.1080/17533171.2021.2013598"/>
        <filter val="10.1080/17565529.2021.1930987"/>
        <filter val="10.1080/17567505.2021.1889090"/>
        <filter val="10.1080/17567505.2022.2144599"/>
        <filter val="10.1080/18146627.2022.2151926"/>
        <filter val="10.1080/19359705.2022.2118921"/>
        <filter val="10.1080/19448953.2022.2037859"/>
        <filter val="10.1080/19452829.2021.1951185"/>
        <filter val="10.1080/20414005.2023.2232597"/>
        <filter val="10.1080/20421338.2021.1889768"/>
        <filter val="10.1080/21548455.2022.2027043"/>
        <filter val="10.1080/21582041.2023.2207555"/>
        <filter val="10.1080/2159032X.2021.1968227"/>
        <filter val="10.1080/2159676X.2022.2161610"/>
        <filter val="10.1080/21622671.2023.2222133"/>
        <filter val="10.1080/21642850.2021.1902815"/>
        <filter val="10.1080/21647259.2021.1955516"/>
        <filter val="10.1080/21683565.2022.2131691"/>
        <filter val="10.1080/23251042.2022.2094995"/>
        <filter val="10.1080/23257962.2021.2001319"/>
        <filter val="10.1080/23322551.2023.2295688"/>
        <filter val="10.1080/23337486.2022.2033915"/>
        <filter val="10.1080/23799927.2023.2229278"/>
        <filter val="10.1080/25729861.2021.1973291"/>
        <filter val="10.1080/25751654.2021.1935673"/>
        <filter val="10.1080/25785273.2021.1989165"/>
        <filter val="10.1080/25785273.2021.1989166"/>
        <filter val="10.1080/2833115X.2023.2296981"/>
        <filter val="10.1080/87567555.2023.2205629"/>
        <filter val="10.1083/jcb.202103185"/>
        <filter val="10.1083/jcb.202109137"/>
        <filter val="10.1088/1361-6382/ab90a4"/>
        <filter val="10.1088/1361-6382/abfaeb"/>
        <filter val="10.1088/1361-6382/ac1b08"/>
        <filter val="10.1088/1361-6382/aca73f"/>
        <filter val="10.1088/1361-6382/ace233"/>
        <filter val="10.1088/1361-6455/acfd71"/>
        <filter val="10.1088/1361-6463/aba6b6"/>
        <filter val="10.1088/1361-6463/abe820"/>
        <filter val="10.1088/1361-6463/abefec"/>
        <filter val="10.1088/1361-6463/ac18ee"/>
        <filter val="10.1088/1361-6463/acb219"/>
        <filter val="10.1088/1361-6463/ad1728"/>
        <filter val="10.1088/1361-6471/ab8d8e"/>
        <filter val="10.1088/1361-6471/ab92e3"/>
        <filter val="10.1088/1361-6471/ab9493"/>
        <filter val="10.1088/1361-6471/abab4f"/>
        <filter val="10.1088/1361-6471/abf08a"/>
        <filter val="10.1088/1361-6471/ac0a82"/>
        <filter val="10.1088/1361-6471/ac288a"/>
        <filter val="10.1088/1361-6471/ac900a"/>
        <filter val="10.1088/1361-6471/ac9cf8"/>
        <filter val="10.1088/1361-648X/ac5a02"/>
        <filter val="10.1088/1361-648X/ac9c80"/>
        <filter val="10.1088/1361-648X/ad19a0"/>
        <filter val="10.1088/1361-6528/ab7a2b"/>
        <filter val="10.1088/1361-6528/ac9530"/>
        <filter val="10.1088/1361-6528/acfb12"/>
        <filter val="10.1088/1361-6552/aba2a8"/>
        <filter val="10.1088/1361-6552/abef08"/>
        <filter val="10.1088/1361-6552/ac45c9"/>
        <filter val="10.1088/1361-6552/ac79ef"/>
        <filter val="10.1088/1361-6552/acf816"/>
        <filter val="10.1088/1361-6587/ab759b"/>
        <filter val="10.1088/1361-6587/ab8ca4"/>
        <filter val="10.1088/1361-6587/ab97f1"/>
        <filter val="10.1088/1361-6587/abbebe"/>
        <filter val="10.1088/1361-6587/abea2e"/>
        <filter val="10.1088/1361-6587/abf85c"/>
        <filter val="10.1088/1361-6587/ac0bca"/>
        <filter val="10.1088/1361-6587/ac2af9"/>
        <filter val="10.1088/1361-6587/ac6827"/>
        <filter val="10.1088/1361-6587/ac7b48"/>
        <filter val="10.1088/1361-6587/ac8615"/>
        <filter val="10.1088/1361-6587/acb173"/>
        <filter val="10.1088/1361-6587/acb4ba"/>
        <filter val="10.1088/1361-6587/acc688"/>
        <filter val="10.1088/1361-6587/aceb89"/>
        <filter val="10.1088/1361-6595/abab55"/>
        <filter val="10.1088/1361-6595/abad01"/>
        <filter val="10.1088/1361-6595/ac6130"/>
        <filter val="10.1088/1361-6595/aca9f4"/>
        <filter val="10.1088/1361-6595/acd57f"/>
        <filter val="10.1088/1361-6595/ace6d1"/>
        <filter val="10.1088/1361-6595/ad0742"/>
        <filter val="10.1088/1361-6595/ad0fb1"/>
        <filter val="10.1088/1361-6641/ab8fbe"/>
        <filter val="10.1088/1361-6641/ac985a"/>
        <filter val="10.1088/1367-2630/acf393"/>
        <filter val="10.1088/1402-4896/aced72"/>
        <filter val="10.1088/1475-7516/2021/03/097"/>
        <filter val="10.1088/1475-7516/2022/01/034"/>
        <filter val="10.1088/1741-2552/ab7a50"/>
        <filter val="10.1088/1741-4326/ab72c0"/>
        <filter val="10.1088/1741-4326/ab826a"/>
        <filter val="10.1088/1741-4326/ab868b"/>
        <filter val="10.1088/1741-4326/ab8776"/>
        <filter val="10.1088/1741-4326/aba451"/>
        <filter val="10.1088/1741-4326/abc936"/>
        <filter val="10.1088/1741-4326/abdd77"/>
        <filter val="10.1088/1741-4326/ac108c"/>
        <filter val="10.1088/1741-4326/ac12e9"/>
        <filter val="10.1088/1741-4326/ac1dc5"/>
        <filter val="10.1088/1741-4326/ac2278"/>
        <filter val="10.1088/1741-4326/ac359c"/>
        <filter val="10.1088/1741-4326/ac786b"/>
        <filter val="10.1088/1741-4326/ac7a4c"/>
        <filter val="10.1088/1741-4326/ac7a4d"/>
        <filter val="10.1088/1741-4326/ac81d8"/>
        <filter val="10.1088/1741-4326/ac904f"/>
        <filter val="10.1088/1741-4326/aca48d"/>
        <filter val="10.1088/1741-4326/acc25e"/>
        <filter val="10.1088/1741-4326/acc2cf"/>
        <filter val="10.1088/1741-4326/acf724"/>
        <filter val="10.1088/1741-4326/acfe8c"/>
        <filter val="10.1088/1748-0221/18/06/C06006"/>
        <filter val="10.1088/1748-605X/ac2ab8"/>
        <filter val="10.1088/1751-8121/abbec3"/>
        <filter val="10.1088/1751-8121/abe67a"/>
        <filter val="10.1088/1751-8121/aca9a4"/>
        <filter val="10.1088/1751-8121/aceec9"/>
        <filter val="10.1088/1752-7163/ac5230"/>
        <filter val="10.1088/2040-8986/ac2dd7"/>
        <filter val="10.1088/2058-9565/abf9ae"/>
        <filter val="10.1088/2058-9565/ac781b"/>
        <filter val="10.1088/2058-9565/ac7ba0"/>
        <filter val="10.1088/2515-7639/ac91f9"/>
        <filter val="10.1088/2516-1075/ac2c94"/>
        <filter val="10.1093/aesthj/ayab036"/>
        <filter val="10.1093/aesthj/ayab047"/>
        <filter val="10.1093/aesthj/ayac071"/>
        <filter val="10.1093/ageing/afab035"/>
        <filter val="10.1093/ahr/rhad013"/>
        <filter val="10.1093/applin/amad067"/>
        <filter val="10.1093/arclin/acab060"/>
        <filter val="10.1093/arisup/akac012"/>
        <filter val="10.1093/bjs/znab120"/>
        <filter val="10.1093/bjs/znad193"/>
        <filter val="10.1093/bjsw/bcab041"/>
        <filter val="10.1093/bjsw/bcab044"/>
        <filter val="10.1093/bjsw/bcab126"/>
        <filter val="10.1093/bjsw/bcab184"/>
        <filter val="10.1093/bjsw/bcac108"/>
        <filter val="10.1093/bjsw/bcac141"/>
        <filter val="10.1093/bjsw/bcad114"/>
        <filter val="10.1093/bjsw/bcad190"/>
        <filter val="10.1093/bjsw/bcad224"/>
        <filter val="10.1093/bmb/ldac035"/>
        <filter val="10.1093/brain/awac492"/>
        <filter val="10.1093/camqtly/bfac017"/>
        <filter val="10.1093/cei/uxad034"/>
        <filter val="10.1093/cercor/bhac058"/>
        <filter val="10.1093/cercor/bhac159"/>
        <filter val="10.1093/cercor/bhac405"/>
        <filter val="10.1093/comjnl/bxad124"/>
        <filter val="10.1093/cs/cdad005"/>
        <filter val="10.1093/dh/dhab015"/>
        <filter val="10.1093/dh/dhac062"/>
        <filter val="10.1093/dh/dhad042"/>
        <filter val="10.1093/ectj/utad004"/>
        <filter val="10.1093/ectj/utad006"/>
        <filter val="10.1093/ectj/utad021"/>
        <filter val="10.1093/ehr/ceac203"/>
        <filter val="10.1093/ehr/ceac204"/>
        <filter val="10.1093/ehr/cead076"/>
        <filter val="10.1093/ehr/cead146"/>
        <filter val="10.1093/ehr/cead181"/>
        <filter val="10.1093/ehr/cead214"/>
        <filter val="10.1093/elt/ccab058"/>
        <filter val="10.1093/english/efab021"/>
        <filter val="10.1093/english/efac007"/>
        <filter val="10.1093/english/efad026"/>
        <filter val="10.1093/esr/jcad047"/>
        <filter val="10.1093/fh/crad030"/>
        <filter val="10.1093/genetics/iyad217"/>
        <filter val="10.1093/gerhis/ghac044"/>
        <filter val="10.1093/geroni/igad112"/>
        <filter val="10.1093/heapol/czab104"/>
        <filter val="10.1093/heapol/czad002"/>
        <filter val="10.1093/heapol/czad037"/>
        <filter val="10.1093/heapol/czad060"/>
        <filter val="10.1093/heapol/czad100"/>
        <filter val="10.1093/heapol/czad122"/>
        <filter val="10.1093/hisres/htac011"/>
        <filter val="10.1093/hisres/htac024"/>
        <filter val="10.1093/hmg/ddad113"/>
        <filter val="10.1093/hmg/ddad168"/>
        <filter val="10.1093/ia/iiac184"/>
        <filter val="10.1093/ia/iiac288"/>
        <filter val="10.1093/icb/icac052"/>
        <filter val="10.1093/icvts/ivac194"/>
        <filter val="10.1093/ije/dyab275"/>
        <filter val="10.1093/ijpp/riad016"/>
        <filter val="10.1093/ilar/ilab019"/>
        <filter val="10.1093/imrn/rnad073"/>
        <filter val="10.1093/ips/olac006"/>
        <filter val="10.1093/ismejo/wrad039"/>
        <filter val="10.1093/iwc/iwad049"/>
        <filter val="10.1093/jaac/kpab040"/>
        <filter val="10.1093/jaac/kpad016"/>
        <filter val="10.1093/jac/dkad162"/>
        <filter val="10.1093/jhmas/jrab019"/>
        <filter val="10.1093/jhuman/huad016"/>
        <filter val="10.1093/jhuman/huad061"/>
        <filter val="10.1093/jjfinec/nbad002"/>
        <filter val="10.1093/jphsr/rmac049"/>
        <filter val="10.1093/jpo/joac014"/>
        <filter val="10.1093/jpo/joad025"/>
        <filter val="10.1093/jrsssa/qnad129"/>
        <filter val="10.1093/jsh/shac062"/>
        <filter val="10.1093/jvcult/vcac031"/>
        <filter val="10.1093/jvcult/vcac055"/>
        <filter val="10.1093/jvcult/vcac066"/>
        <filter val="10.1093/jvcult/vcac078"/>
        <filter val="10.1093/jvcult/vcad025"/>
        <filter val="10.1093/jvcult/vcad026"/>
        <filter val="10.1093/jxb/erac031"/>
        <filter val="10.1093/jxb/erad468"/>
        <filter val="10.1093/lawfam/ebab003"/>
        <filter val="10.1093/lpr/mgad009"/>
        <filter val="10.1093/mind/fzad030"/>
        <filter val="10.1093/mnras/stab1972"/>
        <filter val="10.1093/mnras/stac1373"/>
        <filter val="10.1093/molbev/msab029"/>
        <filter val="10.1093/monist/onac018"/>
        <filter val="10.1093/nar/gkab641"/>
        <filter val="10.1093/nar/gkac647"/>
        <filter val="10.1093/nar/gkad480"/>
        <filter val="10.1093/notesj/gjab124"/>
        <filter val="10.1093/notesj/gjab137"/>
        <filter val="10.1093/notesj/gjac088"/>
        <filter val="10.1093/ntr/ntab131"/>
        <filter val="10.1093/ntr/ntac004"/>
        <filter val="10.1093/ntr/ntac242"/>
        <filter val="10.1093/ntr/ntad022"/>
        <filter val="10.1093/ooec/odad031"/>
        <filter val="10.1093/ooec/odad070"/>
        <filter val="10.1093/plcell/koab024"/>
        <filter val="10.1093/plcell/koad131"/>
        <filter val="10.1093/plphys/kiab423"/>
        <filter val="10.1093/plphys/kiac072"/>
        <filter val="10.1093/polsoc/puac004"/>
        <filter val="10.1093/polsoc/puac009"/>
        <filter val="10.1093/polsoc/puad010"/>
        <filter val="10.1093/postmj/qgad010"/>
        <filter val="10.1093/postmj/qgad067"/>
        <filter val="10.1093/pq/pqac052"/>
        <filter val="10.1093/pq/pqac067"/>
        <filter val="10.1093/pubmed/fdac126"/>
        <filter val="10.1093/rapstu/raad011"/>
        <filter val="10.1093/res/hgab084"/>
        <filter val="10.1093/res/hgad030"/>
        <filter val="10.1093/res/hgad092"/>
        <filter val="10.1093/scan/nsad059"/>
        <filter val="10.1093/scan/nsad072"/>
        <filter val="10.1093/sleep/zsad209"/>
        <filter val="10.1093/socpro/spad024"/>
        <filter val="10.1093/socrel/srad050"/>
        <filter val="10.1093/stcltm/szad056"/>
        <filter val="10.1093/tcbh/hwad014"/>
        <filter val="10.1093/tcbh/hwad040"/>
        <filter val="10.1093/texcom/tgac036"/>
        <filter val="10.1093/trstmh/trac128"/>
        <filter val="10.1098/rsos.220274"/>
        <filter val="10.1098/rsos.220595"/>
        <filter val="10.1098/rsos.230270"/>
        <filter val="10.1098/rspb.2023.0415"/>
        <filter val="10.1099/ijsem.0.003970"/>
        <filter val="10.1099/ijsem.0.005856"/>
        <filter val="10.1099/ijsem.0.005979"/>
        <filter val="10.1099/jmm.0.001524"/>
        <filter val="10.1099/mgen.0.000351"/>
        <filter val="10.1099/mgen.0.000378"/>
        <filter val="10.1099/mgen.0.000650"/>
        <filter val="10.1099/mgen.0.000866"/>
        <filter val="10.1099/mgen.0.000881"/>
        <filter val="10.1099/mic.0.000882"/>
        <filter val="10.1099/mic.0.000901"/>
        <filter val="10.1099/mic.0.000914"/>
        <filter val="10.1099/mic.0.000925"/>
        <filter val="10.1099/mic.0.000942"/>
        <filter val="10.1099/mic.0.000951"/>
        <filter val="10.1099/mic.0.000965"/>
        <filter val="10.1099/mic.0.000967"/>
        <filter val="10.1099/mic.0.000969"/>
        <filter val="10.1099/mic.0.000978"/>
        <filter val="10.1099/mic.0.000989"/>
        <filter val="10.1099/mic.0.001005"/>
        <filter val="10.1099/mic.0.001014"/>
        <filter val="10.1099/mic.0.001019"/>
        <filter val="10.1099/mic.0.001033"/>
        <filter val="10.1099/mic.0.001046"/>
        <filter val="10.1099/mic.0.001053"/>
        <filter val="10.1099/mic.0.001061"/>
        <filter val="10.1099/mic.0.001069"/>
        <filter val="10.1099/mic.0.001077"/>
        <filter val="10.1099/mic.0.001090"/>
        <filter val="10.1099/mic.0.001103"/>
        <filter val="10.1099/mic.0.001107"/>
        <filter val="10.1099/mic.0.001115"/>
        <filter val="10.1099/mic.0.001129"/>
        <filter val="10.1099/mic.0.001134"/>
        <filter val="10.1099/mic.0.001141"/>
        <filter val="10.1099/mic.0.001146"/>
        <filter val="10.1099/mic.0.001205"/>
        <filter val="10.1099/mic.0.001250"/>
        <filter val="10.1099/mic.0.001274"/>
        <filter val="10.1099/mic.0.001291"/>
        <filter val="10.1099/mic.0.001308"/>
        <filter val="10.1099/mic.0.001364"/>
        <filter val="10.1099/mic.0.001412"/>
        <filter val="10.1103/PhysRevA.108.062212"/>
        <filter val="10.1103/PhysRevApplied.19.054030"/>
        <filter val="10.1103/PhysRevApplied.19.054031"/>
        <filter val="10.1103/PhysRevC.108.034003"/>
        <filter val="10.1103/PhysRevE.107.054301"/>
        <filter val="10.1103/PhysRevLett.131.015101"/>
        <filter val="10.1107/S2053230X20006147"/>
        <filter val="10.1107/s2053230x23006672"/>
        <filter val="10.1107/s2053230x24000359"/>
        <filter val="10.1107/S205979832000501X"/>
        <filter val="10.1107/S2059798320005513"/>
        <filter val="10.1107/S2059798320009080"/>
        <filter val="10.1107/S2059798320010542"/>
        <filter val="10.1107/S2059798320011201"/>
        <filter val="10.1107/S205979832001253X"/>
        <filter val="10.1107/S2059798320013170"/>
        <filter val="10.1107/S2059798321004368"/>
        <filter val="10.1107/S2059798321010500"/>
        <filter val="10.1107/S2059798322001103"/>
        <filter val="10.1107/S2059798322007732"/>
        <filter val="10.1107/s2059798323001663"/>
        <filter val="10.1107/s205979832300181x"/>
        <filter val="10.1107/s2059798323003510"/>
        <filter val="10.1107/s2059798323003595"/>
        <filter val="10.1107/s2059798323004473"/>
        <filter val="10.1107/s2059798323005004"/>
        <filter val="10.1111/1365-2435.14471"/>
        <filter val="10.1111/1365-2656.13198"/>
        <filter val="10.1111/1460-6984.12541"/>
        <filter val="10.1111/1460-6984.12779"/>
        <filter val="10.1111/1462-2920.15720"/>
        <filter val="10.1111/1462-2920.15873"/>
        <filter val="10.1111/1462-2920.16437"/>
        <filter val="10.1111/1467-8365.12517"/>
        <filter val="10.1111/1467-8365.12545"/>
        <filter val="10.1111/1467-8365.12589"/>
        <filter val="10.1111/1467-8365.12656"/>
        <filter val="10.1111/1467-8365.12741"/>
        <filter val="10.1111/1467-8551.12651"/>
        <filter val="10.1111/1467-8578.12414"/>
        <filter val="10.1111/1467-8675.12683"/>
        <filter val="10.1111/1467-923x.13234"/>
        <filter val="10.1111/1467-9566.13104"/>
        <filter val="10.1111/1467-9566.13182"/>
        <filter val="10.1111/1467-9566.13735"/>
        <filter val="10.1111/1467-9566.13752"/>
        <filter val="10.1111/1467-968x.12268"/>
        <filter val="10.1111/1468-2230.12624"/>
        <filter val="10.1111/1468-2230.12755"/>
        <filter val="10.1111/1468-2230.12770"/>
        <filter val="10.1111/1468-2230.12793"/>
        <filter val="10.1111/1468-2230.12855"/>
        <filter val="10.1111/1468-2230.12905"/>
        <filter val="10.1111/1468-229X.13030"/>
        <filter val="10.1111/1468-2427.13242"/>
        <filter val="10.1111/1468-4446.12981"/>
        <filter val="10.1111/1468-4446.13113"/>
        <filter val="10.1111/1471-0528.17481"/>
        <filter val="10.1111/1475-6765.12513"/>
        <filter val="10.1111/1475-6773.13635"/>
        <filter val="10.1111/1748-8583.12321"/>
        <filter val="10.1111/1750-0206.12630"/>
        <filter val="10.1111/1750-0206.12668"/>
        <filter val="10.1111/1750-0206.12723"/>
        <filter val="10.1111/1754-0208.12917"/>
        <filter val="10.1111/1758-5899.13208"/>
        <filter val="10.1111/2041-210X.13429"/>
        <filter val="10.1111/abac.12311"/>
        <filter val="10.1111/add.15086"/>
        <filter val="10.1111/add.15404"/>
        <filter val="10.1111/add.15452"/>
        <filter val="10.1111/add.15568"/>
        <filter val="10.1111/add.15724"/>
        <filter val="10.1111/add.16058"/>
        <filter val="10.1111/add.16515"/>
        <filter val="10.1111/ajps.12768"/>
        <filter val="10.1111/anti.12651"/>
        <filter val="10.1111/anti.12682"/>
        <filter val="10.1111/anti.13045"/>
        <filter val="10.1111/aos.15201"/>
        <filter val="10.1111/apaa.12170"/>
        <filter val="10.1111/arcm.12976"/>
        <filter val="10.1111/area.12618"/>
        <filter val="10.1111/asap.12317"/>
        <filter val="10.1111/basr.12349"/>
        <filter val="10.1111/bjdp.12427"/>
        <filter val="10.1111/bjep.12381"/>
        <filter val="10.1111/bjep.12405"/>
        <filter val="10.1111/bjep.12450"/>
        <filter val="10.1111/bjep.12451"/>
        <filter val="10.1111/bjep.12622"/>
        <filter val="10.1111/bjir.12787"/>
        <filter val="10.1111/bjop.12462"/>
        <filter val="10.1111/bjop.12650"/>
        <filter val="10.1111/bjop.12704"/>
        <filter val="10.1111/bju.15229"/>
        <filter val="10.1111/blar.13579"/>
        <filter val="10.1111/boer.12279"/>
        <filter val="10.1111/boer.12363"/>
        <filter val="10.1111/btp.13115"/>
        <filter val="10.1111/btp.13227"/>
        <filter val="10.1111/camh.12415"/>
        <filter val="10.1111/camh.12546"/>
        <filter val="10.1111/camh.12629"/>
        <filter val="10.1111/camh.12676"/>
        <filter val="10.1111/cdev.14021"/>
        <filter val="10.1111/cdev.14039"/>
        <filter val="10.1111/chso.12411"/>
        <filter val="10.1111/cogs.13310"/>
        <filter val="10.1111/conl.12831"/>
        <filter val="10.1111/dar.13331"/>
        <filter val="10.1111/dar.13342"/>
        <filter val="10.1111/dar.13354"/>
        <filter val="10.1111/dar.13649"/>
        <filter val="10.1111/dech.12593"/>
        <filter val="10.1111/dech.12714"/>
        <filter val="10.1111/desc.12998"/>
        <filter val="10.1111/disa.12435"/>
        <filter val="10.1111/dmcn.14868"/>
        <filter val="10.1111/dme.14562"/>
        <filter val="10.1111/dme.15288"/>
        <filter val="10.1111/dme.15326"/>
        <filter val="10.1111/dme.15354"/>
        <filter val="10.1111/dom.15546"/>
        <filter val="10.1111/ecog.05127"/>
        <filter val="10.1111/ecog.05282"/>
        <filter val="10.1111/ehr.13253"/>
        <filter val="10.1111/ejn.15585"/>
        <filter val="10.1111/ejn.15737"/>
        <filter val="10.1111/ejop.12778"/>
        <filter val="10.1111/ejop.12781"/>
        <filter val="10.1111/ejop.12958"/>
        <filter val="10.1111/ejop.12962"/>
        <filter val="10.1111/emed.12559"/>
        <filter val="10.1111/emed.12721"/>
        <filter val="10.1111/emre.12558"/>
        <filter val="10.1111/eva.13363"/>
        <filter val="10.1111/faf.12655"/>
        <filter val="10.1111/faf.12847"/>
        <filter val="10.1111/febs.16674"/>
        <filter val="10.1111/flan.12751"/>
        <filter val="10.1111/gcb.16316"/>
        <filter val="10.1111/gcb.16335"/>
        <filter val="10.1111/gcb.16948"/>
        <filter val="10.1111/geb.13795"/>
        <filter val="10.1111/geb.13819"/>
        <filter val="10.1111/gove.12496"/>
        <filter val="10.1111/gove.12709"/>
        <filter val="10.1111/gwao.12470"/>
        <filter val="10.1111/gwao.12676"/>
        <filter val="10.1111/gwao.12801"/>
        <filter val="10.1111/gwao.13101"/>
        <filter val="10.1111/hequ.12517"/>
        <filter val="10.1111/hex.13687"/>
        <filter val="10.1111/hex.13835"/>
        <filter val="10.1111/hex.13985"/>
        <filter val="10.1111/hex.13997"/>
        <filter val="10.1111/hex.14008"/>
        <filter val="10.1111/hex.14044"/>
        <filter val="10.1111/hex.14119"/>
        <filter val="10.1111/hir.12441"/>
        <filter val="10.1111/hir.12466"/>
        <filter val="10.1111/hsc.13308"/>
        <filter val="10.1111/hsc.13437"/>
        <filter val="10.1111/hsc.13746"/>
        <filter val="10.1111/hsc.13812"/>
        <filter val="10.1111/hsc.13897"/>
        <filter val="10.1111/hsc.13911"/>
        <filter val="10.1111/hsc.13991"/>
        <filter val="10.1111/hsc.14091"/>
        <filter val="10.1111/icad.12511"/>
        <filter val="10.1111/icad.12744"/>
        <filter val="10.1111/ijet.12368"/>
        <filter val="10.1111/ijpo.12873"/>
        <filter val="10.1111/ina.12811"/>
        <filter val="10.1111/ina.12948"/>
        <filter val="10.1111/ina.13021"/>
        <filter val="10.1111/ina.13054"/>
        <filter val="10.1111/infa.12433"/>
        <filter val="10.1111/infa.12578"/>
        <filter val="10.1111/iwj.13526"/>
        <filter val="10.1111/iwj.13924"/>
        <filter val="10.1111/iwj.14035"/>
        <filter val="10.1111/jan.15312"/>
        <filter val="10.1111/jan.15919"/>
        <filter val="10.1111/jan.15921"/>
        <filter val="10.1111/jbi.14483"/>
        <filter val="10.1111/jcms.13078"/>
        <filter val="10.1111/jcpp.13253"/>
        <filter val="10.1111/jcpp.13276"/>
        <filter val="10.1111/jebm.12563"/>
        <filter val="10.1111/jmi.12867"/>
        <filter val="10.1111/jmi.13246"/>
        <filter val="10.1111/jnp.12272"/>
        <filter val="10.1111/jnp.12312"/>
        <filter val="10.1111/jnp.12370"/>
        <filter val="10.1111/joa.13616"/>
        <filter val="10.1111/joa.13920"/>
        <filter val="10.1111/joa.13934"/>
        <filter val="10.1111/joac.12586"/>
        <filter val="10.1111/jocn.15279"/>
        <filter val="10.1111/jocn.15418"/>
        <filter val="10.1111/jocn.17292"/>
        <filter val="10.1111/jols.12469"/>
        <filter val="10.1111/joms.13059"/>
        <filter val="10.1111/joms.13060"/>
        <filter val="10.1111/jopp.12295"/>
        <filter val="10.1111/jopp.12308"/>
        <filter val="10.1111/josi.12593"/>
        <filter val="10.1111/jpet.12519"/>
        <filter val="10.1111/jsr.13436"/>
        <filter val="10.1111/jzo.12829"/>
        <filter val="10.1111/lang.12465"/>
        <filter val="10.1111/lang.12544"/>
        <filter val="10.1111/lang.12551"/>
        <filter val="10.1111/lang.12568"/>
        <filter val="10.1111/lang.12623"/>
        <filter val="10.1111/lsq.12335"/>
        <filter val="10.1111/mec.16272"/>
        <filter val="10.1111/mec.17028"/>
        <filter val="10.1111/medu.14160"/>
        <filter val="10.1111/medu.14201"/>
        <filter val="10.1111/medu.14283"/>
        <filter val="10.1111/medu.14801"/>
        <filter val="10.1111/medu.15244"/>
        <filter val="10.1111/mila.12370"/>
        <filter val="10.1111/mmi.15144"/>
        <filter val="10.1111/mmi.15251"/>
        <filter val="10.1111/modl.12866"/>
        <filter val="10.1111/modl.12929"/>
        <filter val="10.1111/nbu.12536"/>
        <filter val="10.1111/nbu.12568"/>
        <filter val="10.1111/nbu.12689"/>
        <filter val="10.1111/newe.12354"/>
        <filter val="10.1111/nph.17048"/>
        <filter val="10.1111/nph.18302"/>
        <filter val="10.1111/nph.19518"/>
        <filter val="10.1111/nph.19814"/>
        <filter val="10.1111/obes.12483"/>
        <filter val="10.1111/obes.12489"/>
        <filter val="10.1111/obr.13736"/>
        <filter val="10.1111/oik.08943"/>
        <filter val="10.1111/ojoa.12225"/>
        <filter val="10.1111/papq.12443"/>
        <filter val="10.1111/papt.12452"/>
        <filter val="10.1111/pbi.13574"/>
        <filter val="10.1111/pbi.14220"/>
        <filter val="10.1111/phib.12302"/>
        <filter val="10.1111/polp.12515"/>
        <filter val="10.1111/pops.12985"/>
        <filter val="10.1111/psyp.13703"/>
        <filter val="10.1111/radm.12492"/>
        <filter val="10.1111/rego.12531"/>
        <filter val="10.1111/rest.12681"/>
        <filter val="10.1111/rest.12710"/>
        <filter val="10.1111/rest.12744"/>
        <filter val="10.1111/rest.12835"/>
        <filter val="10.1111/rssa.12578"/>
        <filter val="10.1111/rssa.12596"/>
        <filter val="10.1111/rssa.12612"/>
        <filter val="10.1111/sjp.12462"/>
        <filter val="10.1111/sjtg.12469"/>
        <filter val="10.1111/soc4.13148"/>
        <filter val="10.1111/soc4.13168"/>
        <filter val="10.1111/soc4.13197"/>
        <filter val="10.1111/soru.12416"/>
        <filter val="10.1111/spol.12716"/>
        <filter val="10.1111/spol.12877"/>
        <filter val="10.1111/spol.12996"/>
        <filter val="10.1111/spol.13034"/>
        <filter val="10.1111/tbed.13588"/>
        <filter val="10.1111/tbed.13978"/>
        <filter val="10.1111/tct.13368"/>
        <filter val="10.1111/tct.13650"/>
        <filter val="10.1111/tct.13667"/>
        <filter val="10.1111/tpj.14876"/>
        <filter val="10.1111/tpj.15298"/>
        <filter val="10.1111/tpj.16248"/>
        <filter val="10.1111/tpj.16698"/>
        <filter val="10.1111/tra.12815"/>
        <filter val="10.1111/zygo.12719"/>
        <filter val="10.1111/zygo.12722"/>
        <filter val="10.1112/blms.12983"/>
        <filter val="10.1112/mtk.12230"/>
        <filter val="10.1113/JP282306"/>
        <filter val="10.1116/5.0085813"/>
        <filter val="10.1119/5.0079561"/>
        <filter val="10.1121/10.0013417"/>
        <filter val="10.1122/8.0000411"/>
        <filter val="10.1136/archdischild-2020-320655"/>
        <filter val="10.1136/archdischild-2022-323908"/>
        <filter val="10.1136/archdischild-2022-324029"/>
        <filter val="10.1136/archdischild-2022-324201"/>
        <filter val="10.1136/archdischild-2022-324395"/>
        <filter val="10.1136/archdischild-2022-324454"/>
        <filter val="10.1136/archdischild-2022-324591"/>
        <filter val="10.1136/archdischild-2022-324685"/>
        <filter val="10.1136/archdischild-2022-325017"/>
        <filter val="10.1136/archdischild-2022-325256"/>
        <filter val="10.1136/bmj-2021-067742"/>
        <filter val="10.1136/bmjgast-2021-000641"/>
        <filter val="10.1136/bmjgh-2021-007047"/>
        <filter val="10.1136/bmjopen-2020-041296"/>
        <filter val="10.1136/bmjopen-2020-043364"/>
        <filter val="10.1136/bmjopen-2020-044769"/>
        <filter val="10.1136/bmjopen-2020-045441"/>
        <filter val="10.1136/bmjopen-2020-045453"/>
        <filter val="10.1136/bmjopen-2020-046417"/>
        <filter val="10.1136/bmjopen-2020-047746"/>
        <filter val="10.1136/bmjopen-2020-048392"/>
        <filter val="10.1136/bmjopen-2021-049416"/>
        <filter val="10.1136/bmjopen-2021-049547"/>
        <filter val="10.1136/bmjopen-2021-049564"/>
        <filter val="10.1136/bmjopen-2021-049644"/>
        <filter val="10.1136/bmjopen-2021-050816"/>
        <filter val="10.1136/bmjopen-2021-055976"/>
        <filter val="10.1136/bmjopen-2021-056129"/>
        <filter val="10.1136/bmjopen-2021-056216"/>
        <filter val="10.1136/bmjopen-2021-056347"/>
        <filter val="10.1136/bmjopen-2021-057508"/>
        <filter val="10.1136/bmjopen-2021-057530"/>
        <filter val="10.1136/bmjopen-2021-060281"/>
        <filter val="10.1136/bmjopen-2021-060450"/>
        <filter val="10.1136/bmjopen-2022-060906"/>
        <filter val="10.1136/bmjopen-2022-061263"/>
        <filter val="10.1136/bmjopen-2022-061862"/>
        <filter val="10.1136/bmjopen-2022-066025"/>
        <filter val="10.1136/bmjpo-2021-001339"/>
        <filter val="10.1136/bmjspcare-2021-002894"/>
        <filter val="10.1136/bmjspcare-2021-003019"/>
        <filter val="10.1136/bmjspcare-2021-003094"/>
        <filter val="10.1136/ebmental-2022-300530"/>
        <filter val="10.1136/ebnurs-2022-103594"/>
        <filter val="10.1136/emermed-2021-211900"/>
        <filter val="10.1136/medhum-2020-012106"/>
        <filter val="10.1136/pmj-2022-141733"/>
        <filter val="10.1136/pmj-2022-141825"/>
        <filter val="10.1136/postgradmedj-2022-141625"/>
        <filter val="10.1136/spcare-2022-003793"/>
        <filter val="10.1136/tc-2021-057228"/>
        <filter val="10.1136/thoraxjnl-2020-215926"/>
        <filter val="10.1140/epja/i2018-12609-0"/>
        <filter val="10.1140/epja/s10050-023-00950-8"/>
        <filter val="10.1140/epja/s10050-023-01075-8"/>
        <filter val="10.1140/epja/s10050-023-01123-3"/>
        <filter val="10.1140/epjb/e2018-90186-5"/>
        <filter val="10.1140/epjb/e2019-90639-3"/>
        <filter val="10.1140/epjd/e2018-90253-1"/>
        <filter val="10.1140/epjd/e2018-90351-0"/>
        <filter val="10.1155/2023/6642636"/>
        <filter val="10.1155/2023/6646271"/>
        <filter val="10.1155/2023/9141112"/>
        <filter val="10.1155/2024/9999977"/>
        <filter val="10.1163/15685306-bja10026"/>
        <filter val="10.1163/1568539x-bja10242"/>
        <filter val="10.1163/15700658-bja10041"/>
        <filter val="10.1163/15734218-12341488"/>
        <filter val="10.1163/18712428-10002002"/>
        <filter val="10.1163/18725465-bja10030"/>
        <filter val="10.1163/18749275-04002004"/>
        <filter val="10.1163/18757405-03201009"/>
        <filter val="10.1163/18757405-03501003"/>
        <filter val="10.1163/18758185-bja10022"/>
        <filter val="10.1163/1875-984x-13020004"/>
        <filter val="10.1163/18781527-bja10027"/>
        <filter val="10.1163/22118993-00371P13"/>
        <filter val="10.1163/22145966-07001007"/>
        <filter val="10.1163/24680966-bja10021"/>
        <filter val="10.1163/24683302-bja10056"/>
        <filter val="10.1163/26659891-bja10014"/>
        <filter val="10.1163/26660229-04001005"/>
        <filter val="10.1163/2666318x-bja00007"/>
        <filter val="10.1163/26663236-bja10020"/>
        <filter val="10.1163/27732142-bja00007"/>
        <filter val="10.1177/00031224231207392"/>
        <filter val="10.1177/00187267221139457"/>
        <filter val="10.1177/00219894231211571"/>
        <filter val="10.1177/00219894231226043"/>
        <filter val="10.1177/00220027221143971"/>
        <filter val="10.1177/00220027231206775"/>
        <filter val="10.1177/00220094211011536"/>
        <filter val="10.1177/00221678231197870"/>
        <filter val="10.1177/00222194211019961"/>
        <filter val="10.1177/00223433221145531"/>
        <filter val="10.1177/00223433241249352"/>
        <filter val="10.1177/0022526620916869"/>
        <filter val="10.1177/0022526620967557"/>
        <filter val="10.1177/0022526620967793"/>
        <filter val="10.1177/00225266221083259"/>
        <filter val="10.1177/00225266231156114"/>
        <filter val="10.1177/00323217211005917"/>
        <filter val="10.1177/0038026120938289"/>
        <filter val="10.1177/0038026120952743"/>
        <filter val="10.1177/0038026121990975"/>
        <filter val="10.1177/00380261231194504"/>
        <filter val="10.1177/00380261231221661"/>
        <filter val="10.1177/00380261231223018"/>
        <filter val="10.1177/00380261241244874"/>
        <filter val="10.1177/00380385211007761"/>
        <filter val="10.1177/00380385211033170"/>
        <filter val="10.1177/00380385221081396"/>
        <filter val="10.1177/00380385221122420"/>
        <filter val="10.1177/00380385231196101"/>
        <filter val="10.1177/00380385241247254"/>
        <filter val="10.1177/0040571X211043170"/>
        <filter val="10.1177/00420980221121198"/>
        <filter val="10.1177/0047117820904091"/>
        <filter val="10.1177/00483931231169308"/>
        <filter val="10.1177/00754242211044837"/>
        <filter val="10.1177/00754242231186175"/>
        <filter val="10.1177/00754242231220343"/>
        <filter val="10.1177/0095327X21995966"/>
        <filter val="10.1177/00961442211068031"/>
        <filter val="10.1177/0097700420954771"/>
        <filter val="10.1177/01417789221102511"/>
        <filter val="10.1177/01427237221096084"/>
        <filter val="10.1177/01847678211044095"/>
        <filter val="10.1177/0192512120972582"/>
        <filter val="10.1177/0261018321999799"/>
        <filter val="10.1177/0263276420957054"/>
        <filter val="10.1177/02633957241229375"/>
        <filter val="10.1177/02637758231165295"/>
        <filter val="10.1177/0264619620935935"/>
        <filter val="10.1177/02656914221103467"/>
        <filter val="10.1177/02676583231152638"/>
        <filter val="10.1177/02690942231202213"/>
        <filter val="10.1177/0269216320908490"/>
        <filter val="10.1177/0269216320908775"/>
        <filter val="10.1177/0269216320975308"/>
        <filter val="10.1177/0269216320984335"/>
        <filter val="10.1177/02692163211006313"/>
        <filter val="10.1177/02692163211059345"/>
        <filter val="10.1177/02692163211065278"/>
        <filter val="10.1177/02692163221122325"/>
        <filter val="10.1177/02692163221144084"/>
        <filter val="10.1177/02692163231153067"/>
        <filter val="10.1177/02692163231154300"/>
        <filter val="10.1177/02692163231170655"/>
        <filter val="10.1177/02692163231172246"/>
        <filter val="10.1177/02692163231214471"/>
        <filter val="10.1177/02692163241230664"/>
        <filter val="10.1177/0272989X20904360"/>
        <filter val="10.1177/0272989X20916450"/>
        <filter val="10.1177/0272989X20927705"/>
        <filter val="10.1177/0272989X20935883"/>
        <filter val="10.1177/0272989X20980327"/>
        <filter val="10.1177/0272989X20987222"/>
        <filter val="10.1177/0272989X211009883"/>
        <filter val="10.1177/0272989X211016427"/>
        <filter val="10.1177/0272989X211028236"/>
        <filter val="10.1177/0272989X231165985"/>
        <filter val="10.1177/0272989X241256639"/>
        <filter val="10.1177/03010066211014016"/>
        <filter val="10.1177/03010066211019370"/>
        <filter val="10.1177/03010066221098105"/>
        <filter val="10.1177/03010066221098728"/>
        <filter val="10.1177/03010066221113200"/>
        <filter val="10.1177/03010066221128953"/>
        <filter val="10.1177/03010066241258204"/>
        <filter val="10.1177/0305735620922892"/>
        <filter val="10.1177/03057356231155968"/>
        <filter val="10.1177/03058298221083999"/>
        <filter val="10.1177/03058298231198992"/>
        <filter val="10.1177/03063070231212533"/>
        <filter val="10.1177/0308518X19866212"/>
        <filter val="10.1177/0308518X221114138"/>
        <filter val="10.1177/0308518X231156611"/>
        <filter val="10.1177/0706743720931240"/>
        <filter val="10.1177/07067437211004882"/>
        <filter val="10.1177/0791603520939794"/>
        <filter val="10.1177/0899764020908329"/>
        <filter val="10.1177/0950017020959264"/>
        <filter val="10.1177/0950017020977001"/>
        <filter val="10.1177/09500170211043059"/>
        <filter val="10.1177/09500170211069797"/>
        <filter val="10.1177/09500170221075532"/>
        <filter val="10.1177/09500170221138008"/>
        <filter val="10.1177/09500170241247117"/>
        <filter val="10.1177/0952695120959254"/>
        <filter val="10.1177/0954411920940840"/>
        <filter val="10.1177/09544119211034357"/>
        <filter val="10.1177/09544119221075400"/>
        <filter val="10.1177/0956462420939409"/>
        <filter val="10.1177/09567976211016410"/>
        <filter val="10.1177/09567976241242105"/>
        <filter val="10.1177/0959353520963965"/>
        <filter val="10.1177/09639470231177583"/>
        <filter val="10.1177/09646639221096555"/>
        <filter val="10.1177/09646639221140799"/>
        <filter val="10.1177/09646639231225436"/>
        <filter val="10.1177/09670106211050811"/>
        <filter val="10.1177/09677720231223501"/>
        <filter val="10.1177/09697764221119919"/>
        <filter val="10.1177/1024529420910382"/>
        <filter val="10.1177/10245294211027696"/>
        <filter val="10.1177/1029864920974729"/>
        <filter val="10.1177/10298649221116024"/>
        <filter val="10.1177/10497315241230667"/>
        <filter val="10.1177/10870547231168433"/>
        <filter val="10.1177/1350507620924162"/>
        <filter val="10.1177/13505076241258932"/>
        <filter val="10.1177/13505076241259132"/>
        <filter val="10.1177/13540661211053830"/>
        <filter val="10.1177/13540688231216282"/>
        <filter val="10.1177/1354856520907390"/>
        <filter val="10.1177/13548565221104444"/>
        <filter val="10.1177/13548565241236005"/>
        <filter val="10.1177/13548565241253903"/>
        <filter val="10.1177/1355819620931872"/>
        <filter val="10.1177/1357034X20949934"/>
        <filter val="10.1177/1359104520925873"/>
        <filter val="10.1177/13591053231225598"/>
        <filter val="10.1177/1360780420937741"/>
        <filter val="10.1177/13607804211049450"/>
        <filter val="10.1177/13607804211066329"/>
        <filter val="10.1177/13607804221110237"/>
        <filter val="10.1177/13607804231178628"/>
        <filter val="10.1177/13607804231191063"/>
        <filter val="10.1177/13621688211007472"/>
        <filter val="10.1177/1362361320936945"/>
        <filter val="10.1177/1362361320985680"/>
        <filter val="10.1177/13623613221082715"/>
        <filter val="10.1177/13623613221086997"/>
        <filter val="10.1177/13623613221123734"/>
        <filter val="10.1177/13623613231158959"/>
        <filter val="10.1177/13623613231213431"/>
        <filter val="10.1177/13624806241241068"/>
        <filter val="10.1177/13634607231169003"/>
        <filter val="10.1177/1367006920947174"/>
        <filter val="10.1177/13670069211023146"/>
        <filter val="10.1177/13675494211055499"/>
        <filter val="10.1177/13675494241240028"/>
        <filter val="10.1177/1368431021991775"/>
        <filter val="10.1177/1369148120959588"/>
        <filter val="10.1177/1369148120974014"/>
        <filter val="10.1177/1369148120985409"/>
        <filter val="10.1177/1388262720931658"/>
        <filter val="10.1177/14613557211026931"/>
        <filter val="10.1177/14614448211026059"/>
        <filter val="10.1177/14614448231193982"/>
        <filter val="10.1177/14614456231205801"/>
        <filter val="10.1177/14648849241234446"/>
        <filter val="10.1177/14653125211024250"/>
        <filter val="10.1177/14661381221130278"/>
        <filter val="10.1177/1468017320918174"/>
        <filter val="10.1177/1468794120918812"/>
        <filter val="10.1177/1468794120972607"/>
        <filter val="10.1177/14687941221082268"/>
        <filter val="10.1177/14687941231165893"/>
        <filter val="10.1177/1470593120966768"/>
        <filter val="10.1177/14705931221095611"/>
        <filter val="10.1177/14705931221114170"/>
        <filter val="10.1177/14705931231162400"/>
        <filter val="10.1177/14713012231155985"/>
        <filter val="10.1177/14713012231190585"/>
        <filter val="10.1177/1473325020973215"/>
        <filter val="10.1177/1473325020973300"/>
        <filter val="10.1177/14733250211039008"/>
        <filter val="10.1177/14744740231203714"/>
        <filter val="10.1177/14748851211025875"/>
        <filter val="10.1177/14748851211050618"/>
        <filter val="10.1177/14778785211029516"/>
        <filter val="10.1177/1478929920952000"/>
        <filter val="10.1177/14789299211007984"/>
        <filter val="10.1177/15257401221120937"/>
        <filter val="10.1177/15274764231171068"/>
        <filter val="10.1177/15554120211048015"/>
        <filter val="10.1177/15579883231186463"/>
        <filter val="10.1177/1609406921993276"/>
        <filter val="10.1177/16094069221140873"/>
        <filter val="10.1177/16094069241261880"/>
        <filter val="10.1177/17407745211032909"/>
        <filter val="10.1177/17407745231206283"/>
        <filter val="10.1177/17427150211010600"/>
        <filter val="10.1177/17427150211042153"/>
        <filter val="10.1177/17427150231217587"/>
        <filter val="10.1177/1745691620902133"/>
        <filter val="10.1177/1745691620969657"/>
        <filter val="10.1177/1745691620979803"/>
        <filter val="10.1177/17456916231221976"/>
        <filter val="10.1177/17468477231155541"/>
        <filter val="10.1177/17470218211010144"/>
        <filter val="10.1177/17470218211017902"/>
        <filter val="10.1177/17470218221135543"/>
        <filter val="10.1177/17470218231173638"/>
        <filter val="10.1177/17470218241232347"/>
        <filter val="10.1177/17488958211028721"/>
        <filter val="10.1177/17488958221087487"/>
        <filter val="10.1177/17488958221142478"/>
        <filter val="10.1177/17488958231170153"/>
        <filter val="10.1177/17496020211021326"/>
        <filter val="10.1177/17496020221105821"/>
        <filter val="10.1177/17540739211022815"/>
        <filter val="10.1177/1757913920924431"/>
        <filter val="10.1177/17579139221106399"/>
        <filter val="10.1177/17579139241245346"/>
        <filter val="10.1177/19408447241260448"/>
        <filter val="10.1177/2041731421998840"/>
        <filter val="10.1177/2047487320912625"/>
        <filter val="10.1177/20530196221129747"/>
        <filter val="10.1177/20530196231158080"/>
        <filter val="10.1177/20539517221104997"/>
        <filter val="10.1177/20552076211010033"/>
        <filter val="10.1177/20552076221097508"/>
        <filter val="10.1177/20552076241255477"/>
        <filter val="10.1177/20563051211008822"/>
        <filter val="10.1177/20592043211018912"/>
        <filter val="10.1177/20592043221106478"/>
        <filter val="10.1177/20597991231202887"/>
        <filter val="10.1177/2167702620951511"/>
        <filter val="10.1177/23969415211073118"/>
        <filter val="10.1177/23969415221101137"/>
        <filter val="10.1177/23996544221136708"/>
        <filter val="10.1177/2632084320932757"/>
        <filter val="10.1177/2632084320957204"/>
        <filter val="10.1177/26320843211061297"/>
        <filter val="10.1177/26320843221089632"/>
        <filter val="10.1177/26320843221106949"/>
        <filter val="10.1177/26320843221106950"/>
        <filter val="10.1177/26320843221128296"/>
        <filter val="10.1177/26320843221147838"/>
        <filter val="10.1177/26320843221147841"/>
        <filter val="10.1177/26320843241229934"/>
        <filter val="10.1177/26320843241235580"/>
        <filter val="10.1177/29768640241250261"/>
        <filter val="10.1186/s12884-023-05930-w"/>
        <filter val="10.1186/s12889-023-16717-1"/>
        <filter val="10.1186/s12893-023-02187-0"/>
        <filter val="10.1186/s12904-023-01246-w"/>
        <filter val="10.1186/s12909-023-04781-5"/>
        <filter val="10.1186/s12911-023-02299-w"/>
        <filter val="10.1186/s12992-023-01000-0"/>
        <filter val="10.1186/s13018-023-04319-x"/>
        <filter val="10.1186/s13058-023-01741-1"/>
        <filter val="10.1186/s40352-023-00242-9"/>
        <filter val="10.1186/s40814-023-01441-9"/>
        <filter val="10.1192/bjb.2024.9"/>
        <filter val="10.1192/bjo.2021.45"/>
        <filter val="10.1192/bjo.2023.12"/>
        <filter val="10.1192/bjo.2023.582"/>
        <filter val="10.1192/bjp.2021.131"/>
        <filter val="10.1192/bjp.2021.218"/>
        <filter val="10.1192/bjp.2022.143"/>
        <filter val="10.1242/dev.201070"/>
        <filter val="10.1242/dmm.045815"/>
        <filter val="10.1242/jcs.257733"/>
        <filter val="10.1242/jcs.258375"/>
        <filter val="10.1242/jcs.260505"/>
        <filter val="10.1371/journal.pbio.3001211"/>
        <filter val="10.1371/journal.pbio.3002392"/>
        <filter val="10.1371/journal.pcbi.1009306"/>
        <filter val="10.1371/journal.pcbi.1009507"/>
        <filter val="10.1371/journal.pcbi.1009837"/>
        <filter val="10.1371/journal.pcbi.1010870"/>
        <filter val="10.1371/journal.pdig.0000123"/>
        <filter val="10.1371/journal.pgph.0001496"/>
        <filter val="10.1371/journal.pgph.0001668"/>
        <filter val="10.1371/journal.pgph.0002551"/>
        <filter val="10.1371/journal.pmed.1003779"/>
        <filter val="10.1371/journal.pmed.1004043"/>
        <filter val="10.1371/journal.pntd.0010471"/>
        <filter val="10.1371/journal.pone.0247855"/>
        <filter val="10.1371/journal.pone.0248190"/>
        <filter val="10.1371/journal.pone.0248631"/>
        <filter val="10.1371/journal.pone.0250227"/>
        <filter val="10.1371/journal.pone.0251827"/>
        <filter val="10.1371/journal.pone.0252225"/>
        <filter val="10.1371/journal.pone.0252373"/>
        <filter val="10.1371/journal.pone.0254371"/>
        <filter val="10.1371/journal.pone.0254821"/>
        <filter val="10.1371/journal.pone.0255241"/>
        <filter val="10.1371/journal.pone.0258110"/>
        <filter val="10.1371/journal.pone.0258349"/>
        <filter val="10.1371/journal.pone.0258374"/>
        <filter val="10.1371/journal.pone.0258832"/>
        <filter val="10.1371/journal.pone.0258937"/>
        <filter val="10.1371/journal.pone.0259279"/>
        <filter val="10.1371/journal.pone.0260766"/>
        <filter val="10.1371/journal.pone.0260788"/>
        <filter val="10.1371/journal.pone.0261328"/>
        <filter val="10.1371/journal.pone.0262118"/>
        <filter val="10.1371/journal.pone.0262363"/>
        <filter val="10.1371/journal.pone.0263672"/>
        <filter val="10.1371/journal.pone.0263856"/>
        <filter val="10.1371/journal.pone.0265200"/>
        <filter val="10.1371/journal.pone.0266146"/>
        <filter val="10.1371/journal.pone.0267056"/>
        <filter val="10.1371/journal.pone.0269439"/>
        <filter val="10.1371/journal.pone.0270153"/>
        <filter val="10.1371/journal.pone.0270833"/>
        <filter val="10.1371/journal.pone.0272904"/>
        <filter val="10.1371/journal.pone.0274375"/>
        <filter val="10.1371/journal.pone.0274424"/>
        <filter val="10.1371/journal.pone.0275843"/>
        <filter val="10.1371/journal.pone.0277538"/>
        <filter val="10.1371/journal.pone.0277936"/>
        <filter val="10.1371/journal.pone.0278378"/>
        <filter val="10.1371/journal.pone.0278385"/>
        <filter val="10.1371/journal.pone.0278480"/>
        <filter val="10.1371/journal.pone.0278671"/>
        <filter val="10.1371/journal.pone.0279098"/>
        <filter val="10.1371/journal.pone.0279187"/>
        <filter val="10.1371/journal.pone.0279555"/>
        <filter val="10.1371/journal.pone.0281089"/>
        <filter val="10.1371/journal.pone.0281791"/>
        <filter val="10.1371/journal.pone.0282267"/>
        <filter val="10.1371/journal.pone.0282872"/>
        <filter val="10.1371/journal.pone.0285423"/>
        <filter val="10.1371/journal.pone.0286040"/>
        <filter val="10.1371/journal.pone.0286681"/>
        <filter val="10.1371/journal.pone.0286835"/>
        <filter val="10.1371/journal.pone.0287131"/>
        <filter val="10.1371/journal.pone.0287185"/>
        <filter val="10.1371/journal.pone.0288028"/>
        <filter val="10.1371/journal.pone.0288641"/>
        <filter val="10.1371/journal.pone.0291557"/>
        <filter val="10.1371/journal.pone.0291987"/>
        <filter val="10.1371/journal.pone.0294631"/>
        <filter val="10.1371/journal.pone.0295064"/>
        <filter val="10.1371/journal.ppat.1009740"/>
        <filter val="10.1371/journal.pstr.0000060"/>
        <filter val="10.14814/phy2.15663"/>
        <filter val="10.15184/aqy.2021.129"/>
        <filter val="10.15184/aqy.2021.18"/>
        <filter val="10.15184/aqy.2021.59"/>
        <filter val="10.15184/aqy.2021.81"/>
        <filter val="10.15184/aqy.2023.118"/>
        <filter val="10.15184/aqy.2023.2"/>
        <filter val="10.15184/aqy.2024.60"/>
        <filter val="10.1523/JNEUROSCI.2237-22.2023"/>
        <filter val="10.15252/embr.202255502"/>
        <filter val="10.1557/s43577-022-00350-1"/>
        <filter val="10.3758/s13414-016-1106-7"/>
        <filter val="10.3758/s13414-016-1199-z"/>
        <filter val="10.3758/s13414-017-1362-1"/>
        <filter val="10.3758/s13414-019-01729-0"/>
        <filter val="10.3758/s13414-019-01837-x"/>
        <filter val="10.3758/s13414-019-01894-2"/>
        <filter val="10.3758/s13414-020-02122-y"/>
        <filter val="10.3758/s13414-023-02709-1"/>
        <filter val="10.3758/s13414-023-02769-3"/>
        <filter val="10.3758/s13415-022-01029-5"/>
        <filter val="10.3758/s13421-017-0719-y"/>
        <filter val="10.3758/s13421-017-0770-8"/>
        <filter val="10.3758/s13421-018-0878-5"/>
        <filter val="10.3758/s13421-020-01065-x"/>
        <filter val="10.3758/s13421-021-01144-7"/>
        <filter val="10.3758/s13428-016-0837-7"/>
        <filter val="10.3758/s13428-019-01251-z"/>
        <filter val="10.3758/s13428-021-01570-0"/>
        <filter val="10.3758/s13428-021-01678-3"/>
        <filter val="10.3758/s13428-022-02002-3"/>
        <filter val="10.4153/S0008414X2200061X"/>
        <filter val="No DOI"/>
        <filter val="Rejected for publication"/>
      </filters>
    </filterColumn>
  </autoFilter>
  <customSheetViews>
    <customSheetView guid="{D24324F3-8BA8-4D50-BED6-1A996E1DAA2C}" filter="1" showAutoFilter="1">
      <pageMargins left="0.7" right="0.7" top="0.75" bottom="0.75" header="0.3" footer="0.3"/>
      <autoFilter ref="A1:AJ1830" xr:uid="{4D974FF1-B267-4934-8147-787D37D1FB28}">
        <filterColumn colId="3">
          <filters>
            <filter val="PLOS"/>
            <filter val="Society for Neuroscience"/>
          </filters>
        </filterColumn>
      </autoFilter>
    </customSheetView>
    <customSheetView guid="{37E516E1-8F81-45D8-907F-5E4EAC599559}" filter="1" showAutoFilter="1">
      <pageMargins left="0.7" right="0.7" top="0.75" bottom="0.75" header="0.3" footer="0.3"/>
      <autoFilter ref="A1:AJ1830" xr:uid="{7F8E22D3-5D0E-4862-A4BB-756C61555AEE}">
        <filterColumn colId="3">
          <filters>
            <filter val="Society for Neuroscience"/>
            <filter val="Brill"/>
          </filters>
        </filterColumn>
      </autoFilter>
    </customSheetView>
    <customSheetView guid="{B0A3CC75-EA7E-486E-98BF-5D95CF7FE686}" filter="1" showAutoFilter="1">
      <pageMargins left="0.7" right="0.7" top="0.75" bottom="0.75" header="0.3" footer="0.3"/>
      <autoFilter ref="A1:AJ1830" xr:uid="{580CC32E-BB47-4BF5-BB64-5119905039F6}">
        <filterColumn colId="3">
          <filters>
            <filter val="Brill"/>
            <filter val="Microbiology Society"/>
            <filter val="PLOS"/>
            <filter val="Portland Press"/>
            <filter val="Rockefeller University Press"/>
            <filter val="Society for Neuroscience"/>
          </filters>
        </filterColumn>
      </autoFilter>
    </customSheetView>
    <customSheetView guid="{0DA76F69-3F21-46C7-8116-4CA36BE0F6B7}" filter="1" showAutoFilter="1">
      <pageMargins left="0.7" right="0.7" top="0.75" bottom="0.75" header="0.3" footer="0.3"/>
      <autoFilter ref="A1:AN1764" xr:uid="{91CF147D-F340-4C01-9FF7-2925CFD1415E}">
        <filterColumn colId="3">
          <filters>
            <filter val="Rockefeller University Press"/>
          </filters>
        </filterColumn>
      </autoFilter>
    </customSheetView>
    <customSheetView guid="{5A05EFA9-001C-4D78-8230-129AC312A6D6}" filter="1" showAutoFilter="1">
      <pageMargins left="0.7" right="0.7" top="0.75" bottom="0.75" header="0.3" footer="0.3"/>
      <autoFilter ref="A1:AJ1830" xr:uid="{67D64007-9577-48DB-A28B-1DE9D6D393A0}">
        <filterColumn colId="3">
          <filters>
            <filter val="Society for Neuroscience"/>
            <filter val="Oxford University Press"/>
          </filters>
        </filterColumn>
      </autoFilter>
    </customSheetView>
    <customSheetView guid="{60054907-5418-4B03-9F6A-6F21CC4DE2ED}" filter="1" showAutoFilter="1">
      <pageMargins left="0.7" right="0.7" top="0.75" bottom="0.75" header="0.3" footer="0.3"/>
      <autoFilter ref="A1:AJ1830" xr:uid="{B02F16E8-7530-4CB5-9C71-8E4ED4552544}">
        <filterColumn colId="3">
          <filters>
            <filter val="Sage"/>
            <filter val="Society for Neuroscience"/>
          </filters>
        </filterColumn>
      </autoFilter>
    </customSheetView>
    <customSheetView guid="{E438F98E-8F7A-477F-9B4B-C3DEFA8A6CE6}" filter="1" showAutoFilter="1">
      <pageMargins left="0.7" right="0.7" top="0.75" bottom="0.75" header="0.3" footer="0.3"/>
      <autoFilter ref="A1:AJ1830" xr:uid="{5E3B8E11-236B-4E76-A237-A410D940284A}">
        <filterColumn colId="3">
          <filters>
            <filter val="Society for Neuroscience"/>
            <filter val="BMJ"/>
          </filters>
        </filterColumn>
      </autoFilter>
    </customSheetView>
    <customSheetView guid="{D3B25634-33FE-4F9E-80EC-EC91DD1A21B0}" filter="1" showAutoFilter="1">
      <pageMargins left="0.7" right="0.7" top="0.75" bottom="0.75" header="0.3" footer="0.3"/>
      <autoFilter ref="A1:AJ1830" xr:uid="{AA7B81E7-4AD5-4B1A-B76A-D0EC56429101}">
        <filterColumn colId="3">
          <filters>
            <filter val="Portland Press"/>
            <filter val="Society for Neuroscience"/>
          </filters>
        </filterColumn>
      </autoFilter>
    </customSheetView>
    <customSheetView guid="{4ED587DC-2A79-4A0B-8803-108290801255}" filter="1" showAutoFilter="1">
      <pageMargins left="0.7" right="0.7" top="0.75" bottom="0.75" header="0.3" footer="0.3"/>
      <autoFilter ref="A1:AJ1830" xr:uid="{FAB75755-16ED-4909-A372-67D008EE9CF2}">
        <filterColumn colId="3">
          <filters>
            <filter val="American Institute of Physics"/>
            <filter val="Company of Biologists"/>
            <filter val="Rockefeller University Press"/>
            <filter val="Society for Neuroscience"/>
          </filters>
        </filterColumn>
      </autoFilter>
    </customSheetView>
    <customSheetView guid="{3C788783-53D4-479F-BAD6-717F357D5949}" filter="1" showAutoFilter="1">
      <pageMargins left="0.7" right="0.7" top="0.75" bottom="0.75" header="0.3" footer="0.3"/>
      <autoFilter ref="A1:AB1830" xr:uid="{0A03A352-5AC2-410C-A63D-502F2D831389}">
        <filterColumn colId="3">
          <filters>
            <filter val="Society for Neuroscience"/>
            <filter val="American Institute of Physics"/>
          </filters>
        </filterColumn>
      </autoFilter>
    </customSheetView>
    <customSheetView guid="{892B7054-E2FE-4D73-9115-781372186E33}" filter="1" showAutoFilter="1">
      <pageMargins left="0.7" right="0.7" top="0.75" bottom="0.75" header="0.3" footer="0.3"/>
      <autoFilter ref="A1:AJ1830" xr:uid="{54C734CC-9358-4166-B6C7-99B6D8C553CB}">
        <filterColumn colId="3">
          <filters>
            <filter val="Society for Neuroscience"/>
            <filter val="Institute of Physics Publishing"/>
          </filters>
        </filterColumn>
      </autoFilter>
    </customSheetView>
    <customSheetView guid="{18A36FA6-9FAC-4D54-A7E9-C3A675B6F9FF}" filter="1" showAutoFilter="1">
      <pageMargins left="0.7" right="0.7" top="0.75" bottom="0.75" header="0.3" footer="0.3"/>
      <autoFilter ref="A1:AJ1830" xr:uid="{EB6D0B90-5EB1-4439-942A-018D646432F6}">
        <filterColumn colId="3">
          <filters>
            <filter val="Society for Neuroscience"/>
            <filter val="Wiley"/>
          </filters>
        </filterColumn>
      </autoFilter>
    </customSheetView>
    <customSheetView guid="{938EDCF4-AB81-40CE-A541-53F43F8CF7F7}" filter="1" showAutoFilter="1">
      <pageMargins left="0.7" right="0.7" top="0.75" bottom="0.75" header="0.3" footer="0.3"/>
      <autoFilter ref="A1:AJ1830" xr:uid="{3A5AEC86-F041-4172-8E29-585DD96DDD4A}">
        <filterColumn colId="3">
          <filters>
            <filter val="Taylor &amp; Francis"/>
            <filter val="Society for Neuroscience"/>
          </filters>
        </filterColumn>
      </autoFilter>
    </customSheetView>
    <customSheetView guid="{54D2244B-4E6F-42DC-B8B0-0DA633AA5F10}" filter="1" showAutoFilter="1">
      <pageMargins left="0.7" right="0.7" top="0.75" bottom="0.75" header="0.3" footer="0.3"/>
      <autoFilter ref="A1:AJ1830" xr:uid="{FED05B03-3F8B-4CD9-88A3-D600F015BB24}">
        <filterColumn colId="3">
          <filters>
            <filter val="Royal Society of Chemistry"/>
            <filter val="Society for Neuroscience"/>
          </filters>
        </filterColumn>
      </autoFilter>
    </customSheetView>
    <customSheetView guid="{D295850C-D4D8-424D-9D55-FBA32A761E18}" filter="1" showAutoFilter="1">
      <pageMargins left="0.7" right="0.7" top="0.75" bottom="0.75" header="0.3" footer="0.3"/>
      <autoFilter ref="A1:AJ1830" xr:uid="{32CF531B-1038-4591-9BD1-4C6FDBF4F48F}">
        <filterColumn colId="3">
          <filters>
            <filter val="John Benjamins"/>
          </filters>
        </filterColumn>
      </autoFilter>
    </customSheetView>
    <customSheetView guid="{C9546FF7-367C-4E7B-A08E-62C9379FDCEB}" filter="1" showAutoFilter="1">
      <pageMargins left="0.7" right="0.7" top="0.75" bottom="0.75" header="0.3" footer="0.3"/>
      <autoFilter ref="A1:AJ1830" xr:uid="{2550EF7B-D6D7-4F35-BBB8-B26642D681CB}">
        <filterColumn colId="3">
          <filters>
            <filter val="Springer"/>
            <filter val="Society for Neuroscience"/>
          </filters>
        </filterColumn>
      </autoFilter>
    </customSheetView>
    <customSheetView guid="{317CA3DD-64E5-4964-9599-12B9EA927E75}" filter="1" showAutoFilter="1">
      <pageMargins left="0.7" right="0.7" top="0.75" bottom="0.75" header="0.3" footer="0.3"/>
      <autoFilter ref="A1:AJ1830" xr:uid="{EDCFC5B5-B930-4D1B-BEB5-25A62FEFC765}">
        <filterColumn colId="3">
          <filters>
            <filter val="Society for Neuroscience"/>
            <filter val="PNAS"/>
          </filters>
        </filterColumn>
      </autoFilter>
    </customSheetView>
    <customSheetView guid="{69A6BF51-D718-4660-B202-035B079FA39F}" filter="1" showAutoFilter="1">
      <pageMargins left="0.7" right="0.7" top="0.75" bottom="0.75" header="0.3" footer="0.3"/>
      <autoFilter ref="A1:AJ1830" xr:uid="{6B8EA57B-3608-41A6-89E1-72A2292AB683}">
        <filterColumn colId="3">
          <filters>
            <filter val="Royal Society"/>
            <filter val="Society for Neuroscience"/>
          </filters>
        </filterColumn>
      </autoFilter>
    </customSheetView>
    <customSheetView guid="{D01FA1FD-7852-4241-BC86-A0EFC1E75DC2}" filter="1" showAutoFilter="1">
      <pageMargins left="0.7" right="0.7" top="0.75" bottom="0.75" header="0.3" footer="0.3"/>
      <autoFilter ref="A1:AJ1830" xr:uid="{7B86B3A8-F06E-41F5-9D56-AA3F1EB2FCA6}">
        <filterColumn colId="3">
          <filters>
            <filter val="Elsevier"/>
          </filters>
        </filterColumn>
      </autoFilter>
    </customSheetView>
    <customSheetView guid="{8B83D168-79DB-46AB-8006-70336EB7D280}" filter="1" showAutoFilter="1">
      <pageMargins left="0.7" right="0.7" top="0.75" bottom="0.75" header="0.3" footer="0.3"/>
      <autoFilter ref="A1:AJ1830" xr:uid="{6E6BB91C-DC1F-42F3-800C-CBC9E97713E6}">
        <filterColumn colId="3">
          <filters>
            <filter val="American Institute of Physics"/>
            <filter val="Rockefeller University Press"/>
            <filter val="Society for Neuroscience"/>
          </filters>
        </filterColumn>
      </autoFilter>
    </customSheetView>
    <customSheetView guid="{60A3D4CE-52FC-4B77-B697-35F4014540B7}" filter="1" showAutoFilter="1">
      <pageMargins left="0.7" right="0.7" top="0.75" bottom="0.75" header="0.3" footer="0.3"/>
      <autoFilter ref="A1:AJ1830" xr:uid="{D3895208-0E04-418B-88D3-0CE48D585E54}">
        <filterColumn colId="3">
          <filters>
            <filter val="Society for Neuroscience"/>
            <filter val="American Chemical Society"/>
          </filters>
        </filterColumn>
      </autoFilter>
    </customSheetView>
    <customSheetView guid="{86DF5ACA-5976-4E3D-B826-3621E58A67E5}" filter="1" showAutoFilter="1">
      <pageMargins left="0.7" right="0.7" top="0.75" bottom="0.75" header="0.3" footer="0.3"/>
      <autoFilter ref="A1:AJ1830" xr:uid="{F9A1B682-0F70-41E5-9789-EE26E27B3EAF}">
        <filterColumn colId="3">
          <filters>
            <filter val="Society for Neuroscience"/>
            <filter val="Cambridge University Press"/>
          </filters>
        </filterColumn>
      </autoFilter>
    </customSheetView>
    <customSheetView guid="{C4650DB2-C427-44A8-A006-D481303AD1A8}" filter="1" showAutoFilter="1">
      <pageMargins left="0.7" right="0.7" top="0.75" bottom="0.75" header="0.3" footer="0.3"/>
      <autoFilter ref="A1:AN1976" xr:uid="{900EDE82-032F-489B-ACF2-4339DCE517A3}"/>
    </customSheetView>
  </customSheetViews>
  <conditionalFormatting sqref="A1:B3176">
    <cfRule type="expression" dxfId="1" priority="1">
      <formula>COUNTIF(A:A,A1)&gt;1</formula>
    </cfRule>
  </conditionalFormatting>
  <conditionalFormatting sqref="I2:I2347 I2349:I2353 I2368:I3176">
    <cfRule type="expression" dxfId="0" priority="3">
      <formula>AND(OR($P2="Yes", $Q2="Yes"), $I2&lt;&gt;"CC BY")</formula>
    </cfRule>
  </conditionalFormatting>
  <dataValidations count="7">
    <dataValidation type="list" allowBlank="1" showErrorMessage="1" sqref="F2:F3176" xr:uid="{00000000-0002-0000-0000-000000000000}">
      <formula1>"Not OA,NYP,OA,Rejected for publication"</formula1>
    </dataValidation>
    <dataValidation type="list" allowBlank="1" showErrorMessage="1" sqref="T2:T3176" xr:uid="{00000000-0002-0000-0000-000001000000}">
      <formula1>"Author opt out,Denied by library,Rejected for publication,Journal not included in deal,Author deemed ineligible by publisher,No deal at that time,Article type not covered by deal,Deal cap reached,Withdrawn from publication,Other,Unknown,Diamond OA journal"</formula1>
    </dataValidation>
    <dataValidation type="list" allowBlank="1" showErrorMessage="1" sqref="AJ2:AJ3176" xr:uid="{00000000-0002-0000-0000-000002000000}">
      <formula1>"USD,GBP,EUR"</formula1>
    </dataValidation>
    <dataValidation type="list" allowBlank="1" showErrorMessage="1" sqref="V1:V3176" xr:uid="{00000000-0002-0000-0000-000005000000}">
      <formula1>"Q1 2021,Q2 2021,Q3 2021,Q4 2021,Q1 2022,Q2 2022,Q3 2022,Q4 2022,Q1 2023,Q2 2023,Q3 2023,Q4 2023"</formula1>
    </dataValidation>
    <dataValidation type="list" allowBlank="1" showErrorMessage="1" sqref="P2:Q3176 AN2:AN3176" xr:uid="{00000000-0002-0000-0000-000007000000}">
      <formula1>"Yes,No"</formula1>
    </dataValidation>
    <dataValidation type="list" allowBlank="1" showErrorMessage="1" sqref="E2:E3176" xr:uid="{00000000-0002-0000-0000-000008000000}">
      <formula1>"Fully OA,Hybrid,No Open Access"</formula1>
    </dataValidation>
    <dataValidation type="list" allowBlank="1" showErrorMessage="1" sqref="AO2:AO3176" xr:uid="{00000000-0002-0000-0000-000009000000}">
      <formula1>"NYP,Not yet accepted"</formula1>
    </dataValidation>
  </dataValidations>
  <hyperlinks>
    <hyperlink ref="AE1762" r:id="rId1" xr:uid="{00000000-0004-0000-0000-000000000000}"/>
    <hyperlink ref="AE1765" r:id="rId2" xr:uid="{00000000-0004-0000-0000-000001000000}"/>
    <hyperlink ref="AE1766" r:id="rId3" xr:uid="{00000000-0004-0000-0000-000002000000}"/>
    <hyperlink ref="AE1767" r:id="rId4" xr:uid="{00000000-0004-0000-0000-000003000000}"/>
    <hyperlink ref="AE1770" r:id="rId5" xr:uid="{00000000-0004-0000-0000-000004000000}"/>
    <hyperlink ref="AE1771" r:id="rId6" xr:uid="{00000000-0004-0000-0000-000005000000}"/>
    <hyperlink ref="AE1772" r:id="rId7" xr:uid="{00000000-0004-0000-0000-000006000000}"/>
    <hyperlink ref="AE1773" r:id="rId8" xr:uid="{00000000-0004-0000-0000-000007000000}"/>
    <hyperlink ref="AE1774" r:id="rId9" xr:uid="{00000000-0004-0000-0000-000008000000}"/>
    <hyperlink ref="AE1776" r:id="rId10" xr:uid="{00000000-0004-0000-0000-000009000000}"/>
    <hyperlink ref="AE1777" r:id="rId11" xr:uid="{00000000-0004-0000-0000-00000A000000}"/>
    <hyperlink ref="AE2028" r:id="rId12" xr:uid="{00000000-0004-0000-0000-00000B000000}"/>
    <hyperlink ref="AE2030" r:id="rId13" xr:uid="{00000000-0004-0000-0000-00000C000000}"/>
    <hyperlink ref="AE2033" r:id="rId14" xr:uid="{00000000-0004-0000-0000-00000D000000}"/>
    <hyperlink ref="AE2034" r:id="rId15" xr:uid="{00000000-0004-0000-0000-00000E000000}"/>
    <hyperlink ref="AE2035" r:id="rId16" xr:uid="{00000000-0004-0000-0000-00000F000000}"/>
    <hyperlink ref="AE2036" r:id="rId17" xr:uid="{00000000-0004-0000-0000-000010000000}"/>
    <hyperlink ref="AE2038" r:id="rId18" xr:uid="{00000000-0004-0000-0000-000011000000}"/>
    <hyperlink ref="AE2039" r:id="rId19" xr:uid="{00000000-0004-0000-0000-000012000000}"/>
    <hyperlink ref="AE2040" r:id="rId20" xr:uid="{00000000-0004-0000-0000-000013000000}"/>
    <hyperlink ref="AE2041" r:id="rId21" xr:uid="{00000000-0004-0000-0000-000014000000}"/>
    <hyperlink ref="AE2042" r:id="rId22" xr:uid="{00000000-0004-0000-0000-000015000000}"/>
    <hyperlink ref="AE2043" r:id="rId23" xr:uid="{00000000-0004-0000-0000-000016000000}"/>
    <hyperlink ref="AE2044" r:id="rId24" xr:uid="{00000000-0004-0000-0000-000017000000}"/>
    <hyperlink ref="AE2046" r:id="rId25" xr:uid="{00000000-0004-0000-0000-000018000000}"/>
    <hyperlink ref="AE2047" r:id="rId26" xr:uid="{00000000-0004-0000-0000-000019000000}"/>
    <hyperlink ref="AE2048" r:id="rId27" xr:uid="{00000000-0004-0000-0000-00001A000000}"/>
    <hyperlink ref="AE2049" r:id="rId28" xr:uid="{00000000-0004-0000-0000-00001B000000}"/>
    <hyperlink ref="AE2051" r:id="rId29" xr:uid="{00000000-0004-0000-0000-00001C000000}"/>
    <hyperlink ref="AE2053" r:id="rId30" xr:uid="{00000000-0004-0000-0000-00001D000000}"/>
    <hyperlink ref="AE2054" r:id="rId31" xr:uid="{00000000-0004-0000-0000-00001E000000}"/>
    <hyperlink ref="AE2055" r:id="rId32" xr:uid="{00000000-0004-0000-0000-00001F000000}"/>
    <hyperlink ref="AE2057" r:id="rId33" xr:uid="{00000000-0004-0000-0000-000020000000}"/>
    <hyperlink ref="AE2059" r:id="rId34" xr:uid="{00000000-0004-0000-0000-000021000000}"/>
    <hyperlink ref="AE2060" r:id="rId35" xr:uid="{00000000-0004-0000-0000-000022000000}"/>
    <hyperlink ref="AE2061" r:id="rId36" xr:uid="{00000000-0004-0000-0000-000023000000}"/>
    <hyperlink ref="AE2062" r:id="rId37" xr:uid="{00000000-0004-0000-0000-000024000000}"/>
    <hyperlink ref="AE2064" r:id="rId38" xr:uid="{00000000-0004-0000-0000-000025000000}"/>
    <hyperlink ref="AE2066" r:id="rId39" xr:uid="{00000000-0004-0000-0000-000026000000}"/>
    <hyperlink ref="AE2067" r:id="rId40" xr:uid="{00000000-0004-0000-0000-000027000000}"/>
    <hyperlink ref="AE2068" r:id="rId41" xr:uid="{00000000-0004-0000-0000-000028000000}"/>
    <hyperlink ref="AE2069" r:id="rId42" xr:uid="{00000000-0004-0000-0000-000029000000}"/>
    <hyperlink ref="AE2070" r:id="rId43" xr:uid="{00000000-0004-0000-0000-00002A000000}"/>
    <hyperlink ref="AE2072" r:id="rId44" xr:uid="{00000000-0004-0000-0000-00002B000000}"/>
    <hyperlink ref="AE2073" r:id="rId45" xr:uid="{00000000-0004-0000-0000-00002C000000}"/>
    <hyperlink ref="AE2074" r:id="rId46" xr:uid="{00000000-0004-0000-0000-00002D000000}"/>
    <hyperlink ref="AE2075" r:id="rId47" xr:uid="{00000000-0004-0000-0000-00002E000000}"/>
    <hyperlink ref="AE2077" r:id="rId48" xr:uid="{00000000-0004-0000-0000-00002F000000}"/>
    <hyperlink ref="AE2078" r:id="rId49" xr:uid="{00000000-0004-0000-0000-000030000000}"/>
    <hyperlink ref="AE2080" r:id="rId50" xr:uid="{00000000-0004-0000-0000-000031000000}"/>
    <hyperlink ref="AE2081" r:id="rId51" xr:uid="{00000000-0004-0000-0000-000032000000}"/>
    <hyperlink ref="AE2083" r:id="rId52" xr:uid="{00000000-0004-0000-0000-000033000000}"/>
    <hyperlink ref="AE2085" r:id="rId53" xr:uid="{00000000-0004-0000-0000-000034000000}"/>
    <hyperlink ref="AE2086" r:id="rId54" xr:uid="{00000000-0004-0000-0000-000035000000}"/>
    <hyperlink ref="AE2087" r:id="rId55" xr:uid="{00000000-0004-0000-0000-000036000000}"/>
    <hyperlink ref="AE2088" r:id="rId56" xr:uid="{00000000-0004-0000-0000-000037000000}"/>
    <hyperlink ref="AE2089" r:id="rId57" xr:uid="{00000000-0004-0000-0000-000038000000}"/>
    <hyperlink ref="AE2091" r:id="rId58" xr:uid="{00000000-0004-0000-0000-000039000000}"/>
    <hyperlink ref="AE2092" r:id="rId59" xr:uid="{00000000-0004-0000-0000-00003A000000}"/>
    <hyperlink ref="AE2093" r:id="rId60" xr:uid="{00000000-0004-0000-0000-00003B000000}"/>
    <hyperlink ref="AE2094" r:id="rId61" xr:uid="{00000000-0004-0000-0000-00003C000000}"/>
    <hyperlink ref="AE2095" r:id="rId62" xr:uid="{00000000-0004-0000-0000-00003D000000}"/>
    <hyperlink ref="AE2097" r:id="rId63" xr:uid="{00000000-0004-0000-0000-00003E000000}"/>
    <hyperlink ref="AE2098" r:id="rId64" xr:uid="{00000000-0004-0000-0000-00003F000000}"/>
    <hyperlink ref="AE2100" r:id="rId65" xr:uid="{00000000-0004-0000-0000-000040000000}"/>
    <hyperlink ref="AE2101" r:id="rId66" xr:uid="{00000000-0004-0000-0000-000041000000}"/>
    <hyperlink ref="AE2102" r:id="rId67" xr:uid="{00000000-0004-0000-0000-000042000000}"/>
    <hyperlink ref="AE2103" r:id="rId68" xr:uid="{00000000-0004-0000-0000-000043000000}"/>
    <hyperlink ref="AE2104" r:id="rId69" xr:uid="{00000000-0004-0000-0000-000044000000}"/>
    <hyperlink ref="AE2143" r:id="rId70" xr:uid="{00000000-0004-0000-0000-000045000000}"/>
    <hyperlink ref="AE2144" r:id="rId71" xr:uid="{00000000-0004-0000-0000-000046000000}"/>
    <hyperlink ref="AE2145" r:id="rId72" xr:uid="{00000000-0004-0000-0000-000047000000}"/>
    <hyperlink ref="AE2146" r:id="rId73" xr:uid="{00000000-0004-0000-0000-000048000000}"/>
    <hyperlink ref="AE2147" r:id="rId74" xr:uid="{00000000-0004-0000-0000-000049000000}"/>
    <hyperlink ref="AE2148" r:id="rId75" xr:uid="{00000000-0004-0000-0000-00004A000000}"/>
    <hyperlink ref="AE2149" r:id="rId76" xr:uid="{00000000-0004-0000-0000-00004B000000}"/>
    <hyperlink ref="AE2150" r:id="rId77" xr:uid="{00000000-0004-0000-0000-00004C000000}"/>
    <hyperlink ref="AE2152" r:id="rId78" xr:uid="{00000000-0004-0000-0000-00004D000000}"/>
    <hyperlink ref="AE2153" r:id="rId79" xr:uid="{00000000-0004-0000-0000-00004E000000}"/>
    <hyperlink ref="AE2154" r:id="rId80" xr:uid="{00000000-0004-0000-0000-00004F000000}"/>
    <hyperlink ref="AE2155" r:id="rId81" xr:uid="{00000000-0004-0000-0000-000050000000}"/>
    <hyperlink ref="AE2157" r:id="rId82" xr:uid="{00000000-0004-0000-0000-000051000000}"/>
    <hyperlink ref="AE2160" r:id="rId83" xr:uid="{00000000-0004-0000-0000-000052000000}"/>
    <hyperlink ref="AE2161" r:id="rId84" xr:uid="{00000000-0004-0000-0000-000053000000}"/>
    <hyperlink ref="AE2162" r:id="rId85" xr:uid="{00000000-0004-0000-0000-000054000000}"/>
    <hyperlink ref="AE2163" r:id="rId86" xr:uid="{00000000-0004-0000-0000-000055000000}"/>
    <hyperlink ref="AE2164" r:id="rId87" xr:uid="{00000000-0004-0000-0000-000056000000}"/>
    <hyperlink ref="AE2165" r:id="rId88" xr:uid="{00000000-0004-0000-0000-000057000000}"/>
    <hyperlink ref="AE2170" r:id="rId89" xr:uid="{00000000-0004-0000-0000-000058000000}"/>
    <hyperlink ref="AE2172" r:id="rId90" xr:uid="{00000000-0004-0000-0000-000059000000}"/>
    <hyperlink ref="AE2202" r:id="rId91" xr:uid="{00000000-0004-0000-0000-00005A000000}"/>
    <hyperlink ref="AE2203" r:id="rId92" xr:uid="{00000000-0004-0000-0000-00005B000000}"/>
    <hyperlink ref="AE2205" r:id="rId93" xr:uid="{00000000-0004-0000-0000-00005C000000}"/>
    <hyperlink ref="AE2206" r:id="rId94" xr:uid="{00000000-0004-0000-0000-00005D000000}"/>
    <hyperlink ref="AE2207" r:id="rId95" xr:uid="{00000000-0004-0000-0000-00005E000000}"/>
    <hyperlink ref="AE2208" r:id="rId96" xr:uid="{00000000-0004-0000-0000-00005F000000}"/>
    <hyperlink ref="AE2209" r:id="rId97" xr:uid="{00000000-0004-0000-0000-000060000000}"/>
    <hyperlink ref="AE2210" r:id="rId98" xr:uid="{00000000-0004-0000-0000-000061000000}"/>
    <hyperlink ref="AE2211" r:id="rId99" xr:uid="{00000000-0004-0000-0000-000062000000}"/>
    <hyperlink ref="AE2212" r:id="rId100" xr:uid="{00000000-0004-0000-0000-000063000000}"/>
    <hyperlink ref="AE2213" r:id="rId101" xr:uid="{00000000-0004-0000-0000-000064000000}"/>
    <hyperlink ref="AE2216" r:id="rId102" xr:uid="{00000000-0004-0000-0000-000065000000}"/>
    <hyperlink ref="AE2218" r:id="rId103" xr:uid="{00000000-0004-0000-0000-000066000000}"/>
    <hyperlink ref="AE2222" r:id="rId104" xr:uid="{00000000-0004-0000-0000-000067000000}"/>
    <hyperlink ref="AE2223" r:id="rId105" xr:uid="{00000000-0004-0000-0000-000068000000}"/>
    <hyperlink ref="AE2225" r:id="rId106" xr:uid="{00000000-0004-0000-0000-000069000000}"/>
    <hyperlink ref="AE2344" r:id="rId107" xr:uid="{00000000-0004-0000-0000-00006A000000}"/>
    <hyperlink ref="AE2346" r:id="rId108" xr:uid="{00000000-0004-0000-0000-00006B000000}"/>
    <hyperlink ref="AE2347" r:id="rId109" xr:uid="{00000000-0004-0000-0000-00006C000000}"/>
    <hyperlink ref="AE2349" r:id="rId110" xr:uid="{00000000-0004-0000-0000-00006D000000}"/>
    <hyperlink ref="AE2350" r:id="rId111" xr:uid="{00000000-0004-0000-0000-00006E000000}"/>
    <hyperlink ref="AE2353" r:id="rId112" xr:uid="{00000000-0004-0000-0000-00006F000000}"/>
    <hyperlink ref="AD2369" r:id="rId113" xr:uid="{00000000-0004-0000-0000-000070000000}"/>
    <hyperlink ref="AD2370" r:id="rId114" xr:uid="{00000000-0004-0000-0000-000071000000}"/>
    <hyperlink ref="AD2371" r:id="rId115" xr:uid="{00000000-0004-0000-0000-000072000000}"/>
    <hyperlink ref="AD2373" r:id="rId116" xr:uid="{00000000-0004-0000-0000-000073000000}"/>
    <hyperlink ref="AD2376" r:id="rId117" xr:uid="{00000000-0004-0000-0000-000074000000}"/>
    <hyperlink ref="AD2377" r:id="rId118" xr:uid="{00000000-0004-0000-0000-000075000000}"/>
    <hyperlink ref="AD2378" r:id="rId119" xr:uid="{00000000-0004-0000-0000-000076000000}"/>
    <hyperlink ref="AD2379" r:id="rId120" xr:uid="{00000000-0004-0000-0000-000077000000}"/>
    <hyperlink ref="AD2380" r:id="rId121" xr:uid="{00000000-0004-0000-0000-000078000000}"/>
    <hyperlink ref="AD2381" r:id="rId122" xr:uid="{00000000-0004-0000-0000-000079000000}"/>
    <hyperlink ref="AD2382" r:id="rId123" xr:uid="{00000000-0004-0000-0000-00007A000000}"/>
    <hyperlink ref="AD2383" r:id="rId124" xr:uid="{00000000-0004-0000-0000-00007B000000}"/>
    <hyperlink ref="AD2385" r:id="rId125" xr:uid="{00000000-0004-0000-0000-00007C000000}"/>
    <hyperlink ref="AD2386" r:id="rId126" xr:uid="{00000000-0004-0000-0000-00007D000000}"/>
    <hyperlink ref="AD2387" r:id="rId127" xr:uid="{00000000-0004-0000-0000-00007E000000}"/>
    <hyperlink ref="AD2388" r:id="rId128" xr:uid="{00000000-0004-0000-0000-00007F000000}"/>
    <hyperlink ref="AD2389" r:id="rId129" xr:uid="{00000000-0004-0000-0000-000080000000}"/>
    <hyperlink ref="AD2390" r:id="rId130" xr:uid="{00000000-0004-0000-0000-000081000000}"/>
    <hyperlink ref="AD2391" r:id="rId131" xr:uid="{00000000-0004-0000-0000-000082000000}"/>
    <hyperlink ref="AD2392" r:id="rId132" xr:uid="{00000000-0004-0000-0000-000083000000}"/>
    <hyperlink ref="AD2393" r:id="rId133" xr:uid="{00000000-0004-0000-0000-000084000000}"/>
    <hyperlink ref="AD2394" r:id="rId134" xr:uid="{00000000-0004-0000-0000-000085000000}"/>
    <hyperlink ref="AD2395" r:id="rId135" xr:uid="{00000000-0004-0000-0000-000086000000}"/>
    <hyperlink ref="AD2396" r:id="rId136" xr:uid="{00000000-0004-0000-0000-000087000000}"/>
    <hyperlink ref="AD2399" r:id="rId137" xr:uid="{00000000-0004-0000-0000-000088000000}"/>
    <hyperlink ref="AD2400" r:id="rId138" xr:uid="{00000000-0004-0000-0000-000089000000}"/>
    <hyperlink ref="AD2403" r:id="rId139" xr:uid="{00000000-0004-0000-0000-00008A000000}"/>
    <hyperlink ref="AD2404" r:id="rId140" xr:uid="{00000000-0004-0000-0000-00008B000000}"/>
    <hyperlink ref="B2599" r:id="rId141" xr:uid="{00000000-0004-0000-0000-00008C000000}"/>
    <hyperlink ref="B2600" r:id="rId142" xr:uid="{00000000-0004-0000-0000-00008D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ErrorMessage="1" xr:uid="{00000000-0002-0000-0000-000003000000}">
          <x14:formula1>
            <xm:f>APC_source!$A:$A</xm:f>
          </x14:formula1>
          <xm:sqref>AI2:AI3176</xm:sqref>
        </x14:dataValidation>
        <x14:dataValidation type="list" allowBlank="1" showErrorMessage="1" xr:uid="{00000000-0002-0000-0000-000004000000}">
          <x14:formula1>
            <xm:f>Deals_master!$A:$A</xm:f>
          </x14:formula1>
          <xm:sqref>H2:H3176</xm:sqref>
        </x14:dataValidation>
        <x14:dataValidation type="list" allowBlank="1" showErrorMessage="1" xr:uid="{00000000-0002-0000-0000-000006000000}">
          <x14:formula1>
            <xm:f>Publishers!$A:$A</xm:f>
          </x14:formula1>
          <xm:sqref>D2:D3176</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29"/>
  <sheetViews>
    <sheetView workbookViewId="0">
      <pane ySplit="1" topLeftCell="A2" activePane="bottomLeft" state="frozen"/>
      <selection pane="bottomLeft" activeCell="B3" sqref="B3"/>
    </sheetView>
  </sheetViews>
  <sheetFormatPr defaultColWidth="12.6328125" defaultRowHeight="15.75" customHeight="1"/>
  <cols>
    <col min="1" max="1" width="31.453125" customWidth="1"/>
    <col min="2" max="2" width="27.90625" customWidth="1"/>
    <col min="3" max="3" width="28.453125" customWidth="1"/>
    <col min="4" max="4" width="57.7265625" customWidth="1"/>
  </cols>
  <sheetData>
    <row r="1" spans="1:4" ht="13">
      <c r="A1" s="1" t="s">
        <v>3</v>
      </c>
      <c r="B1" s="1" t="s">
        <v>13496</v>
      </c>
      <c r="C1" s="1" t="s">
        <v>13497</v>
      </c>
      <c r="D1" s="1" t="s">
        <v>13498</v>
      </c>
    </row>
    <row r="2" spans="1:4" ht="15.75" customHeight="1">
      <c r="A2" s="71" t="s">
        <v>13499</v>
      </c>
      <c r="B2" s="71" t="s">
        <v>13500</v>
      </c>
      <c r="C2" s="17"/>
      <c r="D2" s="71"/>
    </row>
    <row r="3" spans="1:4" ht="15.75" customHeight="1">
      <c r="A3" s="71" t="s">
        <v>13501</v>
      </c>
      <c r="B3" s="71" t="s">
        <v>13502</v>
      </c>
      <c r="C3" s="17"/>
      <c r="D3" s="71" t="s">
        <v>13503</v>
      </c>
    </row>
    <row r="4" spans="1:4" ht="15.75" customHeight="1">
      <c r="A4" s="71" t="s">
        <v>11764</v>
      </c>
      <c r="B4" s="71" t="s">
        <v>13504</v>
      </c>
      <c r="C4" s="17"/>
      <c r="D4" s="71" t="s">
        <v>13505</v>
      </c>
    </row>
    <row r="5" spans="1:4" ht="15.75" customHeight="1">
      <c r="A5" s="71" t="s">
        <v>9922</v>
      </c>
      <c r="B5" s="71" t="s">
        <v>13500</v>
      </c>
      <c r="C5" s="72" t="s">
        <v>13506</v>
      </c>
      <c r="D5" s="71" t="s">
        <v>13507</v>
      </c>
    </row>
    <row r="6" spans="1:4" ht="15.75" customHeight="1">
      <c r="A6" s="71" t="s">
        <v>275</v>
      </c>
      <c r="B6" s="71" t="s">
        <v>13508</v>
      </c>
      <c r="C6" s="17"/>
      <c r="D6" s="71" t="s">
        <v>13509</v>
      </c>
    </row>
    <row r="7" spans="1:4" ht="15.75" customHeight="1">
      <c r="A7" s="71" t="s">
        <v>207</v>
      </c>
      <c r="B7" s="71" t="s">
        <v>13510</v>
      </c>
      <c r="C7" s="17"/>
      <c r="D7" s="71" t="s">
        <v>13511</v>
      </c>
    </row>
    <row r="8" spans="1:4" ht="15.75" customHeight="1">
      <c r="A8" s="71" t="s">
        <v>13512</v>
      </c>
      <c r="B8" s="71" t="s">
        <v>13513</v>
      </c>
      <c r="C8" s="17"/>
      <c r="D8" s="71" t="s">
        <v>13514</v>
      </c>
    </row>
    <row r="9" spans="1:4" ht="15.75" customHeight="1">
      <c r="A9" s="71" t="s">
        <v>13515</v>
      </c>
      <c r="B9" s="71" t="s">
        <v>13516</v>
      </c>
      <c r="C9" s="17"/>
      <c r="D9" s="71" t="s">
        <v>13517</v>
      </c>
    </row>
    <row r="10" spans="1:4" ht="28">
      <c r="A10" s="71" t="s">
        <v>1527</v>
      </c>
      <c r="B10" s="71" t="s">
        <v>13500</v>
      </c>
      <c r="C10" s="73" t="s">
        <v>13518</v>
      </c>
      <c r="D10" s="71" t="s">
        <v>13519</v>
      </c>
    </row>
    <row r="11" spans="1:4" ht="28">
      <c r="A11" s="71" t="s">
        <v>13520</v>
      </c>
      <c r="B11" s="71" t="s">
        <v>13500</v>
      </c>
      <c r="C11" s="73" t="s">
        <v>13518</v>
      </c>
      <c r="D11" s="17"/>
    </row>
    <row r="12" spans="1:4" ht="15.75" customHeight="1">
      <c r="A12" s="71" t="s">
        <v>870</v>
      </c>
      <c r="B12" s="71" t="s">
        <v>13521</v>
      </c>
      <c r="C12" s="72" t="s">
        <v>13522</v>
      </c>
      <c r="D12" s="71"/>
    </row>
    <row r="13" spans="1:4" ht="15.75" customHeight="1">
      <c r="A13" s="71" t="s">
        <v>13523</v>
      </c>
      <c r="B13" s="71" t="s">
        <v>13524</v>
      </c>
      <c r="C13" s="17"/>
      <c r="D13" s="71" t="s">
        <v>13525</v>
      </c>
    </row>
    <row r="14" spans="1:4" ht="50">
      <c r="A14" s="71" t="s">
        <v>13526</v>
      </c>
      <c r="B14" s="71" t="s">
        <v>13527</v>
      </c>
      <c r="C14" s="17"/>
      <c r="D14" s="71" t="s">
        <v>13528</v>
      </c>
    </row>
    <row r="15" spans="1:4" ht="25">
      <c r="A15" s="71" t="s">
        <v>8136</v>
      </c>
      <c r="B15" s="71" t="s">
        <v>13529</v>
      </c>
      <c r="C15" s="17"/>
      <c r="D15" s="71" t="s">
        <v>13530</v>
      </c>
    </row>
    <row r="16" spans="1:4" ht="28">
      <c r="A16" s="71" t="s">
        <v>1895</v>
      </c>
      <c r="B16" s="71" t="s">
        <v>13500</v>
      </c>
      <c r="C16" s="73" t="s">
        <v>13518</v>
      </c>
      <c r="D16" s="71" t="s">
        <v>13531</v>
      </c>
    </row>
    <row r="17" spans="1:4" ht="37.5">
      <c r="A17" s="71" t="s">
        <v>13532</v>
      </c>
      <c r="B17" s="71" t="s">
        <v>13533</v>
      </c>
      <c r="C17" s="74" t="s">
        <v>13534</v>
      </c>
      <c r="D17" s="71" t="s">
        <v>13535</v>
      </c>
    </row>
    <row r="18" spans="1:4" ht="50.5">
      <c r="A18" s="71" t="s">
        <v>13536</v>
      </c>
      <c r="B18" s="71" t="s">
        <v>13533</v>
      </c>
      <c r="C18" s="73" t="s">
        <v>13537</v>
      </c>
      <c r="D18" s="71" t="s">
        <v>13538</v>
      </c>
    </row>
    <row r="19" spans="1:4" ht="50.5">
      <c r="A19" s="71" t="s">
        <v>13539</v>
      </c>
      <c r="B19" s="71" t="s">
        <v>13533</v>
      </c>
      <c r="C19" s="73" t="s">
        <v>13537</v>
      </c>
      <c r="D19" s="71" t="s">
        <v>13538</v>
      </c>
    </row>
    <row r="20" spans="1:4" ht="12.5">
      <c r="A20" s="71" t="s">
        <v>2208</v>
      </c>
      <c r="B20" s="71" t="s">
        <v>13540</v>
      </c>
      <c r="C20" s="17"/>
      <c r="D20" s="71" t="s">
        <v>13541</v>
      </c>
    </row>
    <row r="21" spans="1:4" ht="28">
      <c r="A21" s="71" t="s">
        <v>2218</v>
      </c>
      <c r="B21" s="71" t="s">
        <v>13500</v>
      </c>
      <c r="C21" s="73" t="s">
        <v>13518</v>
      </c>
      <c r="D21" s="71" t="s">
        <v>13542</v>
      </c>
    </row>
    <row r="22" spans="1:4" ht="25">
      <c r="A22" s="71" t="s">
        <v>13543</v>
      </c>
      <c r="B22" s="71" t="s">
        <v>13521</v>
      </c>
      <c r="C22" s="75" t="s">
        <v>13544</v>
      </c>
      <c r="D22" s="71" t="s">
        <v>13545</v>
      </c>
    </row>
    <row r="23" spans="1:4" ht="12.5">
      <c r="A23" s="71" t="s">
        <v>185</v>
      </c>
      <c r="B23" s="71" t="s">
        <v>13546</v>
      </c>
      <c r="C23" s="74"/>
      <c r="D23" s="71"/>
    </row>
    <row r="24" spans="1:4" ht="37.5">
      <c r="A24" s="71" t="s">
        <v>13547</v>
      </c>
      <c r="B24" s="71" t="s">
        <v>13533</v>
      </c>
      <c r="C24" s="74" t="s">
        <v>13548</v>
      </c>
      <c r="D24" s="71" t="s">
        <v>13549</v>
      </c>
    </row>
    <row r="25" spans="1:4" ht="12.5">
      <c r="A25" s="71" t="s">
        <v>2479</v>
      </c>
      <c r="B25" s="71" t="s">
        <v>13521</v>
      </c>
      <c r="C25" s="17"/>
      <c r="D25" s="71"/>
    </row>
    <row r="26" spans="1:4" ht="12.5">
      <c r="A26" s="71" t="s">
        <v>9073</v>
      </c>
      <c r="B26" s="76" t="s">
        <v>13550</v>
      </c>
      <c r="C26" s="71"/>
      <c r="D26" s="17" t="s">
        <v>13551</v>
      </c>
    </row>
    <row r="27" spans="1:4" ht="12.5">
      <c r="A27" s="71" t="s">
        <v>2830</v>
      </c>
      <c r="B27" s="71" t="s">
        <v>13521</v>
      </c>
      <c r="C27" s="71"/>
      <c r="D27" s="17"/>
    </row>
    <row r="28" spans="1:4" ht="25">
      <c r="A28" s="71" t="s">
        <v>13552</v>
      </c>
      <c r="B28" s="71" t="s">
        <v>13521</v>
      </c>
      <c r="C28" s="74" t="s">
        <v>13553</v>
      </c>
      <c r="D28" s="17"/>
    </row>
    <row r="29" spans="1:4" ht="37.5">
      <c r="A29" s="71" t="s">
        <v>5539</v>
      </c>
      <c r="B29" s="71" t="s">
        <v>13521</v>
      </c>
      <c r="C29" s="74" t="s">
        <v>13554</v>
      </c>
      <c r="D29" s="17"/>
    </row>
  </sheetData>
  <hyperlinks>
    <hyperlink ref="C5" r:id="rId1" xr:uid="{00000000-0004-0000-0100-000000000000}"/>
    <hyperlink ref="C10" r:id="rId2" xr:uid="{00000000-0004-0000-0100-000001000000}"/>
    <hyperlink ref="C11" r:id="rId3" xr:uid="{00000000-0004-0000-0100-000002000000}"/>
    <hyperlink ref="C12" r:id="rId4" xr:uid="{00000000-0004-0000-0100-000003000000}"/>
    <hyperlink ref="C16" r:id="rId5" xr:uid="{00000000-0004-0000-0100-000004000000}"/>
    <hyperlink ref="C17" r:id="rId6" xr:uid="{00000000-0004-0000-0100-000005000000}"/>
    <hyperlink ref="C18" r:id="rId7" xr:uid="{00000000-0004-0000-0100-000006000000}"/>
    <hyperlink ref="C19" r:id="rId8" xr:uid="{00000000-0004-0000-0100-000007000000}"/>
    <hyperlink ref="C21" r:id="rId9" xr:uid="{00000000-0004-0000-0100-000008000000}"/>
    <hyperlink ref="C22" r:id="rId10" xr:uid="{00000000-0004-0000-0100-000009000000}"/>
    <hyperlink ref="C24" r:id="rId11" xr:uid="{00000000-0004-0000-0100-00000A000000}"/>
    <hyperlink ref="C28" r:id="rId12" xr:uid="{00000000-0004-0000-0100-00000B000000}"/>
    <hyperlink ref="C29" r:id="rId13" location="login?returnUrl=https://openaccessaccount.wiley.com/" xr:uid="{00000000-0004-0000-0100-00000C000000}"/>
  </hyperlinks>
  <pageMargins left="0.7" right="0.7" top="0.75" bottom="0.75" header="0.3" footer="0.3"/>
  <legacy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1000"/>
  <sheetViews>
    <sheetView workbookViewId="0"/>
  </sheetViews>
  <sheetFormatPr defaultColWidth="12.6328125" defaultRowHeight="15.75" customHeight="1"/>
  <sheetData>
    <row r="1" spans="1:1" ht="15.75" customHeight="1">
      <c r="A1" s="9" t="str">
        <f ca="1">IFERROR(__xludf.DUMMYFUNCTION("IMPORTRANGE(""https://docs.google.com/spreadsheets/d/14vPQhjkb1FnoIkJTl9wXcWKUYOGYFHiTODOOwUvftKU"", ""Publishers_master!$A:$A"")"),"American Chemical Society")</f>
        <v>American Chemical Society</v>
      </c>
    </row>
    <row r="2" spans="1:1" ht="15.75" customHeight="1">
      <c r="A2" s="9" t="str">
        <f ca="1">IFERROR(__xludf.DUMMYFUNCTION("""COMPUTED_VALUE"""),"American Institute of Physics")</f>
        <v>American Institute of Physics</v>
      </c>
    </row>
    <row r="3" spans="1:1" ht="15.75" customHeight="1">
      <c r="A3" s="9" t="str">
        <f ca="1">IFERROR(__xludf.DUMMYFUNCTION("""COMPUTED_VALUE"""),"American Physical Society")</f>
        <v>American Physical Society</v>
      </c>
    </row>
    <row r="4" spans="1:1" ht="15.75" customHeight="1">
      <c r="A4" s="9" t="str">
        <f ca="1">IFERROR(__xludf.DUMMYFUNCTION("""COMPUTED_VALUE"""),"American Psychological Association")</f>
        <v>American Psychological Association</v>
      </c>
    </row>
    <row r="5" spans="1:1" ht="15.75" customHeight="1">
      <c r="A5" s="9" t="str">
        <f ca="1">IFERROR(__xludf.DUMMYFUNCTION("""COMPUTED_VALUE"""),"Association for Computing Machinery")</f>
        <v>Association for Computing Machinery</v>
      </c>
    </row>
    <row r="6" spans="1:1" ht="15.75" customHeight="1">
      <c r="A6" s="9" t="str">
        <f ca="1">IFERROR(__xludf.DUMMYFUNCTION("""COMPUTED_VALUE"""),"BMJ")</f>
        <v>BMJ</v>
      </c>
    </row>
    <row r="7" spans="1:1" ht="15.75" customHeight="1">
      <c r="A7" s="9" t="str">
        <f ca="1">IFERROR(__xludf.DUMMYFUNCTION("""COMPUTED_VALUE"""),"Brill")</f>
        <v>Brill</v>
      </c>
    </row>
    <row r="8" spans="1:1" ht="15.75" customHeight="1">
      <c r="A8" s="9" t="str">
        <f ca="1">IFERROR(__xludf.DUMMYFUNCTION("""COMPUTED_VALUE"""),"Bristol University Press")</f>
        <v>Bristol University Press</v>
      </c>
    </row>
    <row r="9" spans="1:1" ht="15.75" customHeight="1">
      <c r="A9" s="9" t="str">
        <f ca="1">IFERROR(__xludf.DUMMYFUNCTION("""COMPUTED_VALUE"""),"Cambridge University Press")</f>
        <v>Cambridge University Press</v>
      </c>
    </row>
    <row r="10" spans="1:1" ht="15.75" customHeight="1">
      <c r="A10" s="9" t="str">
        <f ca="1">IFERROR(__xludf.DUMMYFUNCTION("""COMPUTED_VALUE"""),"Cold Spring Harbor Laboratory Press")</f>
        <v>Cold Spring Harbor Laboratory Press</v>
      </c>
    </row>
    <row r="11" spans="1:1" ht="15.75" customHeight="1">
      <c r="A11" s="9" t="str">
        <f ca="1">IFERROR(__xludf.DUMMYFUNCTION("""COMPUTED_VALUE"""),"Company of Biologists")</f>
        <v>Company of Biologists</v>
      </c>
    </row>
    <row r="12" spans="1:1" ht="12.5">
      <c r="A12" s="9" t="str">
        <f ca="1">IFERROR(__xludf.DUMMYFUNCTION("""COMPUTED_VALUE"""),"Elsevier")</f>
        <v>Elsevier</v>
      </c>
    </row>
    <row r="13" spans="1:1" ht="12.5">
      <c r="A13" s="9" t="str">
        <f ca="1">IFERROR(__xludf.DUMMYFUNCTION("""COMPUTED_VALUE"""),"Geological Society")</f>
        <v>Geological Society</v>
      </c>
    </row>
    <row r="14" spans="1:1" ht="12.5">
      <c r="A14" s="9" t="str">
        <f ca="1">IFERROR(__xludf.DUMMYFUNCTION("""COMPUTED_VALUE"""),"Institute of Physics Publishing")</f>
        <v>Institute of Physics Publishing</v>
      </c>
    </row>
    <row r="15" spans="1:1" ht="12.5">
      <c r="A15" s="9" t="str">
        <f ca="1">IFERROR(__xludf.DUMMYFUNCTION("""COMPUTED_VALUE"""),"John Benjamins")</f>
        <v>John Benjamins</v>
      </c>
    </row>
    <row r="16" spans="1:1" ht="12.5">
      <c r="A16" s="9" t="str">
        <f ca="1">IFERROR(__xludf.DUMMYFUNCTION("""COMPUTED_VALUE"""),"Microbiology Society")</f>
        <v>Microbiology Society</v>
      </c>
    </row>
    <row r="17" spans="1:1" ht="12.5">
      <c r="A17" s="9" t="str">
        <f ca="1">IFERROR(__xludf.DUMMYFUNCTION("""COMPUTED_VALUE"""),"Oxford University Press")</f>
        <v>Oxford University Press</v>
      </c>
    </row>
    <row r="18" spans="1:1" ht="12.5">
      <c r="A18" s="9" t="str">
        <f ca="1">IFERROR(__xludf.DUMMYFUNCTION("""COMPUTED_VALUE"""),"PLOS")</f>
        <v>PLOS</v>
      </c>
    </row>
    <row r="19" spans="1:1" ht="12.5">
      <c r="A19" s="9" t="str">
        <f ca="1">IFERROR(__xludf.DUMMYFUNCTION("""COMPUTED_VALUE"""),"PNAS")</f>
        <v>PNAS</v>
      </c>
    </row>
    <row r="20" spans="1:1" ht="12.5">
      <c r="A20" s="9" t="str">
        <f ca="1">IFERROR(__xludf.DUMMYFUNCTION("""COMPUTED_VALUE"""),"Portland Press")</f>
        <v>Portland Press</v>
      </c>
    </row>
    <row r="21" spans="1:1" ht="12.5">
      <c r="A21" s="9" t="str">
        <f ca="1">IFERROR(__xludf.DUMMYFUNCTION("""COMPUTED_VALUE"""),"Rockefeller University Press")</f>
        <v>Rockefeller University Press</v>
      </c>
    </row>
    <row r="22" spans="1:1" ht="12.5">
      <c r="A22" s="9" t="str">
        <f ca="1">IFERROR(__xludf.DUMMYFUNCTION("""COMPUTED_VALUE"""),"Royal Society")</f>
        <v>Royal Society</v>
      </c>
    </row>
    <row r="23" spans="1:1" ht="12.5">
      <c r="A23" s="9" t="str">
        <f ca="1">IFERROR(__xludf.DUMMYFUNCTION("""COMPUTED_VALUE"""),"Royal Society of Chemistry")</f>
        <v>Royal Society of Chemistry</v>
      </c>
    </row>
    <row r="24" spans="1:1" ht="12.5">
      <c r="A24" s="9" t="str">
        <f ca="1">IFERROR(__xludf.DUMMYFUNCTION("""COMPUTED_VALUE"""),"Sage")</f>
        <v>Sage</v>
      </c>
    </row>
    <row r="25" spans="1:1" ht="12.5">
      <c r="A25" s="9" t="str">
        <f ca="1">IFERROR(__xludf.DUMMYFUNCTION("""COMPUTED_VALUE"""),"Society for Neuroscience")</f>
        <v>Society for Neuroscience</v>
      </c>
    </row>
    <row r="26" spans="1:1" ht="12.5">
      <c r="A26" s="9" t="str">
        <f ca="1">IFERROR(__xludf.DUMMYFUNCTION("""COMPUTED_VALUE"""),"Springer")</f>
        <v>Springer</v>
      </c>
    </row>
    <row r="27" spans="1:1" ht="12.5">
      <c r="A27" s="9" t="str">
        <f ca="1">IFERROR(__xludf.DUMMYFUNCTION("""COMPUTED_VALUE"""),"Taylor &amp; Francis")</f>
        <v>Taylor &amp; Francis</v>
      </c>
    </row>
    <row r="28" spans="1:1" ht="12.5">
      <c r="A28" s="9" t="str">
        <f ca="1">IFERROR(__xludf.DUMMYFUNCTION("""COMPUTED_VALUE"""),"Wiley")</f>
        <v>Wiley</v>
      </c>
    </row>
    <row r="29" spans="1:1" ht="12.5">
      <c r="A29" s="9"/>
    </row>
    <row r="30" spans="1:1" ht="12.5">
      <c r="A30" s="9"/>
    </row>
    <row r="31" spans="1:1" ht="12.5">
      <c r="A31" s="9"/>
    </row>
    <row r="32" spans="1:1" ht="12.5">
      <c r="A32" s="9"/>
    </row>
    <row r="33" spans="1:1" ht="12.5">
      <c r="A33" s="9"/>
    </row>
    <row r="34" spans="1:1" ht="12.5">
      <c r="A34" s="9"/>
    </row>
    <row r="35" spans="1:1" ht="12.5">
      <c r="A35" s="9"/>
    </row>
    <row r="36" spans="1:1" ht="12.5">
      <c r="A36" s="9"/>
    </row>
    <row r="37" spans="1:1" ht="12.5">
      <c r="A37" s="9"/>
    </row>
    <row r="38" spans="1:1" ht="12.5">
      <c r="A38" s="9"/>
    </row>
    <row r="39" spans="1:1" ht="12.5">
      <c r="A39" s="9"/>
    </row>
    <row r="40" spans="1:1" ht="12.5">
      <c r="A40" s="9"/>
    </row>
    <row r="41" spans="1:1" ht="12.5">
      <c r="A41" s="9"/>
    </row>
    <row r="42" spans="1:1" ht="12.5">
      <c r="A42" s="9"/>
    </row>
    <row r="43" spans="1:1" ht="12.5">
      <c r="A43" s="9"/>
    </row>
    <row r="44" spans="1:1" ht="12.5">
      <c r="A44" s="9"/>
    </row>
    <row r="45" spans="1:1" ht="12.5">
      <c r="A45" s="9"/>
    </row>
    <row r="46" spans="1:1" ht="12.5">
      <c r="A46" s="9"/>
    </row>
    <row r="47" spans="1:1" ht="12.5">
      <c r="A47" s="9"/>
    </row>
    <row r="48" spans="1:1" ht="12.5">
      <c r="A48" s="9"/>
    </row>
    <row r="49" spans="1:1" ht="12.5">
      <c r="A49" s="9"/>
    </row>
    <row r="50" spans="1:1" ht="12.5">
      <c r="A50" s="9"/>
    </row>
    <row r="51" spans="1:1" ht="12.5">
      <c r="A51" s="9"/>
    </row>
    <row r="52" spans="1:1" ht="12.5">
      <c r="A52" s="9"/>
    </row>
    <row r="53" spans="1:1" ht="12.5">
      <c r="A53" s="9"/>
    </row>
    <row r="54" spans="1:1" ht="12.5">
      <c r="A54" s="9"/>
    </row>
    <row r="55" spans="1:1" ht="12.5">
      <c r="A55" s="9"/>
    </row>
    <row r="56" spans="1:1" ht="12.5">
      <c r="A56" s="9"/>
    </row>
    <row r="57" spans="1:1" ht="12.5">
      <c r="A57" s="9"/>
    </row>
    <row r="58" spans="1:1" ht="12.5">
      <c r="A58" s="9"/>
    </row>
    <row r="59" spans="1:1" ht="12.5">
      <c r="A59" s="9"/>
    </row>
    <row r="60" spans="1:1" ht="12.5">
      <c r="A60" s="9"/>
    </row>
    <row r="61" spans="1:1" ht="12.5">
      <c r="A61" s="9"/>
    </row>
    <row r="62" spans="1:1" ht="12.5">
      <c r="A62" s="9"/>
    </row>
    <row r="63" spans="1:1" ht="12.5">
      <c r="A63" s="9"/>
    </row>
    <row r="64" spans="1:1" ht="12.5">
      <c r="A64" s="9"/>
    </row>
    <row r="65" spans="1:1" ht="12.5">
      <c r="A65" s="9"/>
    </row>
    <row r="66" spans="1:1" ht="12.5">
      <c r="A66" s="9"/>
    </row>
    <row r="67" spans="1:1" ht="12.5">
      <c r="A67" s="9"/>
    </row>
    <row r="68" spans="1:1" ht="12.5">
      <c r="A68" s="9"/>
    </row>
    <row r="69" spans="1:1" ht="12.5">
      <c r="A69" s="9"/>
    </row>
    <row r="70" spans="1:1" ht="12.5">
      <c r="A70" s="9"/>
    </row>
    <row r="71" spans="1:1" ht="12.5">
      <c r="A71" s="9"/>
    </row>
    <row r="72" spans="1:1" ht="12.5">
      <c r="A72" s="9"/>
    </row>
    <row r="73" spans="1:1" ht="12.5">
      <c r="A73" s="9"/>
    </row>
    <row r="74" spans="1:1" ht="12.5">
      <c r="A74" s="9"/>
    </row>
    <row r="75" spans="1:1" ht="12.5">
      <c r="A75" s="9"/>
    </row>
    <row r="76" spans="1:1" ht="12.5">
      <c r="A76" s="9"/>
    </row>
    <row r="77" spans="1:1" ht="12.5">
      <c r="A77" s="9"/>
    </row>
    <row r="78" spans="1:1" ht="12.5">
      <c r="A78" s="9"/>
    </row>
    <row r="79" spans="1:1" ht="12.5">
      <c r="A79" s="9"/>
    </row>
    <row r="80" spans="1:1" ht="12.5">
      <c r="A80" s="9"/>
    </row>
    <row r="81" spans="1:1" ht="12.5">
      <c r="A81" s="9"/>
    </row>
    <row r="82" spans="1:1" ht="12.5">
      <c r="A82" s="9"/>
    </row>
    <row r="83" spans="1:1" ht="12.5">
      <c r="A83" s="9"/>
    </row>
    <row r="84" spans="1:1" ht="12.5">
      <c r="A84" s="9"/>
    </row>
    <row r="85" spans="1:1" ht="12.5">
      <c r="A85" s="9"/>
    </row>
    <row r="86" spans="1:1" ht="12.5">
      <c r="A86" s="9"/>
    </row>
    <row r="87" spans="1:1" ht="12.5">
      <c r="A87" s="9"/>
    </row>
    <row r="88" spans="1:1" ht="12.5">
      <c r="A88" s="9"/>
    </row>
    <row r="89" spans="1:1" ht="12.5">
      <c r="A89" s="9"/>
    </row>
    <row r="90" spans="1:1" ht="12.5">
      <c r="A90" s="9"/>
    </row>
    <row r="91" spans="1:1" ht="12.5">
      <c r="A91" s="9"/>
    </row>
    <row r="92" spans="1:1" ht="12.5">
      <c r="A92" s="9"/>
    </row>
    <row r="93" spans="1:1" ht="12.5">
      <c r="A93" s="9"/>
    </row>
    <row r="94" spans="1:1" ht="12.5">
      <c r="A94" s="9"/>
    </row>
    <row r="95" spans="1:1" ht="12.5">
      <c r="A95" s="9"/>
    </row>
    <row r="96" spans="1:1" ht="12.5">
      <c r="A96" s="9"/>
    </row>
    <row r="97" spans="1:1" ht="12.5">
      <c r="A97" s="9"/>
    </row>
    <row r="98" spans="1:1" ht="12.5">
      <c r="A98" s="9"/>
    </row>
    <row r="99" spans="1:1" ht="12.5">
      <c r="A99" s="9"/>
    </row>
    <row r="100" spans="1:1" ht="12.5">
      <c r="A100" s="9"/>
    </row>
    <row r="101" spans="1:1" ht="12.5">
      <c r="A101" s="9"/>
    </row>
    <row r="102" spans="1:1" ht="12.5">
      <c r="A102" s="9"/>
    </row>
    <row r="103" spans="1:1" ht="12.5">
      <c r="A103" s="9"/>
    </row>
    <row r="104" spans="1:1" ht="12.5">
      <c r="A104" s="9"/>
    </row>
    <row r="105" spans="1:1" ht="12.5">
      <c r="A105" s="9"/>
    </row>
    <row r="106" spans="1:1" ht="12.5">
      <c r="A106" s="9"/>
    </row>
    <row r="107" spans="1:1" ht="12.5">
      <c r="A107" s="9"/>
    </row>
    <row r="108" spans="1:1" ht="12.5">
      <c r="A108" s="9"/>
    </row>
    <row r="109" spans="1:1" ht="12.5">
      <c r="A109" s="9"/>
    </row>
    <row r="110" spans="1:1" ht="12.5">
      <c r="A110" s="9"/>
    </row>
    <row r="111" spans="1:1" ht="12.5">
      <c r="A111" s="9"/>
    </row>
    <row r="112" spans="1:1" ht="12.5">
      <c r="A112" s="9"/>
    </row>
    <row r="113" spans="1:1" ht="12.5">
      <c r="A113" s="9"/>
    </row>
    <row r="114" spans="1:1" ht="12.5">
      <c r="A114" s="9"/>
    </row>
    <row r="115" spans="1:1" ht="12.5">
      <c r="A115" s="9"/>
    </row>
    <row r="116" spans="1:1" ht="12.5">
      <c r="A116" s="9"/>
    </row>
    <row r="117" spans="1:1" ht="12.5">
      <c r="A117" s="9"/>
    </row>
    <row r="118" spans="1:1" ht="12.5">
      <c r="A118" s="9"/>
    </row>
    <row r="119" spans="1:1" ht="12.5">
      <c r="A119" s="9"/>
    </row>
    <row r="120" spans="1:1" ht="12.5">
      <c r="A120" s="9"/>
    </row>
    <row r="121" spans="1:1" ht="12.5">
      <c r="A121" s="9"/>
    </row>
    <row r="122" spans="1:1" ht="12.5">
      <c r="A122" s="9"/>
    </row>
    <row r="123" spans="1:1" ht="12.5">
      <c r="A123" s="9"/>
    </row>
    <row r="124" spans="1:1" ht="12.5">
      <c r="A124" s="9"/>
    </row>
    <row r="125" spans="1:1" ht="12.5">
      <c r="A125" s="9"/>
    </row>
    <row r="126" spans="1:1" ht="12.5">
      <c r="A126" s="9"/>
    </row>
    <row r="127" spans="1:1" ht="12.5">
      <c r="A127" s="9"/>
    </row>
    <row r="128" spans="1:1" ht="12.5">
      <c r="A128" s="9"/>
    </row>
    <row r="129" spans="1:1" ht="12.5">
      <c r="A129" s="9"/>
    </row>
    <row r="130" spans="1:1" ht="12.5">
      <c r="A130" s="9"/>
    </row>
    <row r="131" spans="1:1" ht="12.5">
      <c r="A131" s="9"/>
    </row>
    <row r="132" spans="1:1" ht="12.5">
      <c r="A132" s="9"/>
    </row>
    <row r="133" spans="1:1" ht="12.5">
      <c r="A133" s="9"/>
    </row>
    <row r="134" spans="1:1" ht="12.5">
      <c r="A134" s="9"/>
    </row>
    <row r="135" spans="1:1" ht="12.5">
      <c r="A135" s="9"/>
    </row>
    <row r="136" spans="1:1" ht="12.5">
      <c r="A136" s="9"/>
    </row>
    <row r="137" spans="1:1" ht="12.5">
      <c r="A137" s="9"/>
    </row>
    <row r="138" spans="1:1" ht="12.5">
      <c r="A138" s="9"/>
    </row>
    <row r="139" spans="1:1" ht="12.5">
      <c r="A139" s="9"/>
    </row>
    <row r="140" spans="1:1" ht="12.5">
      <c r="A140" s="9"/>
    </row>
    <row r="141" spans="1:1" ht="12.5">
      <c r="A141" s="9"/>
    </row>
    <row r="142" spans="1:1" ht="12.5">
      <c r="A142" s="9"/>
    </row>
    <row r="143" spans="1:1" ht="12.5">
      <c r="A143" s="9"/>
    </row>
    <row r="144" spans="1:1" ht="12.5">
      <c r="A144" s="9"/>
    </row>
    <row r="145" spans="1:1" ht="12.5">
      <c r="A145" s="9"/>
    </row>
    <row r="146" spans="1:1" ht="12.5">
      <c r="A146" s="9"/>
    </row>
    <row r="147" spans="1:1" ht="12.5">
      <c r="A147" s="9"/>
    </row>
    <row r="148" spans="1:1" ht="12.5">
      <c r="A148" s="9"/>
    </row>
    <row r="149" spans="1:1" ht="12.5">
      <c r="A149" s="9"/>
    </row>
    <row r="150" spans="1:1" ht="12.5">
      <c r="A150" s="9"/>
    </row>
    <row r="151" spans="1:1" ht="12.5">
      <c r="A151" s="9"/>
    </row>
    <row r="152" spans="1:1" ht="12.5">
      <c r="A152" s="9"/>
    </row>
    <row r="153" spans="1:1" ht="12.5">
      <c r="A153" s="9"/>
    </row>
    <row r="154" spans="1:1" ht="12.5">
      <c r="A154" s="9"/>
    </row>
    <row r="155" spans="1:1" ht="12.5">
      <c r="A155" s="9"/>
    </row>
    <row r="156" spans="1:1" ht="12.5">
      <c r="A156" s="9"/>
    </row>
    <row r="157" spans="1:1" ht="12.5">
      <c r="A157" s="9"/>
    </row>
    <row r="158" spans="1:1" ht="12.5">
      <c r="A158" s="9"/>
    </row>
    <row r="159" spans="1:1" ht="12.5">
      <c r="A159" s="9"/>
    </row>
    <row r="160" spans="1:1" ht="12.5">
      <c r="A160" s="9"/>
    </row>
    <row r="161" spans="1:1" ht="12.5">
      <c r="A161" s="9"/>
    </row>
    <row r="162" spans="1:1" ht="12.5">
      <c r="A162" s="9"/>
    </row>
    <row r="163" spans="1:1" ht="12.5">
      <c r="A163" s="9"/>
    </row>
    <row r="164" spans="1:1" ht="12.5">
      <c r="A164" s="9"/>
    </row>
    <row r="165" spans="1:1" ht="12.5">
      <c r="A165" s="9"/>
    </row>
    <row r="166" spans="1:1" ht="12.5">
      <c r="A166" s="9"/>
    </row>
    <row r="167" spans="1:1" ht="12.5">
      <c r="A167" s="9"/>
    </row>
    <row r="168" spans="1:1" ht="12.5">
      <c r="A168" s="9"/>
    </row>
    <row r="169" spans="1:1" ht="12.5">
      <c r="A169" s="9"/>
    </row>
    <row r="170" spans="1:1" ht="12.5">
      <c r="A170" s="9"/>
    </row>
    <row r="171" spans="1:1" ht="12.5">
      <c r="A171" s="9"/>
    </row>
    <row r="172" spans="1:1" ht="12.5">
      <c r="A172" s="9"/>
    </row>
    <row r="173" spans="1:1" ht="12.5">
      <c r="A173" s="9"/>
    </row>
    <row r="174" spans="1:1" ht="12.5">
      <c r="A174" s="9"/>
    </row>
    <row r="175" spans="1:1" ht="12.5">
      <c r="A175" s="9"/>
    </row>
    <row r="176" spans="1:1" ht="12.5">
      <c r="A176" s="9"/>
    </row>
    <row r="177" spans="1:1" ht="12.5">
      <c r="A177" s="9"/>
    </row>
    <row r="178" spans="1:1" ht="12.5">
      <c r="A178" s="9"/>
    </row>
    <row r="179" spans="1:1" ht="12.5">
      <c r="A179" s="9"/>
    </row>
    <row r="180" spans="1:1" ht="12.5">
      <c r="A180" s="9"/>
    </row>
    <row r="181" spans="1:1" ht="12.5">
      <c r="A181" s="9"/>
    </row>
    <row r="182" spans="1:1" ht="12.5">
      <c r="A182" s="9"/>
    </row>
    <row r="183" spans="1:1" ht="12.5">
      <c r="A183" s="9"/>
    </row>
    <row r="184" spans="1:1" ht="12.5">
      <c r="A184" s="9"/>
    </row>
    <row r="185" spans="1:1" ht="12.5">
      <c r="A185" s="9"/>
    </row>
    <row r="186" spans="1:1" ht="12.5">
      <c r="A186" s="9"/>
    </row>
    <row r="187" spans="1:1" ht="12.5">
      <c r="A187" s="9"/>
    </row>
    <row r="188" spans="1:1" ht="12.5">
      <c r="A188" s="9"/>
    </row>
    <row r="189" spans="1:1" ht="12.5">
      <c r="A189" s="9"/>
    </row>
    <row r="190" spans="1:1" ht="12.5">
      <c r="A190" s="9"/>
    </row>
    <row r="191" spans="1:1" ht="12.5">
      <c r="A191" s="9"/>
    </row>
    <row r="192" spans="1:1" ht="12.5">
      <c r="A192" s="9"/>
    </row>
    <row r="193" spans="1:1" ht="12.5">
      <c r="A193" s="9"/>
    </row>
    <row r="194" spans="1:1" ht="12.5">
      <c r="A194" s="9"/>
    </row>
    <row r="195" spans="1:1" ht="12.5">
      <c r="A195" s="9"/>
    </row>
    <row r="196" spans="1:1" ht="12.5">
      <c r="A196" s="9"/>
    </row>
    <row r="197" spans="1:1" ht="12.5">
      <c r="A197" s="9"/>
    </row>
    <row r="198" spans="1:1" ht="12.5">
      <c r="A198" s="9"/>
    </row>
    <row r="199" spans="1:1" ht="12.5">
      <c r="A199" s="9"/>
    </row>
    <row r="200" spans="1:1" ht="12.5">
      <c r="A200" s="9"/>
    </row>
    <row r="201" spans="1:1" ht="12.5">
      <c r="A201" s="9"/>
    </row>
    <row r="202" spans="1:1" ht="12.5">
      <c r="A202" s="9"/>
    </row>
    <row r="203" spans="1:1" ht="12.5">
      <c r="A203" s="9"/>
    </row>
    <row r="204" spans="1:1" ht="12.5">
      <c r="A204" s="9"/>
    </row>
    <row r="205" spans="1:1" ht="12.5">
      <c r="A205" s="9"/>
    </row>
    <row r="206" spans="1:1" ht="12.5">
      <c r="A206" s="9"/>
    </row>
    <row r="207" spans="1:1" ht="12.5">
      <c r="A207" s="9"/>
    </row>
    <row r="208" spans="1:1" ht="12.5">
      <c r="A208" s="9"/>
    </row>
    <row r="209" spans="1:1" ht="12.5">
      <c r="A209" s="9"/>
    </row>
    <row r="210" spans="1:1" ht="12.5">
      <c r="A210" s="9"/>
    </row>
    <row r="211" spans="1:1" ht="12.5">
      <c r="A211" s="9"/>
    </row>
    <row r="212" spans="1:1" ht="12.5">
      <c r="A212" s="9"/>
    </row>
    <row r="213" spans="1:1" ht="12.5">
      <c r="A213" s="9"/>
    </row>
    <row r="214" spans="1:1" ht="12.5">
      <c r="A214" s="9"/>
    </row>
    <row r="215" spans="1:1" ht="12.5">
      <c r="A215" s="9"/>
    </row>
    <row r="216" spans="1:1" ht="12.5">
      <c r="A216" s="9"/>
    </row>
    <row r="217" spans="1:1" ht="12.5">
      <c r="A217" s="9"/>
    </row>
    <row r="218" spans="1:1" ht="12.5">
      <c r="A218" s="9"/>
    </row>
    <row r="219" spans="1:1" ht="12.5">
      <c r="A219" s="9"/>
    </row>
    <row r="220" spans="1:1" ht="12.5">
      <c r="A220" s="9"/>
    </row>
    <row r="221" spans="1:1" ht="12.5">
      <c r="A221" s="9"/>
    </row>
    <row r="222" spans="1:1" ht="12.5">
      <c r="A222" s="9"/>
    </row>
    <row r="223" spans="1:1" ht="12.5">
      <c r="A223" s="9"/>
    </row>
    <row r="224" spans="1:1" ht="12.5">
      <c r="A224" s="9"/>
    </row>
    <row r="225" spans="1:1" ht="12.5">
      <c r="A225" s="9"/>
    </row>
    <row r="226" spans="1:1" ht="12.5">
      <c r="A226" s="9"/>
    </row>
    <row r="227" spans="1:1" ht="12.5">
      <c r="A227" s="9"/>
    </row>
    <row r="228" spans="1:1" ht="12.5">
      <c r="A228" s="9"/>
    </row>
    <row r="229" spans="1:1" ht="12.5">
      <c r="A229" s="9"/>
    </row>
    <row r="230" spans="1:1" ht="12.5">
      <c r="A230" s="9"/>
    </row>
    <row r="231" spans="1:1" ht="12.5">
      <c r="A231" s="9"/>
    </row>
    <row r="232" spans="1:1" ht="12.5">
      <c r="A232" s="9"/>
    </row>
    <row r="233" spans="1:1" ht="12.5">
      <c r="A233" s="9"/>
    </row>
    <row r="234" spans="1:1" ht="12.5">
      <c r="A234" s="9"/>
    </row>
    <row r="235" spans="1:1" ht="12.5">
      <c r="A235" s="9"/>
    </row>
    <row r="236" spans="1:1" ht="12.5">
      <c r="A236" s="9"/>
    </row>
    <row r="237" spans="1:1" ht="12.5">
      <c r="A237" s="9"/>
    </row>
    <row r="238" spans="1:1" ht="12.5">
      <c r="A238" s="9"/>
    </row>
    <row r="239" spans="1:1" ht="12.5">
      <c r="A239" s="9"/>
    </row>
    <row r="240" spans="1:1" ht="12.5">
      <c r="A240" s="9"/>
    </row>
    <row r="241" spans="1:1" ht="12.5">
      <c r="A241" s="9"/>
    </row>
    <row r="242" spans="1:1" ht="12.5">
      <c r="A242" s="9"/>
    </row>
    <row r="243" spans="1:1" ht="12.5">
      <c r="A243" s="9"/>
    </row>
    <row r="244" spans="1:1" ht="12.5">
      <c r="A244" s="9"/>
    </row>
    <row r="245" spans="1:1" ht="12.5">
      <c r="A245" s="9"/>
    </row>
    <row r="246" spans="1:1" ht="12.5">
      <c r="A246" s="9"/>
    </row>
    <row r="247" spans="1:1" ht="12.5">
      <c r="A247" s="9"/>
    </row>
    <row r="248" spans="1:1" ht="12.5">
      <c r="A248" s="9"/>
    </row>
    <row r="249" spans="1:1" ht="12.5">
      <c r="A249" s="9"/>
    </row>
    <row r="250" spans="1:1" ht="12.5">
      <c r="A250" s="9"/>
    </row>
    <row r="251" spans="1:1" ht="12.5">
      <c r="A251" s="9"/>
    </row>
    <row r="252" spans="1:1" ht="12.5">
      <c r="A252" s="9"/>
    </row>
    <row r="253" spans="1:1" ht="12.5">
      <c r="A253" s="9"/>
    </row>
    <row r="254" spans="1:1" ht="12.5">
      <c r="A254" s="9"/>
    </row>
    <row r="255" spans="1:1" ht="12.5">
      <c r="A255" s="9"/>
    </row>
    <row r="256" spans="1:1" ht="12.5">
      <c r="A256" s="9"/>
    </row>
    <row r="257" spans="1:1" ht="12.5">
      <c r="A257" s="9"/>
    </row>
    <row r="258" spans="1:1" ht="12.5">
      <c r="A258" s="9"/>
    </row>
    <row r="259" spans="1:1" ht="12.5">
      <c r="A259" s="9"/>
    </row>
    <row r="260" spans="1:1" ht="12.5">
      <c r="A260" s="9"/>
    </row>
    <row r="261" spans="1:1" ht="12.5">
      <c r="A261" s="9"/>
    </row>
    <row r="262" spans="1:1" ht="12.5">
      <c r="A262" s="9"/>
    </row>
    <row r="263" spans="1:1" ht="12.5">
      <c r="A263" s="9"/>
    </row>
    <row r="264" spans="1:1" ht="12.5">
      <c r="A264" s="9"/>
    </row>
    <row r="265" spans="1:1" ht="12.5">
      <c r="A265" s="9"/>
    </row>
    <row r="266" spans="1:1" ht="12.5">
      <c r="A266" s="9"/>
    </row>
    <row r="267" spans="1:1" ht="12.5">
      <c r="A267" s="9"/>
    </row>
    <row r="268" spans="1:1" ht="12.5">
      <c r="A268" s="9"/>
    </row>
    <row r="269" spans="1:1" ht="12.5">
      <c r="A269" s="9"/>
    </row>
    <row r="270" spans="1:1" ht="12.5">
      <c r="A270" s="9"/>
    </row>
    <row r="271" spans="1:1" ht="12.5">
      <c r="A271" s="9"/>
    </row>
    <row r="272" spans="1:1" ht="12.5">
      <c r="A272" s="9"/>
    </row>
    <row r="273" spans="1:1" ht="12.5">
      <c r="A273" s="9"/>
    </row>
    <row r="274" spans="1:1" ht="12.5">
      <c r="A274" s="9"/>
    </row>
    <row r="275" spans="1:1" ht="12.5">
      <c r="A275" s="9"/>
    </row>
    <row r="276" spans="1:1" ht="12.5">
      <c r="A276" s="9"/>
    </row>
    <row r="277" spans="1:1" ht="12.5">
      <c r="A277" s="9"/>
    </row>
    <row r="278" spans="1:1" ht="12.5">
      <c r="A278" s="9"/>
    </row>
    <row r="279" spans="1:1" ht="12.5">
      <c r="A279" s="9"/>
    </row>
    <row r="280" spans="1:1" ht="12.5">
      <c r="A280" s="9"/>
    </row>
    <row r="281" spans="1:1" ht="12.5">
      <c r="A281" s="9"/>
    </row>
    <row r="282" spans="1:1" ht="12.5">
      <c r="A282" s="9"/>
    </row>
    <row r="283" spans="1:1" ht="12.5">
      <c r="A283" s="9"/>
    </row>
    <row r="284" spans="1:1" ht="12.5">
      <c r="A284" s="9"/>
    </row>
    <row r="285" spans="1:1" ht="12.5">
      <c r="A285" s="9"/>
    </row>
    <row r="286" spans="1:1" ht="12.5">
      <c r="A286" s="9"/>
    </row>
    <row r="287" spans="1:1" ht="12.5">
      <c r="A287" s="9"/>
    </row>
    <row r="288" spans="1:1" ht="12.5">
      <c r="A288" s="9"/>
    </row>
    <row r="289" spans="1:1" ht="12.5">
      <c r="A289" s="9"/>
    </row>
    <row r="290" spans="1:1" ht="12.5">
      <c r="A290" s="9"/>
    </row>
    <row r="291" spans="1:1" ht="12.5">
      <c r="A291" s="9"/>
    </row>
    <row r="292" spans="1:1" ht="12.5">
      <c r="A292" s="9"/>
    </row>
    <row r="293" spans="1:1" ht="12.5">
      <c r="A293" s="9"/>
    </row>
    <row r="294" spans="1:1" ht="12.5">
      <c r="A294" s="9"/>
    </row>
    <row r="295" spans="1:1" ht="12.5">
      <c r="A295" s="9"/>
    </row>
    <row r="296" spans="1:1" ht="12.5">
      <c r="A296" s="9"/>
    </row>
    <row r="297" spans="1:1" ht="12.5">
      <c r="A297" s="9"/>
    </row>
    <row r="298" spans="1:1" ht="12.5">
      <c r="A298" s="9"/>
    </row>
    <row r="299" spans="1:1" ht="12.5">
      <c r="A299" s="9"/>
    </row>
    <row r="300" spans="1:1" ht="12.5">
      <c r="A300" s="9"/>
    </row>
    <row r="301" spans="1:1" ht="12.5">
      <c r="A301" s="9"/>
    </row>
    <row r="302" spans="1:1" ht="12.5">
      <c r="A302" s="9"/>
    </row>
    <row r="303" spans="1:1" ht="12.5">
      <c r="A303" s="9"/>
    </row>
    <row r="304" spans="1:1" ht="12.5">
      <c r="A304" s="9"/>
    </row>
    <row r="305" spans="1:1" ht="12.5">
      <c r="A305" s="9"/>
    </row>
    <row r="306" spans="1:1" ht="12.5">
      <c r="A306" s="9"/>
    </row>
    <row r="307" spans="1:1" ht="12.5">
      <c r="A307" s="9"/>
    </row>
    <row r="308" spans="1:1" ht="12.5">
      <c r="A308" s="9"/>
    </row>
    <row r="309" spans="1:1" ht="12.5">
      <c r="A309" s="9"/>
    </row>
    <row r="310" spans="1:1" ht="12.5">
      <c r="A310" s="9"/>
    </row>
    <row r="311" spans="1:1" ht="12.5">
      <c r="A311" s="9"/>
    </row>
    <row r="312" spans="1:1" ht="12.5">
      <c r="A312" s="9"/>
    </row>
    <row r="313" spans="1:1" ht="12.5">
      <c r="A313" s="9"/>
    </row>
    <row r="314" spans="1:1" ht="12.5">
      <c r="A314" s="9"/>
    </row>
    <row r="315" spans="1:1" ht="12.5">
      <c r="A315" s="9"/>
    </row>
    <row r="316" spans="1:1" ht="12.5">
      <c r="A316" s="9"/>
    </row>
    <row r="317" spans="1:1" ht="12.5">
      <c r="A317" s="9"/>
    </row>
    <row r="318" spans="1:1" ht="12.5">
      <c r="A318" s="9"/>
    </row>
    <row r="319" spans="1:1" ht="12.5">
      <c r="A319" s="9"/>
    </row>
    <row r="320" spans="1:1" ht="12.5">
      <c r="A320" s="9"/>
    </row>
    <row r="321" spans="1:1" ht="12.5">
      <c r="A321" s="9"/>
    </row>
    <row r="322" spans="1:1" ht="12.5">
      <c r="A322" s="9"/>
    </row>
    <row r="323" spans="1:1" ht="12.5">
      <c r="A323" s="9"/>
    </row>
    <row r="324" spans="1:1" ht="12.5">
      <c r="A324" s="9"/>
    </row>
    <row r="325" spans="1:1" ht="12.5">
      <c r="A325" s="9"/>
    </row>
    <row r="326" spans="1:1" ht="12.5">
      <c r="A326" s="9"/>
    </row>
    <row r="327" spans="1:1" ht="12.5">
      <c r="A327" s="9"/>
    </row>
    <row r="328" spans="1:1" ht="12.5">
      <c r="A328" s="9"/>
    </row>
    <row r="329" spans="1:1" ht="12.5">
      <c r="A329" s="9"/>
    </row>
    <row r="330" spans="1:1" ht="12.5">
      <c r="A330" s="9"/>
    </row>
    <row r="331" spans="1:1" ht="12.5">
      <c r="A331" s="9"/>
    </row>
    <row r="332" spans="1:1" ht="12.5">
      <c r="A332" s="9"/>
    </row>
    <row r="333" spans="1:1" ht="12.5">
      <c r="A333" s="9"/>
    </row>
    <row r="334" spans="1:1" ht="12.5">
      <c r="A334" s="9"/>
    </row>
    <row r="335" spans="1:1" ht="12.5">
      <c r="A335" s="9"/>
    </row>
    <row r="336" spans="1:1" ht="12.5">
      <c r="A336" s="9"/>
    </row>
    <row r="337" spans="1:1" ht="12.5">
      <c r="A337" s="9"/>
    </row>
    <row r="338" spans="1:1" ht="12.5">
      <c r="A338" s="9"/>
    </row>
    <row r="339" spans="1:1" ht="12.5">
      <c r="A339" s="9"/>
    </row>
    <row r="340" spans="1:1" ht="12.5">
      <c r="A340" s="9"/>
    </row>
    <row r="341" spans="1:1" ht="12.5">
      <c r="A341" s="9"/>
    </row>
    <row r="342" spans="1:1" ht="12.5">
      <c r="A342" s="9"/>
    </row>
    <row r="343" spans="1:1" ht="12.5">
      <c r="A343" s="9"/>
    </row>
    <row r="344" spans="1:1" ht="12.5">
      <c r="A344" s="9"/>
    </row>
    <row r="345" spans="1:1" ht="12.5">
      <c r="A345" s="9"/>
    </row>
    <row r="346" spans="1:1" ht="12.5">
      <c r="A346" s="9"/>
    </row>
    <row r="347" spans="1:1" ht="12.5">
      <c r="A347" s="9"/>
    </row>
    <row r="348" spans="1:1" ht="12.5">
      <c r="A348" s="9"/>
    </row>
    <row r="349" spans="1:1" ht="12.5">
      <c r="A349" s="9"/>
    </row>
    <row r="350" spans="1:1" ht="12.5">
      <c r="A350" s="9"/>
    </row>
    <row r="351" spans="1:1" ht="12.5">
      <c r="A351" s="9"/>
    </row>
    <row r="352" spans="1:1" ht="12.5">
      <c r="A352" s="9"/>
    </row>
    <row r="353" spans="1:1" ht="12.5">
      <c r="A353" s="9"/>
    </row>
    <row r="354" spans="1:1" ht="12.5">
      <c r="A354" s="9"/>
    </row>
    <row r="355" spans="1:1" ht="12.5">
      <c r="A355" s="9"/>
    </row>
    <row r="356" spans="1:1" ht="12.5">
      <c r="A356" s="9"/>
    </row>
    <row r="357" spans="1:1" ht="12.5">
      <c r="A357" s="9"/>
    </row>
    <row r="358" spans="1:1" ht="12.5">
      <c r="A358" s="9"/>
    </row>
    <row r="359" spans="1:1" ht="12.5">
      <c r="A359" s="9"/>
    </row>
    <row r="360" spans="1:1" ht="12.5">
      <c r="A360" s="9"/>
    </row>
    <row r="361" spans="1:1" ht="12.5">
      <c r="A361" s="9"/>
    </row>
    <row r="362" spans="1:1" ht="12.5">
      <c r="A362" s="9"/>
    </row>
    <row r="363" spans="1:1" ht="12.5">
      <c r="A363" s="9"/>
    </row>
    <row r="364" spans="1:1" ht="12.5">
      <c r="A364" s="9"/>
    </row>
    <row r="365" spans="1:1" ht="12.5">
      <c r="A365" s="9"/>
    </row>
    <row r="366" spans="1:1" ht="12.5">
      <c r="A366" s="9"/>
    </row>
    <row r="367" spans="1:1" ht="12.5">
      <c r="A367" s="9"/>
    </row>
    <row r="368" spans="1:1" ht="12.5">
      <c r="A368" s="9"/>
    </row>
    <row r="369" spans="1:1" ht="12.5">
      <c r="A369" s="9"/>
    </row>
    <row r="370" spans="1:1" ht="12.5">
      <c r="A370" s="9"/>
    </row>
    <row r="371" spans="1:1" ht="12.5">
      <c r="A371" s="9"/>
    </row>
    <row r="372" spans="1:1" ht="12.5">
      <c r="A372" s="9"/>
    </row>
    <row r="373" spans="1:1" ht="12.5">
      <c r="A373" s="9"/>
    </row>
    <row r="374" spans="1:1" ht="12.5">
      <c r="A374" s="9"/>
    </row>
    <row r="375" spans="1:1" ht="12.5">
      <c r="A375" s="9"/>
    </row>
    <row r="376" spans="1:1" ht="12.5">
      <c r="A376" s="9"/>
    </row>
    <row r="377" spans="1:1" ht="12.5">
      <c r="A377" s="9"/>
    </row>
    <row r="378" spans="1:1" ht="12.5">
      <c r="A378" s="9"/>
    </row>
    <row r="379" spans="1:1" ht="12.5">
      <c r="A379" s="9"/>
    </row>
    <row r="380" spans="1:1" ht="12.5">
      <c r="A380" s="9"/>
    </row>
    <row r="381" spans="1:1" ht="12.5">
      <c r="A381" s="9"/>
    </row>
    <row r="382" spans="1:1" ht="12.5">
      <c r="A382" s="9"/>
    </row>
    <row r="383" spans="1:1" ht="12.5">
      <c r="A383" s="9"/>
    </row>
    <row r="384" spans="1:1" ht="12.5">
      <c r="A384" s="9"/>
    </row>
    <row r="385" spans="1:1" ht="12.5">
      <c r="A385" s="9"/>
    </row>
    <row r="386" spans="1:1" ht="12.5">
      <c r="A386" s="9"/>
    </row>
    <row r="387" spans="1:1" ht="12.5">
      <c r="A387" s="9"/>
    </row>
    <row r="388" spans="1:1" ht="12.5">
      <c r="A388" s="9"/>
    </row>
    <row r="389" spans="1:1" ht="12.5">
      <c r="A389" s="9"/>
    </row>
    <row r="390" spans="1:1" ht="12.5">
      <c r="A390" s="9"/>
    </row>
    <row r="391" spans="1:1" ht="12.5">
      <c r="A391" s="9"/>
    </row>
    <row r="392" spans="1:1" ht="12.5">
      <c r="A392" s="9"/>
    </row>
    <row r="393" spans="1:1" ht="12.5">
      <c r="A393" s="9"/>
    </row>
    <row r="394" spans="1:1" ht="12.5">
      <c r="A394" s="9"/>
    </row>
    <row r="395" spans="1:1" ht="12.5">
      <c r="A395" s="9"/>
    </row>
    <row r="396" spans="1:1" ht="12.5">
      <c r="A396" s="9"/>
    </row>
    <row r="397" spans="1:1" ht="12.5">
      <c r="A397" s="9"/>
    </row>
    <row r="398" spans="1:1" ht="12.5">
      <c r="A398" s="9"/>
    </row>
    <row r="399" spans="1:1" ht="12.5">
      <c r="A399" s="9"/>
    </row>
    <row r="400" spans="1:1" ht="12.5">
      <c r="A400" s="9"/>
    </row>
    <row r="401" spans="1:1" ht="12.5">
      <c r="A401" s="9"/>
    </row>
    <row r="402" spans="1:1" ht="12.5">
      <c r="A402" s="9"/>
    </row>
    <row r="403" spans="1:1" ht="12.5">
      <c r="A403" s="9"/>
    </row>
    <row r="404" spans="1:1" ht="12.5">
      <c r="A404" s="9"/>
    </row>
    <row r="405" spans="1:1" ht="12.5">
      <c r="A405" s="9"/>
    </row>
    <row r="406" spans="1:1" ht="12.5">
      <c r="A406" s="9"/>
    </row>
    <row r="407" spans="1:1" ht="12.5">
      <c r="A407" s="9"/>
    </row>
    <row r="408" spans="1:1" ht="12.5">
      <c r="A408" s="9"/>
    </row>
    <row r="409" spans="1:1" ht="12.5">
      <c r="A409" s="9"/>
    </row>
    <row r="410" spans="1:1" ht="12.5">
      <c r="A410" s="9"/>
    </row>
    <row r="411" spans="1:1" ht="12.5">
      <c r="A411" s="9"/>
    </row>
    <row r="412" spans="1:1" ht="12.5">
      <c r="A412" s="9"/>
    </row>
    <row r="413" spans="1:1" ht="12.5">
      <c r="A413" s="9"/>
    </row>
    <row r="414" spans="1:1" ht="12.5">
      <c r="A414" s="9"/>
    </row>
    <row r="415" spans="1:1" ht="12.5">
      <c r="A415" s="9"/>
    </row>
    <row r="416" spans="1:1" ht="12.5">
      <c r="A416" s="9"/>
    </row>
    <row r="417" spans="1:1" ht="12.5">
      <c r="A417" s="9"/>
    </row>
    <row r="418" spans="1:1" ht="12.5">
      <c r="A418" s="9"/>
    </row>
    <row r="419" spans="1:1" ht="12.5">
      <c r="A419" s="9"/>
    </row>
    <row r="420" spans="1:1" ht="12.5">
      <c r="A420" s="9"/>
    </row>
    <row r="421" spans="1:1" ht="12.5">
      <c r="A421" s="9"/>
    </row>
    <row r="422" spans="1:1" ht="12.5">
      <c r="A422" s="9"/>
    </row>
    <row r="423" spans="1:1" ht="12.5">
      <c r="A423" s="9"/>
    </row>
    <row r="424" spans="1:1" ht="12.5">
      <c r="A424" s="9"/>
    </row>
    <row r="425" spans="1:1" ht="12.5">
      <c r="A425" s="9"/>
    </row>
    <row r="426" spans="1:1" ht="12.5">
      <c r="A426" s="9"/>
    </row>
    <row r="427" spans="1:1" ht="12.5">
      <c r="A427" s="9"/>
    </row>
    <row r="428" spans="1:1" ht="12.5">
      <c r="A428" s="9"/>
    </row>
    <row r="429" spans="1:1" ht="12.5">
      <c r="A429" s="9"/>
    </row>
    <row r="430" spans="1:1" ht="12.5">
      <c r="A430" s="9"/>
    </row>
    <row r="431" spans="1:1" ht="12.5">
      <c r="A431" s="9"/>
    </row>
    <row r="432" spans="1:1" ht="12.5">
      <c r="A432" s="9"/>
    </row>
    <row r="433" spans="1:1" ht="12.5">
      <c r="A433" s="9"/>
    </row>
    <row r="434" spans="1:1" ht="12.5">
      <c r="A434" s="9"/>
    </row>
    <row r="435" spans="1:1" ht="12.5">
      <c r="A435" s="9"/>
    </row>
    <row r="436" spans="1:1" ht="12.5">
      <c r="A436" s="9"/>
    </row>
    <row r="437" spans="1:1" ht="12.5">
      <c r="A437" s="9"/>
    </row>
    <row r="438" spans="1:1" ht="12.5">
      <c r="A438" s="9"/>
    </row>
    <row r="439" spans="1:1" ht="12.5">
      <c r="A439" s="9"/>
    </row>
    <row r="440" spans="1:1" ht="12.5">
      <c r="A440" s="9"/>
    </row>
    <row r="441" spans="1:1" ht="12.5">
      <c r="A441" s="9"/>
    </row>
    <row r="442" spans="1:1" ht="12.5">
      <c r="A442" s="9"/>
    </row>
    <row r="443" spans="1:1" ht="12.5">
      <c r="A443" s="9"/>
    </row>
    <row r="444" spans="1:1" ht="12.5">
      <c r="A444" s="9"/>
    </row>
    <row r="445" spans="1:1" ht="12.5">
      <c r="A445" s="9"/>
    </row>
    <row r="446" spans="1:1" ht="12.5">
      <c r="A446" s="9"/>
    </row>
    <row r="447" spans="1:1" ht="12.5">
      <c r="A447" s="9"/>
    </row>
    <row r="448" spans="1:1" ht="12.5">
      <c r="A448" s="9"/>
    </row>
    <row r="449" spans="1:1" ht="12.5">
      <c r="A449" s="9"/>
    </row>
    <row r="450" spans="1:1" ht="12.5">
      <c r="A450" s="9"/>
    </row>
    <row r="451" spans="1:1" ht="12.5">
      <c r="A451" s="9"/>
    </row>
    <row r="452" spans="1:1" ht="12.5">
      <c r="A452" s="9"/>
    </row>
    <row r="453" spans="1:1" ht="12.5">
      <c r="A453" s="9"/>
    </row>
    <row r="454" spans="1:1" ht="12.5">
      <c r="A454" s="9"/>
    </row>
    <row r="455" spans="1:1" ht="12.5">
      <c r="A455" s="9"/>
    </row>
    <row r="456" spans="1:1" ht="12.5">
      <c r="A456" s="9"/>
    </row>
    <row r="457" spans="1:1" ht="12.5">
      <c r="A457" s="9"/>
    </row>
    <row r="458" spans="1:1" ht="12.5">
      <c r="A458" s="9"/>
    </row>
    <row r="459" spans="1:1" ht="12.5">
      <c r="A459" s="9"/>
    </row>
    <row r="460" spans="1:1" ht="12.5">
      <c r="A460" s="9"/>
    </row>
    <row r="461" spans="1:1" ht="12.5">
      <c r="A461" s="9"/>
    </row>
    <row r="462" spans="1:1" ht="12.5">
      <c r="A462" s="9"/>
    </row>
    <row r="463" spans="1:1" ht="12.5">
      <c r="A463" s="9"/>
    </row>
    <row r="464" spans="1:1" ht="12.5">
      <c r="A464" s="9"/>
    </row>
    <row r="465" spans="1:1" ht="12.5">
      <c r="A465" s="9"/>
    </row>
    <row r="466" spans="1:1" ht="12.5">
      <c r="A466" s="9"/>
    </row>
    <row r="467" spans="1:1" ht="12.5">
      <c r="A467" s="9"/>
    </row>
    <row r="468" spans="1:1" ht="12.5">
      <c r="A468" s="9"/>
    </row>
    <row r="469" spans="1:1" ht="12.5">
      <c r="A469" s="9"/>
    </row>
    <row r="470" spans="1:1" ht="12.5">
      <c r="A470" s="9"/>
    </row>
    <row r="471" spans="1:1" ht="12.5">
      <c r="A471" s="9"/>
    </row>
    <row r="472" spans="1:1" ht="12.5">
      <c r="A472" s="9"/>
    </row>
    <row r="473" spans="1:1" ht="12.5">
      <c r="A473" s="9"/>
    </row>
    <row r="474" spans="1:1" ht="12.5">
      <c r="A474" s="9"/>
    </row>
    <row r="475" spans="1:1" ht="12.5">
      <c r="A475" s="9"/>
    </row>
    <row r="476" spans="1:1" ht="12.5">
      <c r="A476" s="9"/>
    </row>
    <row r="477" spans="1:1" ht="12.5">
      <c r="A477" s="9"/>
    </row>
    <row r="478" spans="1:1" ht="12.5">
      <c r="A478" s="9"/>
    </row>
    <row r="479" spans="1:1" ht="12.5">
      <c r="A479" s="9"/>
    </row>
    <row r="480" spans="1:1" ht="12.5">
      <c r="A480" s="9"/>
    </row>
    <row r="481" spans="1:1" ht="12.5">
      <c r="A481" s="9"/>
    </row>
    <row r="482" spans="1:1" ht="12.5">
      <c r="A482" s="9"/>
    </row>
    <row r="483" spans="1:1" ht="12.5">
      <c r="A483" s="9"/>
    </row>
    <row r="484" spans="1:1" ht="12.5">
      <c r="A484" s="9"/>
    </row>
    <row r="485" spans="1:1" ht="12.5">
      <c r="A485" s="9"/>
    </row>
    <row r="486" spans="1:1" ht="12.5">
      <c r="A486" s="9"/>
    </row>
    <row r="487" spans="1:1" ht="12.5">
      <c r="A487" s="9"/>
    </row>
    <row r="488" spans="1:1" ht="12.5">
      <c r="A488" s="9"/>
    </row>
    <row r="489" spans="1:1" ht="12.5">
      <c r="A489" s="9"/>
    </row>
    <row r="490" spans="1:1" ht="12.5">
      <c r="A490" s="9"/>
    </row>
    <row r="491" spans="1:1" ht="12.5">
      <c r="A491" s="9"/>
    </row>
    <row r="492" spans="1:1" ht="12.5">
      <c r="A492" s="9"/>
    </row>
    <row r="493" spans="1:1" ht="12.5">
      <c r="A493" s="9"/>
    </row>
    <row r="494" spans="1:1" ht="12.5">
      <c r="A494" s="9"/>
    </row>
    <row r="495" spans="1:1" ht="12.5">
      <c r="A495" s="9"/>
    </row>
    <row r="496" spans="1:1" ht="12.5">
      <c r="A496" s="9"/>
    </row>
    <row r="497" spans="1:1" ht="12.5">
      <c r="A497" s="9"/>
    </row>
    <row r="498" spans="1:1" ht="12.5">
      <c r="A498" s="9"/>
    </row>
    <row r="499" spans="1:1" ht="12.5">
      <c r="A499" s="9"/>
    </row>
    <row r="500" spans="1:1" ht="12.5">
      <c r="A500" s="9"/>
    </row>
    <row r="501" spans="1:1" ht="12.5">
      <c r="A501" s="9"/>
    </row>
    <row r="502" spans="1:1" ht="12.5">
      <c r="A502" s="9"/>
    </row>
    <row r="503" spans="1:1" ht="12.5">
      <c r="A503" s="9"/>
    </row>
    <row r="504" spans="1:1" ht="12.5">
      <c r="A504" s="9"/>
    </row>
    <row r="505" spans="1:1" ht="12.5">
      <c r="A505" s="9"/>
    </row>
    <row r="506" spans="1:1" ht="12.5">
      <c r="A506" s="9"/>
    </row>
    <row r="507" spans="1:1" ht="12.5">
      <c r="A507" s="9"/>
    </row>
    <row r="508" spans="1:1" ht="12.5">
      <c r="A508" s="9"/>
    </row>
    <row r="509" spans="1:1" ht="12.5">
      <c r="A509" s="9"/>
    </row>
    <row r="510" spans="1:1" ht="12.5">
      <c r="A510" s="9"/>
    </row>
    <row r="511" spans="1:1" ht="12.5">
      <c r="A511" s="9"/>
    </row>
    <row r="512" spans="1:1" ht="12.5">
      <c r="A512" s="9"/>
    </row>
    <row r="513" spans="1:1" ht="12.5">
      <c r="A513" s="9"/>
    </row>
    <row r="514" spans="1:1" ht="12.5">
      <c r="A514" s="9"/>
    </row>
    <row r="515" spans="1:1" ht="12.5">
      <c r="A515" s="9"/>
    </row>
    <row r="516" spans="1:1" ht="12.5">
      <c r="A516" s="9"/>
    </row>
    <row r="517" spans="1:1" ht="12.5">
      <c r="A517" s="9"/>
    </row>
    <row r="518" spans="1:1" ht="12.5">
      <c r="A518" s="9"/>
    </row>
    <row r="519" spans="1:1" ht="12.5">
      <c r="A519" s="9"/>
    </row>
    <row r="520" spans="1:1" ht="12.5">
      <c r="A520" s="9"/>
    </row>
    <row r="521" spans="1:1" ht="12.5">
      <c r="A521" s="9"/>
    </row>
    <row r="522" spans="1:1" ht="12.5">
      <c r="A522" s="9"/>
    </row>
    <row r="523" spans="1:1" ht="12.5">
      <c r="A523" s="9"/>
    </row>
    <row r="524" spans="1:1" ht="12.5">
      <c r="A524" s="9"/>
    </row>
    <row r="525" spans="1:1" ht="12.5">
      <c r="A525" s="9"/>
    </row>
    <row r="526" spans="1:1" ht="12.5">
      <c r="A526" s="9"/>
    </row>
    <row r="527" spans="1:1" ht="12.5">
      <c r="A527" s="9"/>
    </row>
    <row r="528" spans="1:1" ht="12.5">
      <c r="A528" s="9"/>
    </row>
    <row r="529" spans="1:1" ht="12.5">
      <c r="A529" s="9"/>
    </row>
    <row r="530" spans="1:1" ht="12.5">
      <c r="A530" s="9"/>
    </row>
    <row r="531" spans="1:1" ht="12.5">
      <c r="A531" s="9"/>
    </row>
    <row r="532" spans="1:1" ht="12.5">
      <c r="A532" s="9"/>
    </row>
    <row r="533" spans="1:1" ht="12.5">
      <c r="A533" s="9"/>
    </row>
    <row r="534" spans="1:1" ht="12.5">
      <c r="A534" s="9"/>
    </row>
    <row r="535" spans="1:1" ht="12.5">
      <c r="A535" s="9"/>
    </row>
    <row r="536" spans="1:1" ht="12.5">
      <c r="A536" s="9"/>
    </row>
    <row r="537" spans="1:1" ht="12.5">
      <c r="A537" s="9"/>
    </row>
    <row r="538" spans="1:1" ht="12.5">
      <c r="A538" s="9"/>
    </row>
    <row r="539" spans="1:1" ht="12.5">
      <c r="A539" s="9"/>
    </row>
    <row r="540" spans="1:1" ht="12.5">
      <c r="A540" s="9"/>
    </row>
    <row r="541" spans="1:1" ht="12.5">
      <c r="A541" s="9"/>
    </row>
    <row r="542" spans="1:1" ht="12.5">
      <c r="A542" s="9"/>
    </row>
    <row r="543" spans="1:1" ht="12.5">
      <c r="A543" s="9"/>
    </row>
    <row r="544" spans="1:1" ht="12.5">
      <c r="A544" s="9"/>
    </row>
    <row r="545" spans="1:1" ht="12.5">
      <c r="A545" s="9"/>
    </row>
    <row r="546" spans="1:1" ht="12.5">
      <c r="A546" s="9"/>
    </row>
    <row r="547" spans="1:1" ht="12.5">
      <c r="A547" s="9"/>
    </row>
    <row r="548" spans="1:1" ht="12.5">
      <c r="A548" s="9"/>
    </row>
    <row r="549" spans="1:1" ht="12.5">
      <c r="A549" s="9"/>
    </row>
    <row r="550" spans="1:1" ht="12.5">
      <c r="A550" s="9"/>
    </row>
    <row r="551" spans="1:1" ht="12.5">
      <c r="A551" s="9"/>
    </row>
    <row r="552" spans="1:1" ht="12.5">
      <c r="A552" s="9"/>
    </row>
    <row r="553" spans="1:1" ht="12.5">
      <c r="A553" s="9"/>
    </row>
    <row r="554" spans="1:1" ht="12.5">
      <c r="A554" s="9"/>
    </row>
    <row r="555" spans="1:1" ht="12.5">
      <c r="A555" s="9"/>
    </row>
    <row r="556" spans="1:1" ht="12.5">
      <c r="A556" s="9"/>
    </row>
    <row r="557" spans="1:1" ht="12.5">
      <c r="A557" s="9"/>
    </row>
    <row r="558" spans="1:1" ht="12.5">
      <c r="A558" s="9"/>
    </row>
    <row r="559" spans="1:1" ht="12.5">
      <c r="A559" s="9"/>
    </row>
    <row r="560" spans="1:1" ht="12.5">
      <c r="A560" s="9"/>
    </row>
    <row r="561" spans="1:1" ht="12.5">
      <c r="A561" s="9"/>
    </row>
    <row r="562" spans="1:1" ht="12.5">
      <c r="A562" s="9"/>
    </row>
    <row r="563" spans="1:1" ht="12.5">
      <c r="A563" s="9"/>
    </row>
    <row r="564" spans="1:1" ht="12.5">
      <c r="A564" s="9"/>
    </row>
    <row r="565" spans="1:1" ht="12.5">
      <c r="A565" s="9"/>
    </row>
    <row r="566" spans="1:1" ht="12.5">
      <c r="A566" s="9"/>
    </row>
    <row r="567" spans="1:1" ht="12.5">
      <c r="A567" s="9"/>
    </row>
    <row r="568" spans="1:1" ht="12.5">
      <c r="A568" s="9"/>
    </row>
    <row r="569" spans="1:1" ht="12.5">
      <c r="A569" s="9"/>
    </row>
    <row r="570" spans="1:1" ht="12.5">
      <c r="A570" s="9"/>
    </row>
    <row r="571" spans="1:1" ht="12.5">
      <c r="A571" s="9"/>
    </row>
    <row r="572" spans="1:1" ht="12.5">
      <c r="A572" s="9"/>
    </row>
    <row r="573" spans="1:1" ht="12.5">
      <c r="A573" s="9"/>
    </row>
    <row r="574" spans="1:1" ht="12.5">
      <c r="A574" s="9"/>
    </row>
    <row r="575" spans="1:1" ht="12.5">
      <c r="A575" s="9"/>
    </row>
    <row r="576" spans="1:1" ht="12.5">
      <c r="A576" s="9"/>
    </row>
    <row r="577" spans="1:1" ht="12.5">
      <c r="A577" s="9"/>
    </row>
    <row r="578" spans="1:1" ht="12.5">
      <c r="A578" s="9"/>
    </row>
    <row r="579" spans="1:1" ht="12.5">
      <c r="A579" s="9"/>
    </row>
    <row r="580" spans="1:1" ht="12.5">
      <c r="A580" s="9"/>
    </row>
    <row r="581" spans="1:1" ht="12.5">
      <c r="A581" s="9"/>
    </row>
    <row r="582" spans="1:1" ht="12.5">
      <c r="A582" s="9"/>
    </row>
    <row r="583" spans="1:1" ht="12.5">
      <c r="A583" s="9"/>
    </row>
    <row r="584" spans="1:1" ht="12.5">
      <c r="A584" s="9"/>
    </row>
    <row r="585" spans="1:1" ht="12.5">
      <c r="A585" s="9"/>
    </row>
    <row r="586" spans="1:1" ht="12.5">
      <c r="A586" s="9"/>
    </row>
    <row r="587" spans="1:1" ht="12.5">
      <c r="A587" s="9"/>
    </row>
    <row r="588" spans="1:1" ht="12.5">
      <c r="A588" s="9"/>
    </row>
    <row r="589" spans="1:1" ht="12.5">
      <c r="A589" s="9"/>
    </row>
    <row r="590" spans="1:1" ht="12.5">
      <c r="A590" s="9"/>
    </row>
    <row r="591" spans="1:1" ht="12.5">
      <c r="A591" s="9"/>
    </row>
    <row r="592" spans="1:1" ht="12.5">
      <c r="A592" s="9"/>
    </row>
    <row r="593" spans="1:1" ht="12.5">
      <c r="A593" s="9"/>
    </row>
    <row r="594" spans="1:1" ht="12.5">
      <c r="A594" s="9"/>
    </row>
    <row r="595" spans="1:1" ht="12.5">
      <c r="A595" s="9"/>
    </row>
    <row r="596" spans="1:1" ht="12.5">
      <c r="A596" s="9"/>
    </row>
    <row r="597" spans="1:1" ht="12.5">
      <c r="A597" s="9"/>
    </row>
    <row r="598" spans="1:1" ht="12.5">
      <c r="A598" s="9"/>
    </row>
    <row r="599" spans="1:1" ht="12.5">
      <c r="A599" s="9"/>
    </row>
    <row r="600" spans="1:1" ht="12.5">
      <c r="A600" s="9"/>
    </row>
    <row r="601" spans="1:1" ht="12.5">
      <c r="A601" s="9"/>
    </row>
    <row r="602" spans="1:1" ht="12.5">
      <c r="A602" s="9"/>
    </row>
    <row r="603" spans="1:1" ht="12.5">
      <c r="A603" s="9"/>
    </row>
    <row r="604" spans="1:1" ht="12.5">
      <c r="A604" s="9"/>
    </row>
    <row r="605" spans="1:1" ht="12.5">
      <c r="A605" s="9"/>
    </row>
    <row r="606" spans="1:1" ht="12.5">
      <c r="A606" s="9"/>
    </row>
    <row r="607" spans="1:1" ht="12.5">
      <c r="A607" s="9"/>
    </row>
    <row r="608" spans="1:1" ht="12.5">
      <c r="A608" s="9"/>
    </row>
    <row r="609" spans="1:1" ht="12.5">
      <c r="A609" s="9"/>
    </row>
    <row r="610" spans="1:1" ht="12.5">
      <c r="A610" s="9"/>
    </row>
    <row r="611" spans="1:1" ht="12.5">
      <c r="A611" s="9"/>
    </row>
    <row r="612" spans="1:1" ht="12.5">
      <c r="A612" s="9"/>
    </row>
    <row r="613" spans="1:1" ht="12.5">
      <c r="A613" s="9"/>
    </row>
    <row r="614" spans="1:1" ht="12.5">
      <c r="A614" s="9"/>
    </row>
    <row r="615" spans="1:1" ht="12.5">
      <c r="A615" s="9"/>
    </row>
    <row r="616" spans="1:1" ht="12.5">
      <c r="A616" s="9"/>
    </row>
    <row r="617" spans="1:1" ht="12.5">
      <c r="A617" s="9"/>
    </row>
    <row r="618" spans="1:1" ht="12.5">
      <c r="A618" s="9"/>
    </row>
    <row r="619" spans="1:1" ht="12.5">
      <c r="A619" s="9"/>
    </row>
    <row r="620" spans="1:1" ht="12.5">
      <c r="A620" s="9"/>
    </row>
    <row r="621" spans="1:1" ht="12.5">
      <c r="A621" s="9"/>
    </row>
    <row r="622" spans="1:1" ht="12.5">
      <c r="A622" s="9"/>
    </row>
    <row r="623" spans="1:1" ht="12.5">
      <c r="A623" s="9"/>
    </row>
    <row r="624" spans="1:1" ht="12.5">
      <c r="A624" s="9"/>
    </row>
    <row r="625" spans="1:1" ht="12.5">
      <c r="A625" s="9"/>
    </row>
    <row r="626" spans="1:1" ht="12.5">
      <c r="A626" s="9"/>
    </row>
    <row r="627" spans="1:1" ht="12.5">
      <c r="A627" s="9"/>
    </row>
    <row r="628" spans="1:1" ht="12.5">
      <c r="A628" s="9"/>
    </row>
    <row r="629" spans="1:1" ht="12.5">
      <c r="A629" s="9"/>
    </row>
    <row r="630" spans="1:1" ht="12.5">
      <c r="A630" s="9"/>
    </row>
    <row r="631" spans="1:1" ht="12.5">
      <c r="A631" s="9"/>
    </row>
    <row r="632" spans="1:1" ht="12.5">
      <c r="A632" s="9"/>
    </row>
    <row r="633" spans="1:1" ht="12.5">
      <c r="A633" s="9"/>
    </row>
    <row r="634" spans="1:1" ht="12.5">
      <c r="A634" s="9"/>
    </row>
    <row r="635" spans="1:1" ht="12.5">
      <c r="A635" s="9"/>
    </row>
    <row r="636" spans="1:1" ht="12.5">
      <c r="A636" s="9"/>
    </row>
    <row r="637" spans="1:1" ht="12.5">
      <c r="A637" s="9"/>
    </row>
    <row r="638" spans="1:1" ht="12.5">
      <c r="A638" s="9"/>
    </row>
    <row r="639" spans="1:1" ht="12.5">
      <c r="A639" s="9"/>
    </row>
    <row r="640" spans="1:1" ht="12.5">
      <c r="A640" s="9"/>
    </row>
    <row r="641" spans="1:1" ht="12.5">
      <c r="A641" s="9"/>
    </row>
    <row r="642" spans="1:1" ht="12.5">
      <c r="A642" s="9"/>
    </row>
    <row r="643" spans="1:1" ht="12.5">
      <c r="A643" s="9"/>
    </row>
    <row r="644" spans="1:1" ht="12.5">
      <c r="A644" s="9"/>
    </row>
    <row r="645" spans="1:1" ht="12.5">
      <c r="A645" s="9"/>
    </row>
    <row r="646" spans="1:1" ht="12.5">
      <c r="A646" s="9"/>
    </row>
    <row r="647" spans="1:1" ht="12.5">
      <c r="A647" s="9"/>
    </row>
    <row r="648" spans="1:1" ht="12.5">
      <c r="A648" s="9"/>
    </row>
    <row r="649" spans="1:1" ht="12.5">
      <c r="A649" s="9"/>
    </row>
    <row r="650" spans="1:1" ht="12.5">
      <c r="A650" s="9"/>
    </row>
    <row r="651" spans="1:1" ht="12.5">
      <c r="A651" s="9"/>
    </row>
    <row r="652" spans="1:1" ht="12.5">
      <c r="A652" s="9"/>
    </row>
    <row r="653" spans="1:1" ht="12.5">
      <c r="A653" s="9"/>
    </row>
    <row r="654" spans="1:1" ht="12.5">
      <c r="A654" s="9"/>
    </row>
    <row r="655" spans="1:1" ht="12.5">
      <c r="A655" s="9"/>
    </row>
    <row r="656" spans="1:1" ht="12.5">
      <c r="A656" s="9"/>
    </row>
    <row r="657" spans="1:1" ht="12.5">
      <c r="A657" s="9"/>
    </row>
    <row r="658" spans="1:1" ht="12.5">
      <c r="A658" s="9"/>
    </row>
    <row r="659" spans="1:1" ht="12.5">
      <c r="A659" s="9"/>
    </row>
    <row r="660" spans="1:1" ht="12.5">
      <c r="A660" s="9"/>
    </row>
    <row r="661" spans="1:1" ht="12.5">
      <c r="A661" s="9"/>
    </row>
    <row r="662" spans="1:1" ht="12.5">
      <c r="A662" s="9"/>
    </row>
    <row r="663" spans="1:1" ht="12.5">
      <c r="A663" s="9"/>
    </row>
    <row r="664" spans="1:1" ht="12.5">
      <c r="A664" s="9"/>
    </row>
    <row r="665" spans="1:1" ht="12.5">
      <c r="A665" s="9"/>
    </row>
    <row r="666" spans="1:1" ht="12.5">
      <c r="A666" s="9"/>
    </row>
    <row r="667" spans="1:1" ht="12.5">
      <c r="A667" s="9"/>
    </row>
    <row r="668" spans="1:1" ht="12.5">
      <c r="A668" s="9"/>
    </row>
    <row r="669" spans="1:1" ht="12.5">
      <c r="A669" s="9"/>
    </row>
    <row r="670" spans="1:1" ht="12.5">
      <c r="A670" s="9"/>
    </row>
    <row r="671" spans="1:1" ht="12.5">
      <c r="A671" s="9"/>
    </row>
    <row r="672" spans="1:1" ht="12.5">
      <c r="A672" s="9"/>
    </row>
    <row r="673" spans="1:1" ht="12.5">
      <c r="A673" s="9"/>
    </row>
    <row r="674" spans="1:1" ht="12.5">
      <c r="A674" s="9"/>
    </row>
    <row r="675" spans="1:1" ht="12.5">
      <c r="A675" s="9"/>
    </row>
    <row r="676" spans="1:1" ht="12.5">
      <c r="A676" s="9"/>
    </row>
    <row r="677" spans="1:1" ht="12.5">
      <c r="A677" s="9"/>
    </row>
    <row r="678" spans="1:1" ht="12.5">
      <c r="A678" s="9"/>
    </row>
    <row r="679" spans="1:1" ht="12.5">
      <c r="A679" s="9"/>
    </row>
    <row r="680" spans="1:1" ht="12.5">
      <c r="A680" s="9"/>
    </row>
    <row r="681" spans="1:1" ht="12.5">
      <c r="A681" s="9"/>
    </row>
    <row r="682" spans="1:1" ht="12.5">
      <c r="A682" s="9"/>
    </row>
    <row r="683" spans="1:1" ht="12.5">
      <c r="A683" s="9"/>
    </row>
    <row r="684" spans="1:1" ht="12.5">
      <c r="A684" s="9"/>
    </row>
    <row r="685" spans="1:1" ht="12.5">
      <c r="A685" s="9"/>
    </row>
    <row r="686" spans="1:1" ht="12.5">
      <c r="A686" s="9"/>
    </row>
    <row r="687" spans="1:1" ht="12.5">
      <c r="A687" s="9"/>
    </row>
    <row r="688" spans="1:1" ht="12.5">
      <c r="A688" s="9"/>
    </row>
    <row r="689" spans="1:1" ht="12.5">
      <c r="A689" s="9"/>
    </row>
    <row r="690" spans="1:1" ht="12.5">
      <c r="A690" s="9"/>
    </row>
    <row r="691" spans="1:1" ht="12.5">
      <c r="A691" s="9"/>
    </row>
    <row r="692" spans="1:1" ht="12.5">
      <c r="A692" s="9"/>
    </row>
    <row r="693" spans="1:1" ht="12.5">
      <c r="A693" s="9"/>
    </row>
    <row r="694" spans="1:1" ht="12.5">
      <c r="A694" s="9"/>
    </row>
    <row r="695" spans="1:1" ht="12.5">
      <c r="A695" s="9"/>
    </row>
    <row r="696" spans="1:1" ht="12.5">
      <c r="A696" s="9"/>
    </row>
    <row r="697" spans="1:1" ht="12.5">
      <c r="A697" s="9"/>
    </row>
    <row r="698" spans="1:1" ht="12.5">
      <c r="A698" s="9"/>
    </row>
    <row r="699" spans="1:1" ht="12.5">
      <c r="A699" s="9"/>
    </row>
    <row r="700" spans="1:1" ht="12.5">
      <c r="A700" s="9"/>
    </row>
    <row r="701" spans="1:1" ht="12.5">
      <c r="A701" s="9"/>
    </row>
    <row r="702" spans="1:1" ht="12.5">
      <c r="A702" s="9"/>
    </row>
    <row r="703" spans="1:1" ht="12.5">
      <c r="A703" s="9"/>
    </row>
    <row r="704" spans="1:1" ht="12.5">
      <c r="A704" s="9"/>
    </row>
    <row r="705" spans="1:1" ht="12.5">
      <c r="A705" s="9"/>
    </row>
    <row r="706" spans="1:1" ht="12.5">
      <c r="A706" s="9"/>
    </row>
    <row r="707" spans="1:1" ht="12.5">
      <c r="A707" s="9"/>
    </row>
    <row r="708" spans="1:1" ht="12.5">
      <c r="A708" s="9"/>
    </row>
    <row r="709" spans="1:1" ht="12.5">
      <c r="A709" s="9"/>
    </row>
    <row r="710" spans="1:1" ht="12.5">
      <c r="A710" s="9"/>
    </row>
    <row r="711" spans="1:1" ht="12.5">
      <c r="A711" s="9"/>
    </row>
    <row r="712" spans="1:1" ht="12.5">
      <c r="A712" s="9"/>
    </row>
    <row r="713" spans="1:1" ht="12.5">
      <c r="A713" s="9"/>
    </row>
    <row r="714" spans="1:1" ht="12.5">
      <c r="A714" s="9"/>
    </row>
    <row r="715" spans="1:1" ht="12.5">
      <c r="A715" s="9"/>
    </row>
    <row r="716" spans="1:1" ht="12.5">
      <c r="A716" s="9"/>
    </row>
    <row r="717" spans="1:1" ht="12.5">
      <c r="A717" s="9"/>
    </row>
    <row r="718" spans="1:1" ht="12.5">
      <c r="A718" s="9"/>
    </row>
    <row r="719" spans="1:1" ht="12.5">
      <c r="A719" s="9"/>
    </row>
    <row r="720" spans="1:1" ht="12.5">
      <c r="A720" s="9"/>
    </row>
    <row r="721" spans="1:1" ht="12.5">
      <c r="A721" s="9"/>
    </row>
    <row r="722" spans="1:1" ht="12.5">
      <c r="A722" s="9"/>
    </row>
    <row r="723" spans="1:1" ht="12.5">
      <c r="A723" s="9"/>
    </row>
    <row r="724" spans="1:1" ht="12.5">
      <c r="A724" s="9"/>
    </row>
    <row r="725" spans="1:1" ht="12.5">
      <c r="A725" s="9"/>
    </row>
    <row r="726" spans="1:1" ht="12.5">
      <c r="A726" s="9"/>
    </row>
    <row r="727" spans="1:1" ht="12.5">
      <c r="A727" s="9"/>
    </row>
    <row r="728" spans="1:1" ht="12.5">
      <c r="A728" s="9"/>
    </row>
    <row r="729" spans="1:1" ht="12.5">
      <c r="A729" s="9"/>
    </row>
    <row r="730" spans="1:1" ht="12.5">
      <c r="A730" s="9"/>
    </row>
    <row r="731" spans="1:1" ht="12.5">
      <c r="A731" s="9"/>
    </row>
    <row r="732" spans="1:1" ht="12.5">
      <c r="A732" s="9"/>
    </row>
    <row r="733" spans="1:1" ht="12.5">
      <c r="A733" s="9"/>
    </row>
    <row r="734" spans="1:1" ht="12.5">
      <c r="A734" s="9"/>
    </row>
    <row r="735" spans="1:1" ht="12.5">
      <c r="A735" s="9"/>
    </row>
    <row r="736" spans="1:1" ht="12.5">
      <c r="A736" s="9"/>
    </row>
    <row r="737" spans="1:1" ht="12.5">
      <c r="A737" s="9"/>
    </row>
    <row r="738" spans="1:1" ht="12.5">
      <c r="A738" s="9"/>
    </row>
    <row r="739" spans="1:1" ht="12.5">
      <c r="A739" s="9"/>
    </row>
    <row r="740" spans="1:1" ht="12.5">
      <c r="A740" s="9"/>
    </row>
    <row r="741" spans="1:1" ht="12.5">
      <c r="A741" s="9"/>
    </row>
    <row r="742" spans="1:1" ht="12.5">
      <c r="A742" s="9"/>
    </row>
    <row r="743" spans="1:1" ht="12.5">
      <c r="A743" s="9"/>
    </row>
    <row r="744" spans="1:1" ht="12.5">
      <c r="A744" s="9"/>
    </row>
    <row r="745" spans="1:1" ht="12.5">
      <c r="A745" s="9"/>
    </row>
    <row r="746" spans="1:1" ht="12.5">
      <c r="A746" s="9"/>
    </row>
    <row r="747" spans="1:1" ht="12.5">
      <c r="A747" s="9"/>
    </row>
    <row r="748" spans="1:1" ht="12.5">
      <c r="A748" s="9"/>
    </row>
    <row r="749" spans="1:1" ht="12.5">
      <c r="A749" s="9"/>
    </row>
    <row r="750" spans="1:1" ht="12.5">
      <c r="A750" s="9"/>
    </row>
    <row r="751" spans="1:1" ht="12.5">
      <c r="A751" s="9"/>
    </row>
    <row r="752" spans="1:1" ht="12.5">
      <c r="A752" s="9"/>
    </row>
    <row r="753" spans="1:1" ht="12.5">
      <c r="A753" s="9"/>
    </row>
    <row r="754" spans="1:1" ht="12.5">
      <c r="A754" s="9"/>
    </row>
    <row r="755" spans="1:1" ht="12.5">
      <c r="A755" s="9"/>
    </row>
    <row r="756" spans="1:1" ht="12.5">
      <c r="A756" s="9"/>
    </row>
    <row r="757" spans="1:1" ht="12.5">
      <c r="A757" s="9"/>
    </row>
    <row r="758" spans="1:1" ht="12.5">
      <c r="A758" s="9"/>
    </row>
    <row r="759" spans="1:1" ht="12.5">
      <c r="A759" s="9"/>
    </row>
    <row r="760" spans="1:1" ht="12.5">
      <c r="A760" s="9"/>
    </row>
    <row r="761" spans="1:1" ht="12.5">
      <c r="A761" s="9"/>
    </row>
    <row r="762" spans="1:1" ht="12.5">
      <c r="A762" s="9"/>
    </row>
    <row r="763" spans="1:1" ht="12.5">
      <c r="A763" s="9"/>
    </row>
    <row r="764" spans="1:1" ht="12.5">
      <c r="A764" s="9"/>
    </row>
    <row r="765" spans="1:1" ht="12.5">
      <c r="A765" s="9"/>
    </row>
    <row r="766" spans="1:1" ht="12.5">
      <c r="A766" s="9"/>
    </row>
    <row r="767" spans="1:1" ht="12.5">
      <c r="A767" s="9"/>
    </row>
    <row r="768" spans="1:1" ht="12.5">
      <c r="A768" s="9"/>
    </row>
    <row r="769" spans="1:1" ht="12.5">
      <c r="A769" s="9"/>
    </row>
    <row r="770" spans="1:1" ht="12.5">
      <c r="A770" s="9"/>
    </row>
    <row r="771" spans="1:1" ht="12.5">
      <c r="A771" s="9"/>
    </row>
    <row r="772" spans="1:1" ht="12.5">
      <c r="A772" s="9"/>
    </row>
    <row r="773" spans="1:1" ht="12.5">
      <c r="A773" s="9"/>
    </row>
    <row r="774" spans="1:1" ht="12.5">
      <c r="A774" s="9"/>
    </row>
    <row r="775" spans="1:1" ht="12.5">
      <c r="A775" s="9"/>
    </row>
    <row r="776" spans="1:1" ht="12.5">
      <c r="A776" s="9"/>
    </row>
    <row r="777" spans="1:1" ht="12.5">
      <c r="A777" s="9"/>
    </row>
    <row r="778" spans="1:1" ht="12.5">
      <c r="A778" s="9"/>
    </row>
    <row r="779" spans="1:1" ht="12.5">
      <c r="A779" s="9"/>
    </row>
    <row r="780" spans="1:1" ht="12.5">
      <c r="A780" s="9"/>
    </row>
    <row r="781" spans="1:1" ht="12.5">
      <c r="A781" s="9"/>
    </row>
    <row r="782" spans="1:1" ht="12.5">
      <c r="A782" s="9"/>
    </row>
    <row r="783" spans="1:1" ht="12.5">
      <c r="A783" s="9"/>
    </row>
    <row r="784" spans="1:1" ht="12.5">
      <c r="A784" s="9"/>
    </row>
    <row r="785" spans="1:1" ht="12.5">
      <c r="A785" s="9"/>
    </row>
    <row r="786" spans="1:1" ht="12.5">
      <c r="A786" s="9"/>
    </row>
    <row r="787" spans="1:1" ht="12.5">
      <c r="A787" s="9"/>
    </row>
    <row r="788" spans="1:1" ht="12.5">
      <c r="A788" s="9"/>
    </row>
    <row r="789" spans="1:1" ht="12.5">
      <c r="A789" s="9"/>
    </row>
    <row r="790" spans="1:1" ht="12.5">
      <c r="A790" s="9"/>
    </row>
    <row r="791" spans="1:1" ht="12.5">
      <c r="A791" s="9"/>
    </row>
    <row r="792" spans="1:1" ht="12.5">
      <c r="A792" s="9"/>
    </row>
    <row r="793" spans="1:1" ht="12.5">
      <c r="A793" s="9"/>
    </row>
    <row r="794" spans="1:1" ht="12.5">
      <c r="A794" s="9"/>
    </row>
    <row r="795" spans="1:1" ht="12.5">
      <c r="A795" s="9"/>
    </row>
    <row r="796" spans="1:1" ht="12.5">
      <c r="A796" s="9"/>
    </row>
    <row r="797" spans="1:1" ht="12.5">
      <c r="A797" s="9"/>
    </row>
    <row r="798" spans="1:1" ht="12.5">
      <c r="A798" s="9"/>
    </row>
    <row r="799" spans="1:1" ht="12.5">
      <c r="A799" s="9"/>
    </row>
    <row r="800" spans="1:1" ht="12.5">
      <c r="A800" s="9"/>
    </row>
    <row r="801" spans="1:1" ht="12.5">
      <c r="A801" s="9"/>
    </row>
    <row r="802" spans="1:1" ht="12.5">
      <c r="A802" s="9"/>
    </row>
    <row r="803" spans="1:1" ht="12.5">
      <c r="A803" s="9"/>
    </row>
    <row r="804" spans="1:1" ht="12.5">
      <c r="A804" s="9"/>
    </row>
    <row r="805" spans="1:1" ht="12.5">
      <c r="A805" s="9"/>
    </row>
    <row r="806" spans="1:1" ht="12.5">
      <c r="A806" s="9"/>
    </row>
    <row r="807" spans="1:1" ht="12.5">
      <c r="A807" s="9"/>
    </row>
    <row r="808" spans="1:1" ht="12.5">
      <c r="A808" s="9"/>
    </row>
    <row r="809" spans="1:1" ht="12.5">
      <c r="A809" s="9"/>
    </row>
    <row r="810" spans="1:1" ht="12.5">
      <c r="A810" s="9"/>
    </row>
    <row r="811" spans="1:1" ht="12.5">
      <c r="A811" s="9"/>
    </row>
    <row r="812" spans="1:1" ht="12.5">
      <c r="A812" s="9"/>
    </row>
    <row r="813" spans="1:1" ht="12.5">
      <c r="A813" s="9"/>
    </row>
    <row r="814" spans="1:1" ht="12.5">
      <c r="A814" s="9"/>
    </row>
    <row r="815" spans="1:1" ht="12.5">
      <c r="A815" s="9"/>
    </row>
    <row r="816" spans="1:1" ht="12.5">
      <c r="A816" s="9"/>
    </row>
    <row r="817" spans="1:1" ht="12.5">
      <c r="A817" s="9"/>
    </row>
    <row r="818" spans="1:1" ht="12.5">
      <c r="A818" s="9"/>
    </row>
    <row r="819" spans="1:1" ht="12.5">
      <c r="A819" s="9"/>
    </row>
    <row r="820" spans="1:1" ht="12.5">
      <c r="A820" s="9"/>
    </row>
    <row r="821" spans="1:1" ht="12.5">
      <c r="A821" s="9"/>
    </row>
    <row r="822" spans="1:1" ht="12.5">
      <c r="A822" s="9"/>
    </row>
    <row r="823" spans="1:1" ht="12.5">
      <c r="A823" s="9"/>
    </row>
    <row r="824" spans="1:1" ht="12.5">
      <c r="A824" s="9"/>
    </row>
    <row r="825" spans="1:1" ht="12.5">
      <c r="A825" s="9"/>
    </row>
    <row r="826" spans="1:1" ht="12.5">
      <c r="A826" s="9"/>
    </row>
    <row r="827" spans="1:1" ht="12.5">
      <c r="A827" s="9"/>
    </row>
    <row r="828" spans="1:1" ht="12.5">
      <c r="A828" s="9"/>
    </row>
    <row r="829" spans="1:1" ht="12.5">
      <c r="A829" s="9"/>
    </row>
    <row r="830" spans="1:1" ht="12.5">
      <c r="A830" s="9"/>
    </row>
    <row r="831" spans="1:1" ht="12.5">
      <c r="A831" s="9"/>
    </row>
    <row r="832" spans="1:1" ht="12.5">
      <c r="A832" s="9"/>
    </row>
    <row r="833" spans="1:1" ht="12.5">
      <c r="A833" s="9"/>
    </row>
    <row r="834" spans="1:1" ht="12.5">
      <c r="A834" s="9"/>
    </row>
    <row r="835" spans="1:1" ht="12.5">
      <c r="A835" s="9"/>
    </row>
    <row r="836" spans="1:1" ht="12.5">
      <c r="A836" s="9"/>
    </row>
    <row r="837" spans="1:1" ht="12.5">
      <c r="A837" s="9"/>
    </row>
    <row r="838" spans="1:1" ht="12.5">
      <c r="A838" s="9"/>
    </row>
    <row r="839" spans="1:1" ht="12.5">
      <c r="A839" s="9"/>
    </row>
    <row r="840" spans="1:1" ht="12.5">
      <c r="A840" s="9"/>
    </row>
    <row r="841" spans="1:1" ht="12.5">
      <c r="A841" s="9"/>
    </row>
    <row r="842" spans="1:1" ht="12.5">
      <c r="A842" s="9"/>
    </row>
    <row r="843" spans="1:1" ht="12.5">
      <c r="A843" s="9"/>
    </row>
    <row r="844" spans="1:1" ht="12.5">
      <c r="A844" s="9"/>
    </row>
    <row r="845" spans="1:1" ht="12.5">
      <c r="A845" s="9"/>
    </row>
    <row r="846" spans="1:1" ht="12.5">
      <c r="A846" s="9"/>
    </row>
    <row r="847" spans="1:1" ht="12.5">
      <c r="A847" s="9"/>
    </row>
    <row r="848" spans="1:1" ht="12.5">
      <c r="A848" s="9"/>
    </row>
    <row r="849" spans="1:1" ht="12.5">
      <c r="A849" s="9"/>
    </row>
    <row r="850" spans="1:1" ht="12.5">
      <c r="A850" s="9"/>
    </row>
    <row r="851" spans="1:1" ht="12.5">
      <c r="A851" s="9"/>
    </row>
    <row r="852" spans="1:1" ht="12.5">
      <c r="A852" s="9"/>
    </row>
    <row r="853" spans="1:1" ht="12.5">
      <c r="A853" s="9"/>
    </row>
    <row r="854" spans="1:1" ht="12.5">
      <c r="A854" s="9"/>
    </row>
    <row r="855" spans="1:1" ht="12.5">
      <c r="A855" s="9"/>
    </row>
    <row r="856" spans="1:1" ht="12.5">
      <c r="A856" s="9"/>
    </row>
    <row r="857" spans="1:1" ht="12.5">
      <c r="A857" s="9"/>
    </row>
    <row r="858" spans="1:1" ht="12.5">
      <c r="A858" s="9"/>
    </row>
    <row r="859" spans="1:1" ht="12.5">
      <c r="A859" s="9"/>
    </row>
    <row r="860" spans="1:1" ht="12.5">
      <c r="A860" s="9"/>
    </row>
    <row r="861" spans="1:1" ht="12.5">
      <c r="A861" s="9"/>
    </row>
    <row r="862" spans="1:1" ht="12.5">
      <c r="A862" s="9"/>
    </row>
    <row r="863" spans="1:1" ht="12.5">
      <c r="A863" s="9"/>
    </row>
    <row r="864" spans="1:1" ht="12.5">
      <c r="A864" s="9"/>
    </row>
    <row r="865" spans="1:1" ht="12.5">
      <c r="A865" s="9"/>
    </row>
    <row r="866" spans="1:1" ht="12.5">
      <c r="A866" s="9"/>
    </row>
    <row r="867" spans="1:1" ht="12.5">
      <c r="A867" s="9"/>
    </row>
    <row r="868" spans="1:1" ht="12.5">
      <c r="A868" s="9"/>
    </row>
    <row r="869" spans="1:1" ht="12.5">
      <c r="A869" s="9"/>
    </row>
    <row r="870" spans="1:1" ht="12.5">
      <c r="A870" s="9"/>
    </row>
    <row r="871" spans="1:1" ht="12.5">
      <c r="A871" s="9"/>
    </row>
    <row r="872" spans="1:1" ht="12.5">
      <c r="A872" s="9"/>
    </row>
    <row r="873" spans="1:1" ht="12.5">
      <c r="A873" s="9"/>
    </row>
    <row r="874" spans="1:1" ht="12.5">
      <c r="A874" s="9"/>
    </row>
    <row r="875" spans="1:1" ht="12.5">
      <c r="A875" s="9"/>
    </row>
    <row r="876" spans="1:1" ht="12.5">
      <c r="A876" s="9"/>
    </row>
    <row r="877" spans="1:1" ht="12.5">
      <c r="A877" s="9"/>
    </row>
    <row r="878" spans="1:1" ht="12.5">
      <c r="A878" s="9"/>
    </row>
    <row r="879" spans="1:1" ht="12.5">
      <c r="A879" s="9"/>
    </row>
    <row r="880" spans="1:1" ht="12.5">
      <c r="A880" s="9"/>
    </row>
    <row r="881" spans="1:1" ht="12.5">
      <c r="A881" s="9"/>
    </row>
    <row r="882" spans="1:1" ht="12.5">
      <c r="A882" s="9"/>
    </row>
    <row r="883" spans="1:1" ht="12.5">
      <c r="A883" s="9"/>
    </row>
    <row r="884" spans="1:1" ht="12.5">
      <c r="A884" s="9"/>
    </row>
    <row r="885" spans="1:1" ht="12.5">
      <c r="A885" s="9"/>
    </row>
    <row r="886" spans="1:1" ht="12.5">
      <c r="A886" s="9"/>
    </row>
    <row r="887" spans="1:1" ht="12.5">
      <c r="A887" s="9"/>
    </row>
    <row r="888" spans="1:1" ht="12.5">
      <c r="A888" s="9"/>
    </row>
    <row r="889" spans="1:1" ht="12.5">
      <c r="A889" s="9"/>
    </row>
    <row r="890" spans="1:1" ht="12.5">
      <c r="A890" s="9"/>
    </row>
    <row r="891" spans="1:1" ht="12.5">
      <c r="A891" s="9"/>
    </row>
    <row r="892" spans="1:1" ht="12.5">
      <c r="A892" s="9"/>
    </row>
    <row r="893" spans="1:1" ht="12.5">
      <c r="A893" s="9"/>
    </row>
    <row r="894" spans="1:1" ht="12.5">
      <c r="A894" s="9"/>
    </row>
    <row r="895" spans="1:1" ht="12.5">
      <c r="A895" s="9"/>
    </row>
    <row r="896" spans="1:1" ht="12.5">
      <c r="A896" s="9"/>
    </row>
    <row r="897" spans="1:1" ht="12.5">
      <c r="A897" s="9"/>
    </row>
    <row r="898" spans="1:1" ht="12.5">
      <c r="A898" s="9"/>
    </row>
    <row r="899" spans="1:1" ht="12.5">
      <c r="A899" s="9"/>
    </row>
    <row r="900" spans="1:1" ht="12.5">
      <c r="A900" s="9"/>
    </row>
    <row r="901" spans="1:1" ht="12.5">
      <c r="A901" s="9"/>
    </row>
    <row r="902" spans="1:1" ht="12.5">
      <c r="A902" s="9"/>
    </row>
    <row r="903" spans="1:1" ht="12.5">
      <c r="A903" s="9"/>
    </row>
    <row r="904" spans="1:1" ht="12.5">
      <c r="A904" s="9"/>
    </row>
    <row r="905" spans="1:1" ht="12.5">
      <c r="A905" s="9"/>
    </row>
    <row r="906" spans="1:1" ht="12.5">
      <c r="A906" s="9"/>
    </row>
    <row r="907" spans="1:1" ht="12.5">
      <c r="A907" s="9"/>
    </row>
    <row r="908" spans="1:1" ht="12.5">
      <c r="A908" s="9"/>
    </row>
    <row r="909" spans="1:1" ht="12.5">
      <c r="A909" s="9"/>
    </row>
    <row r="910" spans="1:1" ht="12.5">
      <c r="A910" s="9"/>
    </row>
    <row r="911" spans="1:1" ht="12.5">
      <c r="A911" s="9"/>
    </row>
    <row r="912" spans="1:1" ht="12.5">
      <c r="A912" s="9"/>
    </row>
    <row r="913" spans="1:1" ht="12.5">
      <c r="A913" s="9"/>
    </row>
    <row r="914" spans="1:1" ht="12.5">
      <c r="A914" s="9"/>
    </row>
    <row r="915" spans="1:1" ht="12.5">
      <c r="A915" s="9"/>
    </row>
    <row r="916" spans="1:1" ht="12.5">
      <c r="A916" s="9"/>
    </row>
    <row r="917" spans="1:1" ht="12.5">
      <c r="A917" s="9"/>
    </row>
    <row r="918" spans="1:1" ht="12.5">
      <c r="A918" s="9"/>
    </row>
    <row r="919" spans="1:1" ht="12.5">
      <c r="A919" s="9"/>
    </row>
    <row r="920" spans="1:1" ht="12.5">
      <c r="A920" s="9"/>
    </row>
    <row r="921" spans="1:1" ht="12.5">
      <c r="A921" s="9"/>
    </row>
    <row r="922" spans="1:1" ht="12.5">
      <c r="A922" s="9"/>
    </row>
    <row r="923" spans="1:1" ht="12.5">
      <c r="A923" s="9"/>
    </row>
    <row r="924" spans="1:1" ht="12.5">
      <c r="A924" s="9"/>
    </row>
    <row r="925" spans="1:1" ht="12.5">
      <c r="A925" s="9"/>
    </row>
    <row r="926" spans="1:1" ht="12.5">
      <c r="A926" s="9"/>
    </row>
    <row r="927" spans="1:1" ht="12.5">
      <c r="A927" s="9"/>
    </row>
    <row r="928" spans="1:1" ht="12.5">
      <c r="A928" s="9"/>
    </row>
    <row r="929" spans="1:1" ht="12.5">
      <c r="A929" s="9"/>
    </row>
    <row r="930" spans="1:1" ht="12.5">
      <c r="A930" s="9"/>
    </row>
    <row r="931" spans="1:1" ht="12.5">
      <c r="A931" s="9"/>
    </row>
    <row r="932" spans="1:1" ht="12.5">
      <c r="A932" s="9"/>
    </row>
    <row r="933" spans="1:1" ht="12.5">
      <c r="A933" s="9"/>
    </row>
    <row r="934" spans="1:1" ht="12.5">
      <c r="A934" s="9"/>
    </row>
    <row r="935" spans="1:1" ht="12.5">
      <c r="A935" s="9"/>
    </row>
    <row r="936" spans="1:1" ht="12.5">
      <c r="A936" s="9"/>
    </row>
    <row r="937" spans="1:1" ht="12.5">
      <c r="A937" s="9"/>
    </row>
    <row r="938" spans="1:1" ht="12.5">
      <c r="A938" s="9"/>
    </row>
    <row r="939" spans="1:1" ht="12.5">
      <c r="A939" s="9"/>
    </row>
    <row r="940" spans="1:1" ht="12.5">
      <c r="A940" s="9"/>
    </row>
    <row r="941" spans="1:1" ht="12.5">
      <c r="A941" s="9"/>
    </row>
    <row r="942" spans="1:1" ht="12.5">
      <c r="A942" s="9"/>
    </row>
    <row r="943" spans="1:1" ht="12.5">
      <c r="A943" s="9"/>
    </row>
    <row r="944" spans="1:1" ht="12.5">
      <c r="A944" s="9"/>
    </row>
    <row r="945" spans="1:1" ht="12.5">
      <c r="A945" s="9"/>
    </row>
    <row r="946" spans="1:1" ht="12.5">
      <c r="A946" s="9"/>
    </row>
    <row r="947" spans="1:1" ht="12.5">
      <c r="A947" s="9"/>
    </row>
    <row r="948" spans="1:1" ht="12.5">
      <c r="A948" s="9"/>
    </row>
    <row r="949" spans="1:1" ht="12.5">
      <c r="A949" s="9"/>
    </row>
    <row r="950" spans="1:1" ht="12.5">
      <c r="A950" s="9"/>
    </row>
    <row r="951" spans="1:1" ht="12.5">
      <c r="A951" s="9"/>
    </row>
    <row r="952" spans="1:1" ht="12.5">
      <c r="A952" s="9"/>
    </row>
    <row r="953" spans="1:1" ht="12.5">
      <c r="A953" s="9"/>
    </row>
    <row r="954" spans="1:1" ht="12.5">
      <c r="A954" s="9"/>
    </row>
    <row r="955" spans="1:1" ht="12.5">
      <c r="A955" s="9"/>
    </row>
    <row r="956" spans="1:1" ht="12.5">
      <c r="A956" s="9"/>
    </row>
    <row r="957" spans="1:1" ht="12.5">
      <c r="A957" s="9"/>
    </row>
    <row r="958" spans="1:1" ht="12.5">
      <c r="A958" s="9"/>
    </row>
    <row r="959" spans="1:1" ht="12.5">
      <c r="A959" s="9"/>
    </row>
    <row r="960" spans="1:1" ht="12.5">
      <c r="A960" s="9"/>
    </row>
    <row r="961" spans="1:1" ht="12.5">
      <c r="A961" s="9"/>
    </row>
    <row r="962" spans="1:1" ht="12.5">
      <c r="A962" s="9"/>
    </row>
    <row r="963" spans="1:1" ht="12.5">
      <c r="A963" s="9"/>
    </row>
    <row r="964" spans="1:1" ht="12.5">
      <c r="A964" s="9"/>
    </row>
    <row r="965" spans="1:1" ht="12.5">
      <c r="A965" s="9"/>
    </row>
    <row r="966" spans="1:1" ht="12.5">
      <c r="A966" s="9"/>
    </row>
    <row r="967" spans="1:1" ht="12.5">
      <c r="A967" s="9"/>
    </row>
    <row r="968" spans="1:1" ht="12.5">
      <c r="A968" s="9"/>
    </row>
    <row r="969" spans="1:1" ht="12.5">
      <c r="A969" s="9"/>
    </row>
    <row r="970" spans="1:1" ht="12.5">
      <c r="A970" s="9"/>
    </row>
    <row r="971" spans="1:1" ht="12.5">
      <c r="A971" s="9"/>
    </row>
    <row r="972" spans="1:1" ht="12.5">
      <c r="A972" s="9"/>
    </row>
    <row r="973" spans="1:1" ht="12.5">
      <c r="A973" s="9"/>
    </row>
    <row r="974" spans="1:1" ht="12.5">
      <c r="A974" s="9"/>
    </row>
    <row r="975" spans="1:1" ht="12.5">
      <c r="A975" s="9"/>
    </row>
    <row r="976" spans="1:1" ht="12.5">
      <c r="A976" s="9"/>
    </row>
    <row r="977" spans="1:1" ht="12.5">
      <c r="A977" s="9"/>
    </row>
    <row r="978" spans="1:1" ht="12.5">
      <c r="A978" s="9"/>
    </row>
    <row r="979" spans="1:1" ht="12.5">
      <c r="A979" s="9"/>
    </row>
    <row r="980" spans="1:1" ht="12.5">
      <c r="A980" s="9"/>
    </row>
    <row r="981" spans="1:1" ht="12.5">
      <c r="A981" s="9"/>
    </row>
    <row r="982" spans="1:1" ht="12.5">
      <c r="A982" s="9"/>
    </row>
    <row r="983" spans="1:1" ht="12.5">
      <c r="A983" s="9"/>
    </row>
    <row r="984" spans="1:1" ht="12.5">
      <c r="A984" s="9"/>
    </row>
    <row r="985" spans="1:1" ht="12.5">
      <c r="A985" s="9"/>
    </row>
    <row r="986" spans="1:1" ht="12.5">
      <c r="A986" s="9"/>
    </row>
    <row r="987" spans="1:1" ht="12.5">
      <c r="A987" s="9"/>
    </row>
    <row r="988" spans="1:1" ht="12.5">
      <c r="A988" s="9"/>
    </row>
    <row r="989" spans="1:1" ht="12.5">
      <c r="A989" s="9"/>
    </row>
    <row r="990" spans="1:1" ht="12.5">
      <c r="A990" s="9"/>
    </row>
    <row r="991" spans="1:1" ht="12.5">
      <c r="A991" s="9"/>
    </row>
    <row r="992" spans="1:1" ht="12.5">
      <c r="A992" s="9"/>
    </row>
    <row r="993" spans="1:1" ht="12.5">
      <c r="A993" s="9"/>
    </row>
    <row r="994" spans="1:1" ht="12.5">
      <c r="A994" s="9"/>
    </row>
    <row r="995" spans="1:1" ht="12.5">
      <c r="A995" s="9"/>
    </row>
    <row r="996" spans="1:1" ht="12.5">
      <c r="A996" s="9"/>
    </row>
    <row r="997" spans="1:1" ht="12.5">
      <c r="A997" s="9"/>
    </row>
    <row r="998" spans="1:1" ht="12.5">
      <c r="A998" s="9"/>
    </row>
    <row r="999" spans="1:1" ht="12.5">
      <c r="A999" s="9"/>
    </row>
    <row r="1000" spans="1:1" ht="12.5">
      <c r="A1000"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1000"/>
  <sheetViews>
    <sheetView workbookViewId="0"/>
  </sheetViews>
  <sheetFormatPr defaultColWidth="12.6328125" defaultRowHeight="15.75" customHeight="1"/>
  <sheetData>
    <row r="1" spans="1:1" ht="14">
      <c r="A1" s="77" t="str">
        <f ca="1">IFERROR(__xludf.DUMMYFUNCTION("IMPORTRANGE(""https://docs.google.com/spreadsheets/d/14vPQhjkb1FnoIkJTl9wXcWKUYOGYFHiTODOOwUvftKU"", ""Deals!$A2:$A"")"),"American Chemical Society TA 2022")</f>
        <v>American Chemical Society TA 2022</v>
      </c>
    </row>
    <row r="2" spans="1:1" ht="15.75" customHeight="1">
      <c r="A2" s="9" t="str">
        <f ca="1">IFERROR(__xludf.DUMMYFUNCTION("""COMPUTED_VALUE"""),"American Chemical Society TA 2023")</f>
        <v>American Chemical Society TA 2023</v>
      </c>
    </row>
    <row r="3" spans="1:1" ht="15.75" customHeight="1">
      <c r="A3" s="9" t="str">
        <f ca="1">IFERROR(__xludf.DUMMYFUNCTION("""COMPUTED_VALUE"""),"American Chemical Society TA 2024")</f>
        <v>American Chemical Society TA 2024</v>
      </c>
    </row>
    <row r="4" spans="1:1" ht="15.75" customHeight="1">
      <c r="A4" s="9" t="str">
        <f ca="1">IFERROR(__xludf.DUMMYFUNCTION("""COMPUTED_VALUE"""),"American Institute of Physics TA 2022")</f>
        <v>American Institute of Physics TA 2022</v>
      </c>
    </row>
    <row r="5" spans="1:1" ht="15.75" customHeight="1">
      <c r="A5" s="9" t="str">
        <f ca="1">IFERROR(__xludf.DUMMYFUNCTION("""COMPUTED_VALUE"""),"American Institute of Physics TA 2023")</f>
        <v>American Institute of Physics TA 2023</v>
      </c>
    </row>
    <row r="6" spans="1:1" ht="15.75" customHeight="1">
      <c r="A6" s="9" t="str">
        <f ca="1">IFERROR(__xludf.DUMMYFUNCTION("""COMPUTED_VALUE"""),"American Institute of Physics TA 2024")</f>
        <v>American Institute of Physics TA 2024</v>
      </c>
    </row>
    <row r="7" spans="1:1" ht="15.75" customHeight="1">
      <c r="A7" s="9" t="str">
        <f ca="1">IFERROR(__xludf.DUMMYFUNCTION("""COMPUTED_VALUE"""),"American Institute of Physics TA 2025")</f>
        <v>American Institute of Physics TA 2025</v>
      </c>
    </row>
    <row r="8" spans="1:1" ht="15.75" customHeight="1">
      <c r="A8" s="9" t="str">
        <f ca="1">IFERROR(__xludf.DUMMYFUNCTION("""COMPUTED_VALUE"""),"American Physical Society TA 2023")</f>
        <v>American Physical Society TA 2023</v>
      </c>
    </row>
    <row r="9" spans="1:1" ht="15.75" customHeight="1">
      <c r="A9" s="9" t="str">
        <f ca="1">IFERROR(__xludf.DUMMYFUNCTION("""COMPUTED_VALUE"""),"American Physical Society TA 2024")</f>
        <v>American Physical Society TA 2024</v>
      </c>
    </row>
    <row r="10" spans="1:1" ht="15.75" customHeight="1">
      <c r="A10" s="9" t="str">
        <f ca="1">IFERROR(__xludf.DUMMYFUNCTION("""COMPUTED_VALUE"""),"American Physical Society TA 2025")</f>
        <v>American Physical Society TA 2025</v>
      </c>
    </row>
    <row r="11" spans="1:1" ht="15.75" customHeight="1">
      <c r="A11" s="9" t="str">
        <f ca="1">IFERROR(__xludf.DUMMYFUNCTION("""COMPUTED_VALUE"""),"American Psychological Association TA 2022-2023")</f>
        <v>American Psychological Association TA 2022-2023</v>
      </c>
    </row>
    <row r="12" spans="1:1" ht="12.5">
      <c r="A12" s="9" t="str">
        <f ca="1">IFERROR(__xludf.DUMMYFUNCTION("""COMPUTED_VALUE"""),"American Psychological Association TA 2023-2024")</f>
        <v>American Psychological Association TA 2023-2024</v>
      </c>
    </row>
    <row r="13" spans="1:1" ht="12.5">
      <c r="A13" s="9" t="str">
        <f ca="1">IFERROR(__xludf.DUMMYFUNCTION("""COMPUTED_VALUE"""),"Brill TA 2020")</f>
        <v>Brill TA 2020</v>
      </c>
    </row>
    <row r="14" spans="1:1" ht="12.5">
      <c r="A14" s="9" t="str">
        <f ca="1">IFERROR(__xludf.DUMMYFUNCTION("""COMPUTED_VALUE"""),"Brill TA 2021")</f>
        <v>Brill TA 2021</v>
      </c>
    </row>
    <row r="15" spans="1:1" ht="12.5">
      <c r="A15" s="9" t="str">
        <f ca="1">IFERROR(__xludf.DUMMYFUNCTION("""COMPUTED_VALUE"""),"Brill TA 2022")</f>
        <v>Brill TA 2022</v>
      </c>
    </row>
    <row r="16" spans="1:1" ht="12.5">
      <c r="A16" s="9" t="str">
        <f ca="1">IFERROR(__xludf.DUMMYFUNCTION("""COMPUTED_VALUE"""),"Brill TA 2023")</f>
        <v>Brill TA 2023</v>
      </c>
    </row>
    <row r="17" spans="1:1" ht="12.5">
      <c r="A17" s="9" t="str">
        <f ca="1">IFERROR(__xludf.DUMMYFUNCTION("""COMPUTED_VALUE"""),"Brill TA 2024")</f>
        <v>Brill TA 2024</v>
      </c>
    </row>
    <row r="18" spans="1:1" ht="12.5">
      <c r="A18" s="9" t="str">
        <f ca="1">IFERROR(__xludf.DUMMYFUNCTION("""COMPUTED_VALUE"""),"BMJ TA 2021")</f>
        <v>BMJ TA 2021</v>
      </c>
    </row>
    <row r="19" spans="1:1" ht="12.5">
      <c r="A19" s="9" t="str">
        <f ca="1">IFERROR(__xludf.DUMMYFUNCTION("""COMPUTED_VALUE"""),"BMJ TA 2022")</f>
        <v>BMJ TA 2022</v>
      </c>
    </row>
    <row r="20" spans="1:1" ht="12.5">
      <c r="A20" s="9" t="str">
        <f ca="1">IFERROR(__xludf.DUMMYFUNCTION("""COMPUTED_VALUE"""),"BMJ TA 2023")</f>
        <v>BMJ TA 2023</v>
      </c>
    </row>
    <row r="21" spans="1:1" ht="12.5">
      <c r="A21" s="9" t="str">
        <f ca="1">IFERROR(__xludf.DUMMYFUNCTION("""COMPUTED_VALUE"""),"BMJ TA 2024")</f>
        <v>BMJ TA 2024</v>
      </c>
    </row>
    <row r="22" spans="1:1" ht="12.5">
      <c r="A22" s="9" t="str">
        <f ca="1">IFERROR(__xludf.DUMMYFUNCTION("""COMPUTED_VALUE"""),"Bristol University Press TA 2023")</f>
        <v>Bristol University Press TA 2023</v>
      </c>
    </row>
    <row r="23" spans="1:1" ht="12.5">
      <c r="A23" s="9" t="str">
        <f ca="1">IFERROR(__xludf.DUMMYFUNCTION("""COMPUTED_VALUE"""),"Bristol University Press TA 2024")</f>
        <v>Bristol University Press TA 2024</v>
      </c>
    </row>
    <row r="24" spans="1:1" ht="12.5">
      <c r="A24" s="9" t="str">
        <f ca="1">IFERROR(__xludf.DUMMYFUNCTION("""COMPUTED_VALUE"""),"Company of Biologists TA 2020")</f>
        <v>Company of Biologists TA 2020</v>
      </c>
    </row>
    <row r="25" spans="1:1" ht="12.5">
      <c r="A25" s="9" t="str">
        <f ca="1">IFERROR(__xludf.DUMMYFUNCTION("""COMPUTED_VALUE"""),"Company of Biologists TA 2021")</f>
        <v>Company of Biologists TA 2021</v>
      </c>
    </row>
    <row r="26" spans="1:1" ht="12.5">
      <c r="A26" s="9" t="str">
        <f ca="1">IFERROR(__xludf.DUMMYFUNCTION("""COMPUTED_VALUE"""),"Company of Biologists TA 2022")</f>
        <v>Company of Biologists TA 2022</v>
      </c>
    </row>
    <row r="27" spans="1:1" ht="12.5">
      <c r="A27" s="9" t="str">
        <f ca="1">IFERROR(__xludf.DUMMYFUNCTION("""COMPUTED_VALUE"""),"Company of Biologists TA 2023")</f>
        <v>Company of Biologists TA 2023</v>
      </c>
    </row>
    <row r="28" spans="1:1" ht="12.5">
      <c r="A28" s="9" t="str">
        <f ca="1">IFERROR(__xludf.DUMMYFUNCTION("""COMPUTED_VALUE"""),"Company of Biologists TA 2024")</f>
        <v>Company of Biologists TA 2024</v>
      </c>
    </row>
    <row r="29" spans="1:1" ht="12.5">
      <c r="A29" s="9" t="str">
        <f ca="1">IFERROR(__xludf.DUMMYFUNCTION("""COMPUTED_VALUE"""),"Cambridge University Press TA 2021")</f>
        <v>Cambridge University Press TA 2021</v>
      </c>
    </row>
    <row r="30" spans="1:1" ht="12.5">
      <c r="A30" s="9" t="str">
        <f ca="1">IFERROR(__xludf.DUMMYFUNCTION("""COMPUTED_VALUE"""),"Cambridge University Press TA 2022")</f>
        <v>Cambridge University Press TA 2022</v>
      </c>
    </row>
    <row r="31" spans="1:1" ht="12.5">
      <c r="A31" s="9" t="str">
        <f ca="1">IFERROR(__xludf.DUMMYFUNCTION("""COMPUTED_VALUE"""),"Cambridge University Press TA 2023")</f>
        <v>Cambridge University Press TA 2023</v>
      </c>
    </row>
    <row r="32" spans="1:1" ht="12.5">
      <c r="A32" s="9" t="str">
        <f ca="1">IFERROR(__xludf.DUMMYFUNCTION("""COMPUTED_VALUE"""),"Cambridge University Press TA 2024")</f>
        <v>Cambridge University Press TA 2024</v>
      </c>
    </row>
    <row r="33" spans="1:1" ht="12.5">
      <c r="A33" s="9" t="str">
        <f ca="1">IFERROR(__xludf.DUMMYFUNCTION("""COMPUTED_VALUE"""),"Cold Spring Harbor Laboratory Press TA 2021")</f>
        <v>Cold Spring Harbor Laboratory Press TA 2021</v>
      </c>
    </row>
    <row r="34" spans="1:1" ht="12.5">
      <c r="A34" s="9" t="str">
        <f ca="1">IFERROR(__xludf.DUMMYFUNCTION("""COMPUTED_VALUE"""),"Cold Spring Harbor Laboratory Press TA 2022")</f>
        <v>Cold Spring Harbor Laboratory Press TA 2022</v>
      </c>
    </row>
    <row r="35" spans="1:1" ht="12.5">
      <c r="A35" s="9" t="str">
        <f ca="1">IFERROR(__xludf.DUMMYFUNCTION("""COMPUTED_VALUE"""),"Cold Spring Harbor Laboratory Press TA 2023")</f>
        <v>Cold Spring Harbor Laboratory Press TA 2023</v>
      </c>
    </row>
    <row r="36" spans="1:1" ht="12.5">
      <c r="A36" s="9" t="str">
        <f ca="1">IFERROR(__xludf.DUMMYFUNCTION("""COMPUTED_VALUE"""),"Cold Spring Harbor Laboratory Press TA 2024")</f>
        <v>Cold Spring Harbor Laboratory Press TA 2024</v>
      </c>
    </row>
    <row r="37" spans="1:1" ht="12.5">
      <c r="A37" s="9" t="str">
        <f ca="1">IFERROR(__xludf.DUMMYFUNCTION("""COMPUTED_VALUE"""),"Elsevier TA 2022")</f>
        <v>Elsevier TA 2022</v>
      </c>
    </row>
    <row r="38" spans="1:1" ht="12.5">
      <c r="A38" s="9" t="str">
        <f ca="1">IFERROR(__xludf.DUMMYFUNCTION("""COMPUTED_VALUE"""),"Elsevier TA 2023")</f>
        <v>Elsevier TA 2023</v>
      </c>
    </row>
    <row r="39" spans="1:1" ht="12.5">
      <c r="A39" s="9" t="str">
        <f ca="1">IFERROR(__xludf.DUMMYFUNCTION("""COMPUTED_VALUE"""),"Elsevier TA 2024")</f>
        <v>Elsevier TA 2024</v>
      </c>
    </row>
    <row r="40" spans="1:1" ht="12.5">
      <c r="A40" s="9" t="str">
        <f ca="1">IFERROR(__xludf.DUMMYFUNCTION("""COMPUTED_VALUE"""),"Geological Society Lyell Collection TA 2021")</f>
        <v>Geological Society Lyell Collection TA 2021</v>
      </c>
    </row>
    <row r="41" spans="1:1" ht="12.5">
      <c r="A41" s="9" t="str">
        <f ca="1">IFERROR(__xludf.DUMMYFUNCTION("""COMPUTED_VALUE"""),"Geological Society Lyell Collection TA 2022")</f>
        <v>Geological Society Lyell Collection TA 2022</v>
      </c>
    </row>
    <row r="42" spans="1:1" ht="12.5">
      <c r="A42" s="9" t="str">
        <f ca="1">IFERROR(__xludf.DUMMYFUNCTION("""COMPUTED_VALUE"""),"Geological Society Lyell Collection TA 2023")</f>
        <v>Geological Society Lyell Collection TA 2023</v>
      </c>
    </row>
    <row r="43" spans="1:1" ht="12.5">
      <c r="A43" s="9" t="str">
        <f ca="1">IFERROR(__xludf.DUMMYFUNCTION("""COMPUTED_VALUE"""),"Geological Society Lyell Collection TA 2024")</f>
        <v>Geological Society Lyell Collection TA 2024</v>
      </c>
    </row>
    <row r="44" spans="1:1" ht="12.5">
      <c r="A44" s="9" t="str">
        <f ca="1">IFERROR(__xludf.DUMMYFUNCTION("""COMPUTED_VALUE"""),"Geological Society Lyell Collection TA 2025")</f>
        <v>Geological Society Lyell Collection TA 2025</v>
      </c>
    </row>
    <row r="45" spans="1:1" ht="12.5">
      <c r="A45" s="9" t="str">
        <f ca="1">IFERROR(__xludf.DUMMYFUNCTION("""COMPUTED_VALUE"""),"John Benjamins TA 2022")</f>
        <v>John Benjamins TA 2022</v>
      </c>
    </row>
    <row r="46" spans="1:1" ht="12.5">
      <c r="A46" s="9" t="str">
        <f ca="1">IFERROR(__xludf.DUMMYFUNCTION("""COMPUTED_VALUE"""),"John Benjamins TA 2023")</f>
        <v>John Benjamins TA 2023</v>
      </c>
    </row>
    <row r="47" spans="1:1" ht="12.5">
      <c r="A47" s="9" t="str">
        <f ca="1">IFERROR(__xludf.DUMMYFUNCTION("""COMPUTED_VALUE"""),"John Benjamins TA 2024")</f>
        <v>John Benjamins TA 2024</v>
      </c>
    </row>
    <row r="48" spans="1:1" ht="12.5">
      <c r="A48" s="9" t="str">
        <f ca="1">IFERROR(__xludf.DUMMYFUNCTION("""COMPUTED_VALUE"""),"Institute of Physics Publishing TA 2020")</f>
        <v>Institute of Physics Publishing TA 2020</v>
      </c>
    </row>
    <row r="49" spans="1:1" ht="12.5">
      <c r="A49" s="9" t="str">
        <f ca="1">IFERROR(__xludf.DUMMYFUNCTION("""COMPUTED_VALUE"""),"Institute of Physics Publishing TA 2021")</f>
        <v>Institute of Physics Publishing TA 2021</v>
      </c>
    </row>
    <row r="50" spans="1:1" ht="12.5">
      <c r="A50" s="9" t="str">
        <f ca="1">IFERROR(__xludf.DUMMYFUNCTION("""COMPUTED_VALUE"""),"Institute of Physics Publishing TA 2022")</f>
        <v>Institute of Physics Publishing TA 2022</v>
      </c>
    </row>
    <row r="51" spans="1:1" ht="12.5">
      <c r="A51" s="9" t="str">
        <f ca="1">IFERROR(__xludf.DUMMYFUNCTION("""COMPUTED_VALUE"""),"Institute of Physics Publishing TA 2023")</f>
        <v>Institute of Physics Publishing TA 2023</v>
      </c>
    </row>
    <row r="52" spans="1:1" ht="12.5">
      <c r="A52" s="9" t="str">
        <f ca="1">IFERROR(__xludf.DUMMYFUNCTION("""COMPUTED_VALUE"""),"Institute of Physics Publishing TA 2024")</f>
        <v>Institute of Physics Publishing TA 2024</v>
      </c>
    </row>
    <row r="53" spans="1:1" ht="12.5">
      <c r="A53" s="9" t="str">
        <f ca="1">IFERROR(__xludf.DUMMYFUNCTION("""COMPUTED_VALUE"""),"Institute of Physics Publishing TA 2025")</f>
        <v>Institute of Physics Publishing TA 2025</v>
      </c>
    </row>
    <row r="54" spans="1:1" ht="12.5">
      <c r="A54" s="9" t="str">
        <f ca="1">IFERROR(__xludf.DUMMYFUNCTION("""COMPUTED_VALUE"""),"Microbiology Society TA 2020")</f>
        <v>Microbiology Society TA 2020</v>
      </c>
    </row>
    <row r="55" spans="1:1" ht="12.5">
      <c r="A55" s="9" t="str">
        <f ca="1">IFERROR(__xludf.DUMMYFUNCTION("""COMPUTED_VALUE"""),"Microbiology Society TA 2021")</f>
        <v>Microbiology Society TA 2021</v>
      </c>
    </row>
    <row r="56" spans="1:1" ht="12.5">
      <c r="A56" s="9" t="str">
        <f ca="1">IFERROR(__xludf.DUMMYFUNCTION("""COMPUTED_VALUE"""),"Microbiology Society TA 2022")</f>
        <v>Microbiology Society TA 2022</v>
      </c>
    </row>
    <row r="57" spans="1:1" ht="12.5">
      <c r="A57" s="9" t="str">
        <f ca="1">IFERROR(__xludf.DUMMYFUNCTION("""COMPUTED_VALUE"""),"Microbiology Society TA 2023")</f>
        <v>Microbiology Society TA 2023</v>
      </c>
    </row>
    <row r="58" spans="1:1" ht="12.5">
      <c r="A58" s="9" t="str">
        <f ca="1">IFERROR(__xludf.DUMMYFUNCTION("""COMPUTED_VALUE"""),"Microbiology Society TA 2024")</f>
        <v>Microbiology Society TA 2024</v>
      </c>
    </row>
    <row r="59" spans="1:1" ht="12.5">
      <c r="A59" s="9" t="str">
        <f ca="1">IFERROR(__xludf.DUMMYFUNCTION("""COMPUTED_VALUE"""),"Oxford University Press TA 2021")</f>
        <v>Oxford University Press TA 2021</v>
      </c>
    </row>
    <row r="60" spans="1:1" ht="12.5">
      <c r="A60" s="9" t="str">
        <f ca="1">IFERROR(__xludf.DUMMYFUNCTION("""COMPUTED_VALUE"""),"Oxford University Press TA 2022")</f>
        <v>Oxford University Press TA 2022</v>
      </c>
    </row>
    <row r="61" spans="1:1" ht="12.5">
      <c r="A61" s="9" t="str">
        <f ca="1">IFERROR(__xludf.DUMMYFUNCTION("""COMPUTED_VALUE"""),"Oxford University Press TA 2023")</f>
        <v>Oxford University Press TA 2023</v>
      </c>
    </row>
    <row r="62" spans="1:1" ht="12.5">
      <c r="A62" s="9" t="str">
        <f ca="1">IFERROR(__xludf.DUMMYFUNCTION("""COMPUTED_VALUE"""),"Oxford University Press TA 2024")</f>
        <v>Oxford University Press TA 2024</v>
      </c>
    </row>
    <row r="63" spans="1:1" ht="12.5">
      <c r="A63" s="9" t="str">
        <f ca="1">IFERROR(__xludf.DUMMYFUNCTION("""COMPUTED_VALUE"""),"PLOS CAP 2021")</f>
        <v>PLOS CAP 2021</v>
      </c>
    </row>
    <row r="64" spans="1:1" ht="12.5">
      <c r="A64" s="9" t="str">
        <f ca="1">IFERROR(__xludf.DUMMYFUNCTION("""COMPUTED_VALUE"""),"PLOS CAP 2022")</f>
        <v>PLOS CAP 2022</v>
      </c>
    </row>
    <row r="65" spans="1:1" ht="12.5">
      <c r="A65" s="9" t="str">
        <f ca="1">IFERROR(__xludf.DUMMYFUNCTION("""COMPUTED_VALUE"""),"PLOS CAP 2023")</f>
        <v>PLOS CAP 2023</v>
      </c>
    </row>
    <row r="66" spans="1:1" ht="12.5">
      <c r="A66" s="9" t="str">
        <f ca="1">IFERROR(__xludf.DUMMYFUNCTION("""COMPUTED_VALUE"""),"PLOS CAP 2024")</f>
        <v>PLOS CAP 2024</v>
      </c>
    </row>
    <row r="67" spans="1:1" ht="12.5">
      <c r="A67" s="9" t="str">
        <f ca="1">IFERROR(__xludf.DUMMYFUNCTION("""COMPUTED_VALUE"""),"PLOS GE 2024")</f>
        <v>PLOS GE 2024</v>
      </c>
    </row>
    <row r="68" spans="1:1" ht="12.5">
      <c r="A68" s="9" t="str">
        <f ca="1">IFERROR(__xludf.DUMMYFUNCTION("""COMPUTED_VALUE"""),"PLOS TFF 2021")</f>
        <v>PLOS TFF 2021</v>
      </c>
    </row>
    <row r="69" spans="1:1" ht="12.5">
      <c r="A69" s="9" t="str">
        <f ca="1">IFERROR(__xludf.DUMMYFUNCTION("""COMPUTED_VALUE"""),"PLOS TFF 2022")</f>
        <v>PLOS TFF 2022</v>
      </c>
    </row>
    <row r="70" spans="1:1" ht="12.5">
      <c r="A70" s="9" t="str">
        <f ca="1">IFERROR(__xludf.DUMMYFUNCTION("""COMPUTED_VALUE"""),"PLOS TFF 2023")</f>
        <v>PLOS TFF 2023</v>
      </c>
    </row>
    <row r="71" spans="1:1" ht="12.5">
      <c r="A71" s="9" t="str">
        <f ca="1">IFERROR(__xludf.DUMMYFUNCTION("""COMPUTED_VALUE"""),"PLOS TFF 2024")</f>
        <v>PLOS TFF 2024</v>
      </c>
    </row>
    <row r="72" spans="1:1" ht="12.5">
      <c r="A72" s="9" t="str">
        <f ca="1">IFERROR(__xludf.DUMMYFUNCTION("""COMPUTED_VALUE"""),"PNAS TA 2022")</f>
        <v>PNAS TA 2022</v>
      </c>
    </row>
    <row r="73" spans="1:1" ht="12.5">
      <c r="A73" s="9" t="str">
        <f ca="1">IFERROR(__xludf.DUMMYFUNCTION("""COMPUTED_VALUE"""),"PNAS TA 2023")</f>
        <v>PNAS TA 2023</v>
      </c>
    </row>
    <row r="74" spans="1:1" ht="12.5">
      <c r="A74" s="9" t="str">
        <f ca="1">IFERROR(__xludf.DUMMYFUNCTION("""COMPUTED_VALUE"""),"Portland Press TA 2020")</f>
        <v>Portland Press TA 2020</v>
      </c>
    </row>
    <row r="75" spans="1:1" ht="12.5">
      <c r="A75" s="9" t="str">
        <f ca="1">IFERROR(__xludf.DUMMYFUNCTION("""COMPUTED_VALUE"""),"Portland Press TA 2021")</f>
        <v>Portland Press TA 2021</v>
      </c>
    </row>
    <row r="76" spans="1:1" ht="12.5">
      <c r="A76" s="9" t="str">
        <f ca="1">IFERROR(__xludf.DUMMYFUNCTION("""COMPUTED_VALUE"""),"Portland Press TA 2022")</f>
        <v>Portland Press TA 2022</v>
      </c>
    </row>
    <row r="77" spans="1:1" ht="12.5">
      <c r="A77" s="9" t="str">
        <f ca="1">IFERROR(__xludf.DUMMYFUNCTION("""COMPUTED_VALUE"""),"Portland Press TA 2023")</f>
        <v>Portland Press TA 2023</v>
      </c>
    </row>
    <row r="78" spans="1:1" ht="12.5">
      <c r="A78" s="9" t="str">
        <f ca="1">IFERROR(__xludf.DUMMYFUNCTION("""COMPUTED_VALUE"""),"Portland Press TA 2024")</f>
        <v>Portland Press TA 2024</v>
      </c>
    </row>
    <row r="79" spans="1:1" ht="12.5">
      <c r="A79" s="9" t="str">
        <f ca="1">IFERROR(__xludf.DUMMYFUNCTION("""COMPUTED_VALUE"""),"Portland Press TA 2025")</f>
        <v>Portland Press TA 2025</v>
      </c>
    </row>
    <row r="80" spans="1:1" ht="12.5">
      <c r="A80" s="9" t="str">
        <f ca="1">IFERROR(__xludf.DUMMYFUNCTION("""COMPUTED_VALUE"""),"Rockefeller University Press TA 2020")</f>
        <v>Rockefeller University Press TA 2020</v>
      </c>
    </row>
    <row r="81" spans="1:1" ht="12.5">
      <c r="A81" s="9" t="str">
        <f ca="1">IFERROR(__xludf.DUMMYFUNCTION("""COMPUTED_VALUE"""),"Rockefeller University Press TA 2021")</f>
        <v>Rockefeller University Press TA 2021</v>
      </c>
    </row>
    <row r="82" spans="1:1" ht="12.5">
      <c r="A82" s="9" t="str">
        <f ca="1">IFERROR(__xludf.DUMMYFUNCTION("""COMPUTED_VALUE"""),"Rockefeller University Press TA 2022")</f>
        <v>Rockefeller University Press TA 2022</v>
      </c>
    </row>
    <row r="83" spans="1:1" ht="12.5">
      <c r="A83" s="9" t="str">
        <f ca="1">IFERROR(__xludf.DUMMYFUNCTION("""COMPUTED_VALUE"""),"Rockefeller University Press TA 2023")</f>
        <v>Rockefeller University Press TA 2023</v>
      </c>
    </row>
    <row r="84" spans="1:1" ht="12.5">
      <c r="A84" s="9" t="str">
        <f ca="1">IFERROR(__xludf.DUMMYFUNCTION("""COMPUTED_VALUE"""),"Rockefeller University Press TA 2024")</f>
        <v>Rockefeller University Press TA 2024</v>
      </c>
    </row>
    <row r="85" spans="1:1" ht="12.5">
      <c r="A85" s="9" t="str">
        <f ca="1">IFERROR(__xludf.DUMMYFUNCTION("""COMPUTED_VALUE"""),"Rockefeller University Press TA 2025")</f>
        <v>Rockefeller University Press TA 2025</v>
      </c>
    </row>
    <row r="86" spans="1:1" ht="12.5">
      <c r="A86" s="9" t="str">
        <f ca="1">IFERROR(__xludf.DUMMYFUNCTION("""COMPUTED_VALUE"""),"Royal Society TA 2023")</f>
        <v>Royal Society TA 2023</v>
      </c>
    </row>
    <row r="87" spans="1:1" ht="12.5">
      <c r="A87" s="9" t="str">
        <f ca="1">IFERROR(__xludf.DUMMYFUNCTION("""COMPUTED_VALUE"""),"Royal Society TA 2024")</f>
        <v>Royal Society TA 2024</v>
      </c>
    </row>
    <row r="88" spans="1:1" ht="12.5">
      <c r="A88" s="9" t="str">
        <f ca="1">IFERROR(__xludf.DUMMYFUNCTION("""COMPUTED_VALUE"""),"Royal Society of Chemistry TA 2020")</f>
        <v>Royal Society of Chemistry TA 2020</v>
      </c>
    </row>
    <row r="89" spans="1:1" ht="12.5">
      <c r="A89" s="9" t="str">
        <f ca="1">IFERROR(__xludf.DUMMYFUNCTION("""COMPUTED_VALUE"""),"Royal Society of Chemistry TA 2021")</f>
        <v>Royal Society of Chemistry TA 2021</v>
      </c>
    </row>
    <row r="90" spans="1:1" ht="12.5">
      <c r="A90" s="9" t="str">
        <f ca="1">IFERROR(__xludf.DUMMYFUNCTION("""COMPUTED_VALUE"""),"Royal Society of Chemistry TA 2022")</f>
        <v>Royal Society of Chemistry TA 2022</v>
      </c>
    </row>
    <row r="91" spans="1:1" ht="12.5">
      <c r="A91" s="9" t="str">
        <f ca="1">IFERROR(__xludf.DUMMYFUNCTION("""COMPUTED_VALUE"""),"Royal Society of Chemistry TA 2023")</f>
        <v>Royal Society of Chemistry TA 2023</v>
      </c>
    </row>
    <row r="92" spans="1:1" ht="12.5">
      <c r="A92" s="9" t="str">
        <f ca="1">IFERROR(__xludf.DUMMYFUNCTION("""COMPUTED_VALUE"""),"Royal Society of Chemistry TA 2024")</f>
        <v>Royal Society of Chemistry TA 2024</v>
      </c>
    </row>
    <row r="93" spans="1:1" ht="12.5">
      <c r="A93" s="9" t="str">
        <f ca="1">IFERROR(__xludf.DUMMYFUNCTION("""COMPUTED_VALUE"""),"Sage TA 2020")</f>
        <v>Sage TA 2020</v>
      </c>
    </row>
    <row r="94" spans="1:1" ht="12.5">
      <c r="A94" s="9" t="str">
        <f ca="1">IFERROR(__xludf.DUMMYFUNCTION("""COMPUTED_VALUE"""),"Sage TA 2021")</f>
        <v>Sage TA 2021</v>
      </c>
    </row>
    <row r="95" spans="1:1" ht="12.5">
      <c r="A95" s="9" t="str">
        <f ca="1">IFERROR(__xludf.DUMMYFUNCTION("""COMPUTED_VALUE"""),"Sage TA 2022")</f>
        <v>Sage TA 2022</v>
      </c>
    </row>
    <row r="96" spans="1:1" ht="12.5">
      <c r="A96" s="9" t="str">
        <f ca="1">IFERROR(__xludf.DUMMYFUNCTION("""COMPUTED_VALUE"""),"Sage TA 2023")</f>
        <v>Sage TA 2023</v>
      </c>
    </row>
    <row r="97" spans="1:1" ht="12.5">
      <c r="A97" s="9" t="str">
        <f ca="1">IFERROR(__xludf.DUMMYFUNCTION("""COMPUTED_VALUE"""),"Sage TA 2024")</f>
        <v>Sage TA 2024</v>
      </c>
    </row>
    <row r="98" spans="1:1" ht="12.5">
      <c r="A98" s="9" t="str">
        <f ca="1">IFERROR(__xludf.DUMMYFUNCTION("""COMPUTED_VALUE"""),"Society for Neuroscience TA 2023")</f>
        <v>Society for Neuroscience TA 2023</v>
      </c>
    </row>
    <row r="99" spans="1:1" ht="12.5">
      <c r="A99" s="9" t="str">
        <f ca="1">IFERROR(__xludf.DUMMYFUNCTION("""COMPUTED_VALUE"""),"Society for Neuroscience TA 2024")</f>
        <v>Society for Neuroscience TA 2024</v>
      </c>
    </row>
    <row r="100" spans="1:1" ht="12.5">
      <c r="A100" s="9" t="str">
        <f ca="1">IFERROR(__xludf.DUMMYFUNCTION("""COMPUTED_VALUE"""),"Springer Compact 2016")</f>
        <v>Springer Compact 2016</v>
      </c>
    </row>
    <row r="101" spans="1:1" ht="12.5">
      <c r="A101" s="9" t="str">
        <f ca="1">IFERROR(__xludf.DUMMYFUNCTION("""COMPUTED_VALUE"""),"Springer Compact 2017")</f>
        <v>Springer Compact 2017</v>
      </c>
    </row>
    <row r="102" spans="1:1" ht="12.5">
      <c r="A102" s="9" t="str">
        <f ca="1">IFERROR(__xludf.DUMMYFUNCTION("""COMPUTED_VALUE"""),"Springer Compact 2018")</f>
        <v>Springer Compact 2018</v>
      </c>
    </row>
    <row r="103" spans="1:1" ht="12.5">
      <c r="A103" s="9" t="str">
        <f ca="1">IFERROR(__xludf.DUMMYFUNCTION("""COMPUTED_VALUE"""),"Springer Compact 2019")</f>
        <v>Springer Compact 2019</v>
      </c>
    </row>
    <row r="104" spans="1:1" ht="12.5">
      <c r="A104" s="9" t="str">
        <f ca="1">IFERROR(__xludf.DUMMYFUNCTION("""COMPUTED_VALUE"""),"Springer Compact 2020")</f>
        <v>Springer Compact 2020</v>
      </c>
    </row>
    <row r="105" spans="1:1" ht="12.5">
      <c r="A105" s="9" t="str">
        <f ca="1">IFERROR(__xludf.DUMMYFUNCTION("""COMPUTED_VALUE"""),"Springer Compact 2021")</f>
        <v>Springer Compact 2021</v>
      </c>
    </row>
    <row r="106" spans="1:1" ht="12.5">
      <c r="A106" s="9" t="str">
        <f ca="1">IFERROR(__xludf.DUMMYFUNCTION("""COMPUTED_VALUE"""),"Springer Compact 2022")</f>
        <v>Springer Compact 2022</v>
      </c>
    </row>
    <row r="107" spans="1:1" ht="12.5">
      <c r="A107" s="9" t="str">
        <f ca="1">IFERROR(__xludf.DUMMYFUNCTION("""COMPUTED_VALUE"""),"Springer Nature TA 2023")</f>
        <v>Springer Nature TA 2023</v>
      </c>
    </row>
    <row r="108" spans="1:1" ht="12.5">
      <c r="A108" s="9" t="str">
        <f ca="1">IFERROR(__xludf.DUMMYFUNCTION("""COMPUTED_VALUE"""),"Springer Nature TA 2024")</f>
        <v>Springer Nature TA 2024</v>
      </c>
    </row>
    <row r="109" spans="1:1" ht="12.5">
      <c r="A109" s="9" t="str">
        <f ca="1">IFERROR(__xludf.DUMMYFUNCTION("""COMPUTED_VALUE"""),"Springer Nature TA 2025")</f>
        <v>Springer Nature TA 2025</v>
      </c>
    </row>
    <row r="110" spans="1:1" ht="12.5">
      <c r="A110" s="9" t="str">
        <f ca="1">IFERROR(__xludf.DUMMYFUNCTION("""COMPUTED_VALUE"""),"Taylor &amp; Francis TA 2021")</f>
        <v>Taylor &amp; Francis TA 2021</v>
      </c>
    </row>
    <row r="111" spans="1:1" ht="12.5">
      <c r="A111" s="9" t="str">
        <f ca="1">IFERROR(__xludf.DUMMYFUNCTION("""COMPUTED_VALUE"""),"Taylor &amp; Francis TA 2022")</f>
        <v>Taylor &amp; Francis TA 2022</v>
      </c>
    </row>
    <row r="112" spans="1:1" ht="12.5">
      <c r="A112" s="9" t="str">
        <f ca="1">IFERROR(__xludf.DUMMYFUNCTION("""COMPUTED_VALUE"""),"Taylor &amp; Francis TA 2023")</f>
        <v>Taylor &amp; Francis TA 2023</v>
      </c>
    </row>
    <row r="113" spans="1:1" ht="12.5">
      <c r="A113" s="9" t="str">
        <f ca="1">IFERROR(__xludf.DUMMYFUNCTION("""COMPUTED_VALUE"""),"Taylor &amp; Francis TA 2024")</f>
        <v>Taylor &amp; Francis TA 2024</v>
      </c>
    </row>
    <row r="114" spans="1:1" ht="12.5">
      <c r="A114" s="9" t="str">
        <f ca="1">IFERROR(__xludf.DUMMYFUNCTION("""COMPUTED_VALUE"""),"Taylor &amp; Francis TA 2025")</f>
        <v>Taylor &amp; Francis TA 2025</v>
      </c>
    </row>
    <row r="115" spans="1:1" ht="12.5">
      <c r="A115" s="9" t="str">
        <f ca="1">IFERROR(__xludf.DUMMYFUNCTION("""COMPUTED_VALUE"""),"Wiley TA 2020")</f>
        <v>Wiley TA 2020</v>
      </c>
    </row>
    <row r="116" spans="1:1" ht="12.5">
      <c r="A116" s="9" t="str">
        <f ca="1">IFERROR(__xludf.DUMMYFUNCTION("""COMPUTED_VALUE"""),"Wiley TA 2021")</f>
        <v>Wiley TA 2021</v>
      </c>
    </row>
    <row r="117" spans="1:1" ht="12.5">
      <c r="A117" s="9" t="str">
        <f ca="1">IFERROR(__xludf.DUMMYFUNCTION("""COMPUTED_VALUE"""),"Wiley TA 2022")</f>
        <v>Wiley TA 2022</v>
      </c>
    </row>
    <row r="118" spans="1:1" ht="12.5">
      <c r="A118" s="9" t="str">
        <f ca="1">IFERROR(__xludf.DUMMYFUNCTION("""COMPUTED_VALUE"""),"Wiley TA 2023")</f>
        <v>Wiley TA 2023</v>
      </c>
    </row>
    <row r="119" spans="1:1" ht="12.5">
      <c r="A119" s="9" t="str">
        <f ca="1">IFERROR(__xludf.DUMMYFUNCTION("""COMPUTED_VALUE"""),"Wiley TA 2024")</f>
        <v>Wiley TA 2024</v>
      </c>
    </row>
    <row r="120" spans="1:1" ht="12.5">
      <c r="A120" s="9" t="str">
        <f ca="1">IFERROR(__xludf.DUMMYFUNCTION("""COMPUTED_VALUE"""),"Wiley TA 2025")</f>
        <v>Wiley TA 2025</v>
      </c>
    </row>
    <row r="121" spans="1:1" ht="12.5">
      <c r="A121" s="9"/>
    </row>
    <row r="122" spans="1:1" ht="12.5">
      <c r="A122" s="9"/>
    </row>
    <row r="123" spans="1:1" ht="12.5">
      <c r="A123" s="9"/>
    </row>
    <row r="124" spans="1:1" ht="12.5">
      <c r="A124" s="9"/>
    </row>
    <row r="125" spans="1:1" ht="12.5">
      <c r="A125" s="9"/>
    </row>
    <row r="126" spans="1:1" ht="12.5">
      <c r="A126" s="9"/>
    </row>
    <row r="127" spans="1:1" ht="12.5">
      <c r="A127" s="9"/>
    </row>
    <row r="128" spans="1:1" ht="12.5">
      <c r="A128" s="9"/>
    </row>
    <row r="129" spans="1:1" ht="12.5">
      <c r="A129" s="9"/>
    </row>
    <row r="130" spans="1:1" ht="12.5">
      <c r="A130" s="9"/>
    </row>
    <row r="131" spans="1:1" ht="12.5">
      <c r="A131" s="9"/>
    </row>
    <row r="132" spans="1:1" ht="12.5">
      <c r="A132" s="9"/>
    </row>
    <row r="133" spans="1:1" ht="12.5">
      <c r="A133" s="9"/>
    </row>
    <row r="134" spans="1:1" ht="12.5">
      <c r="A134" s="9"/>
    </row>
    <row r="135" spans="1:1" ht="12.5">
      <c r="A135" s="9"/>
    </row>
    <row r="136" spans="1:1" ht="12.5">
      <c r="A136" s="9"/>
    </row>
    <row r="137" spans="1:1" ht="12.5">
      <c r="A137" s="9"/>
    </row>
    <row r="138" spans="1:1" ht="12.5">
      <c r="A138" s="9"/>
    </row>
    <row r="139" spans="1:1" ht="12.5">
      <c r="A139" s="9"/>
    </row>
    <row r="140" spans="1:1" ht="12.5">
      <c r="A140" s="9"/>
    </row>
    <row r="141" spans="1:1" ht="12.5">
      <c r="A141" s="9"/>
    </row>
    <row r="142" spans="1:1" ht="12.5">
      <c r="A142" s="9"/>
    </row>
    <row r="143" spans="1:1" ht="12.5">
      <c r="A143" s="9"/>
    </row>
    <row r="144" spans="1:1" ht="12.5">
      <c r="A144" s="9"/>
    </row>
    <row r="145" spans="1:1" ht="12.5">
      <c r="A145" s="9"/>
    </row>
    <row r="146" spans="1:1" ht="12.5">
      <c r="A146" s="9"/>
    </row>
    <row r="147" spans="1:1" ht="12.5">
      <c r="A147" s="9"/>
    </row>
    <row r="148" spans="1:1" ht="12.5">
      <c r="A148" s="9"/>
    </row>
    <row r="149" spans="1:1" ht="12.5">
      <c r="A149" s="9"/>
    </row>
    <row r="150" spans="1:1" ht="12.5">
      <c r="A150" s="9"/>
    </row>
    <row r="151" spans="1:1" ht="12.5">
      <c r="A151" s="9"/>
    </row>
    <row r="152" spans="1:1" ht="12.5">
      <c r="A152" s="9"/>
    </row>
    <row r="153" spans="1:1" ht="12.5">
      <c r="A153" s="9"/>
    </row>
    <row r="154" spans="1:1" ht="12.5">
      <c r="A154" s="9"/>
    </row>
    <row r="155" spans="1:1" ht="12.5">
      <c r="A155" s="9"/>
    </row>
    <row r="156" spans="1:1" ht="12.5">
      <c r="A156" s="9"/>
    </row>
    <row r="157" spans="1:1" ht="12.5">
      <c r="A157" s="9"/>
    </row>
    <row r="158" spans="1:1" ht="12.5">
      <c r="A158" s="9"/>
    </row>
    <row r="159" spans="1:1" ht="12.5">
      <c r="A159" s="9"/>
    </row>
    <row r="160" spans="1:1" ht="12.5">
      <c r="A160" s="9"/>
    </row>
    <row r="161" spans="1:1" ht="12.5">
      <c r="A161" s="9"/>
    </row>
    <row r="162" spans="1:1" ht="12.5">
      <c r="A162" s="9"/>
    </row>
    <row r="163" spans="1:1" ht="12.5">
      <c r="A163" s="9"/>
    </row>
    <row r="164" spans="1:1" ht="12.5">
      <c r="A164" s="9"/>
    </row>
    <row r="165" spans="1:1" ht="12.5">
      <c r="A165" s="9"/>
    </row>
    <row r="166" spans="1:1" ht="12.5">
      <c r="A166" s="9"/>
    </row>
    <row r="167" spans="1:1" ht="12.5">
      <c r="A167" s="9"/>
    </row>
    <row r="168" spans="1:1" ht="12.5">
      <c r="A168" s="9"/>
    </row>
    <row r="169" spans="1:1" ht="12.5">
      <c r="A169" s="9"/>
    </row>
    <row r="170" spans="1:1" ht="12.5">
      <c r="A170" s="9"/>
    </row>
    <row r="171" spans="1:1" ht="12.5">
      <c r="A171" s="9"/>
    </row>
    <row r="172" spans="1:1" ht="12.5">
      <c r="A172" s="9"/>
    </row>
    <row r="173" spans="1:1" ht="12.5">
      <c r="A173" s="9"/>
    </row>
    <row r="174" spans="1:1" ht="12.5">
      <c r="A174" s="9"/>
    </row>
    <row r="175" spans="1:1" ht="12.5">
      <c r="A175" s="9"/>
    </row>
    <row r="176" spans="1:1" ht="12.5">
      <c r="A176" s="9"/>
    </row>
    <row r="177" spans="1:1" ht="12.5">
      <c r="A177" s="9"/>
    </row>
    <row r="178" spans="1:1" ht="12.5">
      <c r="A178" s="9"/>
    </row>
    <row r="179" spans="1:1" ht="12.5">
      <c r="A179" s="9"/>
    </row>
    <row r="180" spans="1:1" ht="12.5">
      <c r="A180" s="9"/>
    </row>
    <row r="181" spans="1:1" ht="12.5">
      <c r="A181" s="9"/>
    </row>
    <row r="182" spans="1:1" ht="12.5">
      <c r="A182" s="9"/>
    </row>
    <row r="183" spans="1:1" ht="12.5">
      <c r="A183" s="9"/>
    </row>
    <row r="184" spans="1:1" ht="12.5">
      <c r="A184" s="9"/>
    </row>
    <row r="185" spans="1:1" ht="12.5">
      <c r="A185" s="9"/>
    </row>
    <row r="186" spans="1:1" ht="12.5">
      <c r="A186" s="9"/>
    </row>
    <row r="187" spans="1:1" ht="12.5">
      <c r="A187" s="9"/>
    </row>
    <row r="188" spans="1:1" ht="12.5">
      <c r="A188" s="9"/>
    </row>
    <row r="189" spans="1:1" ht="12.5">
      <c r="A189" s="9"/>
    </row>
    <row r="190" spans="1:1" ht="12.5">
      <c r="A190" s="9"/>
    </row>
    <row r="191" spans="1:1" ht="12.5">
      <c r="A191" s="9"/>
    </row>
    <row r="192" spans="1:1" ht="12.5">
      <c r="A192" s="9"/>
    </row>
    <row r="193" spans="1:1" ht="12.5">
      <c r="A193" s="9"/>
    </row>
    <row r="194" spans="1:1" ht="12.5">
      <c r="A194" s="9"/>
    </row>
    <row r="195" spans="1:1" ht="12.5">
      <c r="A195" s="9"/>
    </row>
    <row r="196" spans="1:1" ht="12.5">
      <c r="A196" s="9"/>
    </row>
    <row r="197" spans="1:1" ht="12.5">
      <c r="A197" s="9"/>
    </row>
    <row r="198" spans="1:1" ht="12.5">
      <c r="A198" s="9"/>
    </row>
    <row r="199" spans="1:1" ht="12.5">
      <c r="A199" s="9"/>
    </row>
    <row r="200" spans="1:1" ht="12.5">
      <c r="A200" s="9"/>
    </row>
    <row r="201" spans="1:1" ht="12.5">
      <c r="A201" s="9"/>
    </row>
    <row r="202" spans="1:1" ht="12.5">
      <c r="A202" s="9"/>
    </row>
    <row r="203" spans="1:1" ht="12.5">
      <c r="A203" s="9"/>
    </row>
    <row r="204" spans="1:1" ht="12.5">
      <c r="A204" s="9"/>
    </row>
    <row r="205" spans="1:1" ht="12.5">
      <c r="A205" s="9"/>
    </row>
    <row r="206" spans="1:1" ht="12.5">
      <c r="A206" s="9"/>
    </row>
    <row r="207" spans="1:1" ht="12.5">
      <c r="A207" s="9"/>
    </row>
    <row r="208" spans="1:1" ht="12.5">
      <c r="A208" s="9"/>
    </row>
    <row r="209" spans="1:1" ht="12.5">
      <c r="A209" s="9"/>
    </row>
    <row r="210" spans="1:1" ht="12.5">
      <c r="A210" s="9"/>
    </row>
    <row r="211" spans="1:1" ht="12.5">
      <c r="A211" s="9"/>
    </row>
    <row r="212" spans="1:1" ht="12.5">
      <c r="A212" s="9"/>
    </row>
    <row r="213" spans="1:1" ht="12.5">
      <c r="A213" s="9"/>
    </row>
    <row r="214" spans="1:1" ht="12.5">
      <c r="A214" s="9"/>
    </row>
    <row r="215" spans="1:1" ht="12.5">
      <c r="A215" s="9"/>
    </row>
    <row r="216" spans="1:1" ht="12.5">
      <c r="A216" s="9"/>
    </row>
    <row r="217" spans="1:1" ht="12.5">
      <c r="A217" s="9"/>
    </row>
    <row r="218" spans="1:1" ht="12.5">
      <c r="A218" s="9"/>
    </row>
    <row r="219" spans="1:1" ht="12.5">
      <c r="A219" s="9"/>
    </row>
    <row r="220" spans="1:1" ht="12.5">
      <c r="A220" s="9"/>
    </row>
    <row r="221" spans="1:1" ht="12.5">
      <c r="A221" s="9"/>
    </row>
    <row r="222" spans="1:1" ht="12.5">
      <c r="A222" s="9"/>
    </row>
    <row r="223" spans="1:1" ht="12.5">
      <c r="A223" s="9"/>
    </row>
    <row r="224" spans="1:1" ht="12.5">
      <c r="A224" s="9"/>
    </row>
    <row r="225" spans="1:1" ht="12.5">
      <c r="A225" s="9"/>
    </row>
    <row r="226" spans="1:1" ht="12.5">
      <c r="A226" s="9"/>
    </row>
    <row r="227" spans="1:1" ht="12.5">
      <c r="A227" s="9"/>
    </row>
    <row r="228" spans="1:1" ht="12.5">
      <c r="A228" s="9"/>
    </row>
    <row r="229" spans="1:1" ht="12.5">
      <c r="A229" s="9"/>
    </row>
    <row r="230" spans="1:1" ht="12.5">
      <c r="A230" s="9"/>
    </row>
    <row r="231" spans="1:1" ht="12.5">
      <c r="A231" s="9"/>
    </row>
    <row r="232" spans="1:1" ht="12.5">
      <c r="A232" s="9"/>
    </row>
    <row r="233" spans="1:1" ht="12.5">
      <c r="A233" s="9"/>
    </row>
    <row r="234" spans="1:1" ht="12.5">
      <c r="A234" s="9"/>
    </row>
    <row r="235" spans="1:1" ht="12.5">
      <c r="A235" s="9"/>
    </row>
    <row r="236" spans="1:1" ht="12.5">
      <c r="A236" s="9"/>
    </row>
    <row r="237" spans="1:1" ht="12.5">
      <c r="A237" s="9"/>
    </row>
    <row r="238" spans="1:1" ht="12.5">
      <c r="A238" s="9"/>
    </row>
    <row r="239" spans="1:1" ht="12.5">
      <c r="A239" s="9"/>
    </row>
    <row r="240" spans="1:1" ht="12.5">
      <c r="A240" s="9"/>
    </row>
    <row r="241" spans="1:1" ht="12.5">
      <c r="A241" s="9"/>
    </row>
    <row r="242" spans="1:1" ht="12.5">
      <c r="A242" s="9"/>
    </row>
    <row r="243" spans="1:1" ht="12.5">
      <c r="A243" s="9"/>
    </row>
    <row r="244" spans="1:1" ht="12.5">
      <c r="A244" s="9"/>
    </row>
    <row r="245" spans="1:1" ht="12.5">
      <c r="A245" s="9"/>
    </row>
    <row r="246" spans="1:1" ht="12.5">
      <c r="A246" s="9"/>
    </row>
    <row r="247" spans="1:1" ht="12.5">
      <c r="A247" s="9"/>
    </row>
    <row r="248" spans="1:1" ht="12.5">
      <c r="A248" s="9"/>
    </row>
    <row r="249" spans="1:1" ht="12.5">
      <c r="A249" s="9"/>
    </row>
    <row r="250" spans="1:1" ht="12.5">
      <c r="A250" s="9"/>
    </row>
    <row r="251" spans="1:1" ht="12.5">
      <c r="A251" s="9"/>
    </row>
    <row r="252" spans="1:1" ht="12.5">
      <c r="A252" s="9"/>
    </row>
    <row r="253" spans="1:1" ht="12.5">
      <c r="A253" s="9"/>
    </row>
    <row r="254" spans="1:1" ht="12.5">
      <c r="A254" s="9"/>
    </row>
    <row r="255" spans="1:1" ht="12.5">
      <c r="A255" s="9"/>
    </row>
    <row r="256" spans="1:1" ht="12.5">
      <c r="A256" s="9"/>
    </row>
    <row r="257" spans="1:1" ht="12.5">
      <c r="A257" s="9"/>
    </row>
    <row r="258" spans="1:1" ht="12.5">
      <c r="A258" s="9"/>
    </row>
    <row r="259" spans="1:1" ht="12.5">
      <c r="A259" s="9"/>
    </row>
    <row r="260" spans="1:1" ht="12.5">
      <c r="A260" s="9"/>
    </row>
    <row r="261" spans="1:1" ht="12.5">
      <c r="A261" s="9"/>
    </row>
    <row r="262" spans="1:1" ht="12.5">
      <c r="A262" s="9"/>
    </row>
    <row r="263" spans="1:1" ht="12.5">
      <c r="A263" s="9"/>
    </row>
    <row r="264" spans="1:1" ht="12.5">
      <c r="A264" s="9"/>
    </row>
    <row r="265" spans="1:1" ht="12.5">
      <c r="A265" s="9"/>
    </row>
    <row r="266" spans="1:1" ht="12.5">
      <c r="A266" s="9"/>
    </row>
    <row r="267" spans="1:1" ht="12.5">
      <c r="A267" s="9"/>
    </row>
    <row r="268" spans="1:1" ht="12.5">
      <c r="A268" s="9"/>
    </row>
    <row r="269" spans="1:1" ht="12.5">
      <c r="A269" s="9"/>
    </row>
    <row r="270" spans="1:1" ht="12.5">
      <c r="A270" s="9"/>
    </row>
    <row r="271" spans="1:1" ht="12.5">
      <c r="A271" s="9"/>
    </row>
    <row r="272" spans="1:1" ht="12.5">
      <c r="A272" s="9"/>
    </row>
    <row r="273" spans="1:1" ht="12.5">
      <c r="A273" s="9"/>
    </row>
    <row r="274" spans="1:1" ht="12.5">
      <c r="A274" s="9"/>
    </row>
    <row r="275" spans="1:1" ht="12.5">
      <c r="A275" s="9"/>
    </row>
    <row r="276" spans="1:1" ht="12.5">
      <c r="A276" s="9"/>
    </row>
    <row r="277" spans="1:1" ht="12.5">
      <c r="A277" s="9"/>
    </row>
    <row r="278" spans="1:1" ht="12.5">
      <c r="A278" s="9"/>
    </row>
    <row r="279" spans="1:1" ht="12.5">
      <c r="A279" s="9"/>
    </row>
    <row r="280" spans="1:1" ht="12.5">
      <c r="A280" s="9"/>
    </row>
    <row r="281" spans="1:1" ht="12.5">
      <c r="A281" s="9"/>
    </row>
    <row r="282" spans="1:1" ht="12.5">
      <c r="A282" s="9"/>
    </row>
    <row r="283" spans="1:1" ht="12.5">
      <c r="A283" s="9"/>
    </row>
    <row r="284" spans="1:1" ht="12.5">
      <c r="A284" s="9"/>
    </row>
    <row r="285" spans="1:1" ht="12.5">
      <c r="A285" s="9"/>
    </row>
    <row r="286" spans="1:1" ht="12.5">
      <c r="A286" s="9"/>
    </row>
    <row r="287" spans="1:1" ht="12.5">
      <c r="A287" s="9"/>
    </row>
    <row r="288" spans="1:1" ht="12.5">
      <c r="A288" s="9"/>
    </row>
    <row r="289" spans="1:1" ht="12.5">
      <c r="A289" s="9"/>
    </row>
    <row r="290" spans="1:1" ht="12.5">
      <c r="A290" s="9"/>
    </row>
    <row r="291" spans="1:1" ht="12.5">
      <c r="A291" s="9"/>
    </row>
    <row r="292" spans="1:1" ht="12.5">
      <c r="A292" s="9"/>
    </row>
    <row r="293" spans="1:1" ht="12.5">
      <c r="A293" s="9"/>
    </row>
    <row r="294" spans="1:1" ht="12.5">
      <c r="A294" s="9"/>
    </row>
    <row r="295" spans="1:1" ht="12.5">
      <c r="A295" s="9"/>
    </row>
    <row r="296" spans="1:1" ht="12.5">
      <c r="A296" s="9"/>
    </row>
    <row r="297" spans="1:1" ht="12.5">
      <c r="A297" s="9"/>
    </row>
    <row r="298" spans="1:1" ht="12.5">
      <c r="A298" s="9"/>
    </row>
    <row r="299" spans="1:1" ht="12.5">
      <c r="A299" s="9"/>
    </row>
    <row r="300" spans="1:1" ht="12.5">
      <c r="A300" s="9"/>
    </row>
    <row r="301" spans="1:1" ht="12.5">
      <c r="A301" s="9"/>
    </row>
    <row r="302" spans="1:1" ht="12.5">
      <c r="A302" s="9"/>
    </row>
    <row r="303" spans="1:1" ht="12.5">
      <c r="A303" s="9"/>
    </row>
    <row r="304" spans="1:1" ht="12.5">
      <c r="A304" s="9"/>
    </row>
    <row r="305" spans="1:1" ht="12.5">
      <c r="A305" s="9"/>
    </row>
    <row r="306" spans="1:1" ht="12.5">
      <c r="A306" s="9"/>
    </row>
    <row r="307" spans="1:1" ht="12.5">
      <c r="A307" s="9"/>
    </row>
    <row r="308" spans="1:1" ht="12.5">
      <c r="A308" s="9"/>
    </row>
    <row r="309" spans="1:1" ht="12.5">
      <c r="A309" s="9"/>
    </row>
    <row r="310" spans="1:1" ht="12.5">
      <c r="A310" s="9"/>
    </row>
    <row r="311" spans="1:1" ht="12.5">
      <c r="A311" s="9"/>
    </row>
    <row r="312" spans="1:1" ht="12.5">
      <c r="A312" s="9"/>
    </row>
    <row r="313" spans="1:1" ht="12.5">
      <c r="A313" s="9"/>
    </row>
    <row r="314" spans="1:1" ht="12.5">
      <c r="A314" s="9"/>
    </row>
    <row r="315" spans="1:1" ht="12.5">
      <c r="A315" s="9"/>
    </row>
    <row r="316" spans="1:1" ht="12.5">
      <c r="A316" s="9"/>
    </row>
    <row r="317" spans="1:1" ht="12.5">
      <c r="A317" s="9"/>
    </row>
    <row r="318" spans="1:1" ht="12.5">
      <c r="A318" s="9"/>
    </row>
    <row r="319" spans="1:1" ht="12.5">
      <c r="A319" s="9"/>
    </row>
    <row r="320" spans="1:1" ht="12.5">
      <c r="A320" s="9"/>
    </row>
    <row r="321" spans="1:1" ht="12.5">
      <c r="A321" s="9"/>
    </row>
    <row r="322" spans="1:1" ht="12.5">
      <c r="A322" s="9"/>
    </row>
    <row r="323" spans="1:1" ht="12.5">
      <c r="A323" s="9"/>
    </row>
    <row r="324" spans="1:1" ht="12.5">
      <c r="A324" s="9"/>
    </row>
    <row r="325" spans="1:1" ht="12.5">
      <c r="A325" s="9"/>
    </row>
    <row r="326" spans="1:1" ht="12.5">
      <c r="A326" s="9"/>
    </row>
    <row r="327" spans="1:1" ht="12.5">
      <c r="A327" s="9"/>
    </row>
    <row r="328" spans="1:1" ht="12.5">
      <c r="A328" s="9"/>
    </row>
    <row r="329" spans="1:1" ht="12.5">
      <c r="A329" s="9"/>
    </row>
    <row r="330" spans="1:1" ht="12.5">
      <c r="A330" s="9"/>
    </row>
    <row r="331" spans="1:1" ht="12.5">
      <c r="A331" s="9"/>
    </row>
    <row r="332" spans="1:1" ht="12.5">
      <c r="A332" s="9"/>
    </row>
    <row r="333" spans="1:1" ht="12.5">
      <c r="A333" s="9"/>
    </row>
    <row r="334" spans="1:1" ht="12.5">
      <c r="A334" s="9"/>
    </row>
    <row r="335" spans="1:1" ht="12.5">
      <c r="A335" s="9"/>
    </row>
    <row r="336" spans="1:1" ht="12.5">
      <c r="A336" s="9"/>
    </row>
    <row r="337" spans="1:1" ht="12.5">
      <c r="A337" s="9"/>
    </row>
    <row r="338" spans="1:1" ht="12.5">
      <c r="A338" s="9"/>
    </row>
    <row r="339" spans="1:1" ht="12.5">
      <c r="A339" s="9"/>
    </row>
    <row r="340" spans="1:1" ht="12.5">
      <c r="A340" s="9"/>
    </row>
    <row r="341" spans="1:1" ht="12.5">
      <c r="A341" s="9"/>
    </row>
    <row r="342" spans="1:1" ht="12.5">
      <c r="A342" s="9"/>
    </row>
    <row r="343" spans="1:1" ht="12.5">
      <c r="A343" s="9"/>
    </row>
    <row r="344" spans="1:1" ht="12.5">
      <c r="A344" s="9"/>
    </row>
    <row r="345" spans="1:1" ht="12.5">
      <c r="A345" s="9"/>
    </row>
    <row r="346" spans="1:1" ht="12.5">
      <c r="A346" s="9"/>
    </row>
    <row r="347" spans="1:1" ht="12.5">
      <c r="A347" s="9"/>
    </row>
    <row r="348" spans="1:1" ht="12.5">
      <c r="A348" s="9"/>
    </row>
    <row r="349" spans="1:1" ht="12.5">
      <c r="A349" s="9"/>
    </row>
    <row r="350" spans="1:1" ht="12.5">
      <c r="A350" s="9"/>
    </row>
    <row r="351" spans="1:1" ht="12.5">
      <c r="A351" s="9"/>
    </row>
    <row r="352" spans="1:1" ht="12.5">
      <c r="A352" s="9"/>
    </row>
    <row r="353" spans="1:1" ht="12.5">
      <c r="A353" s="9"/>
    </row>
    <row r="354" spans="1:1" ht="12.5">
      <c r="A354" s="9"/>
    </row>
    <row r="355" spans="1:1" ht="12.5">
      <c r="A355" s="9"/>
    </row>
    <row r="356" spans="1:1" ht="12.5">
      <c r="A356" s="9"/>
    </row>
    <row r="357" spans="1:1" ht="12.5">
      <c r="A357" s="9"/>
    </row>
    <row r="358" spans="1:1" ht="12.5">
      <c r="A358" s="9"/>
    </row>
    <row r="359" spans="1:1" ht="12.5">
      <c r="A359" s="9"/>
    </row>
    <row r="360" spans="1:1" ht="12.5">
      <c r="A360" s="9"/>
    </row>
    <row r="361" spans="1:1" ht="12.5">
      <c r="A361" s="9"/>
    </row>
    <row r="362" spans="1:1" ht="12.5">
      <c r="A362" s="9"/>
    </row>
    <row r="363" spans="1:1" ht="12.5">
      <c r="A363" s="9"/>
    </row>
    <row r="364" spans="1:1" ht="12.5">
      <c r="A364" s="9"/>
    </row>
    <row r="365" spans="1:1" ht="12.5">
      <c r="A365" s="9"/>
    </row>
    <row r="366" spans="1:1" ht="12.5">
      <c r="A366" s="9"/>
    </row>
    <row r="367" spans="1:1" ht="12.5">
      <c r="A367" s="9"/>
    </row>
    <row r="368" spans="1:1" ht="12.5">
      <c r="A368" s="9"/>
    </row>
    <row r="369" spans="1:1" ht="12.5">
      <c r="A369" s="9"/>
    </row>
    <row r="370" spans="1:1" ht="12.5">
      <c r="A370" s="9"/>
    </row>
    <row r="371" spans="1:1" ht="12.5">
      <c r="A371" s="9"/>
    </row>
    <row r="372" spans="1:1" ht="12.5">
      <c r="A372" s="9"/>
    </row>
    <row r="373" spans="1:1" ht="12.5">
      <c r="A373" s="9"/>
    </row>
    <row r="374" spans="1:1" ht="12.5">
      <c r="A374" s="9"/>
    </row>
    <row r="375" spans="1:1" ht="12.5">
      <c r="A375" s="9"/>
    </row>
    <row r="376" spans="1:1" ht="12.5">
      <c r="A376" s="9"/>
    </row>
    <row r="377" spans="1:1" ht="12.5">
      <c r="A377" s="9"/>
    </row>
    <row r="378" spans="1:1" ht="12.5">
      <c r="A378" s="9"/>
    </row>
    <row r="379" spans="1:1" ht="12.5">
      <c r="A379" s="9"/>
    </row>
    <row r="380" spans="1:1" ht="12.5">
      <c r="A380" s="9"/>
    </row>
    <row r="381" spans="1:1" ht="12.5">
      <c r="A381" s="9"/>
    </row>
    <row r="382" spans="1:1" ht="12.5">
      <c r="A382" s="9"/>
    </row>
    <row r="383" spans="1:1" ht="12.5">
      <c r="A383" s="9"/>
    </row>
    <row r="384" spans="1:1" ht="12.5">
      <c r="A384" s="9"/>
    </row>
    <row r="385" spans="1:1" ht="12.5">
      <c r="A385" s="9"/>
    </row>
    <row r="386" spans="1:1" ht="12.5">
      <c r="A386" s="9"/>
    </row>
    <row r="387" spans="1:1" ht="12.5">
      <c r="A387" s="9"/>
    </row>
    <row r="388" spans="1:1" ht="12.5">
      <c r="A388" s="9"/>
    </row>
    <row r="389" spans="1:1" ht="12.5">
      <c r="A389" s="9"/>
    </row>
    <row r="390" spans="1:1" ht="12.5">
      <c r="A390" s="9"/>
    </row>
    <row r="391" spans="1:1" ht="12.5">
      <c r="A391" s="9"/>
    </row>
    <row r="392" spans="1:1" ht="12.5">
      <c r="A392" s="9"/>
    </row>
    <row r="393" spans="1:1" ht="12.5">
      <c r="A393" s="9"/>
    </row>
    <row r="394" spans="1:1" ht="12.5">
      <c r="A394" s="9"/>
    </row>
    <row r="395" spans="1:1" ht="12.5">
      <c r="A395" s="9"/>
    </row>
    <row r="396" spans="1:1" ht="12.5">
      <c r="A396" s="9"/>
    </row>
    <row r="397" spans="1:1" ht="12.5">
      <c r="A397" s="9"/>
    </row>
    <row r="398" spans="1:1" ht="12.5">
      <c r="A398" s="9"/>
    </row>
    <row r="399" spans="1:1" ht="12.5">
      <c r="A399" s="9"/>
    </row>
    <row r="400" spans="1:1" ht="12.5">
      <c r="A400" s="9"/>
    </row>
    <row r="401" spans="1:1" ht="12.5">
      <c r="A401" s="9"/>
    </row>
    <row r="402" spans="1:1" ht="12.5">
      <c r="A402" s="9"/>
    </row>
    <row r="403" spans="1:1" ht="12.5">
      <c r="A403" s="9"/>
    </row>
    <row r="404" spans="1:1" ht="12.5">
      <c r="A404" s="9"/>
    </row>
    <row r="405" spans="1:1" ht="12.5">
      <c r="A405" s="9"/>
    </row>
    <row r="406" spans="1:1" ht="12.5">
      <c r="A406" s="9"/>
    </row>
    <row r="407" spans="1:1" ht="12.5">
      <c r="A407" s="9"/>
    </row>
    <row r="408" spans="1:1" ht="12.5">
      <c r="A408" s="9"/>
    </row>
    <row r="409" spans="1:1" ht="12.5">
      <c r="A409" s="9"/>
    </row>
    <row r="410" spans="1:1" ht="12.5">
      <c r="A410" s="9"/>
    </row>
    <row r="411" spans="1:1" ht="12.5">
      <c r="A411" s="9"/>
    </row>
    <row r="412" spans="1:1" ht="12.5">
      <c r="A412" s="9"/>
    </row>
    <row r="413" spans="1:1" ht="12.5">
      <c r="A413" s="9"/>
    </row>
    <row r="414" spans="1:1" ht="12.5">
      <c r="A414" s="9"/>
    </row>
    <row r="415" spans="1:1" ht="12.5">
      <c r="A415" s="9"/>
    </row>
    <row r="416" spans="1:1" ht="12.5">
      <c r="A416" s="9"/>
    </row>
    <row r="417" spans="1:1" ht="12.5">
      <c r="A417" s="9"/>
    </row>
    <row r="418" spans="1:1" ht="12.5">
      <c r="A418" s="9"/>
    </row>
    <row r="419" spans="1:1" ht="12.5">
      <c r="A419" s="9"/>
    </row>
    <row r="420" spans="1:1" ht="12.5">
      <c r="A420" s="9"/>
    </row>
    <row r="421" spans="1:1" ht="12.5">
      <c r="A421" s="9"/>
    </row>
    <row r="422" spans="1:1" ht="12.5">
      <c r="A422" s="9"/>
    </row>
    <row r="423" spans="1:1" ht="12.5">
      <c r="A423" s="9"/>
    </row>
    <row r="424" spans="1:1" ht="12.5">
      <c r="A424" s="9"/>
    </row>
    <row r="425" spans="1:1" ht="12.5">
      <c r="A425" s="9"/>
    </row>
    <row r="426" spans="1:1" ht="12.5">
      <c r="A426" s="9"/>
    </row>
    <row r="427" spans="1:1" ht="12.5">
      <c r="A427" s="9"/>
    </row>
    <row r="428" spans="1:1" ht="12.5">
      <c r="A428" s="9"/>
    </row>
    <row r="429" spans="1:1" ht="12.5">
      <c r="A429" s="9"/>
    </row>
    <row r="430" spans="1:1" ht="12.5">
      <c r="A430" s="9"/>
    </row>
    <row r="431" spans="1:1" ht="12.5">
      <c r="A431" s="9"/>
    </row>
    <row r="432" spans="1:1" ht="12.5">
      <c r="A432" s="9"/>
    </row>
    <row r="433" spans="1:1" ht="12.5">
      <c r="A433" s="9"/>
    </row>
    <row r="434" spans="1:1" ht="12.5">
      <c r="A434" s="9"/>
    </row>
    <row r="435" spans="1:1" ht="12.5">
      <c r="A435" s="9"/>
    </row>
    <row r="436" spans="1:1" ht="12.5">
      <c r="A436" s="9"/>
    </row>
    <row r="437" spans="1:1" ht="12.5">
      <c r="A437" s="9"/>
    </row>
    <row r="438" spans="1:1" ht="12.5">
      <c r="A438" s="9"/>
    </row>
    <row r="439" spans="1:1" ht="12.5">
      <c r="A439" s="9"/>
    </row>
    <row r="440" spans="1:1" ht="12.5">
      <c r="A440" s="9"/>
    </row>
    <row r="441" spans="1:1" ht="12.5">
      <c r="A441" s="9"/>
    </row>
    <row r="442" spans="1:1" ht="12.5">
      <c r="A442" s="9"/>
    </row>
    <row r="443" spans="1:1" ht="12.5">
      <c r="A443" s="9"/>
    </row>
    <row r="444" spans="1:1" ht="12.5">
      <c r="A444" s="9"/>
    </row>
    <row r="445" spans="1:1" ht="12.5">
      <c r="A445" s="9"/>
    </row>
    <row r="446" spans="1:1" ht="12.5">
      <c r="A446" s="9"/>
    </row>
    <row r="447" spans="1:1" ht="12.5">
      <c r="A447" s="9"/>
    </row>
    <row r="448" spans="1:1" ht="12.5">
      <c r="A448" s="9"/>
    </row>
    <row r="449" spans="1:1" ht="12.5">
      <c r="A449" s="9"/>
    </row>
    <row r="450" spans="1:1" ht="12.5">
      <c r="A450" s="9"/>
    </row>
    <row r="451" spans="1:1" ht="12.5">
      <c r="A451" s="9"/>
    </row>
    <row r="452" spans="1:1" ht="12.5">
      <c r="A452" s="9"/>
    </row>
    <row r="453" spans="1:1" ht="12.5">
      <c r="A453" s="9"/>
    </row>
    <row r="454" spans="1:1" ht="12.5">
      <c r="A454" s="9"/>
    </row>
    <row r="455" spans="1:1" ht="12.5">
      <c r="A455" s="9"/>
    </row>
    <row r="456" spans="1:1" ht="12.5">
      <c r="A456" s="9"/>
    </row>
    <row r="457" spans="1:1" ht="12.5">
      <c r="A457" s="9"/>
    </row>
    <row r="458" spans="1:1" ht="12.5">
      <c r="A458" s="9"/>
    </row>
    <row r="459" spans="1:1" ht="12.5">
      <c r="A459" s="9"/>
    </row>
    <row r="460" spans="1:1" ht="12.5">
      <c r="A460" s="9"/>
    </row>
    <row r="461" spans="1:1" ht="12.5">
      <c r="A461" s="9"/>
    </row>
    <row r="462" spans="1:1" ht="12.5">
      <c r="A462" s="9"/>
    </row>
    <row r="463" spans="1:1" ht="12.5">
      <c r="A463" s="9"/>
    </row>
    <row r="464" spans="1:1" ht="12.5">
      <c r="A464" s="9"/>
    </row>
    <row r="465" spans="1:1" ht="12.5">
      <c r="A465" s="9"/>
    </row>
    <row r="466" spans="1:1" ht="12.5">
      <c r="A466" s="9"/>
    </row>
    <row r="467" spans="1:1" ht="12.5">
      <c r="A467" s="9"/>
    </row>
    <row r="468" spans="1:1" ht="12.5">
      <c r="A468" s="9"/>
    </row>
    <row r="469" spans="1:1" ht="12.5">
      <c r="A469" s="9"/>
    </row>
    <row r="470" spans="1:1" ht="12.5">
      <c r="A470" s="9"/>
    </row>
    <row r="471" spans="1:1" ht="12.5">
      <c r="A471" s="9"/>
    </row>
    <row r="472" spans="1:1" ht="12.5">
      <c r="A472" s="9"/>
    </row>
    <row r="473" spans="1:1" ht="12.5">
      <c r="A473" s="9"/>
    </row>
    <row r="474" spans="1:1" ht="12.5">
      <c r="A474" s="9"/>
    </row>
    <row r="475" spans="1:1" ht="12.5">
      <c r="A475" s="9"/>
    </row>
    <row r="476" spans="1:1" ht="12.5">
      <c r="A476" s="9"/>
    </row>
    <row r="477" spans="1:1" ht="12.5">
      <c r="A477" s="9"/>
    </row>
    <row r="478" spans="1:1" ht="12.5">
      <c r="A478" s="9"/>
    </row>
    <row r="479" spans="1:1" ht="12.5">
      <c r="A479" s="9"/>
    </row>
    <row r="480" spans="1:1" ht="12.5">
      <c r="A480" s="9"/>
    </row>
    <row r="481" spans="1:1" ht="12.5">
      <c r="A481" s="9"/>
    </row>
    <row r="482" spans="1:1" ht="12.5">
      <c r="A482" s="9"/>
    </row>
    <row r="483" spans="1:1" ht="12.5">
      <c r="A483" s="9"/>
    </row>
    <row r="484" spans="1:1" ht="12.5">
      <c r="A484" s="9"/>
    </row>
    <row r="485" spans="1:1" ht="12.5">
      <c r="A485" s="9"/>
    </row>
    <row r="486" spans="1:1" ht="12.5">
      <c r="A486" s="9"/>
    </row>
    <row r="487" spans="1:1" ht="12.5">
      <c r="A487" s="9"/>
    </row>
    <row r="488" spans="1:1" ht="12.5">
      <c r="A488" s="9"/>
    </row>
    <row r="489" spans="1:1" ht="12.5">
      <c r="A489" s="9"/>
    </row>
    <row r="490" spans="1:1" ht="12.5">
      <c r="A490" s="9"/>
    </row>
    <row r="491" spans="1:1" ht="12.5">
      <c r="A491" s="9"/>
    </row>
    <row r="492" spans="1:1" ht="12.5">
      <c r="A492" s="9"/>
    </row>
    <row r="493" spans="1:1" ht="12.5">
      <c r="A493" s="9"/>
    </row>
    <row r="494" spans="1:1" ht="12.5">
      <c r="A494" s="9"/>
    </row>
    <row r="495" spans="1:1" ht="12.5">
      <c r="A495" s="9"/>
    </row>
    <row r="496" spans="1:1" ht="12.5">
      <c r="A496" s="9"/>
    </row>
    <row r="497" spans="1:1" ht="12.5">
      <c r="A497" s="9"/>
    </row>
    <row r="498" spans="1:1" ht="12.5">
      <c r="A498" s="9"/>
    </row>
    <row r="499" spans="1:1" ht="12.5">
      <c r="A499" s="9"/>
    </row>
    <row r="500" spans="1:1" ht="12.5">
      <c r="A500" s="9"/>
    </row>
    <row r="501" spans="1:1" ht="12.5">
      <c r="A501" s="9"/>
    </row>
    <row r="502" spans="1:1" ht="12.5">
      <c r="A502" s="9"/>
    </row>
    <row r="503" spans="1:1" ht="12.5">
      <c r="A503" s="9"/>
    </row>
    <row r="504" spans="1:1" ht="12.5">
      <c r="A504" s="9"/>
    </row>
    <row r="505" spans="1:1" ht="12.5">
      <c r="A505" s="9"/>
    </row>
    <row r="506" spans="1:1" ht="12.5">
      <c r="A506" s="9"/>
    </row>
    <row r="507" spans="1:1" ht="12.5">
      <c r="A507" s="9"/>
    </row>
    <row r="508" spans="1:1" ht="12.5">
      <c r="A508" s="9"/>
    </row>
    <row r="509" spans="1:1" ht="12.5">
      <c r="A509" s="9"/>
    </row>
    <row r="510" spans="1:1" ht="12.5">
      <c r="A510" s="9"/>
    </row>
    <row r="511" spans="1:1" ht="12.5">
      <c r="A511" s="9"/>
    </row>
    <row r="512" spans="1:1" ht="12.5">
      <c r="A512" s="9"/>
    </row>
    <row r="513" spans="1:1" ht="12.5">
      <c r="A513" s="9"/>
    </row>
    <row r="514" spans="1:1" ht="12.5">
      <c r="A514" s="9"/>
    </row>
    <row r="515" spans="1:1" ht="12.5">
      <c r="A515" s="9"/>
    </row>
    <row r="516" spans="1:1" ht="12.5">
      <c r="A516" s="9"/>
    </row>
    <row r="517" spans="1:1" ht="12.5">
      <c r="A517" s="9"/>
    </row>
    <row r="518" spans="1:1" ht="12.5">
      <c r="A518" s="9"/>
    </row>
    <row r="519" spans="1:1" ht="12.5">
      <c r="A519" s="9"/>
    </row>
    <row r="520" spans="1:1" ht="12.5">
      <c r="A520" s="9"/>
    </row>
    <row r="521" spans="1:1" ht="12.5">
      <c r="A521" s="9"/>
    </row>
    <row r="522" spans="1:1" ht="12.5">
      <c r="A522" s="9"/>
    </row>
    <row r="523" spans="1:1" ht="12.5">
      <c r="A523" s="9"/>
    </row>
    <row r="524" spans="1:1" ht="12.5">
      <c r="A524" s="9"/>
    </row>
    <row r="525" spans="1:1" ht="12.5">
      <c r="A525" s="9"/>
    </row>
    <row r="526" spans="1:1" ht="12.5">
      <c r="A526" s="9"/>
    </row>
    <row r="527" spans="1:1" ht="12.5">
      <c r="A527" s="9"/>
    </row>
    <row r="528" spans="1:1" ht="12.5">
      <c r="A528" s="9"/>
    </row>
    <row r="529" spans="1:1" ht="12.5">
      <c r="A529" s="9"/>
    </row>
    <row r="530" spans="1:1" ht="12.5">
      <c r="A530" s="9"/>
    </row>
    <row r="531" spans="1:1" ht="12.5">
      <c r="A531" s="9"/>
    </row>
    <row r="532" spans="1:1" ht="12.5">
      <c r="A532" s="9"/>
    </row>
    <row r="533" spans="1:1" ht="12.5">
      <c r="A533" s="9"/>
    </row>
    <row r="534" spans="1:1" ht="12.5">
      <c r="A534" s="9"/>
    </row>
    <row r="535" spans="1:1" ht="12.5">
      <c r="A535" s="9"/>
    </row>
    <row r="536" spans="1:1" ht="12.5">
      <c r="A536" s="9"/>
    </row>
    <row r="537" spans="1:1" ht="12.5">
      <c r="A537" s="9"/>
    </row>
    <row r="538" spans="1:1" ht="12.5">
      <c r="A538" s="9"/>
    </row>
    <row r="539" spans="1:1" ht="12.5">
      <c r="A539" s="9"/>
    </row>
    <row r="540" spans="1:1" ht="12.5">
      <c r="A540" s="9"/>
    </row>
    <row r="541" spans="1:1" ht="12.5">
      <c r="A541" s="9"/>
    </row>
    <row r="542" spans="1:1" ht="12.5">
      <c r="A542" s="9"/>
    </row>
    <row r="543" spans="1:1" ht="12.5">
      <c r="A543" s="9"/>
    </row>
    <row r="544" spans="1:1" ht="12.5">
      <c r="A544" s="9"/>
    </row>
    <row r="545" spans="1:1" ht="12.5">
      <c r="A545" s="9"/>
    </row>
    <row r="546" spans="1:1" ht="12.5">
      <c r="A546" s="9"/>
    </row>
    <row r="547" spans="1:1" ht="12.5">
      <c r="A547" s="9"/>
    </row>
    <row r="548" spans="1:1" ht="12.5">
      <c r="A548" s="9"/>
    </row>
    <row r="549" spans="1:1" ht="12.5">
      <c r="A549" s="9"/>
    </row>
    <row r="550" spans="1:1" ht="12.5">
      <c r="A550" s="9"/>
    </row>
    <row r="551" spans="1:1" ht="12.5">
      <c r="A551" s="9"/>
    </row>
    <row r="552" spans="1:1" ht="12.5">
      <c r="A552" s="9"/>
    </row>
    <row r="553" spans="1:1" ht="12.5">
      <c r="A553" s="9"/>
    </row>
    <row r="554" spans="1:1" ht="12.5">
      <c r="A554" s="9"/>
    </row>
    <row r="555" spans="1:1" ht="12.5">
      <c r="A555" s="9"/>
    </row>
    <row r="556" spans="1:1" ht="12.5">
      <c r="A556" s="9"/>
    </row>
    <row r="557" spans="1:1" ht="12.5">
      <c r="A557" s="9"/>
    </row>
    <row r="558" spans="1:1" ht="12.5">
      <c r="A558" s="9"/>
    </row>
    <row r="559" spans="1:1" ht="12.5">
      <c r="A559" s="9"/>
    </row>
    <row r="560" spans="1:1" ht="12.5">
      <c r="A560" s="9"/>
    </row>
    <row r="561" spans="1:1" ht="12.5">
      <c r="A561" s="9"/>
    </row>
    <row r="562" spans="1:1" ht="12.5">
      <c r="A562" s="9"/>
    </row>
    <row r="563" spans="1:1" ht="12.5">
      <c r="A563" s="9"/>
    </row>
    <row r="564" spans="1:1" ht="12.5">
      <c r="A564" s="9"/>
    </row>
    <row r="565" spans="1:1" ht="12.5">
      <c r="A565" s="9"/>
    </row>
    <row r="566" spans="1:1" ht="12.5">
      <c r="A566" s="9"/>
    </row>
    <row r="567" spans="1:1" ht="12.5">
      <c r="A567" s="9"/>
    </row>
    <row r="568" spans="1:1" ht="12.5">
      <c r="A568" s="9"/>
    </row>
    <row r="569" spans="1:1" ht="12.5">
      <c r="A569" s="9"/>
    </row>
    <row r="570" spans="1:1" ht="12.5">
      <c r="A570" s="9"/>
    </row>
    <row r="571" spans="1:1" ht="12.5">
      <c r="A571" s="9"/>
    </row>
    <row r="572" spans="1:1" ht="12.5">
      <c r="A572" s="9"/>
    </row>
    <row r="573" spans="1:1" ht="12.5">
      <c r="A573" s="9"/>
    </row>
    <row r="574" spans="1:1" ht="12.5">
      <c r="A574" s="9"/>
    </row>
    <row r="575" spans="1:1" ht="12.5">
      <c r="A575" s="9"/>
    </row>
    <row r="576" spans="1:1" ht="12.5">
      <c r="A576" s="9"/>
    </row>
    <row r="577" spans="1:1" ht="12.5">
      <c r="A577" s="9"/>
    </row>
    <row r="578" spans="1:1" ht="12.5">
      <c r="A578" s="9"/>
    </row>
    <row r="579" spans="1:1" ht="12.5">
      <c r="A579" s="9"/>
    </row>
    <row r="580" spans="1:1" ht="12.5">
      <c r="A580" s="9"/>
    </row>
    <row r="581" spans="1:1" ht="12.5">
      <c r="A581" s="9"/>
    </row>
    <row r="582" spans="1:1" ht="12.5">
      <c r="A582" s="9"/>
    </row>
    <row r="583" spans="1:1" ht="12.5">
      <c r="A583" s="9"/>
    </row>
    <row r="584" spans="1:1" ht="12.5">
      <c r="A584" s="9"/>
    </row>
    <row r="585" spans="1:1" ht="12.5">
      <c r="A585" s="9"/>
    </row>
    <row r="586" spans="1:1" ht="12.5">
      <c r="A586" s="9"/>
    </row>
    <row r="587" spans="1:1" ht="12.5">
      <c r="A587" s="9"/>
    </row>
    <row r="588" spans="1:1" ht="12.5">
      <c r="A588" s="9"/>
    </row>
    <row r="589" spans="1:1" ht="12.5">
      <c r="A589" s="9"/>
    </row>
    <row r="590" spans="1:1" ht="12.5">
      <c r="A590" s="9"/>
    </row>
    <row r="591" spans="1:1" ht="12.5">
      <c r="A591" s="9"/>
    </row>
    <row r="592" spans="1:1" ht="12.5">
      <c r="A592" s="9"/>
    </row>
    <row r="593" spans="1:1" ht="12.5">
      <c r="A593" s="9"/>
    </row>
    <row r="594" spans="1:1" ht="12.5">
      <c r="A594" s="9"/>
    </row>
    <row r="595" spans="1:1" ht="12.5">
      <c r="A595" s="9"/>
    </row>
    <row r="596" spans="1:1" ht="12.5">
      <c r="A596" s="9"/>
    </row>
    <row r="597" spans="1:1" ht="12.5">
      <c r="A597" s="9"/>
    </row>
    <row r="598" spans="1:1" ht="12.5">
      <c r="A598" s="9"/>
    </row>
    <row r="599" spans="1:1" ht="12.5">
      <c r="A599" s="9"/>
    </row>
    <row r="600" spans="1:1" ht="12.5">
      <c r="A600" s="9"/>
    </row>
    <row r="601" spans="1:1" ht="12.5">
      <c r="A601" s="9"/>
    </row>
    <row r="602" spans="1:1" ht="12.5">
      <c r="A602" s="9"/>
    </row>
    <row r="603" spans="1:1" ht="12.5">
      <c r="A603" s="9"/>
    </row>
    <row r="604" spans="1:1" ht="12.5">
      <c r="A604" s="9"/>
    </row>
    <row r="605" spans="1:1" ht="12.5">
      <c r="A605" s="9"/>
    </row>
    <row r="606" spans="1:1" ht="12.5">
      <c r="A606" s="9"/>
    </row>
    <row r="607" spans="1:1" ht="12.5">
      <c r="A607" s="9"/>
    </row>
    <row r="608" spans="1:1" ht="12.5">
      <c r="A608" s="9"/>
    </row>
    <row r="609" spans="1:1" ht="12.5">
      <c r="A609" s="9"/>
    </row>
    <row r="610" spans="1:1" ht="12.5">
      <c r="A610" s="9"/>
    </row>
    <row r="611" spans="1:1" ht="12.5">
      <c r="A611" s="9"/>
    </row>
    <row r="612" spans="1:1" ht="12.5">
      <c r="A612" s="9"/>
    </row>
    <row r="613" spans="1:1" ht="12.5">
      <c r="A613" s="9"/>
    </row>
    <row r="614" spans="1:1" ht="12.5">
      <c r="A614" s="9"/>
    </row>
    <row r="615" spans="1:1" ht="12.5">
      <c r="A615" s="9"/>
    </row>
    <row r="616" spans="1:1" ht="12.5">
      <c r="A616" s="9"/>
    </row>
    <row r="617" spans="1:1" ht="12.5">
      <c r="A617" s="9"/>
    </row>
    <row r="618" spans="1:1" ht="12.5">
      <c r="A618" s="9"/>
    </row>
    <row r="619" spans="1:1" ht="12.5">
      <c r="A619" s="9"/>
    </row>
    <row r="620" spans="1:1" ht="12.5">
      <c r="A620" s="9"/>
    </row>
    <row r="621" spans="1:1" ht="12.5">
      <c r="A621" s="9"/>
    </row>
    <row r="622" spans="1:1" ht="12.5">
      <c r="A622" s="9"/>
    </row>
    <row r="623" spans="1:1" ht="12.5">
      <c r="A623" s="9"/>
    </row>
    <row r="624" spans="1:1" ht="12.5">
      <c r="A624" s="9"/>
    </row>
    <row r="625" spans="1:1" ht="12.5">
      <c r="A625" s="9"/>
    </row>
    <row r="626" spans="1:1" ht="12.5">
      <c r="A626" s="9"/>
    </row>
    <row r="627" spans="1:1" ht="12.5">
      <c r="A627" s="9"/>
    </row>
    <row r="628" spans="1:1" ht="12.5">
      <c r="A628" s="9"/>
    </row>
    <row r="629" spans="1:1" ht="12.5">
      <c r="A629" s="9"/>
    </row>
    <row r="630" spans="1:1" ht="12.5">
      <c r="A630" s="9"/>
    </row>
    <row r="631" spans="1:1" ht="12.5">
      <c r="A631" s="9"/>
    </row>
    <row r="632" spans="1:1" ht="12.5">
      <c r="A632" s="9"/>
    </row>
    <row r="633" spans="1:1" ht="12.5">
      <c r="A633" s="9"/>
    </row>
    <row r="634" spans="1:1" ht="12.5">
      <c r="A634" s="9"/>
    </row>
    <row r="635" spans="1:1" ht="12.5">
      <c r="A635" s="9"/>
    </row>
    <row r="636" spans="1:1" ht="12.5">
      <c r="A636" s="9"/>
    </row>
    <row r="637" spans="1:1" ht="12.5">
      <c r="A637" s="9"/>
    </row>
    <row r="638" spans="1:1" ht="12.5">
      <c r="A638" s="9"/>
    </row>
    <row r="639" spans="1:1" ht="12.5">
      <c r="A639" s="9"/>
    </row>
    <row r="640" spans="1:1" ht="12.5">
      <c r="A640" s="9"/>
    </row>
    <row r="641" spans="1:1" ht="12.5">
      <c r="A641" s="9"/>
    </row>
    <row r="642" spans="1:1" ht="12.5">
      <c r="A642" s="9"/>
    </row>
    <row r="643" spans="1:1" ht="12.5">
      <c r="A643" s="9"/>
    </row>
    <row r="644" spans="1:1" ht="12.5">
      <c r="A644" s="9"/>
    </row>
    <row r="645" spans="1:1" ht="12.5">
      <c r="A645" s="9"/>
    </row>
    <row r="646" spans="1:1" ht="12.5">
      <c r="A646" s="9"/>
    </row>
    <row r="647" spans="1:1" ht="12.5">
      <c r="A647" s="9"/>
    </row>
    <row r="648" spans="1:1" ht="12.5">
      <c r="A648" s="9"/>
    </row>
    <row r="649" spans="1:1" ht="12.5">
      <c r="A649" s="9"/>
    </row>
    <row r="650" spans="1:1" ht="12.5">
      <c r="A650" s="9"/>
    </row>
    <row r="651" spans="1:1" ht="12.5">
      <c r="A651" s="9"/>
    </row>
    <row r="652" spans="1:1" ht="12.5">
      <c r="A652" s="9"/>
    </row>
    <row r="653" spans="1:1" ht="12.5">
      <c r="A653" s="9"/>
    </row>
    <row r="654" spans="1:1" ht="12.5">
      <c r="A654" s="9"/>
    </row>
    <row r="655" spans="1:1" ht="12.5">
      <c r="A655" s="9"/>
    </row>
    <row r="656" spans="1:1" ht="12.5">
      <c r="A656" s="9"/>
    </row>
    <row r="657" spans="1:1" ht="12.5">
      <c r="A657" s="9"/>
    </row>
    <row r="658" spans="1:1" ht="12.5">
      <c r="A658" s="9"/>
    </row>
    <row r="659" spans="1:1" ht="12.5">
      <c r="A659" s="9"/>
    </row>
    <row r="660" spans="1:1" ht="12.5">
      <c r="A660" s="9"/>
    </row>
    <row r="661" spans="1:1" ht="12.5">
      <c r="A661" s="9"/>
    </row>
    <row r="662" spans="1:1" ht="12.5">
      <c r="A662" s="9"/>
    </row>
    <row r="663" spans="1:1" ht="12.5">
      <c r="A663" s="9"/>
    </row>
    <row r="664" spans="1:1" ht="12.5">
      <c r="A664" s="9"/>
    </row>
    <row r="665" spans="1:1" ht="12.5">
      <c r="A665" s="9"/>
    </row>
    <row r="666" spans="1:1" ht="12.5">
      <c r="A666" s="9"/>
    </row>
    <row r="667" spans="1:1" ht="12.5">
      <c r="A667" s="9"/>
    </row>
    <row r="668" spans="1:1" ht="12.5">
      <c r="A668" s="9"/>
    </row>
    <row r="669" spans="1:1" ht="12.5">
      <c r="A669" s="9"/>
    </row>
    <row r="670" spans="1:1" ht="12.5">
      <c r="A670" s="9"/>
    </row>
    <row r="671" spans="1:1" ht="12.5">
      <c r="A671" s="9"/>
    </row>
    <row r="672" spans="1:1" ht="12.5">
      <c r="A672" s="9"/>
    </row>
    <row r="673" spans="1:1" ht="12.5">
      <c r="A673" s="9"/>
    </row>
    <row r="674" spans="1:1" ht="12.5">
      <c r="A674" s="9"/>
    </row>
    <row r="675" spans="1:1" ht="12.5">
      <c r="A675" s="9"/>
    </row>
    <row r="676" spans="1:1" ht="12.5">
      <c r="A676" s="9"/>
    </row>
    <row r="677" spans="1:1" ht="12.5">
      <c r="A677" s="9"/>
    </row>
    <row r="678" spans="1:1" ht="12.5">
      <c r="A678" s="9"/>
    </row>
    <row r="679" spans="1:1" ht="12.5">
      <c r="A679" s="9"/>
    </row>
    <row r="680" spans="1:1" ht="12.5">
      <c r="A680" s="9"/>
    </row>
    <row r="681" spans="1:1" ht="12.5">
      <c r="A681" s="9"/>
    </row>
    <row r="682" spans="1:1" ht="12.5">
      <c r="A682" s="9"/>
    </row>
    <row r="683" spans="1:1" ht="12.5">
      <c r="A683" s="9"/>
    </row>
    <row r="684" spans="1:1" ht="12.5">
      <c r="A684" s="9"/>
    </row>
    <row r="685" spans="1:1" ht="12.5">
      <c r="A685" s="9"/>
    </row>
    <row r="686" spans="1:1" ht="12.5">
      <c r="A686" s="9"/>
    </row>
    <row r="687" spans="1:1" ht="12.5">
      <c r="A687" s="9"/>
    </row>
    <row r="688" spans="1:1" ht="12.5">
      <c r="A688" s="9"/>
    </row>
    <row r="689" spans="1:1" ht="12.5">
      <c r="A689" s="9"/>
    </row>
    <row r="690" spans="1:1" ht="12.5">
      <c r="A690" s="9"/>
    </row>
    <row r="691" spans="1:1" ht="12.5">
      <c r="A691" s="9"/>
    </row>
    <row r="692" spans="1:1" ht="12.5">
      <c r="A692" s="9"/>
    </row>
    <row r="693" spans="1:1" ht="12.5">
      <c r="A693" s="9"/>
    </row>
    <row r="694" spans="1:1" ht="12.5">
      <c r="A694" s="9"/>
    </row>
    <row r="695" spans="1:1" ht="12.5">
      <c r="A695" s="9"/>
    </row>
    <row r="696" spans="1:1" ht="12.5">
      <c r="A696" s="9"/>
    </row>
    <row r="697" spans="1:1" ht="12.5">
      <c r="A697" s="9"/>
    </row>
    <row r="698" spans="1:1" ht="12.5">
      <c r="A698" s="9"/>
    </row>
    <row r="699" spans="1:1" ht="12.5">
      <c r="A699" s="9"/>
    </row>
    <row r="700" spans="1:1" ht="12.5">
      <c r="A700" s="9"/>
    </row>
    <row r="701" spans="1:1" ht="12.5">
      <c r="A701" s="9"/>
    </row>
    <row r="702" spans="1:1" ht="12.5">
      <c r="A702" s="9"/>
    </row>
    <row r="703" spans="1:1" ht="12.5">
      <c r="A703" s="9"/>
    </row>
    <row r="704" spans="1:1" ht="12.5">
      <c r="A704" s="9"/>
    </row>
    <row r="705" spans="1:1" ht="12.5">
      <c r="A705" s="9"/>
    </row>
    <row r="706" spans="1:1" ht="12.5">
      <c r="A706" s="9"/>
    </row>
    <row r="707" spans="1:1" ht="12.5">
      <c r="A707" s="9"/>
    </row>
    <row r="708" spans="1:1" ht="12.5">
      <c r="A708" s="9"/>
    </row>
    <row r="709" spans="1:1" ht="12.5">
      <c r="A709" s="9"/>
    </row>
    <row r="710" spans="1:1" ht="12.5">
      <c r="A710" s="9"/>
    </row>
    <row r="711" spans="1:1" ht="12.5">
      <c r="A711" s="9"/>
    </row>
    <row r="712" spans="1:1" ht="12.5">
      <c r="A712" s="9"/>
    </row>
    <row r="713" spans="1:1" ht="12.5">
      <c r="A713" s="9"/>
    </row>
    <row r="714" spans="1:1" ht="12.5">
      <c r="A714" s="9"/>
    </row>
    <row r="715" spans="1:1" ht="12.5">
      <c r="A715" s="9"/>
    </row>
    <row r="716" spans="1:1" ht="12.5">
      <c r="A716" s="9"/>
    </row>
    <row r="717" spans="1:1" ht="12.5">
      <c r="A717" s="9"/>
    </row>
    <row r="718" spans="1:1" ht="12.5">
      <c r="A718" s="9"/>
    </row>
    <row r="719" spans="1:1" ht="12.5">
      <c r="A719" s="9"/>
    </row>
    <row r="720" spans="1:1" ht="12.5">
      <c r="A720" s="9"/>
    </row>
    <row r="721" spans="1:1" ht="12.5">
      <c r="A721" s="9"/>
    </row>
    <row r="722" spans="1:1" ht="12.5">
      <c r="A722" s="9"/>
    </row>
    <row r="723" spans="1:1" ht="12.5">
      <c r="A723" s="9"/>
    </row>
    <row r="724" spans="1:1" ht="12.5">
      <c r="A724" s="9"/>
    </row>
    <row r="725" spans="1:1" ht="12.5">
      <c r="A725" s="9"/>
    </row>
    <row r="726" spans="1:1" ht="12.5">
      <c r="A726" s="9"/>
    </row>
    <row r="727" spans="1:1" ht="12.5">
      <c r="A727" s="9"/>
    </row>
    <row r="728" spans="1:1" ht="12.5">
      <c r="A728" s="9"/>
    </row>
    <row r="729" spans="1:1" ht="12.5">
      <c r="A729" s="9"/>
    </row>
    <row r="730" spans="1:1" ht="12.5">
      <c r="A730" s="9"/>
    </row>
    <row r="731" spans="1:1" ht="12.5">
      <c r="A731" s="9"/>
    </row>
    <row r="732" spans="1:1" ht="12.5">
      <c r="A732" s="9"/>
    </row>
    <row r="733" spans="1:1" ht="12.5">
      <c r="A733" s="9"/>
    </row>
    <row r="734" spans="1:1" ht="12.5">
      <c r="A734" s="9"/>
    </row>
    <row r="735" spans="1:1" ht="12.5">
      <c r="A735" s="9"/>
    </row>
    <row r="736" spans="1:1" ht="12.5">
      <c r="A736" s="9"/>
    </row>
    <row r="737" spans="1:1" ht="12.5">
      <c r="A737" s="9"/>
    </row>
    <row r="738" spans="1:1" ht="12.5">
      <c r="A738" s="9"/>
    </row>
    <row r="739" spans="1:1" ht="12.5">
      <c r="A739" s="9"/>
    </row>
    <row r="740" spans="1:1" ht="12.5">
      <c r="A740" s="9"/>
    </row>
    <row r="741" spans="1:1" ht="12.5">
      <c r="A741" s="9"/>
    </row>
    <row r="742" spans="1:1" ht="12.5">
      <c r="A742" s="9"/>
    </row>
    <row r="743" spans="1:1" ht="12.5">
      <c r="A743" s="9"/>
    </row>
    <row r="744" spans="1:1" ht="12.5">
      <c r="A744" s="9"/>
    </row>
    <row r="745" spans="1:1" ht="12.5">
      <c r="A745" s="9"/>
    </row>
    <row r="746" spans="1:1" ht="12.5">
      <c r="A746" s="9"/>
    </row>
    <row r="747" spans="1:1" ht="12.5">
      <c r="A747" s="9"/>
    </row>
    <row r="748" spans="1:1" ht="12.5">
      <c r="A748" s="9"/>
    </row>
    <row r="749" spans="1:1" ht="12.5">
      <c r="A749" s="9"/>
    </row>
    <row r="750" spans="1:1" ht="12.5">
      <c r="A750" s="9"/>
    </row>
    <row r="751" spans="1:1" ht="12.5">
      <c r="A751" s="9"/>
    </row>
    <row r="752" spans="1:1" ht="12.5">
      <c r="A752" s="9"/>
    </row>
    <row r="753" spans="1:1" ht="12.5">
      <c r="A753" s="9"/>
    </row>
    <row r="754" spans="1:1" ht="12.5">
      <c r="A754" s="9"/>
    </row>
    <row r="755" spans="1:1" ht="12.5">
      <c r="A755" s="9"/>
    </row>
    <row r="756" spans="1:1" ht="12.5">
      <c r="A756" s="9"/>
    </row>
    <row r="757" spans="1:1" ht="12.5">
      <c r="A757" s="9"/>
    </row>
    <row r="758" spans="1:1" ht="12.5">
      <c r="A758" s="9"/>
    </row>
    <row r="759" spans="1:1" ht="12.5">
      <c r="A759" s="9"/>
    </row>
    <row r="760" spans="1:1" ht="12.5">
      <c r="A760" s="9"/>
    </row>
    <row r="761" spans="1:1" ht="12.5">
      <c r="A761" s="9"/>
    </row>
    <row r="762" spans="1:1" ht="12.5">
      <c r="A762" s="9"/>
    </row>
    <row r="763" spans="1:1" ht="12.5">
      <c r="A763" s="9"/>
    </row>
    <row r="764" spans="1:1" ht="12.5">
      <c r="A764" s="9"/>
    </row>
    <row r="765" spans="1:1" ht="12.5">
      <c r="A765" s="9"/>
    </row>
    <row r="766" spans="1:1" ht="12.5">
      <c r="A766" s="9"/>
    </row>
    <row r="767" spans="1:1" ht="12.5">
      <c r="A767" s="9"/>
    </row>
    <row r="768" spans="1:1" ht="12.5">
      <c r="A768" s="9"/>
    </row>
    <row r="769" spans="1:1" ht="12.5">
      <c r="A769" s="9"/>
    </row>
    <row r="770" spans="1:1" ht="12.5">
      <c r="A770" s="9"/>
    </row>
    <row r="771" spans="1:1" ht="12.5">
      <c r="A771" s="9"/>
    </row>
    <row r="772" spans="1:1" ht="12.5">
      <c r="A772" s="9"/>
    </row>
    <row r="773" spans="1:1" ht="12.5">
      <c r="A773" s="9"/>
    </row>
    <row r="774" spans="1:1" ht="12.5">
      <c r="A774" s="9"/>
    </row>
    <row r="775" spans="1:1" ht="12.5">
      <c r="A775" s="9"/>
    </row>
    <row r="776" spans="1:1" ht="12.5">
      <c r="A776" s="9"/>
    </row>
    <row r="777" spans="1:1" ht="12.5">
      <c r="A777" s="9"/>
    </row>
    <row r="778" spans="1:1" ht="12.5">
      <c r="A778" s="9"/>
    </row>
    <row r="779" spans="1:1" ht="12.5">
      <c r="A779" s="9"/>
    </row>
    <row r="780" spans="1:1" ht="12.5">
      <c r="A780" s="9"/>
    </row>
    <row r="781" spans="1:1" ht="12.5">
      <c r="A781" s="9"/>
    </row>
    <row r="782" spans="1:1" ht="12.5">
      <c r="A782" s="9"/>
    </row>
    <row r="783" spans="1:1" ht="12.5">
      <c r="A783" s="9"/>
    </row>
    <row r="784" spans="1:1" ht="12.5">
      <c r="A784" s="9"/>
    </row>
    <row r="785" spans="1:1" ht="12.5">
      <c r="A785" s="9"/>
    </row>
    <row r="786" spans="1:1" ht="12.5">
      <c r="A786" s="9"/>
    </row>
    <row r="787" spans="1:1" ht="12.5">
      <c r="A787" s="9"/>
    </row>
    <row r="788" spans="1:1" ht="12.5">
      <c r="A788" s="9"/>
    </row>
    <row r="789" spans="1:1" ht="12.5">
      <c r="A789" s="9"/>
    </row>
    <row r="790" spans="1:1" ht="12.5">
      <c r="A790" s="9"/>
    </row>
    <row r="791" spans="1:1" ht="12.5">
      <c r="A791" s="9"/>
    </row>
    <row r="792" spans="1:1" ht="12.5">
      <c r="A792" s="9"/>
    </row>
    <row r="793" spans="1:1" ht="12.5">
      <c r="A793" s="9"/>
    </row>
    <row r="794" spans="1:1" ht="12.5">
      <c r="A794" s="9"/>
    </row>
    <row r="795" spans="1:1" ht="12.5">
      <c r="A795" s="9"/>
    </row>
    <row r="796" spans="1:1" ht="12.5">
      <c r="A796" s="9"/>
    </row>
    <row r="797" spans="1:1" ht="12.5">
      <c r="A797" s="9"/>
    </row>
    <row r="798" spans="1:1" ht="12.5">
      <c r="A798" s="9"/>
    </row>
    <row r="799" spans="1:1" ht="12.5">
      <c r="A799" s="9"/>
    </row>
    <row r="800" spans="1:1" ht="12.5">
      <c r="A800" s="9"/>
    </row>
    <row r="801" spans="1:1" ht="12.5">
      <c r="A801" s="9"/>
    </row>
    <row r="802" spans="1:1" ht="12.5">
      <c r="A802" s="9"/>
    </row>
    <row r="803" spans="1:1" ht="12.5">
      <c r="A803" s="9"/>
    </row>
    <row r="804" spans="1:1" ht="12.5">
      <c r="A804" s="9"/>
    </row>
    <row r="805" spans="1:1" ht="12.5">
      <c r="A805" s="9"/>
    </row>
    <row r="806" spans="1:1" ht="12.5">
      <c r="A806" s="9"/>
    </row>
    <row r="807" spans="1:1" ht="12.5">
      <c r="A807" s="9"/>
    </row>
    <row r="808" spans="1:1" ht="12.5">
      <c r="A808" s="9"/>
    </row>
    <row r="809" spans="1:1" ht="12.5">
      <c r="A809" s="9"/>
    </row>
    <row r="810" spans="1:1" ht="12.5">
      <c r="A810" s="9"/>
    </row>
    <row r="811" spans="1:1" ht="12.5">
      <c r="A811" s="9"/>
    </row>
    <row r="812" spans="1:1" ht="12.5">
      <c r="A812" s="9"/>
    </row>
    <row r="813" spans="1:1" ht="12.5">
      <c r="A813" s="9"/>
    </row>
    <row r="814" spans="1:1" ht="12.5">
      <c r="A814" s="9"/>
    </row>
    <row r="815" spans="1:1" ht="12.5">
      <c r="A815" s="9"/>
    </row>
    <row r="816" spans="1:1" ht="12.5">
      <c r="A816" s="9"/>
    </row>
    <row r="817" spans="1:1" ht="12.5">
      <c r="A817" s="9"/>
    </row>
    <row r="818" spans="1:1" ht="12.5">
      <c r="A818" s="9"/>
    </row>
    <row r="819" spans="1:1" ht="12.5">
      <c r="A819" s="9"/>
    </row>
    <row r="820" spans="1:1" ht="12.5">
      <c r="A820" s="9"/>
    </row>
    <row r="821" spans="1:1" ht="12.5">
      <c r="A821" s="9"/>
    </row>
    <row r="822" spans="1:1" ht="12.5">
      <c r="A822" s="9"/>
    </row>
    <row r="823" spans="1:1" ht="12.5">
      <c r="A823" s="9"/>
    </row>
    <row r="824" spans="1:1" ht="12.5">
      <c r="A824" s="9"/>
    </row>
    <row r="825" spans="1:1" ht="12.5">
      <c r="A825" s="9"/>
    </row>
    <row r="826" spans="1:1" ht="12.5">
      <c r="A826" s="9"/>
    </row>
    <row r="827" spans="1:1" ht="12.5">
      <c r="A827" s="9"/>
    </row>
    <row r="828" spans="1:1" ht="12.5">
      <c r="A828" s="9"/>
    </row>
    <row r="829" spans="1:1" ht="12.5">
      <c r="A829" s="9"/>
    </row>
    <row r="830" spans="1:1" ht="12.5">
      <c r="A830" s="9"/>
    </row>
    <row r="831" spans="1:1" ht="12.5">
      <c r="A831" s="9"/>
    </row>
    <row r="832" spans="1:1" ht="12.5">
      <c r="A832" s="9"/>
    </row>
    <row r="833" spans="1:1" ht="12.5">
      <c r="A833" s="9"/>
    </row>
    <row r="834" spans="1:1" ht="12.5">
      <c r="A834" s="9"/>
    </row>
    <row r="835" spans="1:1" ht="12.5">
      <c r="A835" s="9"/>
    </row>
    <row r="836" spans="1:1" ht="12.5">
      <c r="A836" s="9"/>
    </row>
    <row r="837" spans="1:1" ht="12.5">
      <c r="A837" s="9"/>
    </row>
    <row r="838" spans="1:1" ht="12.5">
      <c r="A838" s="9"/>
    </row>
    <row r="839" spans="1:1" ht="12.5">
      <c r="A839" s="9"/>
    </row>
    <row r="840" spans="1:1" ht="12.5">
      <c r="A840" s="9"/>
    </row>
    <row r="841" spans="1:1" ht="12.5">
      <c r="A841" s="9"/>
    </row>
    <row r="842" spans="1:1" ht="12.5">
      <c r="A842" s="9"/>
    </row>
    <row r="843" spans="1:1" ht="12.5">
      <c r="A843" s="9"/>
    </row>
    <row r="844" spans="1:1" ht="12.5">
      <c r="A844" s="9"/>
    </row>
    <row r="845" spans="1:1" ht="12.5">
      <c r="A845" s="9"/>
    </row>
    <row r="846" spans="1:1" ht="12.5">
      <c r="A846" s="9"/>
    </row>
    <row r="847" spans="1:1" ht="12.5">
      <c r="A847" s="9"/>
    </row>
    <row r="848" spans="1:1" ht="12.5">
      <c r="A848" s="9"/>
    </row>
    <row r="849" spans="1:1" ht="12.5">
      <c r="A849" s="9"/>
    </row>
    <row r="850" spans="1:1" ht="12.5">
      <c r="A850" s="9"/>
    </row>
    <row r="851" spans="1:1" ht="12.5">
      <c r="A851" s="9"/>
    </row>
    <row r="852" spans="1:1" ht="12.5">
      <c r="A852" s="9"/>
    </row>
    <row r="853" spans="1:1" ht="12.5">
      <c r="A853" s="9"/>
    </row>
    <row r="854" spans="1:1" ht="12.5">
      <c r="A854" s="9"/>
    </row>
    <row r="855" spans="1:1" ht="12.5">
      <c r="A855" s="9"/>
    </row>
    <row r="856" spans="1:1" ht="12.5">
      <c r="A856" s="9"/>
    </row>
    <row r="857" spans="1:1" ht="12.5">
      <c r="A857" s="9"/>
    </row>
    <row r="858" spans="1:1" ht="12.5">
      <c r="A858" s="9"/>
    </row>
    <row r="859" spans="1:1" ht="12.5">
      <c r="A859" s="9"/>
    </row>
    <row r="860" spans="1:1" ht="12.5">
      <c r="A860" s="9"/>
    </row>
    <row r="861" spans="1:1" ht="12.5">
      <c r="A861" s="9"/>
    </row>
    <row r="862" spans="1:1" ht="12.5">
      <c r="A862" s="9"/>
    </row>
    <row r="863" spans="1:1" ht="12.5">
      <c r="A863" s="9"/>
    </row>
    <row r="864" spans="1:1" ht="12.5">
      <c r="A864" s="9"/>
    </row>
    <row r="865" spans="1:1" ht="12.5">
      <c r="A865" s="9"/>
    </row>
    <row r="866" spans="1:1" ht="12.5">
      <c r="A866" s="9"/>
    </row>
    <row r="867" spans="1:1" ht="12.5">
      <c r="A867" s="9"/>
    </row>
    <row r="868" spans="1:1" ht="12.5">
      <c r="A868" s="9"/>
    </row>
    <row r="869" spans="1:1" ht="12.5">
      <c r="A869" s="9"/>
    </row>
    <row r="870" spans="1:1" ht="12.5">
      <c r="A870" s="9"/>
    </row>
    <row r="871" spans="1:1" ht="12.5">
      <c r="A871" s="9"/>
    </row>
    <row r="872" spans="1:1" ht="12.5">
      <c r="A872" s="9"/>
    </row>
    <row r="873" spans="1:1" ht="12.5">
      <c r="A873" s="9"/>
    </row>
    <row r="874" spans="1:1" ht="12.5">
      <c r="A874" s="9"/>
    </row>
    <row r="875" spans="1:1" ht="12.5">
      <c r="A875" s="9"/>
    </row>
    <row r="876" spans="1:1" ht="12.5">
      <c r="A876" s="9"/>
    </row>
    <row r="877" spans="1:1" ht="12.5">
      <c r="A877" s="9"/>
    </row>
    <row r="878" spans="1:1" ht="12.5">
      <c r="A878" s="9"/>
    </row>
    <row r="879" spans="1:1" ht="12.5">
      <c r="A879" s="9"/>
    </row>
    <row r="880" spans="1:1" ht="12.5">
      <c r="A880" s="9"/>
    </row>
    <row r="881" spans="1:1" ht="12.5">
      <c r="A881" s="9"/>
    </row>
    <row r="882" spans="1:1" ht="12.5">
      <c r="A882" s="9"/>
    </row>
    <row r="883" spans="1:1" ht="12.5">
      <c r="A883" s="9"/>
    </row>
    <row r="884" spans="1:1" ht="12.5">
      <c r="A884" s="9"/>
    </row>
    <row r="885" spans="1:1" ht="12.5">
      <c r="A885" s="9"/>
    </row>
    <row r="886" spans="1:1" ht="12.5">
      <c r="A886" s="9"/>
    </row>
    <row r="887" spans="1:1" ht="12.5">
      <c r="A887" s="9"/>
    </row>
    <row r="888" spans="1:1" ht="12.5">
      <c r="A888" s="9"/>
    </row>
    <row r="889" spans="1:1" ht="12.5">
      <c r="A889" s="9"/>
    </row>
    <row r="890" spans="1:1" ht="12.5">
      <c r="A890" s="9"/>
    </row>
    <row r="891" spans="1:1" ht="12.5">
      <c r="A891" s="9"/>
    </row>
    <row r="892" spans="1:1" ht="12.5">
      <c r="A892" s="9"/>
    </row>
    <row r="893" spans="1:1" ht="12.5">
      <c r="A893" s="9"/>
    </row>
    <row r="894" spans="1:1" ht="12.5">
      <c r="A894" s="9"/>
    </row>
    <row r="895" spans="1:1" ht="12.5">
      <c r="A895" s="9"/>
    </row>
    <row r="896" spans="1:1" ht="12.5">
      <c r="A896" s="9"/>
    </row>
    <row r="897" spans="1:1" ht="12.5">
      <c r="A897" s="9"/>
    </row>
    <row r="898" spans="1:1" ht="12.5">
      <c r="A898" s="9"/>
    </row>
    <row r="899" spans="1:1" ht="12.5">
      <c r="A899" s="9"/>
    </row>
    <row r="900" spans="1:1" ht="12.5">
      <c r="A900" s="9"/>
    </row>
    <row r="901" spans="1:1" ht="12.5">
      <c r="A901" s="9"/>
    </row>
    <row r="902" spans="1:1" ht="12.5">
      <c r="A902" s="9"/>
    </row>
    <row r="903" spans="1:1" ht="12.5">
      <c r="A903" s="9"/>
    </row>
    <row r="904" spans="1:1" ht="12.5">
      <c r="A904" s="9"/>
    </row>
    <row r="905" spans="1:1" ht="12.5">
      <c r="A905" s="9"/>
    </row>
    <row r="906" spans="1:1" ht="12.5">
      <c r="A906" s="9"/>
    </row>
    <row r="907" spans="1:1" ht="12.5">
      <c r="A907" s="9"/>
    </row>
    <row r="908" spans="1:1" ht="12.5">
      <c r="A908" s="9"/>
    </row>
    <row r="909" spans="1:1" ht="12.5">
      <c r="A909" s="9"/>
    </row>
    <row r="910" spans="1:1" ht="12.5">
      <c r="A910" s="9"/>
    </row>
    <row r="911" spans="1:1" ht="12.5">
      <c r="A911" s="9"/>
    </row>
    <row r="912" spans="1:1" ht="12.5">
      <c r="A912" s="9"/>
    </row>
    <row r="913" spans="1:1" ht="12.5">
      <c r="A913" s="9"/>
    </row>
    <row r="914" spans="1:1" ht="12.5">
      <c r="A914" s="9"/>
    </row>
    <row r="915" spans="1:1" ht="12.5">
      <c r="A915" s="9"/>
    </row>
    <row r="916" spans="1:1" ht="12.5">
      <c r="A916" s="9"/>
    </row>
    <row r="917" spans="1:1" ht="12.5">
      <c r="A917" s="9"/>
    </row>
    <row r="918" spans="1:1" ht="12.5">
      <c r="A918" s="9"/>
    </row>
    <row r="919" spans="1:1" ht="12.5">
      <c r="A919" s="9"/>
    </row>
    <row r="920" spans="1:1" ht="12.5">
      <c r="A920" s="9"/>
    </row>
    <row r="921" spans="1:1" ht="12.5">
      <c r="A921" s="9"/>
    </row>
    <row r="922" spans="1:1" ht="12.5">
      <c r="A922" s="9"/>
    </row>
    <row r="923" spans="1:1" ht="12.5">
      <c r="A923" s="9"/>
    </row>
    <row r="924" spans="1:1" ht="12.5">
      <c r="A924" s="9"/>
    </row>
    <row r="925" spans="1:1" ht="12.5">
      <c r="A925" s="9"/>
    </row>
    <row r="926" spans="1:1" ht="12.5">
      <c r="A926" s="9"/>
    </row>
    <row r="927" spans="1:1" ht="12.5">
      <c r="A927" s="9"/>
    </row>
    <row r="928" spans="1:1" ht="12.5">
      <c r="A928" s="9"/>
    </row>
    <row r="929" spans="1:1" ht="12.5">
      <c r="A929" s="9"/>
    </row>
    <row r="930" spans="1:1" ht="12.5">
      <c r="A930" s="9"/>
    </row>
    <row r="931" spans="1:1" ht="12.5">
      <c r="A931" s="9"/>
    </row>
    <row r="932" spans="1:1" ht="12.5">
      <c r="A932" s="9"/>
    </row>
    <row r="933" spans="1:1" ht="12.5">
      <c r="A933" s="9"/>
    </row>
    <row r="934" spans="1:1" ht="12.5">
      <c r="A934" s="9"/>
    </row>
    <row r="935" spans="1:1" ht="12.5">
      <c r="A935" s="9"/>
    </row>
    <row r="936" spans="1:1" ht="12.5">
      <c r="A936" s="9"/>
    </row>
    <row r="937" spans="1:1" ht="12.5">
      <c r="A937" s="9"/>
    </row>
    <row r="938" spans="1:1" ht="12.5">
      <c r="A938" s="9"/>
    </row>
    <row r="939" spans="1:1" ht="12.5">
      <c r="A939" s="9"/>
    </row>
    <row r="940" spans="1:1" ht="12.5">
      <c r="A940" s="9"/>
    </row>
    <row r="941" spans="1:1" ht="12.5">
      <c r="A941" s="9"/>
    </row>
    <row r="942" spans="1:1" ht="12.5">
      <c r="A942" s="9"/>
    </row>
    <row r="943" spans="1:1" ht="12.5">
      <c r="A943" s="9"/>
    </row>
    <row r="944" spans="1:1" ht="12.5">
      <c r="A944" s="9"/>
    </row>
    <row r="945" spans="1:1" ht="12.5">
      <c r="A945" s="9"/>
    </row>
    <row r="946" spans="1:1" ht="12.5">
      <c r="A946" s="9"/>
    </row>
    <row r="947" spans="1:1" ht="12.5">
      <c r="A947" s="9"/>
    </row>
    <row r="948" spans="1:1" ht="12.5">
      <c r="A948" s="9"/>
    </row>
    <row r="949" spans="1:1" ht="12.5">
      <c r="A949" s="9"/>
    </row>
    <row r="950" spans="1:1" ht="12.5">
      <c r="A950" s="9"/>
    </row>
    <row r="951" spans="1:1" ht="12.5">
      <c r="A951" s="9"/>
    </row>
    <row r="952" spans="1:1" ht="12.5">
      <c r="A952" s="9"/>
    </row>
    <row r="953" spans="1:1" ht="12.5">
      <c r="A953" s="9"/>
    </row>
    <row r="954" spans="1:1" ht="12.5">
      <c r="A954" s="9"/>
    </row>
    <row r="955" spans="1:1" ht="12.5">
      <c r="A955" s="9"/>
    </row>
    <row r="956" spans="1:1" ht="12.5">
      <c r="A956" s="9"/>
    </row>
    <row r="957" spans="1:1" ht="12.5">
      <c r="A957" s="9"/>
    </row>
    <row r="958" spans="1:1" ht="12.5">
      <c r="A958" s="9"/>
    </row>
    <row r="959" spans="1:1" ht="12.5">
      <c r="A959" s="9"/>
    </row>
    <row r="960" spans="1:1" ht="12.5">
      <c r="A960" s="9"/>
    </row>
    <row r="961" spans="1:1" ht="12.5">
      <c r="A961" s="9"/>
    </row>
    <row r="962" spans="1:1" ht="12.5">
      <c r="A962" s="9"/>
    </row>
    <row r="963" spans="1:1" ht="12.5">
      <c r="A963" s="9"/>
    </row>
    <row r="964" spans="1:1" ht="12.5">
      <c r="A964" s="9"/>
    </row>
    <row r="965" spans="1:1" ht="12.5">
      <c r="A965" s="9"/>
    </row>
    <row r="966" spans="1:1" ht="12.5">
      <c r="A966" s="9"/>
    </row>
    <row r="967" spans="1:1" ht="12.5">
      <c r="A967" s="9"/>
    </row>
    <row r="968" spans="1:1" ht="12.5">
      <c r="A968" s="9"/>
    </row>
    <row r="969" spans="1:1" ht="12.5">
      <c r="A969" s="9"/>
    </row>
    <row r="970" spans="1:1" ht="12.5">
      <c r="A970" s="9"/>
    </row>
    <row r="971" spans="1:1" ht="12.5">
      <c r="A971" s="9"/>
    </row>
    <row r="972" spans="1:1" ht="12.5">
      <c r="A972" s="9"/>
    </row>
    <row r="973" spans="1:1" ht="12.5">
      <c r="A973" s="9"/>
    </row>
    <row r="974" spans="1:1" ht="12.5">
      <c r="A974" s="9"/>
    </row>
    <row r="975" spans="1:1" ht="12.5">
      <c r="A975" s="9"/>
    </row>
    <row r="976" spans="1:1" ht="12.5">
      <c r="A976" s="9"/>
    </row>
    <row r="977" spans="1:1" ht="12.5">
      <c r="A977" s="9"/>
    </row>
    <row r="978" spans="1:1" ht="12.5">
      <c r="A978" s="9"/>
    </row>
    <row r="979" spans="1:1" ht="12.5">
      <c r="A979" s="9"/>
    </row>
    <row r="980" spans="1:1" ht="12.5">
      <c r="A980" s="9"/>
    </row>
    <row r="981" spans="1:1" ht="12.5">
      <c r="A981" s="9"/>
    </row>
    <row r="982" spans="1:1" ht="12.5">
      <c r="A982" s="9"/>
    </row>
    <row r="983" spans="1:1" ht="12.5">
      <c r="A983" s="9"/>
    </row>
    <row r="984" spans="1:1" ht="12.5">
      <c r="A984" s="9"/>
    </row>
    <row r="985" spans="1:1" ht="12.5">
      <c r="A985" s="9"/>
    </row>
    <row r="986" spans="1:1" ht="12.5">
      <c r="A986" s="9"/>
    </row>
    <row r="987" spans="1:1" ht="12.5">
      <c r="A987" s="9"/>
    </row>
    <row r="988" spans="1:1" ht="12.5">
      <c r="A988" s="9"/>
    </row>
    <row r="989" spans="1:1" ht="12.5">
      <c r="A989" s="9"/>
    </row>
    <row r="990" spans="1:1" ht="12.5">
      <c r="A990" s="9"/>
    </row>
    <row r="991" spans="1:1" ht="12.5">
      <c r="A991" s="9"/>
    </row>
    <row r="992" spans="1:1" ht="12.5">
      <c r="A992" s="9"/>
    </row>
    <row r="993" spans="1:1" ht="12.5">
      <c r="A993" s="9"/>
    </row>
    <row r="994" spans="1:1" ht="12.5">
      <c r="A994" s="9"/>
    </row>
    <row r="995" spans="1:1" ht="12.5">
      <c r="A995" s="9"/>
    </row>
    <row r="996" spans="1:1" ht="12.5">
      <c r="A996" s="9"/>
    </row>
    <row r="997" spans="1:1" ht="12.5">
      <c r="A997" s="9"/>
    </row>
    <row r="998" spans="1:1" ht="12.5">
      <c r="A998" s="9"/>
    </row>
    <row r="999" spans="1:1" ht="12.5">
      <c r="A999" s="9"/>
    </row>
    <row r="1000" spans="1:1" ht="12.5">
      <c r="A1000" s="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H1000"/>
  <sheetViews>
    <sheetView workbookViewId="0"/>
  </sheetViews>
  <sheetFormatPr defaultColWidth="12.6328125" defaultRowHeight="15.75" customHeight="1"/>
  <cols>
    <col min="1" max="1" width="55.453125" customWidth="1"/>
  </cols>
  <sheetData>
    <row r="1" spans="1:8" ht="15.75" customHeight="1">
      <c r="A1" s="78" t="str">
        <f ca="1">IFERROR(__xludf.DUMMYFUNCTION("IMPORTRANGE(""https://docs.google.com/spreadsheets/d/14vPQhjkb1FnoIkJTl9wXcWKUYOGYFHiTODOOwUvftKU"", ""Deals!$A2:$A"")"),"American Chemical Society TA 2022")</f>
        <v>American Chemical Society TA 2022</v>
      </c>
      <c r="B1" s="9">
        <f ca="1">AVERAGEIFS(Articles!$AM:$AM, Articles!$H:$H, A1, Articles!$AM:$AM, "&lt;&gt;0")</f>
        <v>3894.008275862067</v>
      </c>
      <c r="F1" s="9">
        <v>2021</v>
      </c>
      <c r="G1" s="78">
        <f>AVERAGEIFS(Articles!$AM:$AM, Articles!$N:$N, F1, Articles!$AM:$AM, "&lt;&gt;0")</f>
        <v>2585.5970970873727</v>
      </c>
      <c r="H1" s="79"/>
    </row>
    <row r="2" spans="1:8" ht="15.75" customHeight="1">
      <c r="A2" s="9" t="str">
        <f ca="1">IFERROR(__xludf.DUMMYFUNCTION("""COMPUTED_VALUE"""),"American Chemical Society TA 2023")</f>
        <v>American Chemical Society TA 2023</v>
      </c>
      <c r="B2" s="9">
        <f ca="1">AVERAGEIFS(Articles!$AM:$AM, Articles!$H:$H, A2, Articles!$AM:$AM, "&lt;&gt;0")</f>
        <v>3862.7917241379314</v>
      </c>
      <c r="F2" s="9">
        <v>2022</v>
      </c>
      <c r="G2" s="78">
        <f>AVERAGEIFS(Articles!$AM:$AM, Articles!$N:$N, F2, Articles!$AM:$AM, "&lt;&gt;0")</f>
        <v>2911.0542207511789</v>
      </c>
      <c r="H2" s="79">
        <f t="shared" ref="H2:H4" si="0">(G2-G1)/G1</f>
        <v>0.12587310065842341</v>
      </c>
    </row>
    <row r="3" spans="1:8" ht="15.75" customHeight="1">
      <c r="A3" s="9" t="str">
        <f ca="1">IFERROR(__xludf.DUMMYFUNCTION("""COMPUTED_VALUE"""),"American Chemical Society TA 2024")</f>
        <v>American Chemical Society TA 2024</v>
      </c>
      <c r="B3" s="9">
        <f ca="1">AVERAGEIFS(Articles!$AM:$AM, Articles!$H:$H, A3, Articles!$AM:$AM, "&lt;&gt;0")</f>
        <v>3795.8399999999988</v>
      </c>
      <c r="F3" s="9">
        <v>2023</v>
      </c>
      <c r="G3" s="78">
        <f>AVERAGEIFS(Articles!$AM:$AM, Articles!$N:$N, F3, Articles!$AM:$AM, "&lt;&gt;0")</f>
        <v>3007.386046052266</v>
      </c>
      <c r="H3" s="79">
        <f t="shared" si="0"/>
        <v>3.3091731721928988E-2</v>
      </c>
    </row>
    <row r="4" spans="1:8" ht="15.75" customHeight="1">
      <c r="A4" s="9" t="str">
        <f ca="1">IFERROR(__xludf.DUMMYFUNCTION("""COMPUTED_VALUE"""),"American Institute of Physics TA 2022")</f>
        <v>American Institute of Physics TA 2022</v>
      </c>
      <c r="B4" s="9">
        <f ca="1">AVERAGEIFS(Articles!$AM:$AM, Articles!$H:$H, A4, Articles!$AM:$AM, "&lt;&gt;0")</f>
        <v>3248.3185714285719</v>
      </c>
      <c r="F4" s="9">
        <v>2024</v>
      </c>
      <c r="G4" s="78">
        <f>AVERAGEIFS(Articles!$AM:$AM, Articles!$N:$N, F4, Articles!$AM:$AM, "&lt;&gt;0")</f>
        <v>3333.5390689655173</v>
      </c>
      <c r="H4" s="79">
        <f t="shared" si="0"/>
        <v>0.10845066709722409</v>
      </c>
    </row>
    <row r="5" spans="1:8" ht="15.75" customHeight="1">
      <c r="A5" s="9" t="str">
        <f ca="1">IFERROR(__xludf.DUMMYFUNCTION("""COMPUTED_VALUE"""),"American Institute of Physics TA 2023")</f>
        <v>American Institute of Physics TA 2023</v>
      </c>
      <c r="B5" s="9">
        <f ca="1">AVERAGEIFS(Articles!$AM:$AM, Articles!$H:$H, A5, Articles!$AM:$AM, "&lt;&gt;0")</f>
        <v>3378.0600000000004</v>
      </c>
      <c r="H5" s="79"/>
    </row>
    <row r="6" spans="1:8" ht="15.75" customHeight="1">
      <c r="A6" s="9" t="str">
        <f ca="1">IFERROR(__xludf.DUMMYFUNCTION("""COMPUTED_VALUE"""),"American Institute of Physics TA 2024")</f>
        <v>American Institute of Physics TA 2024</v>
      </c>
      <c r="B6" s="9" t="e">
        <f ca="1">AVERAGEIFS(Articles!$AM:$AM, Articles!$H:$H, A6, Articles!$AM:$AM, "&lt;&gt;0")</f>
        <v>#DIV/0!</v>
      </c>
      <c r="H6" s="79"/>
    </row>
    <row r="7" spans="1:8" ht="15.75" customHeight="1">
      <c r="A7" s="9" t="str">
        <f ca="1">IFERROR(__xludf.DUMMYFUNCTION("""COMPUTED_VALUE"""),"American Institute of Physics TA 2025")</f>
        <v>American Institute of Physics TA 2025</v>
      </c>
      <c r="B7" s="9" t="e">
        <f ca="1">AVERAGEIFS(Articles!$AM:$AM, Articles!$H:$H, A7, Articles!$AM:$AM, "&lt;&gt;0")</f>
        <v>#DIV/0!</v>
      </c>
      <c r="H7" s="79"/>
    </row>
    <row r="8" spans="1:8" ht="15.75" customHeight="1">
      <c r="A8" s="9" t="str">
        <f ca="1">IFERROR(__xludf.DUMMYFUNCTION("""COMPUTED_VALUE"""),"American Physical Society TA 2023")</f>
        <v>American Physical Society TA 2023</v>
      </c>
      <c r="B8" s="9">
        <f ca="1">AVERAGEIFS(Articles!$AM:$AM, Articles!$H:$H, A8, Articles!$AM:$AM, "&lt;&gt;0")</f>
        <v>2837.5704000000005</v>
      </c>
      <c r="H8" s="79"/>
    </row>
    <row r="9" spans="1:8" ht="15.75" customHeight="1">
      <c r="A9" s="9" t="str">
        <f ca="1">IFERROR(__xludf.DUMMYFUNCTION("""COMPUTED_VALUE"""),"American Physical Society TA 2024")</f>
        <v>American Physical Society TA 2024</v>
      </c>
      <c r="B9" s="9" t="e">
        <f ca="1">AVERAGEIFS(Articles!$AM:$AM, Articles!$H:$H, A9, Articles!$AM:$AM, "&lt;&gt;0")</f>
        <v>#DIV/0!</v>
      </c>
      <c r="H9" s="79"/>
    </row>
    <row r="10" spans="1:8" ht="15.75" customHeight="1">
      <c r="A10" s="9" t="str">
        <f ca="1">IFERROR(__xludf.DUMMYFUNCTION("""COMPUTED_VALUE"""),"American Physical Society TA 2025")</f>
        <v>American Physical Society TA 2025</v>
      </c>
      <c r="B10" s="9" t="e">
        <f ca="1">AVERAGEIFS(Articles!$AM:$AM, Articles!$H:$H, A10, Articles!$AM:$AM, "&lt;&gt;0")</f>
        <v>#DIV/0!</v>
      </c>
      <c r="H10" s="79"/>
    </row>
    <row r="11" spans="1:8" ht="15.75" customHeight="1">
      <c r="A11" s="9" t="str">
        <f ca="1">IFERROR(__xludf.DUMMYFUNCTION("""COMPUTED_VALUE"""),"American Psychological Association TA 2022-2023")</f>
        <v>American Psychological Association TA 2022-2023</v>
      </c>
      <c r="B11" s="9">
        <f ca="1">AVERAGEIFS(Articles!$AM:$AM, Articles!$H:$H, A11, Articles!$AM:$AM, "&lt;&gt;0")</f>
        <v>2895.48</v>
      </c>
      <c r="H11" s="79"/>
    </row>
    <row r="12" spans="1:8" ht="12.5">
      <c r="A12" s="9" t="str">
        <f ca="1">IFERROR(__xludf.DUMMYFUNCTION("""COMPUTED_VALUE"""),"American Psychological Association TA 2023-2024")</f>
        <v>American Psychological Association TA 2023-2024</v>
      </c>
      <c r="B12" s="9">
        <f ca="1">AVERAGEIFS(Articles!$AM:$AM, Articles!$H:$H, A12, Articles!$AM:$AM, "&lt;&gt;0")</f>
        <v>2846.8799999999997</v>
      </c>
      <c r="H12" s="79"/>
    </row>
    <row r="13" spans="1:8" ht="12.5">
      <c r="A13" s="9" t="str">
        <f ca="1">IFERROR(__xludf.DUMMYFUNCTION("""COMPUTED_VALUE"""),"Brill TA 2020")</f>
        <v>Brill TA 2020</v>
      </c>
      <c r="B13" s="9" t="e">
        <f ca="1">AVERAGEIFS(Articles!$AM:$AM, Articles!$H:$H, A13, Articles!$AM:$AM, "&lt;&gt;0")</f>
        <v>#DIV/0!</v>
      </c>
      <c r="H13" s="79"/>
    </row>
    <row r="14" spans="1:8" ht="12.5">
      <c r="A14" s="9" t="str">
        <f ca="1">IFERROR(__xludf.DUMMYFUNCTION("""COMPUTED_VALUE"""),"Brill TA 2021")</f>
        <v>Brill TA 2021</v>
      </c>
      <c r="B14" s="9" t="e">
        <f ca="1">AVERAGEIFS(Articles!$AM:$AM, Articles!$H:$H, A14, Articles!$AM:$AM, "&lt;&gt;0")</f>
        <v>#DIV/0!</v>
      </c>
      <c r="H14" s="79"/>
    </row>
    <row r="15" spans="1:8" ht="12.5">
      <c r="A15" s="9" t="str">
        <f ca="1">IFERROR(__xludf.DUMMYFUNCTION("""COMPUTED_VALUE"""),"Brill TA 2022")</f>
        <v>Brill TA 2022</v>
      </c>
      <c r="B15" s="9">
        <f ca="1">AVERAGEIFS(Articles!$AM:$AM, Articles!$H:$H, A15, Articles!$AM:$AM, "&lt;&gt;0")</f>
        <v>2348.6111999999998</v>
      </c>
      <c r="H15" s="79"/>
    </row>
    <row r="16" spans="1:8" ht="12.5">
      <c r="A16" s="9" t="str">
        <f ca="1">IFERROR(__xludf.DUMMYFUNCTION("""COMPUTED_VALUE"""),"Brill TA 2023")</f>
        <v>Brill TA 2023</v>
      </c>
      <c r="B16" s="9">
        <f ca="1">AVERAGEIFS(Articles!$AM:$AM, Articles!$H:$H, A16, Articles!$AM:$AM, "&lt;&gt;0")</f>
        <v>2468.6622000000002</v>
      </c>
      <c r="H16" s="79"/>
    </row>
    <row r="17" spans="1:8" ht="12.5">
      <c r="A17" s="9" t="str">
        <f ca="1">IFERROR(__xludf.DUMMYFUNCTION("""COMPUTED_VALUE"""),"Brill TA 2024")</f>
        <v>Brill TA 2024</v>
      </c>
      <c r="B17" s="9" t="e">
        <f ca="1">AVERAGEIFS(Articles!$AM:$AM, Articles!$H:$H, A17, Articles!$AM:$AM, "&lt;&gt;0")</f>
        <v>#DIV/0!</v>
      </c>
      <c r="H17" s="79"/>
    </row>
    <row r="18" spans="1:8" ht="12.5">
      <c r="A18" s="9" t="str">
        <f ca="1">IFERROR(__xludf.DUMMYFUNCTION("""COMPUTED_VALUE"""),"BMJ TA 2021")</f>
        <v>BMJ TA 2021</v>
      </c>
      <c r="B18" s="9">
        <f ca="1">AVERAGEIFS(Articles!$AM:$AM, Articles!$H:$H, A18, Articles!$AM:$AM, "&lt;&gt;0")</f>
        <v>2340</v>
      </c>
      <c r="H18" s="79"/>
    </row>
    <row r="19" spans="1:8" ht="12.5">
      <c r="A19" s="9" t="str">
        <f ca="1">IFERROR(__xludf.DUMMYFUNCTION("""COMPUTED_VALUE"""),"BMJ TA 2022")</f>
        <v>BMJ TA 2022</v>
      </c>
      <c r="B19" s="9" t="e">
        <f ca="1">AVERAGEIFS(Articles!$AM:$AM, Articles!$H:$H, A19, Articles!$AM:$AM, "&lt;&gt;0")</f>
        <v>#DIV/0!</v>
      </c>
      <c r="H19" s="79"/>
    </row>
    <row r="20" spans="1:8" ht="12.5">
      <c r="A20" s="9" t="str">
        <f ca="1">IFERROR(__xludf.DUMMYFUNCTION("""COMPUTED_VALUE"""),"BMJ TA 2023")</f>
        <v>BMJ TA 2023</v>
      </c>
      <c r="B20" s="9" t="e">
        <f ca="1">AVERAGEIFS(Articles!$AM:$AM, Articles!$H:$H, A20, Articles!$AM:$AM, "&lt;&gt;0")</f>
        <v>#DIV/0!</v>
      </c>
      <c r="H20" s="79"/>
    </row>
    <row r="21" spans="1:8" ht="12.5">
      <c r="A21" s="9" t="str">
        <f ca="1">IFERROR(__xludf.DUMMYFUNCTION("""COMPUTED_VALUE"""),"BMJ TA 2024")</f>
        <v>BMJ TA 2024</v>
      </c>
      <c r="B21" s="9" t="e">
        <f ca="1">AVERAGEIFS(Articles!$AM:$AM, Articles!$H:$H, A21, Articles!$AM:$AM, "&lt;&gt;0")</f>
        <v>#DIV/0!</v>
      </c>
      <c r="H21" s="79"/>
    </row>
    <row r="22" spans="1:8" ht="12.5">
      <c r="A22" s="9" t="str">
        <f ca="1">IFERROR(__xludf.DUMMYFUNCTION("""COMPUTED_VALUE"""),"Bristol University Press TA 2023")</f>
        <v>Bristol University Press TA 2023</v>
      </c>
      <c r="B22" s="9" t="e">
        <f ca="1">AVERAGEIFS(Articles!$AM:$AM, Articles!$H:$H, A22, Articles!$AM:$AM, "&lt;&gt;0")</f>
        <v>#DIV/0!</v>
      </c>
      <c r="H22" s="79"/>
    </row>
    <row r="23" spans="1:8" ht="12.5">
      <c r="A23" s="9" t="str">
        <f ca="1">IFERROR(__xludf.DUMMYFUNCTION("""COMPUTED_VALUE"""),"Bristol University Press TA 2024")</f>
        <v>Bristol University Press TA 2024</v>
      </c>
      <c r="B23" s="9" t="e">
        <f ca="1">AVERAGEIFS(Articles!$AM:$AM, Articles!$H:$H, A23, Articles!$AM:$AM, "&lt;&gt;0")</f>
        <v>#DIV/0!</v>
      </c>
      <c r="H23" s="79"/>
    </row>
    <row r="24" spans="1:8" ht="12.5">
      <c r="A24" s="9" t="str">
        <f ca="1">IFERROR(__xludf.DUMMYFUNCTION("""COMPUTED_VALUE"""),"Company of Biologists TA 2020")</f>
        <v>Company of Biologists TA 2020</v>
      </c>
      <c r="B24" s="9" t="e">
        <f ca="1">AVERAGEIFS(Articles!$AM:$AM, Articles!$H:$H, A24, Articles!$AM:$AM, "&lt;&gt;0")</f>
        <v>#DIV/0!</v>
      </c>
      <c r="H24" s="79"/>
    </row>
    <row r="25" spans="1:8" ht="12.5">
      <c r="A25" s="9" t="str">
        <f ca="1">IFERROR(__xludf.DUMMYFUNCTION("""COMPUTED_VALUE"""),"Company of Biologists TA 2021")</f>
        <v>Company of Biologists TA 2021</v>
      </c>
      <c r="B25" s="9" t="e">
        <f ca="1">AVERAGEIFS(Articles!$AM:$AM, Articles!$H:$H, A25, Articles!$AM:$AM, "&lt;&gt;0")</f>
        <v>#DIV/0!</v>
      </c>
      <c r="H25" s="79"/>
    </row>
    <row r="26" spans="1:8" ht="12.5">
      <c r="A26" s="9" t="str">
        <f ca="1">IFERROR(__xludf.DUMMYFUNCTION("""COMPUTED_VALUE"""),"Company of Biologists TA 2022")</f>
        <v>Company of Biologists TA 2022</v>
      </c>
      <c r="B26" s="9">
        <f ca="1">AVERAGEIFS(Articles!$AM:$AM, Articles!$H:$H, A26, Articles!$AM:$AM, "&lt;&gt;0")</f>
        <v>4674.24</v>
      </c>
      <c r="H26" s="79"/>
    </row>
    <row r="27" spans="1:8" ht="12.5">
      <c r="A27" s="9" t="str">
        <f ca="1">IFERROR(__xludf.DUMMYFUNCTION("""COMPUTED_VALUE"""),"Company of Biologists TA 2023")</f>
        <v>Company of Biologists TA 2023</v>
      </c>
      <c r="B27" s="9">
        <f ca="1">AVERAGEIFS(Articles!$AM:$AM, Articles!$H:$H, A27, Articles!$AM:$AM, "&lt;&gt;0")</f>
        <v>4632.768</v>
      </c>
      <c r="H27" s="79"/>
    </row>
    <row r="28" spans="1:8" ht="12.5">
      <c r="A28" s="9" t="str">
        <f ca="1">IFERROR(__xludf.DUMMYFUNCTION("""COMPUTED_VALUE"""),"Company of Biologists TA 2024")</f>
        <v>Company of Biologists TA 2024</v>
      </c>
      <c r="B28" s="9" t="e">
        <f ca="1">AVERAGEIFS(Articles!$AM:$AM, Articles!$H:$H, A28, Articles!$AM:$AM, "&lt;&gt;0")</f>
        <v>#DIV/0!</v>
      </c>
      <c r="H28" s="79"/>
    </row>
    <row r="29" spans="1:8" ht="12.5">
      <c r="A29" s="9" t="str">
        <f ca="1">IFERROR(__xludf.DUMMYFUNCTION("""COMPUTED_VALUE"""),"Cambridge University Press TA 2021")</f>
        <v>Cambridge University Press TA 2021</v>
      </c>
      <c r="B29" s="9">
        <f ca="1">AVERAGEIFS(Articles!$AM:$AM, Articles!$H:$H, A29, Articles!$AM:$AM, "&lt;&gt;0")</f>
        <v>2455.9578947368418</v>
      </c>
      <c r="H29" s="79"/>
    </row>
    <row r="30" spans="1:8" ht="12.5">
      <c r="A30" s="9" t="str">
        <f ca="1">IFERROR(__xludf.DUMMYFUNCTION("""COMPUTED_VALUE"""),"Cambridge University Press TA 2022")</f>
        <v>Cambridge University Press TA 2022</v>
      </c>
      <c r="B30" s="9">
        <f ca="1">AVERAGEIFS(Articles!$AM:$AM, Articles!$H:$H, A30, Articles!$AM:$AM, "&lt;&gt;0")</f>
        <v>2418.2142857142858</v>
      </c>
      <c r="H30" s="79"/>
    </row>
    <row r="31" spans="1:8" ht="12.5">
      <c r="A31" s="9" t="str">
        <f ca="1">IFERROR(__xludf.DUMMYFUNCTION("""COMPUTED_VALUE"""),"Cambridge University Press TA 2023")</f>
        <v>Cambridge University Press TA 2023</v>
      </c>
      <c r="B31" s="9">
        <f ca="1">AVERAGEIFS(Articles!$AM:$AM, Articles!$H:$H, A31, Articles!$AM:$AM, "&lt;&gt;0")</f>
        <v>2535.6923076923076</v>
      </c>
      <c r="H31" s="79"/>
    </row>
    <row r="32" spans="1:8" ht="12.5">
      <c r="A32" s="9" t="str">
        <f ca="1">IFERROR(__xludf.DUMMYFUNCTION("""COMPUTED_VALUE"""),"Cambridge University Press TA 2024")</f>
        <v>Cambridge University Press TA 2024</v>
      </c>
      <c r="B32" s="9">
        <f ca="1">AVERAGEIFS(Articles!$AM:$AM, Articles!$H:$H, A32, Articles!$AM:$AM, "&lt;&gt;0")</f>
        <v>2752.5</v>
      </c>
      <c r="H32" s="79"/>
    </row>
    <row r="33" spans="1:8" ht="12.5">
      <c r="A33" s="9" t="str">
        <f ca="1">IFERROR(__xludf.DUMMYFUNCTION("""COMPUTED_VALUE"""),"Cold Spring Harbor Laboratory Press TA 2021")</f>
        <v>Cold Spring Harbor Laboratory Press TA 2021</v>
      </c>
      <c r="B33" s="9" t="e">
        <f ca="1">AVERAGEIFS(Articles!$AM:$AM, Articles!$H:$H, A33, Articles!$AM:$AM, "&lt;&gt;0")</f>
        <v>#DIV/0!</v>
      </c>
      <c r="H33" s="79"/>
    </row>
    <row r="34" spans="1:8" ht="12.5">
      <c r="A34" s="9" t="str">
        <f ca="1">IFERROR(__xludf.DUMMYFUNCTION("""COMPUTED_VALUE"""),"Cold Spring Harbor Laboratory Press TA 2022")</f>
        <v>Cold Spring Harbor Laboratory Press TA 2022</v>
      </c>
      <c r="B34" s="9" t="e">
        <f ca="1">AVERAGEIFS(Articles!$AM:$AM, Articles!$H:$H, A34, Articles!$AM:$AM, "&lt;&gt;0")</f>
        <v>#DIV/0!</v>
      </c>
      <c r="H34" s="79"/>
    </row>
    <row r="35" spans="1:8" ht="12.5">
      <c r="A35" s="9" t="str">
        <f ca="1">IFERROR(__xludf.DUMMYFUNCTION("""COMPUTED_VALUE"""),"Cold Spring Harbor Laboratory Press TA 2023")</f>
        <v>Cold Spring Harbor Laboratory Press TA 2023</v>
      </c>
      <c r="B35" s="9" t="e">
        <f ca="1">AVERAGEIFS(Articles!$AM:$AM, Articles!$H:$H, A35, Articles!$AM:$AM, "&lt;&gt;0")</f>
        <v>#DIV/0!</v>
      </c>
      <c r="H35" s="79"/>
    </row>
    <row r="36" spans="1:8" ht="12.5">
      <c r="A36" s="9" t="str">
        <f ca="1">IFERROR(__xludf.DUMMYFUNCTION("""COMPUTED_VALUE"""),"Cold Spring Harbor Laboratory Press TA 2024")</f>
        <v>Cold Spring Harbor Laboratory Press TA 2024</v>
      </c>
      <c r="B36" s="9" t="e">
        <f ca="1">AVERAGEIFS(Articles!$AM:$AM, Articles!$H:$H, A36, Articles!$AM:$AM, "&lt;&gt;0")</f>
        <v>#DIV/0!</v>
      </c>
      <c r="H36" s="79"/>
    </row>
    <row r="37" spans="1:8" ht="12.5">
      <c r="A37" s="9" t="str">
        <f ca="1">IFERROR(__xludf.DUMMYFUNCTION("""COMPUTED_VALUE"""),"Elsevier TA 2022")</f>
        <v>Elsevier TA 2022</v>
      </c>
      <c r="B37" s="9">
        <f ca="1">AVERAGEIFS(Articles!$AM:$AM, Articles!$H:$H, A37, Articles!$AM:$AM, "&lt;&gt;0")</f>
        <v>3268.6363636363635</v>
      </c>
      <c r="H37" s="79"/>
    </row>
    <row r="38" spans="1:8" ht="12.5">
      <c r="A38" s="9" t="str">
        <f ca="1">IFERROR(__xludf.DUMMYFUNCTION("""COMPUTED_VALUE"""),"Elsevier TA 2023")</f>
        <v>Elsevier TA 2023</v>
      </c>
      <c r="B38" s="9">
        <f ca="1">AVERAGEIFS(Articles!$AM:$AM, Articles!$H:$H, A38, Articles!$AM:$AM, "&lt;&gt;0")</f>
        <v>3246.9268292682927</v>
      </c>
      <c r="H38" s="79"/>
    </row>
    <row r="39" spans="1:8" ht="12.5">
      <c r="A39" s="9" t="str">
        <f ca="1">IFERROR(__xludf.DUMMYFUNCTION("""COMPUTED_VALUE"""),"Elsevier TA 2024")</f>
        <v>Elsevier TA 2024</v>
      </c>
      <c r="B39" s="9">
        <f ca="1">AVERAGEIFS(Articles!$AM:$AM, Articles!$H:$H, A39, Articles!$AM:$AM, "&lt;&gt;0")</f>
        <v>3450.7118644067796</v>
      </c>
      <c r="H39" s="79"/>
    </row>
    <row r="40" spans="1:8" ht="12.5">
      <c r="A40" s="9" t="str">
        <f ca="1">IFERROR(__xludf.DUMMYFUNCTION("""COMPUTED_VALUE"""),"Geological Society Lyell Collection TA 2021")</f>
        <v>Geological Society Lyell Collection TA 2021</v>
      </c>
      <c r="B40" s="9" t="e">
        <f ca="1">AVERAGEIFS(Articles!$AM:$AM, Articles!$H:$H, A40, Articles!$AM:$AM, "&lt;&gt;0")</f>
        <v>#DIV/0!</v>
      </c>
      <c r="H40" s="79"/>
    </row>
    <row r="41" spans="1:8" ht="12.5">
      <c r="A41" s="9" t="str">
        <f ca="1">IFERROR(__xludf.DUMMYFUNCTION("""COMPUTED_VALUE"""),"Geological Society Lyell Collection TA 2022")</f>
        <v>Geological Society Lyell Collection TA 2022</v>
      </c>
      <c r="B41" s="9" t="e">
        <f ca="1">AVERAGEIFS(Articles!$AM:$AM, Articles!$H:$H, A41, Articles!$AM:$AM, "&lt;&gt;0")</f>
        <v>#DIV/0!</v>
      </c>
      <c r="H41" s="79"/>
    </row>
    <row r="42" spans="1:8" ht="12.5">
      <c r="A42" s="9" t="str">
        <f ca="1">IFERROR(__xludf.DUMMYFUNCTION("""COMPUTED_VALUE"""),"Geological Society Lyell Collection TA 2023")</f>
        <v>Geological Society Lyell Collection TA 2023</v>
      </c>
      <c r="B42" s="9" t="e">
        <f ca="1">AVERAGEIFS(Articles!$AM:$AM, Articles!$H:$H, A42, Articles!$AM:$AM, "&lt;&gt;0")</f>
        <v>#DIV/0!</v>
      </c>
      <c r="H42" s="79"/>
    </row>
    <row r="43" spans="1:8" ht="12.5">
      <c r="A43" s="9" t="str">
        <f ca="1">IFERROR(__xludf.DUMMYFUNCTION("""COMPUTED_VALUE"""),"Geological Society Lyell Collection TA 2024")</f>
        <v>Geological Society Lyell Collection TA 2024</v>
      </c>
      <c r="B43" s="9" t="e">
        <f ca="1">AVERAGEIFS(Articles!$AM:$AM, Articles!$H:$H, A43, Articles!$AM:$AM, "&lt;&gt;0")</f>
        <v>#DIV/0!</v>
      </c>
      <c r="H43" s="79"/>
    </row>
    <row r="44" spans="1:8" ht="12.5">
      <c r="A44" s="9" t="str">
        <f ca="1">IFERROR(__xludf.DUMMYFUNCTION("""COMPUTED_VALUE"""),"Geological Society Lyell Collection TA 2025")</f>
        <v>Geological Society Lyell Collection TA 2025</v>
      </c>
      <c r="B44" s="9" t="e">
        <f ca="1">AVERAGEIFS(Articles!$AM:$AM, Articles!$H:$H, A44, Articles!$AM:$AM, "&lt;&gt;0")</f>
        <v>#DIV/0!</v>
      </c>
      <c r="H44" s="79"/>
    </row>
    <row r="45" spans="1:8" ht="12.5">
      <c r="A45" s="9" t="str">
        <f ca="1">IFERROR(__xludf.DUMMYFUNCTION("""COMPUTED_VALUE"""),"John Benjamins TA 2022")</f>
        <v>John Benjamins TA 2022</v>
      </c>
      <c r="B45" s="9">
        <f ca="1">AVERAGEIFS(Articles!$AM:$AM, Articles!$H:$H, A45, Articles!$AM:$AM, "&lt;&gt;0")</f>
        <v>1842.0479999999998</v>
      </c>
      <c r="H45" s="79"/>
    </row>
    <row r="46" spans="1:8" ht="12.5">
      <c r="A46" s="9" t="str">
        <f ca="1">IFERROR(__xludf.DUMMYFUNCTION("""COMPUTED_VALUE"""),"John Benjamins TA 2023")</f>
        <v>John Benjamins TA 2023</v>
      </c>
      <c r="B46" s="9">
        <f ca="1">AVERAGEIFS(Articles!$AM:$AM, Articles!$H:$H, A46, Articles!$AM:$AM, "&lt;&gt;0")</f>
        <v>1879.848</v>
      </c>
      <c r="H46" s="79"/>
    </row>
    <row r="47" spans="1:8" ht="12.5">
      <c r="A47" s="9" t="str">
        <f ca="1">IFERROR(__xludf.DUMMYFUNCTION("""COMPUTED_VALUE"""),"John Benjamins TA 2024")</f>
        <v>John Benjamins TA 2024</v>
      </c>
      <c r="B47" s="9" t="e">
        <f ca="1">AVERAGEIFS(Articles!$AM:$AM, Articles!$H:$H, A47, Articles!$AM:$AM, "&lt;&gt;0")</f>
        <v>#DIV/0!</v>
      </c>
      <c r="H47" s="79"/>
    </row>
    <row r="48" spans="1:8" ht="12.5">
      <c r="A48" s="9" t="str">
        <f ca="1">IFERROR(__xludf.DUMMYFUNCTION("""COMPUTED_VALUE"""),"Institute of Physics Publishing TA 2020")</f>
        <v>Institute of Physics Publishing TA 2020</v>
      </c>
      <c r="B48" s="9" t="e">
        <f ca="1">AVERAGEIFS(Articles!$AM:$AM, Articles!$H:$H, A48, Articles!$AM:$AM, "&lt;&gt;0")</f>
        <v>#DIV/0!</v>
      </c>
      <c r="H48" s="79"/>
    </row>
    <row r="49" spans="1:8" ht="12.5">
      <c r="A49" s="9" t="str">
        <f ca="1">IFERROR(__xludf.DUMMYFUNCTION("""COMPUTED_VALUE"""),"Institute of Physics Publishing TA 2021")</f>
        <v>Institute of Physics Publishing TA 2021</v>
      </c>
      <c r="B49" s="9">
        <f ca="1">AVERAGEIFS(Articles!$AM:$AM, Articles!$H:$H, A49, Articles!$AM:$AM, "&lt;&gt;0")</f>
        <v>2492</v>
      </c>
      <c r="H49" s="79"/>
    </row>
    <row r="50" spans="1:8" ht="12.5">
      <c r="A50" s="9" t="str">
        <f ca="1">IFERROR(__xludf.DUMMYFUNCTION("""COMPUTED_VALUE"""),"Institute of Physics Publishing TA 2022")</f>
        <v>Institute of Physics Publishing TA 2022</v>
      </c>
      <c r="B50" s="9">
        <f ca="1">AVERAGEIFS(Articles!$AM:$AM, Articles!$H:$H, A50, Articles!$AM:$AM, "&lt;&gt;0")</f>
        <v>2539.75</v>
      </c>
      <c r="H50" s="79"/>
    </row>
    <row r="51" spans="1:8" ht="12.5">
      <c r="A51" s="9" t="str">
        <f ca="1">IFERROR(__xludf.DUMMYFUNCTION("""COMPUTED_VALUE"""),"Institute of Physics Publishing TA 2023")</f>
        <v>Institute of Physics Publishing TA 2023</v>
      </c>
      <c r="B51" s="9">
        <f ca="1">AVERAGEIFS(Articles!$AM:$AM, Articles!$H:$H, A51, Articles!$AM:$AM, "&lt;&gt;0")</f>
        <v>2520.2608695652175</v>
      </c>
      <c r="H51" s="79"/>
    </row>
    <row r="52" spans="1:8" ht="12.5">
      <c r="A52" s="9" t="str">
        <f ca="1">IFERROR(__xludf.DUMMYFUNCTION("""COMPUTED_VALUE"""),"Institute of Physics Publishing TA 2024")</f>
        <v>Institute of Physics Publishing TA 2024</v>
      </c>
      <c r="B52" s="9" t="e">
        <f ca="1">AVERAGEIFS(Articles!$AM:$AM, Articles!$H:$H, A52, Articles!$AM:$AM, "&lt;&gt;0")</f>
        <v>#DIV/0!</v>
      </c>
      <c r="H52" s="79"/>
    </row>
    <row r="53" spans="1:8" ht="12.5">
      <c r="A53" s="9" t="str">
        <f ca="1">IFERROR(__xludf.DUMMYFUNCTION("""COMPUTED_VALUE"""),"Institute of Physics Publishing TA 2025")</f>
        <v>Institute of Physics Publishing TA 2025</v>
      </c>
      <c r="B53" s="9" t="e">
        <f ca="1">AVERAGEIFS(Articles!$AM:$AM, Articles!$H:$H, A53, Articles!$AM:$AM, "&lt;&gt;0")</f>
        <v>#DIV/0!</v>
      </c>
      <c r="H53" s="79"/>
    </row>
    <row r="54" spans="1:8" ht="12.5">
      <c r="A54" s="9" t="str">
        <f ca="1">IFERROR(__xludf.DUMMYFUNCTION("""COMPUTED_VALUE"""),"Microbiology Society TA 2020")</f>
        <v>Microbiology Society TA 2020</v>
      </c>
      <c r="B54" s="9" t="e">
        <f ca="1">AVERAGEIFS(Articles!$AM:$AM, Articles!$H:$H, A54, Articles!$AM:$AM, "&lt;&gt;0")</f>
        <v>#DIV/0!</v>
      </c>
      <c r="H54" s="79"/>
    </row>
    <row r="55" spans="1:8" ht="12.5">
      <c r="A55" s="9" t="str">
        <f ca="1">IFERROR(__xludf.DUMMYFUNCTION("""COMPUTED_VALUE"""),"Microbiology Society TA 2021")</f>
        <v>Microbiology Society TA 2021</v>
      </c>
      <c r="B55" s="9">
        <f ca="1">AVERAGEIFS(Articles!$AM:$AM, Articles!$H:$H, A55, Articles!$AM:$AM, "&lt;&gt;0")</f>
        <v>2520</v>
      </c>
      <c r="H55" s="79"/>
    </row>
    <row r="56" spans="1:8" ht="12.5">
      <c r="A56" s="9" t="str">
        <f ca="1">IFERROR(__xludf.DUMMYFUNCTION("""COMPUTED_VALUE"""),"Microbiology Society TA 2022")</f>
        <v>Microbiology Society TA 2022</v>
      </c>
      <c r="B56" s="9">
        <f ca="1">AVERAGEIFS(Articles!$AM:$AM, Articles!$H:$H, A56, Articles!$AM:$AM, "&lt;&gt;0")</f>
        <v>2088</v>
      </c>
      <c r="H56" s="79"/>
    </row>
    <row r="57" spans="1:8" ht="12.5">
      <c r="A57" s="9" t="str">
        <f ca="1">IFERROR(__xludf.DUMMYFUNCTION("""COMPUTED_VALUE"""),"Microbiology Society TA 2023")</f>
        <v>Microbiology Society TA 2023</v>
      </c>
      <c r="B57" s="9">
        <f ca="1">AVERAGEIFS(Articles!$AM:$AM, Articles!$H:$H, A57, Articles!$AM:$AM, "&lt;&gt;0")</f>
        <v>2520</v>
      </c>
      <c r="H57" s="79"/>
    </row>
    <row r="58" spans="1:8" ht="12.5">
      <c r="A58" s="9" t="str">
        <f ca="1">IFERROR(__xludf.DUMMYFUNCTION("""COMPUTED_VALUE"""),"Microbiology Society TA 2024")</f>
        <v>Microbiology Society TA 2024</v>
      </c>
      <c r="B58" s="9" t="e">
        <f ca="1">AVERAGEIFS(Articles!$AM:$AM, Articles!$H:$H, A58, Articles!$AM:$AM, "&lt;&gt;0")</f>
        <v>#DIV/0!</v>
      </c>
      <c r="H58" s="79"/>
    </row>
    <row r="59" spans="1:8" ht="12.5">
      <c r="A59" s="9" t="str">
        <f ca="1">IFERROR(__xludf.DUMMYFUNCTION("""COMPUTED_VALUE"""),"Oxford University Press TA 2021")</f>
        <v>Oxford University Press TA 2021</v>
      </c>
      <c r="B59" s="9">
        <f ca="1">AVERAGEIFS(Articles!$AM:$AM, Articles!$H:$H, A59, Articles!$AM:$AM, "&lt;&gt;0")</f>
        <v>3089.5636363636363</v>
      </c>
      <c r="H59" s="79"/>
    </row>
    <row r="60" spans="1:8" ht="12.5">
      <c r="A60" s="9" t="str">
        <f ca="1">IFERROR(__xludf.DUMMYFUNCTION("""COMPUTED_VALUE"""),"Oxford University Press TA 2022")</f>
        <v>Oxford University Press TA 2022</v>
      </c>
      <c r="B60" s="9">
        <f ca="1">AVERAGEIFS(Articles!$AM:$AM, Articles!$H:$H, A60, Articles!$AM:$AM, "&lt;&gt;0")</f>
        <v>3300.5896747826091</v>
      </c>
      <c r="H60" s="79"/>
    </row>
    <row r="61" spans="1:8" ht="12.5">
      <c r="A61" s="9" t="str">
        <f ca="1">IFERROR(__xludf.DUMMYFUNCTION("""COMPUTED_VALUE"""),"Oxford University Press TA 2023")</f>
        <v>Oxford University Press TA 2023</v>
      </c>
      <c r="B61" s="9">
        <f ca="1">AVERAGEIFS(Articles!$AM:$AM, Articles!$H:$H, A61, Articles!$AM:$AM, "&lt;&gt;0")</f>
        <v>3414.2446605405403</v>
      </c>
      <c r="H61" s="79"/>
    </row>
    <row r="62" spans="1:8" ht="12.5">
      <c r="A62" s="9" t="str">
        <f ca="1">IFERROR(__xludf.DUMMYFUNCTION("""COMPUTED_VALUE"""),"Oxford University Press TA 2024")</f>
        <v>Oxford University Press TA 2024</v>
      </c>
      <c r="B62" s="9" t="e">
        <f ca="1">AVERAGEIFS(Articles!$AM:$AM, Articles!$H:$H, A62, Articles!$AM:$AM, "&lt;&gt;0")</f>
        <v>#DIV/0!</v>
      </c>
      <c r="H62" s="79"/>
    </row>
    <row r="63" spans="1:8" ht="12.5">
      <c r="A63" s="9" t="str">
        <f ca="1">IFERROR(__xludf.DUMMYFUNCTION("""COMPUTED_VALUE"""),"PLOS CAP 2021")</f>
        <v>PLOS CAP 2021</v>
      </c>
      <c r="B63" s="9">
        <f ca="1">AVERAGEIFS(Articles!$AM:$AM, Articles!$H:$H, A63, Articles!$AM:$AM, "&lt;&gt;0")</f>
        <v>3035.4970800000001</v>
      </c>
      <c r="H63" s="79"/>
    </row>
    <row r="64" spans="1:8" ht="12.5">
      <c r="A64" s="9" t="str">
        <f ca="1">IFERROR(__xludf.DUMMYFUNCTION("""COMPUTED_VALUE"""),"PLOS CAP 2022")</f>
        <v>PLOS CAP 2022</v>
      </c>
      <c r="B64" s="9">
        <f ca="1">AVERAGEIFS(Articles!$AM:$AM, Articles!$H:$H, A64, Articles!$AM:$AM, "&lt;&gt;0")</f>
        <v>3895.2</v>
      </c>
      <c r="H64" s="79"/>
    </row>
    <row r="65" spans="1:8" ht="12.5">
      <c r="A65" s="9" t="str">
        <f ca="1">IFERROR(__xludf.DUMMYFUNCTION("""COMPUTED_VALUE"""),"PLOS CAP 2023")</f>
        <v>PLOS CAP 2023</v>
      </c>
      <c r="B65" s="9">
        <f ca="1">AVERAGEIFS(Articles!$AM:$AM, Articles!$H:$H, A65, Articles!$AM:$AM, "&lt;&gt;0")</f>
        <v>3428.7309</v>
      </c>
      <c r="H65" s="79"/>
    </row>
    <row r="66" spans="1:8" ht="12.5">
      <c r="A66" s="9" t="str">
        <f ca="1">IFERROR(__xludf.DUMMYFUNCTION("""COMPUTED_VALUE"""),"PLOS CAP 2024")</f>
        <v>PLOS CAP 2024</v>
      </c>
      <c r="B66" s="9" t="e">
        <f ca="1">AVERAGEIFS(Articles!$AM:$AM, Articles!$H:$H, A66, Articles!$AM:$AM, "&lt;&gt;0")</f>
        <v>#DIV/0!</v>
      </c>
      <c r="H66" s="79"/>
    </row>
    <row r="67" spans="1:8" ht="12.5">
      <c r="A67" s="9" t="str">
        <f ca="1">IFERROR(__xludf.DUMMYFUNCTION("""COMPUTED_VALUE"""),"PLOS GE 2024")</f>
        <v>PLOS GE 2024</v>
      </c>
      <c r="B67" s="9" t="e">
        <f ca="1">AVERAGEIFS(Articles!$AM:$AM, Articles!$H:$H, A67, Articles!$AM:$AM, "&lt;&gt;0")</f>
        <v>#DIV/0!</v>
      </c>
      <c r="H67" s="79"/>
    </row>
    <row r="68" spans="1:8" ht="12.5">
      <c r="A68" s="9" t="str">
        <f ca="1">IFERROR(__xludf.DUMMYFUNCTION("""COMPUTED_VALUE"""),"PLOS TFF 2021")</f>
        <v>PLOS TFF 2021</v>
      </c>
      <c r="B68" s="9">
        <f ca="1">AVERAGEIFS(Articles!$AM:$AM, Articles!$H:$H, A68, Articles!$AM:$AM, "&lt;&gt;0")</f>
        <v>1607.0558857142851</v>
      </c>
      <c r="H68" s="79"/>
    </row>
    <row r="69" spans="1:8" ht="12.5">
      <c r="A69" s="9" t="str">
        <f ca="1">IFERROR(__xludf.DUMMYFUNCTION("""COMPUTED_VALUE"""),"PLOS TFF 2022")</f>
        <v>PLOS TFF 2022</v>
      </c>
      <c r="B69" s="9">
        <f ca="1">AVERAGEIFS(Articles!$AM:$AM, Articles!$H:$H, A69, Articles!$AM:$AM, "&lt;&gt;0")</f>
        <v>1796.9044500000011</v>
      </c>
      <c r="H69" s="79"/>
    </row>
    <row r="70" spans="1:8" ht="12.5">
      <c r="A70" s="9" t="str">
        <f ca="1">IFERROR(__xludf.DUMMYFUNCTION("""COMPUTED_VALUE"""),"PLOS TFF 2023")</f>
        <v>PLOS TFF 2023</v>
      </c>
      <c r="B70" s="9">
        <f ca="1">AVERAGEIFS(Articles!$AM:$AM, Articles!$H:$H, A70, Articles!$AM:$AM, "&lt;&gt;0")</f>
        <v>1859.355341052631</v>
      </c>
      <c r="H70" s="79"/>
    </row>
    <row r="71" spans="1:8" ht="12.5">
      <c r="A71" s="9" t="str">
        <f ca="1">IFERROR(__xludf.DUMMYFUNCTION("""COMPUTED_VALUE"""),"PLOS TFF 2024")</f>
        <v>PLOS TFF 2024</v>
      </c>
      <c r="B71" s="9" t="e">
        <f ca="1">AVERAGEIFS(Articles!$AM:$AM, Articles!$H:$H, A71, Articles!$AM:$AM, "&lt;&gt;0")</f>
        <v>#DIV/0!</v>
      </c>
      <c r="H71" s="79"/>
    </row>
    <row r="72" spans="1:8" ht="12.5">
      <c r="A72" s="9" t="str">
        <f ca="1">IFERROR(__xludf.DUMMYFUNCTION("""COMPUTED_VALUE"""),"PNAS TA 2022")</f>
        <v>PNAS TA 2022</v>
      </c>
      <c r="B72" s="9">
        <f ca="1">AVERAGEIFS(Articles!$AM:$AM, Articles!$H:$H, A72, Articles!$AM:$AM, "&lt;&gt;0")</f>
        <v>4864.1310000000003</v>
      </c>
      <c r="H72" s="79"/>
    </row>
    <row r="73" spans="1:8" ht="12.5">
      <c r="A73" s="9" t="str">
        <f ca="1">IFERROR(__xludf.DUMMYFUNCTION("""COMPUTED_VALUE"""),"PNAS TA 2023")</f>
        <v>PNAS TA 2023</v>
      </c>
      <c r="B73" s="9">
        <f ca="1">AVERAGEIFS(Articles!$AM:$AM, Articles!$H:$H, A73, Articles!$AM:$AM, "&lt;&gt;0")</f>
        <v>4933.4844000000003</v>
      </c>
      <c r="H73" s="79"/>
    </row>
    <row r="74" spans="1:8" ht="12.5">
      <c r="A74" s="9" t="str">
        <f ca="1">IFERROR(__xludf.DUMMYFUNCTION("""COMPUTED_VALUE"""),"Portland Press TA 2020")</f>
        <v>Portland Press TA 2020</v>
      </c>
      <c r="B74" s="9" t="e">
        <f ca="1">AVERAGEIFS(Articles!$AM:$AM, Articles!$H:$H, A74, Articles!$AM:$AM, "&lt;&gt;0")</f>
        <v>#DIV/0!</v>
      </c>
      <c r="H74" s="79"/>
    </row>
    <row r="75" spans="1:8" ht="12.5">
      <c r="A75" s="9" t="str">
        <f ca="1">IFERROR(__xludf.DUMMYFUNCTION("""COMPUTED_VALUE"""),"Portland Press TA 2021")</f>
        <v>Portland Press TA 2021</v>
      </c>
      <c r="B75" s="9" t="e">
        <f ca="1">AVERAGEIFS(Articles!$AM:$AM, Articles!$H:$H, A75, Articles!$AM:$AM, "&lt;&gt;0")</f>
        <v>#DIV/0!</v>
      </c>
      <c r="H75" s="79"/>
    </row>
    <row r="76" spans="1:8" ht="12.5">
      <c r="A76" s="9" t="str">
        <f ca="1">IFERROR(__xludf.DUMMYFUNCTION("""COMPUTED_VALUE"""),"Portland Press TA 2022")</f>
        <v>Portland Press TA 2022</v>
      </c>
      <c r="B76" s="9">
        <f ca="1">AVERAGEIFS(Articles!$AM:$AM, Articles!$H:$H, A76, Articles!$AM:$AM, "&lt;&gt;0")</f>
        <v>2340</v>
      </c>
      <c r="H76" s="79"/>
    </row>
    <row r="77" spans="1:8" ht="12.5">
      <c r="A77" s="9" t="str">
        <f ca="1">IFERROR(__xludf.DUMMYFUNCTION("""COMPUTED_VALUE"""),"Portland Press TA 2023")</f>
        <v>Portland Press TA 2023</v>
      </c>
      <c r="B77" s="9">
        <f ca="1">AVERAGEIFS(Articles!$AM:$AM, Articles!$H:$H, A77, Articles!$AM:$AM, "&lt;&gt;0")</f>
        <v>2040</v>
      </c>
      <c r="H77" s="79"/>
    </row>
    <row r="78" spans="1:8" ht="12.5">
      <c r="A78" s="9" t="str">
        <f ca="1">IFERROR(__xludf.DUMMYFUNCTION("""COMPUTED_VALUE"""),"Portland Press TA 2024")</f>
        <v>Portland Press TA 2024</v>
      </c>
      <c r="B78" s="9" t="e">
        <f ca="1">AVERAGEIFS(Articles!$AM:$AM, Articles!$H:$H, A78, Articles!$AM:$AM, "&lt;&gt;0")</f>
        <v>#DIV/0!</v>
      </c>
      <c r="H78" s="79"/>
    </row>
    <row r="79" spans="1:8" ht="12.5">
      <c r="A79" s="9" t="str">
        <f ca="1">IFERROR(__xludf.DUMMYFUNCTION("""COMPUTED_VALUE"""),"Portland Press TA 2025")</f>
        <v>Portland Press TA 2025</v>
      </c>
      <c r="B79" s="9" t="e">
        <f ca="1">AVERAGEIFS(Articles!$AM:$AM, Articles!$H:$H, A79, Articles!$AM:$AM, "&lt;&gt;0")</f>
        <v>#DIV/0!</v>
      </c>
      <c r="H79" s="79"/>
    </row>
    <row r="80" spans="1:8" ht="12.5">
      <c r="A80" s="9" t="str">
        <f ca="1">IFERROR(__xludf.DUMMYFUNCTION("""COMPUTED_VALUE"""),"Rockefeller University Press TA 2020")</f>
        <v>Rockefeller University Press TA 2020</v>
      </c>
      <c r="B80" s="9" t="e">
        <f ca="1">AVERAGEIFS(Articles!$AM:$AM, Articles!$H:$H, A80, Articles!$AM:$AM, "&lt;&gt;0")</f>
        <v>#DIV/0!</v>
      </c>
      <c r="H80" s="79"/>
    </row>
    <row r="81" spans="1:8" ht="12.5">
      <c r="A81" s="9" t="str">
        <f ca="1">IFERROR(__xludf.DUMMYFUNCTION("""COMPUTED_VALUE"""),"Rockefeller University Press TA 2021")</f>
        <v>Rockefeller University Press TA 2021</v>
      </c>
      <c r="B81" s="9">
        <f ca="1">AVERAGEIFS(Articles!$AM:$AM, Articles!$H:$H, A81, Articles!$AM:$AM, "&lt;&gt;0")</f>
        <v>4624.3559999999998</v>
      </c>
      <c r="H81" s="79"/>
    </row>
    <row r="82" spans="1:8" ht="12.5">
      <c r="A82" s="9" t="str">
        <f ca="1">IFERROR(__xludf.DUMMYFUNCTION("""COMPUTED_VALUE"""),"Rockefeller University Press TA 2022")</f>
        <v>Rockefeller University Press TA 2022</v>
      </c>
      <c r="B82" s="9">
        <f ca="1">AVERAGEIFS(Articles!$AM:$AM, Articles!$H:$H, A82, Articles!$AM:$AM, "&lt;&gt;0")</f>
        <v>5161.1399999999994</v>
      </c>
      <c r="H82" s="79"/>
    </row>
    <row r="83" spans="1:8" ht="12.5">
      <c r="A83" s="9" t="str">
        <f ca="1">IFERROR(__xludf.DUMMYFUNCTION("""COMPUTED_VALUE"""),"Rockefeller University Press TA 2023")</f>
        <v>Rockefeller University Press TA 2023</v>
      </c>
      <c r="B83" s="9">
        <f ca="1">AVERAGEIFS(Articles!$AM:$AM, Articles!$H:$H, A83, Articles!$AM:$AM, "&lt;&gt;0")</f>
        <v>3000</v>
      </c>
      <c r="H83" s="79"/>
    </row>
    <row r="84" spans="1:8" ht="12.5">
      <c r="A84" s="9" t="str">
        <f ca="1">IFERROR(__xludf.DUMMYFUNCTION("""COMPUTED_VALUE"""),"Rockefeller University Press TA 2024")</f>
        <v>Rockefeller University Press TA 2024</v>
      </c>
      <c r="B84" s="9" t="e">
        <f ca="1">AVERAGEIFS(Articles!$AM:$AM, Articles!$H:$H, A84, Articles!$AM:$AM, "&lt;&gt;0")</f>
        <v>#DIV/0!</v>
      </c>
      <c r="H84" s="79"/>
    </row>
    <row r="85" spans="1:8" ht="12.5">
      <c r="A85" s="9" t="str">
        <f ca="1">IFERROR(__xludf.DUMMYFUNCTION("""COMPUTED_VALUE"""),"Rockefeller University Press TA 2025")</f>
        <v>Rockefeller University Press TA 2025</v>
      </c>
      <c r="B85" s="9" t="e">
        <f ca="1">AVERAGEIFS(Articles!$AM:$AM, Articles!$H:$H, A85, Articles!$AM:$AM, "&lt;&gt;0")</f>
        <v>#DIV/0!</v>
      </c>
      <c r="H85" s="79"/>
    </row>
    <row r="86" spans="1:8" ht="12.5">
      <c r="A86" s="9" t="str">
        <f ca="1">IFERROR(__xludf.DUMMYFUNCTION("""COMPUTED_VALUE"""),"Royal Society TA 2023")</f>
        <v>Royal Society TA 2023</v>
      </c>
      <c r="B86" s="9">
        <f ca="1">AVERAGEIFS(Articles!$AM:$AM, Articles!$H:$H, A86, Articles!$AM:$AM, "&lt;&gt;0")</f>
        <v>1710</v>
      </c>
      <c r="H86" s="79"/>
    </row>
    <row r="87" spans="1:8" ht="12.5">
      <c r="A87" s="9" t="str">
        <f ca="1">IFERROR(__xludf.DUMMYFUNCTION("""COMPUTED_VALUE"""),"Royal Society TA 2024")</f>
        <v>Royal Society TA 2024</v>
      </c>
      <c r="B87" s="9" t="e">
        <f ca="1">AVERAGEIFS(Articles!$AM:$AM, Articles!$H:$H, A87, Articles!$AM:$AM, "&lt;&gt;0")</f>
        <v>#DIV/0!</v>
      </c>
      <c r="H87" s="79"/>
    </row>
    <row r="88" spans="1:8" ht="12.5">
      <c r="A88" s="9" t="str">
        <f ca="1">IFERROR(__xludf.DUMMYFUNCTION("""COMPUTED_VALUE"""),"Royal Society of Chemistry TA 2020")</f>
        <v>Royal Society of Chemistry TA 2020</v>
      </c>
      <c r="B88" s="9">
        <f ca="1">AVERAGEIFS(Articles!$AM:$AM, Articles!$H:$H, A88, Articles!$AM:$AM, "&lt;&gt;0")</f>
        <v>1490.4000000000003</v>
      </c>
      <c r="H88" s="79"/>
    </row>
    <row r="89" spans="1:8" ht="12.5">
      <c r="A89" s="9" t="str">
        <f ca="1">IFERROR(__xludf.DUMMYFUNCTION("""COMPUTED_VALUE"""),"Royal Society of Chemistry TA 2021")</f>
        <v>Royal Society of Chemistry TA 2021</v>
      </c>
      <c r="B89" s="9">
        <f ca="1">AVERAGEIFS(Articles!$AM:$AM, Articles!$H:$H, A89, Articles!$AM:$AM, "&lt;&gt;0")</f>
        <v>1490.4000000000003</v>
      </c>
      <c r="H89" s="79"/>
    </row>
    <row r="90" spans="1:8" ht="12.5">
      <c r="A90" s="9" t="str">
        <f ca="1">IFERROR(__xludf.DUMMYFUNCTION("""COMPUTED_VALUE"""),"Royal Society of Chemistry TA 2022")</f>
        <v>Royal Society of Chemistry TA 2022</v>
      </c>
      <c r="B90" s="9">
        <f ca="1">AVERAGEIFS(Articles!$AM:$AM, Articles!$H:$H, A90, Articles!$AM:$AM, "&lt;&gt;0")</f>
        <v>3000</v>
      </c>
      <c r="H90" s="79"/>
    </row>
    <row r="91" spans="1:8" ht="12.5">
      <c r="A91" s="9" t="str">
        <f ca="1">IFERROR(__xludf.DUMMYFUNCTION("""COMPUTED_VALUE"""),"Royal Society of Chemistry TA 2023")</f>
        <v>Royal Society of Chemistry TA 2023</v>
      </c>
      <c r="B91" s="9">
        <f ca="1">AVERAGEIFS(Articles!$AM:$AM, Articles!$H:$H, A91, Articles!$AM:$AM, "&lt;&gt;0")</f>
        <v>3150</v>
      </c>
      <c r="H91" s="79"/>
    </row>
    <row r="92" spans="1:8" ht="12.5">
      <c r="A92" s="9" t="str">
        <f ca="1">IFERROR(__xludf.DUMMYFUNCTION("""COMPUTED_VALUE"""),"Royal Society of Chemistry TA 2024")</f>
        <v>Royal Society of Chemistry TA 2024</v>
      </c>
      <c r="B92" s="9" t="e">
        <f ca="1">AVERAGEIFS(Articles!$AM:$AM, Articles!$H:$H, A92, Articles!$AM:$AM, "&lt;&gt;0")</f>
        <v>#DIV/0!</v>
      </c>
      <c r="H92" s="79"/>
    </row>
    <row r="93" spans="1:8" ht="12.5">
      <c r="A93" s="9" t="str">
        <f ca="1">IFERROR(__xludf.DUMMYFUNCTION("""COMPUTED_VALUE"""),"Sage TA 2020")</f>
        <v>Sage TA 2020</v>
      </c>
      <c r="B93" s="9">
        <f ca="1">AVERAGEIFS(Articles!$AM:$AM, Articles!$H:$H, A93, Articles!$AM:$AM, "&lt;&gt;0")</f>
        <v>2553.2800000000002</v>
      </c>
      <c r="H93" s="79"/>
    </row>
    <row r="94" spans="1:8" ht="12.5">
      <c r="A94" s="9" t="str">
        <f ca="1">IFERROR(__xludf.DUMMYFUNCTION("""COMPUTED_VALUE"""),"Sage TA 2021")</f>
        <v>Sage TA 2021</v>
      </c>
      <c r="B94" s="9">
        <f ca="1">AVERAGEIFS(Articles!$AM:$AM, Articles!$H:$H, A94, Articles!$AM:$AM, "&lt;&gt;0")</f>
        <v>2408.2800000000002</v>
      </c>
      <c r="H94" s="79"/>
    </row>
    <row r="95" spans="1:8" ht="12.5">
      <c r="A95" s="9" t="str">
        <f ca="1">IFERROR(__xludf.DUMMYFUNCTION("""COMPUTED_VALUE"""),"Sage TA 2022")</f>
        <v>Sage TA 2022</v>
      </c>
      <c r="B95" s="9">
        <f ca="1">AVERAGEIFS(Articles!$AM:$AM, Articles!$H:$H, A95, Articles!$AM:$AM, "&lt;&gt;0")</f>
        <v>2931.585130434783</v>
      </c>
      <c r="H95" s="79"/>
    </row>
    <row r="96" spans="1:8" ht="12.5">
      <c r="A96" s="9" t="str">
        <f ca="1">IFERROR(__xludf.DUMMYFUNCTION("""COMPUTED_VALUE"""),"Sage TA 2023")</f>
        <v>Sage TA 2023</v>
      </c>
      <c r="B96" s="9">
        <f ca="1">AVERAGEIFS(Articles!$AM:$AM, Articles!$H:$H, A96, Articles!$AM:$AM, "&lt;&gt;0")</f>
        <v>2934.9100799999997</v>
      </c>
      <c r="H96" s="79"/>
    </row>
    <row r="97" spans="1:8" ht="12.5">
      <c r="A97" s="9" t="str">
        <f ca="1">IFERROR(__xludf.DUMMYFUNCTION("""COMPUTED_VALUE"""),"Sage TA 2024")</f>
        <v>Sage TA 2024</v>
      </c>
      <c r="B97" s="9">
        <f ca="1">AVERAGEIFS(Articles!$AM:$AM, Articles!$H:$H, A97, Articles!$AM:$AM, "&lt;&gt;0")</f>
        <v>3065.9127692307688</v>
      </c>
      <c r="H97" s="79"/>
    </row>
    <row r="98" spans="1:8" ht="12.5">
      <c r="A98" s="9" t="str">
        <f ca="1">IFERROR(__xludf.DUMMYFUNCTION("""COMPUTED_VALUE"""),"Society for Neuroscience TA 2023")</f>
        <v>Society for Neuroscience TA 2023</v>
      </c>
      <c r="B98" s="9">
        <f ca="1">AVERAGEIFS(Articles!$AM:$AM, Articles!$H:$H, A98, Articles!$AM:$AM, "&lt;&gt;0")</f>
        <v>5766.8310000000001</v>
      </c>
      <c r="H98" s="79"/>
    </row>
    <row r="99" spans="1:8" ht="12.5">
      <c r="A99" s="9" t="str">
        <f ca="1">IFERROR(__xludf.DUMMYFUNCTION("""COMPUTED_VALUE"""),"Society for Neuroscience TA 2024")</f>
        <v>Society for Neuroscience TA 2024</v>
      </c>
      <c r="B99" s="9" t="e">
        <f ca="1">AVERAGEIFS(Articles!$AM:$AM, Articles!$H:$H, A99, Articles!$AM:$AM, "&lt;&gt;0")</f>
        <v>#DIV/0!</v>
      </c>
      <c r="H99" s="79"/>
    </row>
    <row r="100" spans="1:8" ht="12.5">
      <c r="A100" s="9" t="str">
        <f ca="1">IFERROR(__xludf.DUMMYFUNCTION("""COMPUTED_VALUE"""),"Springer Compact 2016")</f>
        <v>Springer Compact 2016</v>
      </c>
      <c r="B100" s="9" t="e">
        <f ca="1">AVERAGEIFS(Articles!$AM:$AM, Articles!$H:$H, A100, Articles!$AM:$AM, "&lt;&gt;0")</f>
        <v>#DIV/0!</v>
      </c>
      <c r="H100" s="79"/>
    </row>
    <row r="101" spans="1:8" ht="12.5">
      <c r="A101" s="9" t="str">
        <f ca="1">IFERROR(__xludf.DUMMYFUNCTION("""COMPUTED_VALUE"""),"Springer Compact 2017")</f>
        <v>Springer Compact 2017</v>
      </c>
      <c r="B101" s="9" t="e">
        <f ca="1">AVERAGEIFS(Articles!$AM:$AM, Articles!$H:$H, A101, Articles!$AM:$AM, "&lt;&gt;0")</f>
        <v>#DIV/0!</v>
      </c>
      <c r="H101" s="79"/>
    </row>
    <row r="102" spans="1:8" ht="12.5">
      <c r="A102" s="9" t="str">
        <f ca="1">IFERROR(__xludf.DUMMYFUNCTION("""COMPUTED_VALUE"""),"Springer Compact 2018")</f>
        <v>Springer Compact 2018</v>
      </c>
      <c r="B102" s="9" t="e">
        <f ca="1">AVERAGEIFS(Articles!$AM:$AM, Articles!$H:$H, A102, Articles!$AM:$AM, "&lt;&gt;0")</f>
        <v>#DIV/0!</v>
      </c>
      <c r="H102" s="79"/>
    </row>
    <row r="103" spans="1:8" ht="12.5">
      <c r="A103" s="9" t="str">
        <f ca="1">IFERROR(__xludf.DUMMYFUNCTION("""COMPUTED_VALUE"""),"Springer Compact 2019")</f>
        <v>Springer Compact 2019</v>
      </c>
      <c r="B103" s="9" t="e">
        <f ca="1">AVERAGEIFS(Articles!$AM:$AM, Articles!$H:$H, A103, Articles!$AM:$AM, "&lt;&gt;0")</f>
        <v>#DIV/0!</v>
      </c>
      <c r="H103" s="79"/>
    </row>
    <row r="104" spans="1:8" ht="12.5">
      <c r="A104" s="9" t="str">
        <f ca="1">IFERROR(__xludf.DUMMYFUNCTION("""COMPUTED_VALUE"""),"Springer Compact 2020")</f>
        <v>Springer Compact 2020</v>
      </c>
      <c r="B104" s="9">
        <f ca="1">AVERAGEIFS(Articles!$AM:$AM, Articles!$H:$H, A104, Articles!$AM:$AM, "&lt;&gt;0")</f>
        <v>2442.9040407692291</v>
      </c>
      <c r="H104" s="79"/>
    </row>
    <row r="105" spans="1:8" ht="12.5">
      <c r="A105" s="9" t="str">
        <f ca="1">IFERROR(__xludf.DUMMYFUNCTION("""COMPUTED_VALUE"""),"Springer Compact 2021")</f>
        <v>Springer Compact 2021</v>
      </c>
      <c r="B105" s="9">
        <f ca="1">AVERAGEIFS(Articles!$AM:$AM, Articles!$H:$H, A105, Articles!$AM:$AM, "&lt;&gt;0")</f>
        <v>2453.2292991549298</v>
      </c>
      <c r="H105" s="79"/>
    </row>
    <row r="106" spans="1:8" ht="12.5">
      <c r="A106" s="9" t="str">
        <f ca="1">IFERROR(__xludf.DUMMYFUNCTION("""COMPUTED_VALUE"""),"Springer Compact 2022")</f>
        <v>Springer Compact 2022</v>
      </c>
      <c r="B106" s="9">
        <f ca="1">AVERAGEIFS(Articles!$AM:$AM, Articles!$H:$H, A106, Articles!$AM:$AM, "&lt;&gt;0")</f>
        <v>2484.718080000001</v>
      </c>
      <c r="H106" s="79"/>
    </row>
    <row r="107" spans="1:8" ht="12.5">
      <c r="A107" s="9" t="str">
        <f ca="1">IFERROR(__xludf.DUMMYFUNCTION("""COMPUTED_VALUE"""),"Springer Nature TA 2023")</f>
        <v>Springer Nature TA 2023</v>
      </c>
      <c r="B107" s="9">
        <f ca="1">AVERAGEIFS(Articles!$AM:$AM, Articles!$H:$H, A107, Articles!$AM:$AM, "&lt;&gt;0")</f>
        <v>2764.5500320000019</v>
      </c>
      <c r="H107" s="79"/>
    </row>
    <row r="108" spans="1:8" ht="12.5">
      <c r="A108" s="9" t="str">
        <f ca="1">IFERROR(__xludf.DUMMYFUNCTION("""COMPUTED_VALUE"""),"Springer Nature TA 2024")</f>
        <v>Springer Nature TA 2024</v>
      </c>
      <c r="B108" s="9">
        <f ca="1">AVERAGEIFS(Articles!$AM:$AM, Articles!$H:$H, A108, Articles!$AM:$AM, "&lt;&gt;0")</f>
        <v>3048</v>
      </c>
      <c r="H108" s="79"/>
    </row>
    <row r="109" spans="1:8" ht="12.5">
      <c r="A109" s="9" t="str">
        <f ca="1">IFERROR(__xludf.DUMMYFUNCTION("""COMPUTED_VALUE"""),"Springer Nature TA 2025")</f>
        <v>Springer Nature TA 2025</v>
      </c>
      <c r="B109" s="9" t="e">
        <f ca="1">AVERAGEIFS(Articles!$AM:$AM, Articles!$H:$H, A109, Articles!$AM:$AM, "&lt;&gt;0")</f>
        <v>#DIV/0!</v>
      </c>
      <c r="H109" s="79"/>
    </row>
    <row r="110" spans="1:8" ht="12.5">
      <c r="A110" s="9" t="str">
        <f ca="1">IFERROR(__xludf.DUMMYFUNCTION("""COMPUTED_VALUE"""),"Taylor &amp; Francis TA 2021")</f>
        <v>Taylor &amp; Francis TA 2021</v>
      </c>
      <c r="B110" s="9">
        <f ca="1">AVERAGEIFS(Articles!$AM:$AM, Articles!$H:$H, A110, Articles!$AM:$AM, "&lt;&gt;0")</f>
        <v>3039.6000000000022</v>
      </c>
      <c r="H110" s="79"/>
    </row>
    <row r="111" spans="1:8" ht="12.5">
      <c r="A111" s="9" t="str">
        <f ca="1">IFERROR(__xludf.DUMMYFUNCTION("""COMPUTED_VALUE"""),"Taylor &amp; Francis TA 2022")</f>
        <v>Taylor &amp; Francis TA 2022</v>
      </c>
      <c r="B111" s="9">
        <f ca="1">AVERAGEIFS(Articles!$AM:$AM, Articles!$H:$H, A111, Articles!$AM:$AM, "&lt;&gt;0")</f>
        <v>2916.2273684210513</v>
      </c>
      <c r="H111" s="79"/>
    </row>
    <row r="112" spans="1:8" ht="12.5">
      <c r="A112" s="9" t="str">
        <f ca="1">IFERROR(__xludf.DUMMYFUNCTION("""COMPUTED_VALUE"""),"Taylor &amp; Francis TA 2023")</f>
        <v>Taylor &amp; Francis TA 2023</v>
      </c>
      <c r="B112" s="9">
        <f ca="1">AVERAGEIFS(Articles!$AM:$AM, Articles!$H:$H, A112, Articles!$AM:$AM, "&lt;&gt;0")</f>
        <v>3067.4851485148515</v>
      </c>
      <c r="H112" s="79"/>
    </row>
    <row r="113" spans="1:8" ht="12.5">
      <c r="A113" s="9" t="str">
        <f ca="1">IFERROR(__xludf.DUMMYFUNCTION("""COMPUTED_VALUE"""),"Taylor &amp; Francis TA 2024")</f>
        <v>Taylor &amp; Francis TA 2024</v>
      </c>
      <c r="B113" s="9">
        <f ca="1">AVERAGEIFS(Articles!$AM:$AM, Articles!$H:$H, A113, Articles!$AM:$AM, "&lt;&gt;0")</f>
        <v>3504</v>
      </c>
      <c r="H113" s="79"/>
    </row>
    <row r="114" spans="1:8" ht="12.5">
      <c r="A114" s="9" t="str">
        <f ca="1">IFERROR(__xludf.DUMMYFUNCTION("""COMPUTED_VALUE"""),"Taylor &amp; Francis TA 2025")</f>
        <v>Taylor &amp; Francis TA 2025</v>
      </c>
      <c r="B114" s="9" t="e">
        <f ca="1">AVERAGEIFS(Articles!$AM:$AM, Articles!$H:$H, A114, Articles!$AM:$AM, "&lt;&gt;0")</f>
        <v>#DIV/0!</v>
      </c>
      <c r="H114" s="79"/>
    </row>
    <row r="115" spans="1:8" ht="12.5">
      <c r="A115" s="9" t="str">
        <f ca="1">IFERROR(__xludf.DUMMYFUNCTION("""COMPUTED_VALUE"""),"Wiley TA 2020")</f>
        <v>Wiley TA 2020</v>
      </c>
      <c r="B115" s="9">
        <f ca="1">AVERAGEIFS(Articles!$AM:$AM, Articles!$H:$H, A115, Articles!$AM:$AM, "&lt;&gt;0")</f>
        <v>2732.5024390243902</v>
      </c>
      <c r="H115" s="79"/>
    </row>
    <row r="116" spans="1:8" ht="12.5">
      <c r="A116" s="9" t="str">
        <f ca="1">IFERROR(__xludf.DUMMYFUNCTION("""COMPUTED_VALUE"""),"Wiley TA 2021")</f>
        <v>Wiley TA 2021</v>
      </c>
      <c r="B116" s="9">
        <f ca="1">AVERAGEIFS(Articles!$AM:$AM, Articles!$H:$H, A116, Articles!$AM:$AM, "&lt;&gt;0")</f>
        <v>2877.1636363636371</v>
      </c>
      <c r="H116" s="79"/>
    </row>
    <row r="117" spans="1:8" ht="12.5">
      <c r="A117" s="9" t="str">
        <f ca="1">IFERROR(__xludf.DUMMYFUNCTION("""COMPUTED_VALUE"""),"Wiley TA 2022")</f>
        <v>Wiley TA 2022</v>
      </c>
      <c r="B117" s="9">
        <f ca="1">AVERAGEIFS(Articles!$AM:$AM, Articles!$H:$H, A117, Articles!$AM:$AM, "&lt;&gt;0")</f>
        <v>2897.607476635515</v>
      </c>
      <c r="H117" s="79"/>
    </row>
    <row r="118" spans="1:8" ht="12.5">
      <c r="A118" s="9" t="str">
        <f ca="1">IFERROR(__xludf.DUMMYFUNCTION("""COMPUTED_VALUE"""),"Wiley TA 2023")</f>
        <v>Wiley TA 2023</v>
      </c>
      <c r="B118" s="9">
        <f ca="1">AVERAGEIFS(Articles!$AM:$AM, Articles!$H:$H, A118, Articles!$AM:$AM, "&lt;&gt;0")</f>
        <v>3111.866129032258</v>
      </c>
      <c r="H118" s="79"/>
    </row>
    <row r="119" spans="1:8" ht="12.5">
      <c r="A119" s="9" t="str">
        <f ca="1">IFERROR(__xludf.DUMMYFUNCTION("""COMPUTED_VALUE"""),"Wiley TA 2024")</f>
        <v>Wiley TA 2024</v>
      </c>
      <c r="B119" s="9" t="e">
        <f ca="1">AVERAGEIFS(Articles!$AM:$AM, Articles!$H:$H, A119, Articles!$AM:$AM, "&lt;&gt;0")</f>
        <v>#DIV/0!</v>
      </c>
      <c r="H119" s="79"/>
    </row>
    <row r="120" spans="1:8" ht="12.5">
      <c r="A120" s="9" t="str">
        <f ca="1">IFERROR(__xludf.DUMMYFUNCTION("""COMPUTED_VALUE"""),"Wiley TA 2025")</f>
        <v>Wiley TA 2025</v>
      </c>
      <c r="B120" s="9" t="e">
        <f ca="1">AVERAGEIFS(Articles!$AM:$AM, Articles!$H:$H, A120, Articles!$AM:$AM, "&lt;&gt;0")</f>
        <v>#DIV/0!</v>
      </c>
      <c r="H120" s="79"/>
    </row>
    <row r="121" spans="1:8" ht="12.5">
      <c r="A121" s="9"/>
      <c r="B121" s="9" t="e">
        <f>AVERAGEIFS(Articles!$AM:$AM, Articles!$H:$H, A121, Articles!$AM:$AM, "&lt;&gt;0")</f>
        <v>#DIV/0!</v>
      </c>
      <c r="H121" s="79"/>
    </row>
    <row r="122" spans="1:8" ht="12.5">
      <c r="A122" s="9"/>
      <c r="B122" s="9" t="e">
        <f>AVERAGEIFS(Articles!$AM:$AM, Articles!$H:$H, A122, Articles!$AM:$AM, "&lt;&gt;0")</f>
        <v>#DIV/0!</v>
      </c>
      <c r="H122" s="79"/>
    </row>
    <row r="123" spans="1:8" ht="12.5">
      <c r="A123" s="9"/>
      <c r="B123" s="9" t="e">
        <f>AVERAGEIFS(Articles!$AM:$AM, Articles!$H:$H, A123, Articles!$AM:$AM, "&lt;&gt;0")</f>
        <v>#DIV/0!</v>
      </c>
      <c r="H123" s="79"/>
    </row>
    <row r="124" spans="1:8" ht="12.5">
      <c r="A124" s="9"/>
      <c r="B124" s="9" t="e">
        <f>AVERAGEIFS(Articles!$AM:$AM, Articles!$H:$H, A124, Articles!$AM:$AM, "&lt;&gt;0")</f>
        <v>#DIV/0!</v>
      </c>
      <c r="H124" s="79"/>
    </row>
    <row r="125" spans="1:8" ht="12.5">
      <c r="A125" s="9"/>
      <c r="B125" s="9" t="e">
        <f>AVERAGEIFS(Articles!$AM:$AM, Articles!$H:$H, A125, Articles!$AM:$AM, "&lt;&gt;0")</f>
        <v>#DIV/0!</v>
      </c>
      <c r="H125" s="79"/>
    </row>
    <row r="126" spans="1:8" ht="12.5">
      <c r="A126" s="9"/>
      <c r="B126" s="9" t="e">
        <f>AVERAGEIFS(Articles!$AM:$AM, Articles!$H:$H, A126, Articles!$AM:$AM, "&lt;&gt;0")</f>
        <v>#DIV/0!</v>
      </c>
      <c r="H126" s="79"/>
    </row>
    <row r="127" spans="1:8" ht="12.5">
      <c r="A127" s="9"/>
      <c r="B127" s="9" t="e">
        <f>AVERAGEIFS(Articles!$AM:$AM, Articles!$H:$H, A127, Articles!$AM:$AM, "&lt;&gt;0")</f>
        <v>#DIV/0!</v>
      </c>
      <c r="H127" s="79"/>
    </row>
    <row r="128" spans="1:8" ht="12.5">
      <c r="A128" s="9"/>
      <c r="B128" s="9" t="e">
        <f>AVERAGEIFS(Articles!$AM:$AM, Articles!$H:$H, A128, Articles!$AM:$AM, "&lt;&gt;0")</f>
        <v>#DIV/0!</v>
      </c>
      <c r="H128" s="79"/>
    </row>
    <row r="129" spans="1:8" ht="12.5">
      <c r="A129" s="9"/>
      <c r="B129" s="9" t="e">
        <f>AVERAGEIFS(Articles!$AM:$AM, Articles!$H:$H, A129, Articles!$AM:$AM, "&lt;&gt;0")</f>
        <v>#DIV/0!</v>
      </c>
      <c r="H129" s="79"/>
    </row>
    <row r="130" spans="1:8" ht="12.5">
      <c r="A130" s="9"/>
      <c r="B130" s="9" t="e">
        <f>AVERAGEIFS(Articles!$AM:$AM, Articles!$H:$H, A130, Articles!$AM:$AM, "&lt;&gt;0")</f>
        <v>#DIV/0!</v>
      </c>
      <c r="H130" s="79"/>
    </row>
    <row r="131" spans="1:8" ht="12.5">
      <c r="A131" s="9"/>
      <c r="B131" s="9" t="e">
        <f>AVERAGEIFS(Articles!$AM:$AM, Articles!$H:$H, A131, Articles!$AM:$AM, "&lt;&gt;0")</f>
        <v>#DIV/0!</v>
      </c>
      <c r="H131" s="79"/>
    </row>
    <row r="132" spans="1:8" ht="12.5">
      <c r="A132" s="9"/>
      <c r="B132" s="9" t="e">
        <f>AVERAGEIFS(Articles!$AM:$AM, Articles!$H:$H, A132, Articles!$AM:$AM, "&lt;&gt;0")</f>
        <v>#DIV/0!</v>
      </c>
      <c r="H132" s="79"/>
    </row>
    <row r="133" spans="1:8" ht="12.5">
      <c r="A133" s="9"/>
      <c r="B133" s="9" t="e">
        <f>AVERAGEIFS(Articles!$AM:$AM, Articles!$H:$H, A133, Articles!$AM:$AM, "&lt;&gt;0")</f>
        <v>#DIV/0!</v>
      </c>
      <c r="H133" s="79"/>
    </row>
    <row r="134" spans="1:8" ht="12.5">
      <c r="A134" s="9"/>
      <c r="B134" s="9" t="e">
        <f>AVERAGEIFS(Articles!$AM:$AM, Articles!$H:$H, A134, Articles!$AM:$AM, "&lt;&gt;0")</f>
        <v>#DIV/0!</v>
      </c>
      <c r="H134" s="79"/>
    </row>
    <row r="135" spans="1:8" ht="12.5">
      <c r="A135" s="9"/>
      <c r="B135" s="9" t="e">
        <f>AVERAGEIFS(Articles!$AM:$AM, Articles!$H:$H, A135, Articles!$AM:$AM, "&lt;&gt;0")</f>
        <v>#DIV/0!</v>
      </c>
      <c r="H135" s="79"/>
    </row>
    <row r="136" spans="1:8" ht="12.5">
      <c r="A136" s="9"/>
      <c r="B136" s="9" t="e">
        <f>AVERAGEIFS(Articles!$AM:$AM, Articles!$H:$H, A136, Articles!$AM:$AM, "&lt;&gt;0")</f>
        <v>#DIV/0!</v>
      </c>
      <c r="H136" s="79"/>
    </row>
    <row r="137" spans="1:8" ht="12.5">
      <c r="A137" s="9"/>
      <c r="B137" s="9" t="e">
        <f>AVERAGEIFS(Articles!$AM:$AM, Articles!$H:$H, A137, Articles!$AM:$AM, "&lt;&gt;0")</f>
        <v>#DIV/0!</v>
      </c>
      <c r="H137" s="79"/>
    </row>
    <row r="138" spans="1:8" ht="12.5">
      <c r="A138" s="9"/>
      <c r="B138" s="9" t="e">
        <f>AVERAGEIFS(Articles!$AM:$AM, Articles!$H:$H, A138, Articles!$AM:$AM, "&lt;&gt;0")</f>
        <v>#DIV/0!</v>
      </c>
      <c r="H138" s="79"/>
    </row>
    <row r="139" spans="1:8" ht="12.5">
      <c r="A139" s="9"/>
      <c r="B139" s="9" t="e">
        <f>AVERAGEIFS(Articles!$AM:$AM, Articles!$H:$H, A139, Articles!$AM:$AM, "&lt;&gt;0")</f>
        <v>#DIV/0!</v>
      </c>
      <c r="H139" s="79"/>
    </row>
    <row r="140" spans="1:8" ht="12.5">
      <c r="A140" s="9"/>
      <c r="B140" s="9" t="e">
        <f>AVERAGEIFS(Articles!$AM:$AM, Articles!$H:$H, A140, Articles!$AM:$AM, "&lt;&gt;0")</f>
        <v>#DIV/0!</v>
      </c>
      <c r="H140" s="79"/>
    </row>
    <row r="141" spans="1:8" ht="12.5">
      <c r="A141" s="9"/>
      <c r="B141" s="9" t="e">
        <f>AVERAGEIFS(Articles!$AM:$AM, Articles!$H:$H, A141, Articles!$AM:$AM, "&lt;&gt;0")</f>
        <v>#DIV/0!</v>
      </c>
      <c r="H141" s="79"/>
    </row>
    <row r="142" spans="1:8" ht="12.5">
      <c r="A142" s="9"/>
      <c r="B142" s="9" t="e">
        <f>AVERAGEIFS(Articles!$AM:$AM, Articles!$H:$H, A142, Articles!$AM:$AM, "&lt;&gt;0")</f>
        <v>#DIV/0!</v>
      </c>
      <c r="H142" s="79"/>
    </row>
    <row r="143" spans="1:8" ht="12.5">
      <c r="A143" s="9"/>
      <c r="B143" s="9" t="e">
        <f>AVERAGEIFS(Articles!$AM:$AM, Articles!$H:$H, A143, Articles!$AM:$AM, "&lt;&gt;0")</f>
        <v>#DIV/0!</v>
      </c>
      <c r="H143" s="79"/>
    </row>
    <row r="144" spans="1:8" ht="12.5">
      <c r="A144" s="9"/>
      <c r="B144" s="9" t="e">
        <f>AVERAGEIFS(Articles!$AM:$AM, Articles!$H:$H, A144, Articles!$AM:$AM, "&lt;&gt;0")</f>
        <v>#DIV/0!</v>
      </c>
      <c r="H144" s="79"/>
    </row>
    <row r="145" spans="1:8" ht="12.5">
      <c r="A145" s="9"/>
      <c r="B145" s="9" t="e">
        <f>AVERAGEIFS(Articles!$AM:$AM, Articles!$H:$H, A145, Articles!$AM:$AM, "&lt;&gt;0")</f>
        <v>#DIV/0!</v>
      </c>
      <c r="H145" s="79"/>
    </row>
    <row r="146" spans="1:8" ht="12.5">
      <c r="A146" s="9"/>
      <c r="B146" s="9" t="e">
        <f>AVERAGEIFS(Articles!$AM:$AM, Articles!$H:$H, A146, Articles!$AM:$AM, "&lt;&gt;0")</f>
        <v>#DIV/0!</v>
      </c>
      <c r="H146" s="79"/>
    </row>
    <row r="147" spans="1:8" ht="12.5">
      <c r="A147" s="9"/>
      <c r="B147" s="9" t="e">
        <f>AVERAGEIFS(Articles!$AM:$AM, Articles!$H:$H, A147, Articles!$AM:$AM, "&lt;&gt;0")</f>
        <v>#DIV/0!</v>
      </c>
      <c r="H147" s="79"/>
    </row>
    <row r="148" spans="1:8" ht="12.5">
      <c r="A148" s="9"/>
      <c r="B148" s="9" t="e">
        <f>AVERAGEIFS(Articles!$AM:$AM, Articles!$H:$H, A148, Articles!$AM:$AM, "&lt;&gt;0")</f>
        <v>#DIV/0!</v>
      </c>
      <c r="H148" s="79"/>
    </row>
    <row r="149" spans="1:8" ht="12.5">
      <c r="A149" s="9"/>
      <c r="B149" s="9" t="e">
        <f>AVERAGEIFS(Articles!$AM:$AM, Articles!$H:$H, A149, Articles!$AM:$AM, "&lt;&gt;0")</f>
        <v>#DIV/0!</v>
      </c>
      <c r="H149" s="79"/>
    </row>
    <row r="150" spans="1:8" ht="12.5">
      <c r="A150" s="9"/>
      <c r="B150" s="9" t="e">
        <f>AVERAGEIFS(Articles!$AM:$AM, Articles!$H:$H, A150, Articles!$AM:$AM, "&lt;&gt;0")</f>
        <v>#DIV/0!</v>
      </c>
      <c r="H150" s="79"/>
    </row>
    <row r="151" spans="1:8" ht="12.5">
      <c r="A151" s="9"/>
      <c r="B151" s="9" t="e">
        <f>AVERAGEIFS(Articles!$AM:$AM, Articles!$H:$H, A151, Articles!$AM:$AM, "&lt;&gt;0")</f>
        <v>#DIV/0!</v>
      </c>
      <c r="H151" s="79"/>
    </row>
    <row r="152" spans="1:8" ht="12.5">
      <c r="A152" s="9"/>
      <c r="B152" s="9" t="e">
        <f>AVERAGEIFS(Articles!$AM:$AM, Articles!$H:$H, A152, Articles!$AM:$AM, "&lt;&gt;0")</f>
        <v>#DIV/0!</v>
      </c>
      <c r="H152" s="79"/>
    </row>
    <row r="153" spans="1:8" ht="12.5">
      <c r="A153" s="9"/>
      <c r="B153" s="9" t="e">
        <f>AVERAGEIFS(Articles!$AM:$AM, Articles!$H:$H, A153, Articles!$AM:$AM, "&lt;&gt;0")</f>
        <v>#DIV/0!</v>
      </c>
      <c r="H153" s="79"/>
    </row>
    <row r="154" spans="1:8" ht="12.5">
      <c r="A154" s="9"/>
      <c r="B154" s="9" t="e">
        <f>AVERAGEIFS(Articles!$AM:$AM, Articles!$H:$H, A154, Articles!$AM:$AM, "&lt;&gt;0")</f>
        <v>#DIV/0!</v>
      </c>
      <c r="H154" s="79"/>
    </row>
    <row r="155" spans="1:8" ht="12.5">
      <c r="A155" s="9"/>
      <c r="B155" s="9" t="e">
        <f>AVERAGEIFS(Articles!$AM:$AM, Articles!$H:$H, A155, Articles!$AM:$AM, "&lt;&gt;0")</f>
        <v>#DIV/0!</v>
      </c>
      <c r="H155" s="79"/>
    </row>
    <row r="156" spans="1:8" ht="12.5">
      <c r="A156" s="9"/>
      <c r="B156" s="9" t="e">
        <f>AVERAGEIFS(Articles!$AM:$AM, Articles!$H:$H, A156, Articles!$AM:$AM, "&lt;&gt;0")</f>
        <v>#DIV/0!</v>
      </c>
      <c r="H156" s="79"/>
    </row>
    <row r="157" spans="1:8" ht="12.5">
      <c r="A157" s="9"/>
      <c r="B157" s="9" t="e">
        <f>AVERAGEIFS(Articles!$AM:$AM, Articles!$H:$H, A157, Articles!$AM:$AM, "&lt;&gt;0")</f>
        <v>#DIV/0!</v>
      </c>
      <c r="H157" s="79"/>
    </row>
    <row r="158" spans="1:8" ht="12.5">
      <c r="A158" s="9"/>
      <c r="B158" s="9" t="e">
        <f>AVERAGEIFS(Articles!$AM:$AM, Articles!$H:$H, A158, Articles!$AM:$AM, "&lt;&gt;0")</f>
        <v>#DIV/0!</v>
      </c>
      <c r="H158" s="79"/>
    </row>
    <row r="159" spans="1:8" ht="12.5">
      <c r="A159" s="9"/>
      <c r="B159" s="9" t="e">
        <f>AVERAGEIFS(Articles!$AM:$AM, Articles!$H:$H, A159, Articles!$AM:$AM, "&lt;&gt;0")</f>
        <v>#DIV/0!</v>
      </c>
      <c r="H159" s="79"/>
    </row>
    <row r="160" spans="1:8" ht="12.5">
      <c r="A160" s="9"/>
      <c r="B160" s="9" t="e">
        <f>AVERAGEIFS(Articles!$AM:$AM, Articles!$H:$H, A160, Articles!$AM:$AM, "&lt;&gt;0")</f>
        <v>#DIV/0!</v>
      </c>
      <c r="H160" s="79"/>
    </row>
    <row r="161" spans="1:8" ht="12.5">
      <c r="A161" s="9"/>
      <c r="B161" s="9" t="e">
        <f>AVERAGEIFS(Articles!$AM:$AM, Articles!$H:$H, A161, Articles!$AM:$AM, "&lt;&gt;0")</f>
        <v>#DIV/0!</v>
      </c>
      <c r="H161" s="79"/>
    </row>
    <row r="162" spans="1:8" ht="12.5">
      <c r="A162" s="9"/>
      <c r="B162" s="9" t="e">
        <f>AVERAGEIFS(Articles!$AM:$AM, Articles!$H:$H, A162, Articles!$AM:$AM, "&lt;&gt;0")</f>
        <v>#DIV/0!</v>
      </c>
      <c r="H162" s="79"/>
    </row>
    <row r="163" spans="1:8" ht="12.5">
      <c r="A163" s="9"/>
      <c r="B163" s="9" t="e">
        <f>AVERAGEIFS(Articles!$AM:$AM, Articles!$H:$H, A163, Articles!$AM:$AM, "&lt;&gt;0")</f>
        <v>#DIV/0!</v>
      </c>
      <c r="H163" s="79"/>
    </row>
    <row r="164" spans="1:8" ht="12.5">
      <c r="A164" s="9"/>
      <c r="B164" s="9" t="e">
        <f>AVERAGEIFS(Articles!$AM:$AM, Articles!$H:$H, A164, Articles!$AM:$AM, "&lt;&gt;0")</f>
        <v>#DIV/0!</v>
      </c>
      <c r="H164" s="79"/>
    </row>
    <row r="165" spans="1:8" ht="12.5">
      <c r="A165" s="9"/>
      <c r="B165" s="9" t="e">
        <f>AVERAGEIFS(Articles!$AM:$AM, Articles!$H:$H, A165, Articles!$AM:$AM, "&lt;&gt;0")</f>
        <v>#DIV/0!</v>
      </c>
      <c r="H165" s="79"/>
    </row>
    <row r="166" spans="1:8" ht="12.5">
      <c r="A166" s="9"/>
      <c r="B166" s="9" t="e">
        <f>AVERAGEIFS(Articles!$AM:$AM, Articles!$H:$H, A166, Articles!$AM:$AM, "&lt;&gt;0")</f>
        <v>#DIV/0!</v>
      </c>
      <c r="H166" s="79"/>
    </row>
    <row r="167" spans="1:8" ht="12.5">
      <c r="A167" s="9"/>
      <c r="B167" s="9" t="e">
        <f>AVERAGEIFS(Articles!$AM:$AM, Articles!$H:$H, A167, Articles!$AM:$AM, "&lt;&gt;0")</f>
        <v>#DIV/0!</v>
      </c>
      <c r="H167" s="79"/>
    </row>
    <row r="168" spans="1:8" ht="12.5">
      <c r="A168" s="9"/>
      <c r="B168" s="9" t="e">
        <f>AVERAGEIFS(Articles!$AM:$AM, Articles!$H:$H, A168, Articles!$AM:$AM, "&lt;&gt;0")</f>
        <v>#DIV/0!</v>
      </c>
      <c r="H168" s="79"/>
    </row>
    <row r="169" spans="1:8" ht="12.5">
      <c r="A169" s="9"/>
      <c r="B169" s="9" t="e">
        <f>AVERAGEIFS(Articles!$AM:$AM, Articles!$H:$H, A169, Articles!$AM:$AM, "&lt;&gt;0")</f>
        <v>#DIV/0!</v>
      </c>
      <c r="H169" s="79"/>
    </row>
    <row r="170" spans="1:8" ht="12.5">
      <c r="A170" s="9"/>
      <c r="B170" s="9" t="e">
        <f>AVERAGEIFS(Articles!$AM:$AM, Articles!$H:$H, A170, Articles!$AM:$AM, "&lt;&gt;0")</f>
        <v>#DIV/0!</v>
      </c>
      <c r="H170" s="79"/>
    </row>
    <row r="171" spans="1:8" ht="12.5">
      <c r="A171" s="9"/>
      <c r="B171" s="9" t="e">
        <f>AVERAGEIFS(Articles!$AM:$AM, Articles!$H:$H, A171, Articles!$AM:$AM, "&lt;&gt;0")</f>
        <v>#DIV/0!</v>
      </c>
      <c r="H171" s="79"/>
    </row>
    <row r="172" spans="1:8" ht="12.5">
      <c r="A172" s="9"/>
      <c r="B172" s="9" t="e">
        <f>AVERAGEIFS(Articles!$AM:$AM, Articles!$H:$H, A172, Articles!$AM:$AM, "&lt;&gt;0")</f>
        <v>#DIV/0!</v>
      </c>
      <c r="H172" s="79"/>
    </row>
    <row r="173" spans="1:8" ht="12.5">
      <c r="A173" s="9"/>
      <c r="B173" s="9" t="e">
        <f>AVERAGEIFS(Articles!$AM:$AM, Articles!$H:$H, A173, Articles!$AM:$AM, "&lt;&gt;0")</f>
        <v>#DIV/0!</v>
      </c>
      <c r="H173" s="79"/>
    </row>
    <row r="174" spans="1:8" ht="12.5">
      <c r="A174" s="9"/>
      <c r="B174" s="9" t="e">
        <f>AVERAGEIFS(Articles!$AM:$AM, Articles!$H:$H, A174, Articles!$AM:$AM, "&lt;&gt;0")</f>
        <v>#DIV/0!</v>
      </c>
      <c r="H174" s="79"/>
    </row>
    <row r="175" spans="1:8" ht="12.5">
      <c r="A175" s="9"/>
      <c r="B175" s="9" t="e">
        <f>AVERAGEIFS(Articles!$AM:$AM, Articles!$H:$H, A175, Articles!$AM:$AM, "&lt;&gt;0")</f>
        <v>#DIV/0!</v>
      </c>
      <c r="H175" s="79"/>
    </row>
    <row r="176" spans="1:8" ht="12.5">
      <c r="A176" s="9"/>
      <c r="B176" s="9" t="e">
        <f>AVERAGEIFS(Articles!$AM:$AM, Articles!$H:$H, A176, Articles!$AM:$AM, "&lt;&gt;0")</f>
        <v>#DIV/0!</v>
      </c>
      <c r="H176" s="79"/>
    </row>
    <row r="177" spans="1:8" ht="12.5">
      <c r="A177" s="9"/>
      <c r="B177" s="9" t="e">
        <f>AVERAGEIFS(Articles!$AM:$AM, Articles!$H:$H, A177, Articles!$AM:$AM, "&lt;&gt;0")</f>
        <v>#DIV/0!</v>
      </c>
      <c r="H177" s="79"/>
    </row>
    <row r="178" spans="1:8" ht="12.5">
      <c r="A178" s="9"/>
      <c r="B178" s="9" t="e">
        <f>AVERAGEIFS(Articles!$AM:$AM, Articles!$H:$H, A178, Articles!$AM:$AM, "&lt;&gt;0")</f>
        <v>#DIV/0!</v>
      </c>
      <c r="H178" s="79"/>
    </row>
    <row r="179" spans="1:8" ht="12.5">
      <c r="A179" s="9"/>
      <c r="B179" s="9" t="e">
        <f>AVERAGEIFS(Articles!$AM:$AM, Articles!$H:$H, A179, Articles!$AM:$AM, "&lt;&gt;0")</f>
        <v>#DIV/0!</v>
      </c>
      <c r="H179" s="79"/>
    </row>
    <row r="180" spans="1:8" ht="12.5">
      <c r="A180" s="9"/>
      <c r="B180" s="9" t="e">
        <f>AVERAGEIFS(Articles!$AM:$AM, Articles!$H:$H, A180, Articles!$AM:$AM, "&lt;&gt;0")</f>
        <v>#DIV/0!</v>
      </c>
      <c r="H180" s="79"/>
    </row>
    <row r="181" spans="1:8" ht="12.5">
      <c r="A181" s="9"/>
      <c r="B181" s="9" t="e">
        <f>AVERAGEIFS(Articles!$AM:$AM, Articles!$H:$H, A181, Articles!$AM:$AM, "&lt;&gt;0")</f>
        <v>#DIV/0!</v>
      </c>
      <c r="H181" s="79"/>
    </row>
    <row r="182" spans="1:8" ht="12.5">
      <c r="A182" s="9"/>
      <c r="B182" s="9" t="e">
        <f>AVERAGEIFS(Articles!$AM:$AM, Articles!$H:$H, A182, Articles!$AM:$AM, "&lt;&gt;0")</f>
        <v>#DIV/0!</v>
      </c>
      <c r="H182" s="79"/>
    </row>
    <row r="183" spans="1:8" ht="12.5">
      <c r="A183" s="9"/>
      <c r="B183" s="9" t="e">
        <f>AVERAGEIFS(Articles!$AM:$AM, Articles!$H:$H, A183, Articles!$AM:$AM, "&lt;&gt;0")</f>
        <v>#DIV/0!</v>
      </c>
      <c r="H183" s="79"/>
    </row>
    <row r="184" spans="1:8" ht="12.5">
      <c r="A184" s="9"/>
      <c r="B184" s="9" t="e">
        <f>AVERAGEIFS(Articles!$AM:$AM, Articles!$H:$H, A184, Articles!$AM:$AM, "&lt;&gt;0")</f>
        <v>#DIV/0!</v>
      </c>
      <c r="H184" s="79"/>
    </row>
    <row r="185" spans="1:8" ht="12.5">
      <c r="A185" s="9"/>
      <c r="B185" s="9" t="e">
        <f>AVERAGEIFS(Articles!$AM:$AM, Articles!$H:$H, A185, Articles!$AM:$AM, "&lt;&gt;0")</f>
        <v>#DIV/0!</v>
      </c>
      <c r="H185" s="79"/>
    </row>
    <row r="186" spans="1:8" ht="12.5">
      <c r="A186" s="9"/>
      <c r="B186" s="9" t="e">
        <f>AVERAGEIFS(Articles!$AM:$AM, Articles!$H:$H, A186, Articles!$AM:$AM, "&lt;&gt;0")</f>
        <v>#DIV/0!</v>
      </c>
      <c r="H186" s="79"/>
    </row>
    <row r="187" spans="1:8" ht="12.5">
      <c r="A187" s="9"/>
      <c r="B187" s="9" t="e">
        <f>AVERAGEIFS(Articles!$AM:$AM, Articles!$H:$H, A187, Articles!$AM:$AM, "&lt;&gt;0")</f>
        <v>#DIV/0!</v>
      </c>
      <c r="H187" s="79"/>
    </row>
    <row r="188" spans="1:8" ht="12.5">
      <c r="A188" s="9"/>
      <c r="B188" s="9" t="e">
        <f>AVERAGEIFS(Articles!$AM:$AM, Articles!$H:$H, A188, Articles!$AM:$AM, "&lt;&gt;0")</f>
        <v>#DIV/0!</v>
      </c>
      <c r="H188" s="79"/>
    </row>
    <row r="189" spans="1:8" ht="12.5">
      <c r="A189" s="9"/>
      <c r="B189" s="9" t="e">
        <f>AVERAGEIFS(Articles!$AM:$AM, Articles!$H:$H, A189, Articles!$AM:$AM, "&lt;&gt;0")</f>
        <v>#DIV/0!</v>
      </c>
      <c r="H189" s="79"/>
    </row>
    <row r="190" spans="1:8" ht="12.5">
      <c r="A190" s="9"/>
      <c r="B190" s="9" t="e">
        <f>AVERAGEIFS(Articles!$AM:$AM, Articles!$H:$H, A190, Articles!$AM:$AM, "&lt;&gt;0")</f>
        <v>#DIV/0!</v>
      </c>
      <c r="H190" s="79"/>
    </row>
    <row r="191" spans="1:8" ht="12.5">
      <c r="A191" s="9"/>
      <c r="B191" s="9" t="e">
        <f>AVERAGEIFS(Articles!$AM:$AM, Articles!$H:$H, A191, Articles!$AM:$AM, "&lt;&gt;0")</f>
        <v>#DIV/0!</v>
      </c>
      <c r="H191" s="79"/>
    </row>
    <row r="192" spans="1:8" ht="12.5">
      <c r="A192" s="9"/>
      <c r="B192" s="9" t="e">
        <f>AVERAGEIFS(Articles!$AM:$AM, Articles!$H:$H, A192, Articles!$AM:$AM, "&lt;&gt;0")</f>
        <v>#DIV/0!</v>
      </c>
      <c r="H192" s="79"/>
    </row>
    <row r="193" spans="1:8" ht="12.5">
      <c r="A193" s="9"/>
      <c r="B193" s="9" t="e">
        <f>AVERAGEIFS(Articles!$AM:$AM, Articles!$H:$H, A193, Articles!$AM:$AM, "&lt;&gt;0")</f>
        <v>#DIV/0!</v>
      </c>
      <c r="H193" s="79"/>
    </row>
    <row r="194" spans="1:8" ht="12.5">
      <c r="A194" s="9"/>
      <c r="B194" s="9" t="e">
        <f>AVERAGEIFS(Articles!$AM:$AM, Articles!$H:$H, A194, Articles!$AM:$AM, "&lt;&gt;0")</f>
        <v>#DIV/0!</v>
      </c>
      <c r="H194" s="79"/>
    </row>
    <row r="195" spans="1:8" ht="12.5">
      <c r="A195" s="9"/>
      <c r="B195" s="9" t="e">
        <f>AVERAGEIFS(Articles!$AM:$AM, Articles!$H:$H, A195, Articles!$AM:$AM, "&lt;&gt;0")</f>
        <v>#DIV/0!</v>
      </c>
      <c r="H195" s="79"/>
    </row>
    <row r="196" spans="1:8" ht="12.5">
      <c r="A196" s="9"/>
      <c r="B196" s="9" t="e">
        <f>AVERAGEIFS(Articles!$AM:$AM, Articles!$H:$H, A196, Articles!$AM:$AM, "&lt;&gt;0")</f>
        <v>#DIV/0!</v>
      </c>
      <c r="H196" s="79"/>
    </row>
    <row r="197" spans="1:8" ht="12.5">
      <c r="A197" s="9"/>
      <c r="B197" s="9" t="e">
        <f>AVERAGEIFS(Articles!$AM:$AM, Articles!$H:$H, A197, Articles!$AM:$AM, "&lt;&gt;0")</f>
        <v>#DIV/0!</v>
      </c>
      <c r="H197" s="79"/>
    </row>
    <row r="198" spans="1:8" ht="12.5">
      <c r="A198" s="9"/>
      <c r="B198" s="9" t="e">
        <f>AVERAGEIFS(Articles!$AM:$AM, Articles!$H:$H, A198, Articles!$AM:$AM, "&lt;&gt;0")</f>
        <v>#DIV/0!</v>
      </c>
      <c r="H198" s="79"/>
    </row>
    <row r="199" spans="1:8" ht="12.5">
      <c r="A199" s="9"/>
      <c r="B199" s="9" t="e">
        <f>AVERAGEIFS(Articles!$AM:$AM, Articles!$H:$H, A199, Articles!$AM:$AM, "&lt;&gt;0")</f>
        <v>#DIV/0!</v>
      </c>
      <c r="H199" s="79"/>
    </row>
    <row r="200" spans="1:8" ht="12.5">
      <c r="A200" s="9"/>
      <c r="B200" s="9" t="e">
        <f>AVERAGEIFS(Articles!$AM:$AM, Articles!$H:$H, A200, Articles!$AM:$AM, "&lt;&gt;0")</f>
        <v>#DIV/0!</v>
      </c>
      <c r="H200" s="79"/>
    </row>
    <row r="201" spans="1:8" ht="12.5">
      <c r="A201" s="9"/>
      <c r="B201" s="9" t="e">
        <f>AVERAGEIFS(Articles!$AM:$AM, Articles!$H:$H, A201, Articles!$AM:$AM, "&lt;&gt;0")</f>
        <v>#DIV/0!</v>
      </c>
      <c r="H201" s="79"/>
    </row>
    <row r="202" spans="1:8" ht="12.5">
      <c r="A202" s="9"/>
      <c r="B202" s="9" t="e">
        <f>AVERAGEIFS(Articles!$AM:$AM, Articles!$H:$H, A202, Articles!$AM:$AM, "&lt;&gt;0")</f>
        <v>#DIV/0!</v>
      </c>
      <c r="H202" s="79"/>
    </row>
    <row r="203" spans="1:8" ht="12.5">
      <c r="A203" s="9"/>
      <c r="B203" s="9" t="e">
        <f>AVERAGEIFS(Articles!$AM:$AM, Articles!$H:$H, A203, Articles!$AM:$AM, "&lt;&gt;0")</f>
        <v>#DIV/0!</v>
      </c>
      <c r="H203" s="79"/>
    </row>
    <row r="204" spans="1:8" ht="12.5">
      <c r="A204" s="9"/>
      <c r="B204" s="9" t="e">
        <f>AVERAGEIFS(Articles!$AM:$AM, Articles!$H:$H, A204, Articles!$AM:$AM, "&lt;&gt;0")</f>
        <v>#DIV/0!</v>
      </c>
      <c r="H204" s="79"/>
    </row>
    <row r="205" spans="1:8" ht="12.5">
      <c r="A205" s="9"/>
      <c r="B205" s="9" t="e">
        <f>AVERAGEIFS(Articles!$AM:$AM, Articles!$H:$H, A205, Articles!$AM:$AM, "&lt;&gt;0")</f>
        <v>#DIV/0!</v>
      </c>
      <c r="H205" s="79"/>
    </row>
    <row r="206" spans="1:8" ht="12.5">
      <c r="A206" s="9"/>
      <c r="B206" s="9" t="e">
        <f>AVERAGEIFS(Articles!$AM:$AM, Articles!$H:$H, A206, Articles!$AM:$AM, "&lt;&gt;0")</f>
        <v>#DIV/0!</v>
      </c>
      <c r="H206" s="79"/>
    </row>
    <row r="207" spans="1:8" ht="12.5">
      <c r="A207" s="9"/>
      <c r="B207" s="9" t="e">
        <f>AVERAGEIFS(Articles!$AM:$AM, Articles!$H:$H, A207, Articles!$AM:$AM, "&lt;&gt;0")</f>
        <v>#DIV/0!</v>
      </c>
      <c r="H207" s="79"/>
    </row>
    <row r="208" spans="1:8" ht="12.5">
      <c r="A208" s="9"/>
      <c r="B208" s="9" t="e">
        <f>AVERAGEIFS(Articles!$AM:$AM, Articles!$H:$H, A208, Articles!$AM:$AM, "&lt;&gt;0")</f>
        <v>#DIV/0!</v>
      </c>
      <c r="H208" s="79"/>
    </row>
    <row r="209" spans="1:8" ht="12.5">
      <c r="A209" s="9"/>
      <c r="B209" s="9" t="e">
        <f>AVERAGEIFS(Articles!$AM:$AM, Articles!$H:$H, A209, Articles!$AM:$AM, "&lt;&gt;0")</f>
        <v>#DIV/0!</v>
      </c>
      <c r="H209" s="79"/>
    </row>
    <row r="210" spans="1:8" ht="12.5">
      <c r="A210" s="9"/>
      <c r="B210" s="9" t="e">
        <f>AVERAGEIFS(Articles!$AM:$AM, Articles!$H:$H, A210, Articles!$AM:$AM, "&lt;&gt;0")</f>
        <v>#DIV/0!</v>
      </c>
      <c r="H210" s="79"/>
    </row>
    <row r="211" spans="1:8" ht="12.5">
      <c r="A211" s="9"/>
      <c r="B211" s="9" t="e">
        <f>AVERAGEIFS(Articles!$AM:$AM, Articles!$H:$H, A211, Articles!$AM:$AM, "&lt;&gt;0")</f>
        <v>#DIV/0!</v>
      </c>
      <c r="H211" s="79"/>
    </row>
    <row r="212" spans="1:8" ht="12.5">
      <c r="A212" s="9"/>
      <c r="B212" s="9" t="e">
        <f>AVERAGEIFS(Articles!$AM:$AM, Articles!$H:$H, A212, Articles!$AM:$AM, "&lt;&gt;0")</f>
        <v>#DIV/0!</v>
      </c>
      <c r="H212" s="79"/>
    </row>
    <row r="213" spans="1:8" ht="12.5">
      <c r="A213" s="9"/>
      <c r="B213" s="9" t="e">
        <f>AVERAGEIFS(Articles!$AM:$AM, Articles!$H:$H, A213, Articles!$AM:$AM, "&lt;&gt;0")</f>
        <v>#DIV/0!</v>
      </c>
      <c r="H213" s="79"/>
    </row>
    <row r="214" spans="1:8" ht="12.5">
      <c r="A214" s="9"/>
      <c r="B214" s="9" t="e">
        <f>AVERAGEIFS(Articles!$AM:$AM, Articles!$H:$H, A214, Articles!$AM:$AM, "&lt;&gt;0")</f>
        <v>#DIV/0!</v>
      </c>
      <c r="H214" s="79"/>
    </row>
    <row r="215" spans="1:8" ht="12.5">
      <c r="A215" s="9"/>
      <c r="B215" s="9" t="e">
        <f>AVERAGEIFS(Articles!$AM:$AM, Articles!$H:$H, A215, Articles!$AM:$AM, "&lt;&gt;0")</f>
        <v>#DIV/0!</v>
      </c>
      <c r="H215" s="79"/>
    </row>
    <row r="216" spans="1:8" ht="12.5">
      <c r="A216" s="9"/>
      <c r="B216" s="9" t="e">
        <f>AVERAGEIFS(Articles!$AM:$AM, Articles!$H:$H, A216, Articles!$AM:$AM, "&lt;&gt;0")</f>
        <v>#DIV/0!</v>
      </c>
      <c r="H216" s="79"/>
    </row>
    <row r="217" spans="1:8" ht="12.5">
      <c r="A217" s="9"/>
      <c r="B217" s="9" t="e">
        <f>AVERAGEIFS(Articles!$AM:$AM, Articles!$H:$H, A217, Articles!$AM:$AM, "&lt;&gt;0")</f>
        <v>#DIV/0!</v>
      </c>
      <c r="H217" s="79"/>
    </row>
    <row r="218" spans="1:8" ht="12.5">
      <c r="A218" s="9"/>
      <c r="B218" s="9" t="e">
        <f>AVERAGEIFS(Articles!$AM:$AM, Articles!$H:$H, A218, Articles!$AM:$AM, "&lt;&gt;0")</f>
        <v>#DIV/0!</v>
      </c>
      <c r="H218" s="79"/>
    </row>
    <row r="219" spans="1:8" ht="12.5">
      <c r="A219" s="9"/>
      <c r="B219" s="9" t="e">
        <f>AVERAGEIFS(Articles!$AM:$AM, Articles!$H:$H, A219, Articles!$AM:$AM, "&lt;&gt;0")</f>
        <v>#DIV/0!</v>
      </c>
      <c r="H219" s="79"/>
    </row>
    <row r="220" spans="1:8" ht="12.5">
      <c r="A220" s="9"/>
      <c r="B220" s="9" t="e">
        <f>AVERAGEIFS(Articles!$AM:$AM, Articles!$H:$H, A220, Articles!$AM:$AM, "&lt;&gt;0")</f>
        <v>#DIV/0!</v>
      </c>
      <c r="H220" s="79"/>
    </row>
    <row r="221" spans="1:8" ht="12.5">
      <c r="A221" s="9"/>
      <c r="B221" s="9" t="e">
        <f>AVERAGEIFS(Articles!$AM:$AM, Articles!$H:$H, A221, Articles!$AM:$AM, "&lt;&gt;0")</f>
        <v>#DIV/0!</v>
      </c>
      <c r="H221" s="79"/>
    </row>
    <row r="222" spans="1:8" ht="12.5">
      <c r="A222" s="9"/>
      <c r="B222" s="9" t="e">
        <f>AVERAGEIFS(Articles!$AM:$AM, Articles!$H:$H, A222, Articles!$AM:$AM, "&lt;&gt;0")</f>
        <v>#DIV/0!</v>
      </c>
      <c r="H222" s="79"/>
    </row>
    <row r="223" spans="1:8" ht="12.5">
      <c r="A223" s="9"/>
      <c r="B223" s="9" t="e">
        <f>AVERAGEIFS(Articles!$AM:$AM, Articles!$H:$H, A223, Articles!$AM:$AM, "&lt;&gt;0")</f>
        <v>#DIV/0!</v>
      </c>
      <c r="H223" s="79"/>
    </row>
    <row r="224" spans="1:8" ht="12.5">
      <c r="A224" s="9"/>
      <c r="B224" s="9" t="e">
        <f>AVERAGEIFS(Articles!$AM:$AM, Articles!$H:$H, A224, Articles!$AM:$AM, "&lt;&gt;0")</f>
        <v>#DIV/0!</v>
      </c>
      <c r="H224" s="79"/>
    </row>
    <row r="225" spans="1:8" ht="12.5">
      <c r="A225" s="9"/>
      <c r="B225" s="9" t="e">
        <f>AVERAGEIFS(Articles!$AM:$AM, Articles!$H:$H, A225, Articles!$AM:$AM, "&lt;&gt;0")</f>
        <v>#DIV/0!</v>
      </c>
      <c r="H225" s="79"/>
    </row>
    <row r="226" spans="1:8" ht="12.5">
      <c r="A226" s="9"/>
      <c r="B226" s="9" t="e">
        <f>AVERAGEIFS(Articles!$AM:$AM, Articles!$H:$H, A226, Articles!$AM:$AM, "&lt;&gt;0")</f>
        <v>#DIV/0!</v>
      </c>
      <c r="H226" s="79"/>
    </row>
    <row r="227" spans="1:8" ht="12.5">
      <c r="A227" s="9"/>
      <c r="B227" s="9" t="e">
        <f>AVERAGEIFS(Articles!$AM:$AM, Articles!$H:$H, A227, Articles!$AM:$AM, "&lt;&gt;0")</f>
        <v>#DIV/0!</v>
      </c>
      <c r="H227" s="79"/>
    </row>
    <row r="228" spans="1:8" ht="12.5">
      <c r="A228" s="9"/>
      <c r="B228" s="9" t="e">
        <f>AVERAGEIFS(Articles!$AM:$AM, Articles!$H:$H, A228, Articles!$AM:$AM, "&lt;&gt;0")</f>
        <v>#DIV/0!</v>
      </c>
      <c r="H228" s="79"/>
    </row>
    <row r="229" spans="1:8" ht="12.5">
      <c r="A229" s="9"/>
      <c r="B229" s="9" t="e">
        <f>AVERAGEIFS(Articles!$AM:$AM, Articles!$H:$H, A229, Articles!$AM:$AM, "&lt;&gt;0")</f>
        <v>#DIV/0!</v>
      </c>
      <c r="H229" s="79"/>
    </row>
    <row r="230" spans="1:8" ht="12.5">
      <c r="A230" s="9"/>
      <c r="B230" s="9" t="e">
        <f>AVERAGEIFS(Articles!$AM:$AM, Articles!$H:$H, A230, Articles!$AM:$AM, "&lt;&gt;0")</f>
        <v>#DIV/0!</v>
      </c>
      <c r="H230" s="79"/>
    </row>
    <row r="231" spans="1:8" ht="12.5">
      <c r="A231" s="9"/>
      <c r="B231" s="9" t="e">
        <f>AVERAGEIFS(Articles!$AM:$AM, Articles!$H:$H, A231, Articles!$AM:$AM, "&lt;&gt;0")</f>
        <v>#DIV/0!</v>
      </c>
      <c r="H231" s="79"/>
    </row>
    <row r="232" spans="1:8" ht="12.5">
      <c r="A232" s="9"/>
      <c r="B232" s="9" t="e">
        <f>AVERAGEIFS(Articles!$AM:$AM, Articles!$H:$H, A232, Articles!$AM:$AM, "&lt;&gt;0")</f>
        <v>#DIV/0!</v>
      </c>
      <c r="H232" s="79"/>
    </row>
    <row r="233" spans="1:8" ht="12.5">
      <c r="A233" s="9"/>
      <c r="B233" s="9" t="e">
        <f>AVERAGEIFS(Articles!$AM:$AM, Articles!$H:$H, A233, Articles!$AM:$AM, "&lt;&gt;0")</f>
        <v>#DIV/0!</v>
      </c>
      <c r="H233" s="79"/>
    </row>
    <row r="234" spans="1:8" ht="12.5">
      <c r="A234" s="9"/>
      <c r="B234" s="9" t="e">
        <f>AVERAGEIFS(Articles!$AM:$AM, Articles!$H:$H, A234, Articles!$AM:$AM, "&lt;&gt;0")</f>
        <v>#DIV/0!</v>
      </c>
      <c r="H234" s="79"/>
    </row>
    <row r="235" spans="1:8" ht="12.5">
      <c r="A235" s="9"/>
      <c r="B235" s="9" t="e">
        <f>AVERAGEIFS(Articles!$AM:$AM, Articles!$H:$H, A235, Articles!$AM:$AM, "&lt;&gt;0")</f>
        <v>#DIV/0!</v>
      </c>
      <c r="H235" s="79"/>
    </row>
    <row r="236" spans="1:8" ht="12.5">
      <c r="A236" s="9"/>
      <c r="B236" s="9" t="e">
        <f>AVERAGEIFS(Articles!$AM:$AM, Articles!$H:$H, A236, Articles!$AM:$AM, "&lt;&gt;0")</f>
        <v>#DIV/0!</v>
      </c>
      <c r="H236" s="79"/>
    </row>
    <row r="237" spans="1:8" ht="12.5">
      <c r="A237" s="9"/>
      <c r="B237" s="9" t="e">
        <f>AVERAGEIFS(Articles!$AM:$AM, Articles!$H:$H, A237, Articles!$AM:$AM, "&lt;&gt;0")</f>
        <v>#DIV/0!</v>
      </c>
      <c r="H237" s="79"/>
    </row>
    <row r="238" spans="1:8" ht="12.5">
      <c r="A238" s="9"/>
      <c r="B238" s="9" t="e">
        <f>AVERAGEIFS(Articles!$AM:$AM, Articles!$H:$H, A238, Articles!$AM:$AM, "&lt;&gt;0")</f>
        <v>#DIV/0!</v>
      </c>
      <c r="H238" s="79"/>
    </row>
    <row r="239" spans="1:8" ht="12.5">
      <c r="A239" s="9"/>
      <c r="B239" s="9" t="e">
        <f>AVERAGEIFS(Articles!$AM:$AM, Articles!$H:$H, A239, Articles!$AM:$AM, "&lt;&gt;0")</f>
        <v>#DIV/0!</v>
      </c>
      <c r="H239" s="79"/>
    </row>
    <row r="240" spans="1:8" ht="12.5">
      <c r="A240" s="9"/>
      <c r="B240" s="9" t="e">
        <f>AVERAGEIFS(Articles!$AM:$AM, Articles!$H:$H, A240, Articles!$AM:$AM, "&lt;&gt;0")</f>
        <v>#DIV/0!</v>
      </c>
      <c r="H240" s="79"/>
    </row>
    <row r="241" spans="1:8" ht="12.5">
      <c r="A241" s="9"/>
      <c r="B241" s="9" t="e">
        <f>AVERAGEIFS(Articles!$AM:$AM, Articles!$H:$H, A241, Articles!$AM:$AM, "&lt;&gt;0")</f>
        <v>#DIV/0!</v>
      </c>
      <c r="H241" s="79"/>
    </row>
    <row r="242" spans="1:8" ht="12.5">
      <c r="A242" s="9"/>
      <c r="B242" s="9" t="e">
        <f>AVERAGEIFS(Articles!$AM:$AM, Articles!$H:$H, A242, Articles!$AM:$AM, "&lt;&gt;0")</f>
        <v>#DIV/0!</v>
      </c>
      <c r="H242" s="79"/>
    </row>
    <row r="243" spans="1:8" ht="12.5">
      <c r="A243" s="9"/>
      <c r="B243" s="9" t="e">
        <f>AVERAGEIFS(Articles!$AM:$AM, Articles!$H:$H, A243, Articles!$AM:$AM, "&lt;&gt;0")</f>
        <v>#DIV/0!</v>
      </c>
      <c r="H243" s="79"/>
    </row>
    <row r="244" spans="1:8" ht="12.5">
      <c r="A244" s="9"/>
      <c r="B244" s="9" t="e">
        <f>AVERAGEIFS(Articles!$AM:$AM, Articles!$H:$H, A244, Articles!$AM:$AM, "&lt;&gt;0")</f>
        <v>#DIV/0!</v>
      </c>
      <c r="H244" s="79"/>
    </row>
    <row r="245" spans="1:8" ht="12.5">
      <c r="A245" s="9"/>
      <c r="B245" s="9" t="e">
        <f>AVERAGEIFS(Articles!$AM:$AM, Articles!$H:$H, A245, Articles!$AM:$AM, "&lt;&gt;0")</f>
        <v>#DIV/0!</v>
      </c>
      <c r="H245" s="79"/>
    </row>
    <row r="246" spans="1:8" ht="12.5">
      <c r="A246" s="9"/>
      <c r="B246" s="9" t="e">
        <f>AVERAGEIFS(Articles!$AM:$AM, Articles!$H:$H, A246, Articles!$AM:$AM, "&lt;&gt;0")</f>
        <v>#DIV/0!</v>
      </c>
      <c r="H246" s="79"/>
    </row>
    <row r="247" spans="1:8" ht="12.5">
      <c r="A247" s="9"/>
      <c r="B247" s="9" t="e">
        <f>AVERAGEIFS(Articles!$AM:$AM, Articles!$H:$H, A247, Articles!$AM:$AM, "&lt;&gt;0")</f>
        <v>#DIV/0!</v>
      </c>
      <c r="H247" s="79"/>
    </row>
    <row r="248" spans="1:8" ht="12.5">
      <c r="A248" s="9"/>
      <c r="B248" s="9" t="e">
        <f>AVERAGEIFS(Articles!$AM:$AM, Articles!$H:$H, A248, Articles!$AM:$AM, "&lt;&gt;0")</f>
        <v>#DIV/0!</v>
      </c>
      <c r="H248" s="79"/>
    </row>
    <row r="249" spans="1:8" ht="12.5">
      <c r="A249" s="9"/>
      <c r="B249" s="9" t="e">
        <f>AVERAGEIFS(Articles!$AM:$AM, Articles!$H:$H, A249, Articles!$AM:$AM, "&lt;&gt;0")</f>
        <v>#DIV/0!</v>
      </c>
      <c r="H249" s="79"/>
    </row>
    <row r="250" spans="1:8" ht="12.5">
      <c r="A250" s="9"/>
      <c r="B250" s="9" t="e">
        <f>AVERAGEIFS(Articles!$AM:$AM, Articles!$H:$H, A250, Articles!$AM:$AM, "&lt;&gt;0")</f>
        <v>#DIV/0!</v>
      </c>
      <c r="H250" s="79"/>
    </row>
    <row r="251" spans="1:8" ht="12.5">
      <c r="A251" s="9"/>
      <c r="B251" s="9" t="e">
        <f>AVERAGEIFS(Articles!$AM:$AM, Articles!$H:$H, A251, Articles!$AM:$AM, "&lt;&gt;0")</f>
        <v>#DIV/0!</v>
      </c>
      <c r="H251" s="79"/>
    </row>
    <row r="252" spans="1:8" ht="12.5">
      <c r="A252" s="9"/>
      <c r="B252" s="9" t="e">
        <f>AVERAGEIFS(Articles!$AM:$AM, Articles!$H:$H, A252, Articles!$AM:$AM, "&lt;&gt;0")</f>
        <v>#DIV/0!</v>
      </c>
      <c r="H252" s="79"/>
    </row>
    <row r="253" spans="1:8" ht="12.5">
      <c r="A253" s="9"/>
      <c r="B253" s="9" t="e">
        <f>AVERAGEIFS(Articles!$AM:$AM, Articles!$H:$H, A253, Articles!$AM:$AM, "&lt;&gt;0")</f>
        <v>#DIV/0!</v>
      </c>
      <c r="H253" s="79"/>
    </row>
    <row r="254" spans="1:8" ht="12.5">
      <c r="A254" s="9"/>
      <c r="B254" s="9" t="e">
        <f>AVERAGEIFS(Articles!$AM:$AM, Articles!$H:$H, A254, Articles!$AM:$AM, "&lt;&gt;0")</f>
        <v>#DIV/0!</v>
      </c>
      <c r="H254" s="79"/>
    </row>
    <row r="255" spans="1:8" ht="12.5">
      <c r="A255" s="9"/>
      <c r="B255" s="9" t="e">
        <f>AVERAGEIFS(Articles!$AM:$AM, Articles!$H:$H, A255, Articles!$AM:$AM, "&lt;&gt;0")</f>
        <v>#DIV/0!</v>
      </c>
      <c r="H255" s="79"/>
    </row>
    <row r="256" spans="1:8" ht="12.5">
      <c r="A256" s="9"/>
      <c r="B256" s="9" t="e">
        <f>AVERAGEIFS(Articles!$AM:$AM, Articles!$H:$H, A256, Articles!$AM:$AM, "&lt;&gt;0")</f>
        <v>#DIV/0!</v>
      </c>
      <c r="H256" s="79"/>
    </row>
    <row r="257" spans="1:8" ht="12.5">
      <c r="A257" s="9"/>
      <c r="B257" s="9" t="e">
        <f>AVERAGEIFS(Articles!$AM:$AM, Articles!$H:$H, A257, Articles!$AM:$AM, "&lt;&gt;0")</f>
        <v>#DIV/0!</v>
      </c>
      <c r="H257" s="79"/>
    </row>
    <row r="258" spans="1:8" ht="12.5">
      <c r="A258" s="9"/>
      <c r="B258" s="9" t="e">
        <f>AVERAGEIFS(Articles!$AM:$AM, Articles!$H:$H, A258, Articles!$AM:$AM, "&lt;&gt;0")</f>
        <v>#DIV/0!</v>
      </c>
      <c r="H258" s="79"/>
    </row>
    <row r="259" spans="1:8" ht="12.5">
      <c r="A259" s="9"/>
      <c r="B259" s="9" t="e">
        <f>AVERAGEIFS(Articles!$AM:$AM, Articles!$H:$H, A259, Articles!$AM:$AM, "&lt;&gt;0")</f>
        <v>#DIV/0!</v>
      </c>
      <c r="H259" s="79"/>
    </row>
    <row r="260" spans="1:8" ht="12.5">
      <c r="A260" s="9"/>
      <c r="B260" s="9" t="e">
        <f>AVERAGEIFS(Articles!$AM:$AM, Articles!$H:$H, A260, Articles!$AM:$AM, "&lt;&gt;0")</f>
        <v>#DIV/0!</v>
      </c>
      <c r="H260" s="79"/>
    </row>
    <row r="261" spans="1:8" ht="12.5">
      <c r="A261" s="9"/>
      <c r="B261" s="9" t="e">
        <f>AVERAGEIFS(Articles!$AM:$AM, Articles!$H:$H, A261, Articles!$AM:$AM, "&lt;&gt;0")</f>
        <v>#DIV/0!</v>
      </c>
      <c r="H261" s="79"/>
    </row>
    <row r="262" spans="1:8" ht="12.5">
      <c r="A262" s="9"/>
      <c r="B262" s="9" t="e">
        <f>AVERAGEIFS(Articles!$AM:$AM, Articles!$H:$H, A262, Articles!$AM:$AM, "&lt;&gt;0")</f>
        <v>#DIV/0!</v>
      </c>
      <c r="H262" s="79"/>
    </row>
    <row r="263" spans="1:8" ht="12.5">
      <c r="A263" s="9"/>
      <c r="B263" s="9" t="e">
        <f>AVERAGEIFS(Articles!$AM:$AM, Articles!$H:$H, A263, Articles!$AM:$AM, "&lt;&gt;0")</f>
        <v>#DIV/0!</v>
      </c>
      <c r="H263" s="79"/>
    </row>
    <row r="264" spans="1:8" ht="12.5">
      <c r="A264" s="9"/>
      <c r="B264" s="9" t="e">
        <f>AVERAGEIFS(Articles!$AM:$AM, Articles!$H:$H, A264, Articles!$AM:$AM, "&lt;&gt;0")</f>
        <v>#DIV/0!</v>
      </c>
      <c r="H264" s="79"/>
    </row>
    <row r="265" spans="1:8" ht="12.5">
      <c r="A265" s="9"/>
      <c r="B265" s="9" t="e">
        <f>AVERAGEIFS(Articles!$AM:$AM, Articles!$H:$H, A265, Articles!$AM:$AM, "&lt;&gt;0")</f>
        <v>#DIV/0!</v>
      </c>
      <c r="H265" s="79"/>
    </row>
    <row r="266" spans="1:8" ht="12.5">
      <c r="A266" s="9"/>
      <c r="B266" s="9" t="e">
        <f>AVERAGEIFS(Articles!$AM:$AM, Articles!$H:$H, A266, Articles!$AM:$AM, "&lt;&gt;0")</f>
        <v>#DIV/0!</v>
      </c>
      <c r="H266" s="79"/>
    </row>
    <row r="267" spans="1:8" ht="12.5">
      <c r="A267" s="9"/>
      <c r="B267" s="9" t="e">
        <f>AVERAGEIFS(Articles!$AM:$AM, Articles!$H:$H, A267, Articles!$AM:$AM, "&lt;&gt;0")</f>
        <v>#DIV/0!</v>
      </c>
      <c r="H267" s="79"/>
    </row>
    <row r="268" spans="1:8" ht="12.5">
      <c r="A268" s="9"/>
      <c r="B268" s="9" t="e">
        <f>AVERAGEIFS(Articles!$AM:$AM, Articles!$H:$H, A268, Articles!$AM:$AM, "&lt;&gt;0")</f>
        <v>#DIV/0!</v>
      </c>
      <c r="H268" s="79"/>
    </row>
    <row r="269" spans="1:8" ht="12.5">
      <c r="A269" s="9"/>
      <c r="B269" s="9" t="e">
        <f>AVERAGEIFS(Articles!$AM:$AM, Articles!$H:$H, A269, Articles!$AM:$AM, "&lt;&gt;0")</f>
        <v>#DIV/0!</v>
      </c>
      <c r="H269" s="79"/>
    </row>
    <row r="270" spans="1:8" ht="12.5">
      <c r="A270" s="9"/>
      <c r="B270" s="9" t="e">
        <f>AVERAGEIFS(Articles!$AM:$AM, Articles!$H:$H, A270, Articles!$AM:$AM, "&lt;&gt;0")</f>
        <v>#DIV/0!</v>
      </c>
      <c r="H270" s="79"/>
    </row>
    <row r="271" spans="1:8" ht="12.5">
      <c r="A271" s="9"/>
      <c r="B271" s="9" t="e">
        <f>AVERAGEIFS(Articles!$AM:$AM, Articles!$H:$H, A271, Articles!$AM:$AM, "&lt;&gt;0")</f>
        <v>#DIV/0!</v>
      </c>
      <c r="H271" s="79"/>
    </row>
    <row r="272" spans="1:8" ht="12.5">
      <c r="A272" s="9"/>
      <c r="B272" s="9" t="e">
        <f>AVERAGEIFS(Articles!$AM:$AM, Articles!$H:$H, A272, Articles!$AM:$AM, "&lt;&gt;0")</f>
        <v>#DIV/0!</v>
      </c>
      <c r="H272" s="79"/>
    </row>
    <row r="273" spans="1:8" ht="12.5">
      <c r="A273" s="9"/>
      <c r="B273" s="9" t="e">
        <f>AVERAGEIFS(Articles!$AM:$AM, Articles!$H:$H, A273, Articles!$AM:$AM, "&lt;&gt;0")</f>
        <v>#DIV/0!</v>
      </c>
      <c r="H273" s="79"/>
    </row>
    <row r="274" spans="1:8" ht="12.5">
      <c r="A274" s="9"/>
      <c r="B274" s="9" t="e">
        <f>AVERAGEIFS(Articles!$AM:$AM, Articles!$H:$H, A274, Articles!$AM:$AM, "&lt;&gt;0")</f>
        <v>#DIV/0!</v>
      </c>
      <c r="H274" s="79"/>
    </row>
    <row r="275" spans="1:8" ht="12.5">
      <c r="A275" s="9"/>
      <c r="B275" s="9" t="e">
        <f>AVERAGEIFS(Articles!$AM:$AM, Articles!$H:$H, A275, Articles!$AM:$AM, "&lt;&gt;0")</f>
        <v>#DIV/0!</v>
      </c>
      <c r="H275" s="79"/>
    </row>
    <row r="276" spans="1:8" ht="12.5">
      <c r="A276" s="9"/>
      <c r="B276" s="9" t="e">
        <f>AVERAGEIFS(Articles!$AM:$AM, Articles!$H:$H, A276, Articles!$AM:$AM, "&lt;&gt;0")</f>
        <v>#DIV/0!</v>
      </c>
      <c r="H276" s="79"/>
    </row>
    <row r="277" spans="1:8" ht="12.5">
      <c r="A277" s="9"/>
      <c r="B277" s="9" t="e">
        <f>AVERAGEIFS(Articles!$AM:$AM, Articles!$H:$H, A277, Articles!$AM:$AM, "&lt;&gt;0")</f>
        <v>#DIV/0!</v>
      </c>
      <c r="H277" s="79"/>
    </row>
    <row r="278" spans="1:8" ht="12.5">
      <c r="A278" s="9"/>
      <c r="B278" s="9" t="e">
        <f>AVERAGEIFS(Articles!$AM:$AM, Articles!$H:$H, A278, Articles!$AM:$AM, "&lt;&gt;0")</f>
        <v>#DIV/0!</v>
      </c>
      <c r="H278" s="79"/>
    </row>
    <row r="279" spans="1:8" ht="12.5">
      <c r="A279" s="9"/>
      <c r="B279" s="9" t="e">
        <f>AVERAGEIFS(Articles!$AM:$AM, Articles!$H:$H, A279, Articles!$AM:$AM, "&lt;&gt;0")</f>
        <v>#DIV/0!</v>
      </c>
      <c r="H279" s="79"/>
    </row>
    <row r="280" spans="1:8" ht="12.5">
      <c r="A280" s="9"/>
      <c r="B280" s="9" t="e">
        <f>AVERAGEIFS(Articles!$AM:$AM, Articles!$H:$H, A280, Articles!$AM:$AM, "&lt;&gt;0")</f>
        <v>#DIV/0!</v>
      </c>
      <c r="H280" s="79"/>
    </row>
    <row r="281" spans="1:8" ht="12.5">
      <c r="A281" s="9"/>
      <c r="B281" s="9" t="e">
        <f>AVERAGEIFS(Articles!$AM:$AM, Articles!$H:$H, A281, Articles!$AM:$AM, "&lt;&gt;0")</f>
        <v>#DIV/0!</v>
      </c>
      <c r="H281" s="79"/>
    </row>
    <row r="282" spans="1:8" ht="12.5">
      <c r="A282" s="9"/>
      <c r="B282" s="9" t="e">
        <f>AVERAGEIFS(Articles!$AM:$AM, Articles!$H:$H, A282, Articles!$AM:$AM, "&lt;&gt;0")</f>
        <v>#DIV/0!</v>
      </c>
      <c r="H282" s="79"/>
    </row>
    <row r="283" spans="1:8" ht="12.5">
      <c r="A283" s="9"/>
      <c r="B283" s="9" t="e">
        <f>AVERAGEIFS(Articles!$AM:$AM, Articles!$H:$H, A283, Articles!$AM:$AM, "&lt;&gt;0")</f>
        <v>#DIV/0!</v>
      </c>
      <c r="H283" s="79"/>
    </row>
    <row r="284" spans="1:8" ht="12.5">
      <c r="A284" s="9"/>
      <c r="B284" s="9" t="e">
        <f>AVERAGEIFS(Articles!$AM:$AM, Articles!$H:$H, A284, Articles!$AM:$AM, "&lt;&gt;0")</f>
        <v>#DIV/0!</v>
      </c>
      <c r="H284" s="79"/>
    </row>
    <row r="285" spans="1:8" ht="12.5">
      <c r="A285" s="9"/>
      <c r="B285" s="9" t="e">
        <f>AVERAGEIFS(Articles!$AM:$AM, Articles!$H:$H, A285, Articles!$AM:$AM, "&lt;&gt;0")</f>
        <v>#DIV/0!</v>
      </c>
      <c r="H285" s="79"/>
    </row>
    <row r="286" spans="1:8" ht="12.5">
      <c r="A286" s="9"/>
      <c r="B286" s="9" t="e">
        <f>AVERAGEIFS(Articles!$AM:$AM, Articles!$H:$H, A286, Articles!$AM:$AM, "&lt;&gt;0")</f>
        <v>#DIV/0!</v>
      </c>
      <c r="H286" s="79"/>
    </row>
    <row r="287" spans="1:8" ht="12.5">
      <c r="A287" s="9"/>
      <c r="B287" s="9" t="e">
        <f>AVERAGEIFS(Articles!$AM:$AM, Articles!$H:$H, A287, Articles!$AM:$AM, "&lt;&gt;0")</f>
        <v>#DIV/0!</v>
      </c>
      <c r="H287" s="79"/>
    </row>
    <row r="288" spans="1:8" ht="12.5">
      <c r="A288" s="9"/>
      <c r="B288" s="9" t="e">
        <f>AVERAGEIFS(Articles!$AM:$AM, Articles!$H:$H, A288, Articles!$AM:$AM, "&lt;&gt;0")</f>
        <v>#DIV/0!</v>
      </c>
      <c r="H288" s="79"/>
    </row>
    <row r="289" spans="1:8" ht="12.5">
      <c r="A289" s="9"/>
      <c r="B289" s="9" t="e">
        <f>AVERAGEIFS(Articles!$AM:$AM, Articles!$H:$H, A289, Articles!$AM:$AM, "&lt;&gt;0")</f>
        <v>#DIV/0!</v>
      </c>
      <c r="H289" s="79"/>
    </row>
    <row r="290" spans="1:8" ht="12.5">
      <c r="A290" s="9"/>
      <c r="B290" s="9" t="e">
        <f>AVERAGEIFS(Articles!$AM:$AM, Articles!$H:$H, A290, Articles!$AM:$AM, "&lt;&gt;0")</f>
        <v>#DIV/0!</v>
      </c>
      <c r="H290" s="79"/>
    </row>
    <row r="291" spans="1:8" ht="12.5">
      <c r="A291" s="9"/>
      <c r="B291" s="9" t="e">
        <f>AVERAGEIFS(Articles!$AM:$AM, Articles!$H:$H, A291, Articles!$AM:$AM, "&lt;&gt;0")</f>
        <v>#DIV/0!</v>
      </c>
      <c r="H291" s="79"/>
    </row>
    <row r="292" spans="1:8" ht="12.5">
      <c r="A292" s="9"/>
      <c r="B292" s="9" t="e">
        <f>AVERAGEIFS(Articles!$AM:$AM, Articles!$H:$H, A292, Articles!$AM:$AM, "&lt;&gt;0")</f>
        <v>#DIV/0!</v>
      </c>
      <c r="H292" s="79"/>
    </row>
    <row r="293" spans="1:8" ht="12.5">
      <c r="A293" s="9"/>
      <c r="B293" s="9" t="e">
        <f>AVERAGEIFS(Articles!$AM:$AM, Articles!$H:$H, A293, Articles!$AM:$AM, "&lt;&gt;0")</f>
        <v>#DIV/0!</v>
      </c>
      <c r="H293" s="79"/>
    </row>
    <row r="294" spans="1:8" ht="12.5">
      <c r="A294" s="9"/>
      <c r="B294" s="9" t="e">
        <f>AVERAGEIFS(Articles!$AM:$AM, Articles!$H:$H, A294, Articles!$AM:$AM, "&lt;&gt;0")</f>
        <v>#DIV/0!</v>
      </c>
      <c r="H294" s="79"/>
    </row>
    <row r="295" spans="1:8" ht="12.5">
      <c r="A295" s="9"/>
      <c r="B295" s="9" t="e">
        <f>AVERAGEIFS(Articles!$AM:$AM, Articles!$H:$H, A295, Articles!$AM:$AM, "&lt;&gt;0")</f>
        <v>#DIV/0!</v>
      </c>
      <c r="H295" s="79"/>
    </row>
    <row r="296" spans="1:8" ht="12.5">
      <c r="A296" s="9"/>
      <c r="B296" s="9" t="e">
        <f>AVERAGEIFS(Articles!$AM:$AM, Articles!$H:$H, A296, Articles!$AM:$AM, "&lt;&gt;0")</f>
        <v>#DIV/0!</v>
      </c>
      <c r="H296" s="79"/>
    </row>
    <row r="297" spans="1:8" ht="12.5">
      <c r="A297" s="9"/>
      <c r="B297" s="9" t="e">
        <f>AVERAGEIFS(Articles!$AM:$AM, Articles!$H:$H, A297, Articles!$AM:$AM, "&lt;&gt;0")</f>
        <v>#DIV/0!</v>
      </c>
      <c r="H297" s="79"/>
    </row>
    <row r="298" spans="1:8" ht="12.5">
      <c r="A298" s="9"/>
      <c r="B298" s="9" t="e">
        <f>AVERAGEIFS(Articles!$AM:$AM, Articles!$H:$H, A298, Articles!$AM:$AM, "&lt;&gt;0")</f>
        <v>#DIV/0!</v>
      </c>
      <c r="H298" s="79"/>
    </row>
    <row r="299" spans="1:8" ht="12.5">
      <c r="A299" s="9"/>
      <c r="B299" s="9" t="e">
        <f>AVERAGEIFS(Articles!$AM:$AM, Articles!$H:$H, A299, Articles!$AM:$AM, "&lt;&gt;0")</f>
        <v>#DIV/0!</v>
      </c>
      <c r="H299" s="79"/>
    </row>
    <row r="300" spans="1:8" ht="12.5">
      <c r="A300" s="9"/>
      <c r="B300" s="9" t="e">
        <f>AVERAGEIFS(Articles!$AM:$AM, Articles!$H:$H, A300, Articles!$AM:$AM, "&lt;&gt;0")</f>
        <v>#DIV/0!</v>
      </c>
      <c r="H300" s="79"/>
    </row>
    <row r="301" spans="1:8" ht="12.5">
      <c r="A301" s="9"/>
      <c r="B301" s="9" t="e">
        <f>AVERAGEIFS(Articles!$AM:$AM, Articles!$H:$H, A301, Articles!$AM:$AM, "&lt;&gt;0")</f>
        <v>#DIV/0!</v>
      </c>
      <c r="H301" s="79"/>
    </row>
    <row r="302" spans="1:8" ht="12.5">
      <c r="A302" s="9"/>
      <c r="B302" s="9" t="e">
        <f>AVERAGEIFS(Articles!$AM:$AM, Articles!$H:$H, A302, Articles!$AM:$AM, "&lt;&gt;0")</f>
        <v>#DIV/0!</v>
      </c>
      <c r="H302" s="79"/>
    </row>
    <row r="303" spans="1:8" ht="12.5">
      <c r="A303" s="9"/>
      <c r="B303" s="9" t="e">
        <f>AVERAGEIFS(Articles!$AM:$AM, Articles!$H:$H, A303, Articles!$AM:$AM, "&lt;&gt;0")</f>
        <v>#DIV/0!</v>
      </c>
      <c r="H303" s="79"/>
    </row>
    <row r="304" spans="1:8" ht="12.5">
      <c r="A304" s="9"/>
      <c r="B304" s="9" t="e">
        <f>AVERAGEIFS(Articles!$AM:$AM, Articles!$H:$H, A304, Articles!$AM:$AM, "&lt;&gt;0")</f>
        <v>#DIV/0!</v>
      </c>
      <c r="H304" s="79"/>
    </row>
    <row r="305" spans="1:8" ht="12.5">
      <c r="A305" s="9"/>
      <c r="B305" s="9" t="e">
        <f>AVERAGEIFS(Articles!$AM:$AM, Articles!$H:$H, A305, Articles!$AM:$AM, "&lt;&gt;0")</f>
        <v>#DIV/0!</v>
      </c>
      <c r="H305" s="79"/>
    </row>
    <row r="306" spans="1:8" ht="12.5">
      <c r="A306" s="9"/>
      <c r="B306" s="9" t="e">
        <f>AVERAGEIFS(Articles!$AM:$AM, Articles!$H:$H, A306, Articles!$AM:$AM, "&lt;&gt;0")</f>
        <v>#DIV/0!</v>
      </c>
      <c r="H306" s="79"/>
    </row>
    <row r="307" spans="1:8" ht="12.5">
      <c r="A307" s="9"/>
      <c r="B307" s="9" t="e">
        <f>AVERAGEIFS(Articles!$AM:$AM, Articles!$H:$H, A307, Articles!$AM:$AM, "&lt;&gt;0")</f>
        <v>#DIV/0!</v>
      </c>
      <c r="H307" s="79"/>
    </row>
    <row r="308" spans="1:8" ht="12.5">
      <c r="A308" s="9"/>
      <c r="B308" s="9" t="e">
        <f>AVERAGEIFS(Articles!$AM:$AM, Articles!$H:$H, A308, Articles!$AM:$AM, "&lt;&gt;0")</f>
        <v>#DIV/0!</v>
      </c>
      <c r="H308" s="79"/>
    </row>
    <row r="309" spans="1:8" ht="12.5">
      <c r="A309" s="9"/>
      <c r="B309" s="9" t="e">
        <f>AVERAGEIFS(Articles!$AM:$AM, Articles!$H:$H, A309, Articles!$AM:$AM, "&lt;&gt;0")</f>
        <v>#DIV/0!</v>
      </c>
      <c r="H309" s="79"/>
    </row>
    <row r="310" spans="1:8" ht="12.5">
      <c r="A310" s="9"/>
      <c r="B310" s="9" t="e">
        <f>AVERAGEIFS(Articles!$AM:$AM, Articles!$H:$H, A310, Articles!$AM:$AM, "&lt;&gt;0")</f>
        <v>#DIV/0!</v>
      </c>
      <c r="H310" s="79"/>
    </row>
    <row r="311" spans="1:8" ht="12.5">
      <c r="A311" s="9"/>
      <c r="B311" s="9" t="e">
        <f>AVERAGEIFS(Articles!$AM:$AM, Articles!$H:$H, A311, Articles!$AM:$AM, "&lt;&gt;0")</f>
        <v>#DIV/0!</v>
      </c>
      <c r="H311" s="79"/>
    </row>
    <row r="312" spans="1:8" ht="12.5">
      <c r="A312" s="9"/>
      <c r="B312" s="9" t="e">
        <f>AVERAGEIFS(Articles!$AM:$AM, Articles!$H:$H, A312, Articles!$AM:$AM, "&lt;&gt;0")</f>
        <v>#DIV/0!</v>
      </c>
      <c r="H312" s="79"/>
    </row>
    <row r="313" spans="1:8" ht="12.5">
      <c r="A313" s="9"/>
      <c r="B313" s="9" t="e">
        <f>AVERAGEIFS(Articles!$AM:$AM, Articles!$H:$H, A313, Articles!$AM:$AM, "&lt;&gt;0")</f>
        <v>#DIV/0!</v>
      </c>
      <c r="H313" s="79"/>
    </row>
    <row r="314" spans="1:8" ht="12.5">
      <c r="A314" s="9"/>
      <c r="H314" s="79"/>
    </row>
    <row r="315" spans="1:8" ht="12.5">
      <c r="A315" s="9"/>
      <c r="H315" s="79"/>
    </row>
    <row r="316" spans="1:8" ht="12.5">
      <c r="A316" s="9"/>
      <c r="H316" s="79"/>
    </row>
    <row r="317" spans="1:8" ht="12.5">
      <c r="A317" s="9"/>
      <c r="H317" s="79"/>
    </row>
    <row r="318" spans="1:8" ht="12.5">
      <c r="A318" s="9"/>
      <c r="H318" s="79"/>
    </row>
    <row r="319" spans="1:8" ht="12.5">
      <c r="A319" s="9"/>
      <c r="H319" s="79"/>
    </row>
    <row r="320" spans="1:8" ht="12.5">
      <c r="A320" s="9"/>
      <c r="H320" s="79"/>
    </row>
    <row r="321" spans="1:8" ht="12.5">
      <c r="A321" s="9"/>
      <c r="H321" s="79"/>
    </row>
    <row r="322" spans="1:8" ht="12.5">
      <c r="A322" s="9"/>
      <c r="H322" s="79"/>
    </row>
    <row r="323" spans="1:8" ht="12.5">
      <c r="A323" s="9"/>
      <c r="H323" s="79"/>
    </row>
    <row r="324" spans="1:8" ht="12.5">
      <c r="A324" s="9"/>
      <c r="H324" s="79"/>
    </row>
    <row r="325" spans="1:8" ht="12.5">
      <c r="A325" s="9"/>
      <c r="H325" s="79"/>
    </row>
    <row r="326" spans="1:8" ht="12.5">
      <c r="A326" s="9"/>
      <c r="H326" s="79"/>
    </row>
    <row r="327" spans="1:8" ht="12.5">
      <c r="A327" s="9"/>
      <c r="H327" s="79"/>
    </row>
    <row r="328" spans="1:8" ht="12.5">
      <c r="A328" s="9"/>
      <c r="H328" s="79"/>
    </row>
    <row r="329" spans="1:8" ht="12.5">
      <c r="A329" s="9"/>
      <c r="H329" s="79"/>
    </row>
    <row r="330" spans="1:8" ht="12.5">
      <c r="A330" s="9"/>
      <c r="H330" s="79"/>
    </row>
    <row r="331" spans="1:8" ht="12.5">
      <c r="A331" s="9"/>
      <c r="H331" s="79"/>
    </row>
    <row r="332" spans="1:8" ht="12.5">
      <c r="A332" s="9"/>
      <c r="H332" s="79"/>
    </row>
    <row r="333" spans="1:8" ht="12.5">
      <c r="A333" s="9"/>
      <c r="H333" s="79"/>
    </row>
    <row r="334" spans="1:8" ht="12.5">
      <c r="A334" s="9"/>
      <c r="H334" s="79"/>
    </row>
    <row r="335" spans="1:8" ht="12.5">
      <c r="A335" s="9"/>
      <c r="H335" s="79"/>
    </row>
    <row r="336" spans="1:8" ht="12.5">
      <c r="A336" s="9"/>
      <c r="H336" s="79"/>
    </row>
    <row r="337" spans="1:8" ht="12.5">
      <c r="A337" s="9"/>
      <c r="H337" s="79"/>
    </row>
    <row r="338" spans="1:8" ht="12.5">
      <c r="A338" s="9"/>
      <c r="H338" s="79"/>
    </row>
    <row r="339" spans="1:8" ht="12.5">
      <c r="A339" s="9"/>
      <c r="H339" s="79"/>
    </row>
    <row r="340" spans="1:8" ht="12.5">
      <c r="A340" s="9"/>
      <c r="H340" s="79"/>
    </row>
    <row r="341" spans="1:8" ht="12.5">
      <c r="A341" s="9"/>
      <c r="H341" s="79"/>
    </row>
    <row r="342" spans="1:8" ht="12.5">
      <c r="A342" s="9"/>
      <c r="H342" s="79"/>
    </row>
    <row r="343" spans="1:8" ht="12.5">
      <c r="A343" s="9"/>
      <c r="H343" s="79"/>
    </row>
    <row r="344" spans="1:8" ht="12.5">
      <c r="A344" s="9"/>
      <c r="H344" s="79"/>
    </row>
    <row r="345" spans="1:8" ht="12.5">
      <c r="A345" s="9"/>
      <c r="H345" s="79"/>
    </row>
    <row r="346" spans="1:8" ht="12.5">
      <c r="A346" s="9"/>
      <c r="H346" s="79"/>
    </row>
    <row r="347" spans="1:8" ht="12.5">
      <c r="A347" s="9"/>
      <c r="H347" s="79"/>
    </row>
    <row r="348" spans="1:8" ht="12.5">
      <c r="A348" s="9"/>
      <c r="H348" s="79"/>
    </row>
    <row r="349" spans="1:8" ht="12.5">
      <c r="A349" s="9"/>
      <c r="H349" s="79"/>
    </row>
    <row r="350" spans="1:8" ht="12.5">
      <c r="A350" s="9"/>
      <c r="H350" s="79"/>
    </row>
    <row r="351" spans="1:8" ht="12.5">
      <c r="A351" s="9"/>
      <c r="H351" s="79"/>
    </row>
    <row r="352" spans="1:8" ht="12.5">
      <c r="A352" s="9"/>
      <c r="H352" s="79"/>
    </row>
    <row r="353" spans="1:8" ht="12.5">
      <c r="A353" s="9"/>
      <c r="H353" s="79"/>
    </row>
    <row r="354" spans="1:8" ht="12.5">
      <c r="A354" s="9"/>
      <c r="H354" s="79"/>
    </row>
    <row r="355" spans="1:8" ht="12.5">
      <c r="A355" s="9"/>
      <c r="H355" s="79"/>
    </row>
    <row r="356" spans="1:8" ht="12.5">
      <c r="A356" s="9"/>
      <c r="H356" s="79"/>
    </row>
    <row r="357" spans="1:8" ht="12.5">
      <c r="A357" s="9"/>
      <c r="H357" s="79"/>
    </row>
    <row r="358" spans="1:8" ht="12.5">
      <c r="A358" s="9"/>
      <c r="H358" s="79"/>
    </row>
    <row r="359" spans="1:8" ht="12.5">
      <c r="A359" s="9"/>
      <c r="H359" s="79"/>
    </row>
    <row r="360" spans="1:8" ht="12.5">
      <c r="A360" s="9"/>
      <c r="H360" s="79"/>
    </row>
    <row r="361" spans="1:8" ht="12.5">
      <c r="A361" s="9"/>
      <c r="H361" s="79"/>
    </row>
    <row r="362" spans="1:8" ht="12.5">
      <c r="A362" s="9"/>
      <c r="H362" s="79"/>
    </row>
    <row r="363" spans="1:8" ht="12.5">
      <c r="A363" s="9"/>
      <c r="H363" s="79"/>
    </row>
    <row r="364" spans="1:8" ht="12.5">
      <c r="A364" s="9"/>
      <c r="H364" s="79"/>
    </row>
    <row r="365" spans="1:8" ht="12.5">
      <c r="A365" s="9"/>
      <c r="H365" s="79"/>
    </row>
    <row r="366" spans="1:8" ht="12.5">
      <c r="A366" s="9"/>
      <c r="H366" s="79"/>
    </row>
    <row r="367" spans="1:8" ht="12.5">
      <c r="A367" s="9"/>
      <c r="H367" s="79"/>
    </row>
    <row r="368" spans="1:8" ht="12.5">
      <c r="A368" s="9"/>
      <c r="H368" s="79"/>
    </row>
    <row r="369" spans="1:8" ht="12.5">
      <c r="A369" s="9"/>
      <c r="H369" s="79"/>
    </row>
    <row r="370" spans="1:8" ht="12.5">
      <c r="A370" s="9"/>
      <c r="H370" s="79"/>
    </row>
    <row r="371" spans="1:8" ht="12.5">
      <c r="A371" s="9"/>
      <c r="H371" s="79"/>
    </row>
    <row r="372" spans="1:8" ht="12.5">
      <c r="A372" s="9"/>
      <c r="H372" s="79"/>
    </row>
    <row r="373" spans="1:8" ht="12.5">
      <c r="A373" s="9"/>
      <c r="H373" s="79"/>
    </row>
    <row r="374" spans="1:8" ht="12.5">
      <c r="A374" s="9"/>
      <c r="H374" s="79"/>
    </row>
    <row r="375" spans="1:8" ht="12.5">
      <c r="A375" s="9"/>
      <c r="H375" s="79"/>
    </row>
    <row r="376" spans="1:8" ht="12.5">
      <c r="A376" s="9"/>
      <c r="H376" s="79"/>
    </row>
    <row r="377" spans="1:8" ht="12.5">
      <c r="A377" s="9"/>
      <c r="H377" s="79"/>
    </row>
    <row r="378" spans="1:8" ht="12.5">
      <c r="A378" s="9"/>
      <c r="H378" s="79"/>
    </row>
    <row r="379" spans="1:8" ht="12.5">
      <c r="A379" s="9"/>
      <c r="H379" s="79"/>
    </row>
    <row r="380" spans="1:8" ht="12.5">
      <c r="A380" s="9"/>
      <c r="H380" s="79"/>
    </row>
    <row r="381" spans="1:8" ht="12.5">
      <c r="A381" s="9"/>
      <c r="H381" s="79"/>
    </row>
    <row r="382" spans="1:8" ht="12.5">
      <c r="A382" s="9"/>
      <c r="H382" s="79"/>
    </row>
    <row r="383" spans="1:8" ht="12.5">
      <c r="A383" s="9"/>
      <c r="H383" s="79"/>
    </row>
    <row r="384" spans="1:8" ht="12.5">
      <c r="A384" s="9"/>
      <c r="H384" s="79"/>
    </row>
    <row r="385" spans="1:8" ht="12.5">
      <c r="A385" s="9"/>
      <c r="H385" s="79"/>
    </row>
    <row r="386" spans="1:8" ht="12.5">
      <c r="A386" s="9"/>
      <c r="H386" s="79"/>
    </row>
    <row r="387" spans="1:8" ht="12.5">
      <c r="A387" s="9"/>
      <c r="H387" s="79"/>
    </row>
    <row r="388" spans="1:8" ht="12.5">
      <c r="A388" s="9"/>
      <c r="H388" s="79"/>
    </row>
    <row r="389" spans="1:8" ht="12.5">
      <c r="A389" s="9"/>
      <c r="H389" s="79"/>
    </row>
    <row r="390" spans="1:8" ht="12.5">
      <c r="A390" s="9"/>
      <c r="H390" s="79"/>
    </row>
    <row r="391" spans="1:8" ht="12.5">
      <c r="A391" s="9"/>
      <c r="H391" s="79"/>
    </row>
    <row r="392" spans="1:8" ht="12.5">
      <c r="A392" s="9"/>
      <c r="H392" s="79"/>
    </row>
    <row r="393" spans="1:8" ht="12.5">
      <c r="A393" s="9"/>
      <c r="H393" s="79"/>
    </row>
    <row r="394" spans="1:8" ht="12.5">
      <c r="A394" s="9"/>
      <c r="H394" s="79"/>
    </row>
    <row r="395" spans="1:8" ht="12.5">
      <c r="A395" s="9"/>
      <c r="H395" s="79"/>
    </row>
    <row r="396" spans="1:8" ht="12.5">
      <c r="A396" s="9"/>
      <c r="H396" s="79"/>
    </row>
    <row r="397" spans="1:8" ht="12.5">
      <c r="A397" s="9"/>
      <c r="H397" s="79"/>
    </row>
    <row r="398" spans="1:8" ht="12.5">
      <c r="A398" s="9"/>
      <c r="H398" s="79"/>
    </row>
    <row r="399" spans="1:8" ht="12.5">
      <c r="A399" s="9"/>
      <c r="H399" s="79"/>
    </row>
    <row r="400" spans="1:8" ht="12.5">
      <c r="A400" s="9"/>
      <c r="H400" s="79"/>
    </row>
    <row r="401" spans="1:8" ht="12.5">
      <c r="A401" s="9"/>
      <c r="H401" s="79"/>
    </row>
    <row r="402" spans="1:8" ht="12.5">
      <c r="A402" s="9"/>
      <c r="H402" s="79"/>
    </row>
    <row r="403" spans="1:8" ht="12.5">
      <c r="A403" s="9"/>
      <c r="H403" s="79"/>
    </row>
    <row r="404" spans="1:8" ht="12.5">
      <c r="A404" s="9"/>
      <c r="H404" s="79"/>
    </row>
    <row r="405" spans="1:8" ht="12.5">
      <c r="A405" s="9"/>
      <c r="H405" s="79"/>
    </row>
    <row r="406" spans="1:8" ht="12.5">
      <c r="A406" s="9"/>
      <c r="H406" s="79"/>
    </row>
    <row r="407" spans="1:8" ht="12.5">
      <c r="A407" s="9"/>
      <c r="H407" s="79"/>
    </row>
    <row r="408" spans="1:8" ht="12.5">
      <c r="A408" s="9"/>
      <c r="H408" s="79"/>
    </row>
    <row r="409" spans="1:8" ht="12.5">
      <c r="A409" s="9"/>
      <c r="H409" s="79"/>
    </row>
    <row r="410" spans="1:8" ht="12.5">
      <c r="A410" s="9"/>
      <c r="H410" s="79"/>
    </row>
    <row r="411" spans="1:8" ht="12.5">
      <c r="A411" s="9"/>
      <c r="H411" s="79"/>
    </row>
    <row r="412" spans="1:8" ht="12.5">
      <c r="A412" s="9"/>
      <c r="H412" s="79"/>
    </row>
    <row r="413" spans="1:8" ht="12.5">
      <c r="A413" s="9"/>
      <c r="H413" s="79"/>
    </row>
    <row r="414" spans="1:8" ht="12.5">
      <c r="A414" s="9"/>
      <c r="H414" s="79"/>
    </row>
    <row r="415" spans="1:8" ht="12.5">
      <c r="A415" s="9"/>
      <c r="H415" s="79"/>
    </row>
    <row r="416" spans="1:8" ht="12.5">
      <c r="A416" s="9"/>
      <c r="H416" s="79"/>
    </row>
    <row r="417" spans="1:8" ht="12.5">
      <c r="A417" s="9"/>
      <c r="H417" s="79"/>
    </row>
    <row r="418" spans="1:8" ht="12.5">
      <c r="A418" s="9"/>
      <c r="H418" s="79"/>
    </row>
    <row r="419" spans="1:8" ht="12.5">
      <c r="A419" s="9"/>
      <c r="H419" s="79"/>
    </row>
    <row r="420" spans="1:8" ht="12.5">
      <c r="A420" s="9"/>
      <c r="H420" s="79"/>
    </row>
    <row r="421" spans="1:8" ht="12.5">
      <c r="A421" s="9"/>
      <c r="H421" s="79"/>
    </row>
    <row r="422" spans="1:8" ht="12.5">
      <c r="A422" s="9"/>
      <c r="H422" s="79"/>
    </row>
    <row r="423" spans="1:8" ht="12.5">
      <c r="A423" s="9"/>
      <c r="H423" s="79"/>
    </row>
    <row r="424" spans="1:8" ht="12.5">
      <c r="A424" s="9"/>
      <c r="H424" s="79"/>
    </row>
    <row r="425" spans="1:8" ht="12.5">
      <c r="A425" s="9"/>
      <c r="H425" s="79"/>
    </row>
    <row r="426" spans="1:8" ht="12.5">
      <c r="A426" s="9"/>
      <c r="H426" s="79"/>
    </row>
    <row r="427" spans="1:8" ht="12.5">
      <c r="A427" s="9"/>
      <c r="H427" s="79"/>
    </row>
    <row r="428" spans="1:8" ht="12.5">
      <c r="A428" s="9"/>
      <c r="H428" s="79"/>
    </row>
    <row r="429" spans="1:8" ht="12.5">
      <c r="A429" s="9"/>
      <c r="H429" s="79"/>
    </row>
    <row r="430" spans="1:8" ht="12.5">
      <c r="A430" s="9"/>
      <c r="H430" s="79"/>
    </row>
    <row r="431" spans="1:8" ht="12.5">
      <c r="A431" s="9"/>
      <c r="H431" s="79"/>
    </row>
    <row r="432" spans="1:8" ht="12.5">
      <c r="A432" s="9"/>
      <c r="H432" s="79"/>
    </row>
    <row r="433" spans="1:8" ht="12.5">
      <c r="A433" s="9"/>
      <c r="H433" s="79"/>
    </row>
    <row r="434" spans="1:8" ht="12.5">
      <c r="A434" s="9"/>
      <c r="H434" s="79"/>
    </row>
    <row r="435" spans="1:8" ht="12.5">
      <c r="A435" s="9"/>
      <c r="H435" s="79"/>
    </row>
    <row r="436" spans="1:8" ht="12.5">
      <c r="A436" s="9"/>
      <c r="H436" s="79"/>
    </row>
    <row r="437" spans="1:8" ht="12.5">
      <c r="A437" s="9"/>
      <c r="H437" s="79"/>
    </row>
    <row r="438" spans="1:8" ht="12.5">
      <c r="A438" s="9"/>
      <c r="H438" s="79"/>
    </row>
    <row r="439" spans="1:8" ht="12.5">
      <c r="A439" s="9"/>
      <c r="H439" s="79"/>
    </row>
    <row r="440" spans="1:8" ht="12.5">
      <c r="A440" s="9"/>
      <c r="H440" s="79"/>
    </row>
    <row r="441" spans="1:8" ht="12.5">
      <c r="A441" s="9"/>
      <c r="H441" s="79"/>
    </row>
    <row r="442" spans="1:8" ht="12.5">
      <c r="A442" s="9"/>
      <c r="H442" s="79"/>
    </row>
    <row r="443" spans="1:8" ht="12.5">
      <c r="A443" s="9"/>
      <c r="H443" s="79"/>
    </row>
    <row r="444" spans="1:8" ht="12.5">
      <c r="A444" s="9"/>
      <c r="H444" s="79"/>
    </row>
    <row r="445" spans="1:8" ht="12.5">
      <c r="A445" s="9"/>
      <c r="H445" s="79"/>
    </row>
    <row r="446" spans="1:8" ht="12.5">
      <c r="A446" s="9"/>
      <c r="H446" s="79"/>
    </row>
    <row r="447" spans="1:8" ht="12.5">
      <c r="A447" s="9"/>
      <c r="H447" s="79"/>
    </row>
    <row r="448" spans="1:8" ht="12.5">
      <c r="A448" s="9"/>
      <c r="H448" s="79"/>
    </row>
    <row r="449" spans="1:8" ht="12.5">
      <c r="A449" s="9"/>
      <c r="H449" s="79"/>
    </row>
    <row r="450" spans="1:8" ht="12.5">
      <c r="A450" s="9"/>
      <c r="H450" s="79"/>
    </row>
    <row r="451" spans="1:8" ht="12.5">
      <c r="A451" s="9"/>
      <c r="H451" s="79"/>
    </row>
    <row r="452" spans="1:8" ht="12.5">
      <c r="A452" s="9"/>
      <c r="H452" s="79"/>
    </row>
    <row r="453" spans="1:8" ht="12.5">
      <c r="A453" s="9"/>
      <c r="H453" s="79"/>
    </row>
    <row r="454" spans="1:8" ht="12.5">
      <c r="A454" s="9"/>
      <c r="H454" s="79"/>
    </row>
    <row r="455" spans="1:8" ht="12.5">
      <c r="A455" s="9"/>
      <c r="H455" s="79"/>
    </row>
    <row r="456" spans="1:8" ht="12.5">
      <c r="A456" s="9"/>
      <c r="H456" s="79"/>
    </row>
    <row r="457" spans="1:8" ht="12.5">
      <c r="A457" s="9"/>
      <c r="H457" s="79"/>
    </row>
    <row r="458" spans="1:8" ht="12.5">
      <c r="A458" s="9"/>
      <c r="H458" s="79"/>
    </row>
    <row r="459" spans="1:8" ht="12.5">
      <c r="A459" s="9"/>
      <c r="H459" s="79"/>
    </row>
    <row r="460" spans="1:8" ht="12.5">
      <c r="A460" s="9"/>
      <c r="H460" s="79"/>
    </row>
    <row r="461" spans="1:8" ht="12.5">
      <c r="A461" s="9"/>
      <c r="H461" s="79"/>
    </row>
    <row r="462" spans="1:8" ht="12.5">
      <c r="A462" s="9"/>
      <c r="H462" s="79"/>
    </row>
    <row r="463" spans="1:8" ht="12.5">
      <c r="A463" s="9"/>
      <c r="H463" s="79"/>
    </row>
    <row r="464" spans="1:8" ht="12.5">
      <c r="A464" s="9"/>
      <c r="H464" s="79"/>
    </row>
    <row r="465" spans="1:8" ht="12.5">
      <c r="A465" s="9"/>
      <c r="H465" s="79"/>
    </row>
    <row r="466" spans="1:8" ht="12.5">
      <c r="A466" s="9"/>
      <c r="H466" s="79"/>
    </row>
    <row r="467" spans="1:8" ht="12.5">
      <c r="A467" s="9"/>
      <c r="H467" s="79"/>
    </row>
    <row r="468" spans="1:8" ht="12.5">
      <c r="A468" s="9"/>
      <c r="H468" s="79"/>
    </row>
    <row r="469" spans="1:8" ht="12.5">
      <c r="A469" s="9"/>
      <c r="H469" s="79"/>
    </row>
    <row r="470" spans="1:8" ht="12.5">
      <c r="A470" s="9"/>
      <c r="H470" s="79"/>
    </row>
    <row r="471" spans="1:8" ht="12.5">
      <c r="A471" s="9"/>
      <c r="H471" s="79"/>
    </row>
    <row r="472" spans="1:8" ht="12.5">
      <c r="A472" s="9"/>
      <c r="H472" s="79"/>
    </row>
    <row r="473" spans="1:8" ht="12.5">
      <c r="A473" s="9"/>
      <c r="H473" s="79"/>
    </row>
    <row r="474" spans="1:8" ht="12.5">
      <c r="A474" s="9"/>
      <c r="H474" s="79"/>
    </row>
    <row r="475" spans="1:8" ht="12.5">
      <c r="A475" s="9"/>
      <c r="H475" s="79"/>
    </row>
    <row r="476" spans="1:8" ht="12.5">
      <c r="A476" s="9"/>
      <c r="H476" s="79"/>
    </row>
    <row r="477" spans="1:8" ht="12.5">
      <c r="A477" s="9"/>
      <c r="H477" s="79"/>
    </row>
    <row r="478" spans="1:8" ht="12.5">
      <c r="A478" s="9"/>
      <c r="H478" s="79"/>
    </row>
    <row r="479" spans="1:8" ht="12.5">
      <c r="A479" s="9"/>
      <c r="H479" s="79"/>
    </row>
    <row r="480" spans="1:8" ht="12.5">
      <c r="A480" s="9"/>
      <c r="H480" s="79"/>
    </row>
    <row r="481" spans="1:8" ht="12.5">
      <c r="A481" s="9"/>
      <c r="H481" s="79"/>
    </row>
    <row r="482" spans="1:8" ht="12.5">
      <c r="A482" s="9"/>
      <c r="H482" s="79"/>
    </row>
    <row r="483" spans="1:8" ht="12.5">
      <c r="A483" s="9"/>
      <c r="H483" s="79"/>
    </row>
    <row r="484" spans="1:8" ht="12.5">
      <c r="A484" s="9"/>
      <c r="H484" s="79"/>
    </row>
    <row r="485" spans="1:8" ht="12.5">
      <c r="A485" s="9"/>
      <c r="H485" s="79"/>
    </row>
    <row r="486" spans="1:8" ht="12.5">
      <c r="A486" s="9"/>
      <c r="H486" s="79"/>
    </row>
    <row r="487" spans="1:8" ht="12.5">
      <c r="A487" s="9"/>
      <c r="H487" s="79"/>
    </row>
    <row r="488" spans="1:8" ht="12.5">
      <c r="A488" s="9"/>
      <c r="H488" s="79"/>
    </row>
    <row r="489" spans="1:8" ht="12.5">
      <c r="A489" s="9"/>
      <c r="H489" s="79"/>
    </row>
    <row r="490" spans="1:8" ht="12.5">
      <c r="A490" s="9"/>
      <c r="H490" s="79"/>
    </row>
    <row r="491" spans="1:8" ht="12.5">
      <c r="A491" s="9"/>
      <c r="H491" s="79"/>
    </row>
    <row r="492" spans="1:8" ht="12.5">
      <c r="A492" s="9"/>
      <c r="H492" s="79"/>
    </row>
    <row r="493" spans="1:8" ht="12.5">
      <c r="A493" s="9"/>
      <c r="H493" s="79"/>
    </row>
    <row r="494" spans="1:8" ht="12.5">
      <c r="A494" s="9"/>
      <c r="H494" s="79"/>
    </row>
    <row r="495" spans="1:8" ht="12.5">
      <c r="A495" s="9"/>
      <c r="H495" s="79"/>
    </row>
    <row r="496" spans="1:8" ht="12.5">
      <c r="A496" s="9"/>
      <c r="H496" s="79"/>
    </row>
    <row r="497" spans="1:8" ht="12.5">
      <c r="A497" s="9"/>
      <c r="H497" s="79"/>
    </row>
    <row r="498" spans="1:8" ht="12.5">
      <c r="A498" s="9"/>
      <c r="H498" s="79"/>
    </row>
    <row r="499" spans="1:8" ht="12.5">
      <c r="A499" s="9"/>
      <c r="H499" s="79"/>
    </row>
    <row r="500" spans="1:8" ht="12.5">
      <c r="A500" s="9"/>
      <c r="H500" s="79"/>
    </row>
    <row r="501" spans="1:8" ht="12.5">
      <c r="A501" s="9"/>
      <c r="H501" s="79"/>
    </row>
    <row r="502" spans="1:8" ht="12.5">
      <c r="A502" s="9"/>
      <c r="H502" s="79"/>
    </row>
    <row r="503" spans="1:8" ht="12.5">
      <c r="A503" s="9"/>
      <c r="H503" s="79"/>
    </row>
    <row r="504" spans="1:8" ht="12.5">
      <c r="A504" s="9"/>
      <c r="H504" s="79"/>
    </row>
    <row r="505" spans="1:8" ht="12.5">
      <c r="A505" s="9"/>
      <c r="H505" s="79"/>
    </row>
    <row r="506" spans="1:8" ht="12.5">
      <c r="A506" s="9"/>
      <c r="H506" s="79"/>
    </row>
    <row r="507" spans="1:8" ht="12.5">
      <c r="A507" s="9"/>
      <c r="H507" s="79"/>
    </row>
    <row r="508" spans="1:8" ht="12.5">
      <c r="A508" s="9"/>
      <c r="H508" s="79"/>
    </row>
    <row r="509" spans="1:8" ht="12.5">
      <c r="A509" s="9"/>
      <c r="H509" s="79"/>
    </row>
    <row r="510" spans="1:8" ht="12.5">
      <c r="A510" s="9"/>
      <c r="H510" s="79"/>
    </row>
    <row r="511" spans="1:8" ht="12.5">
      <c r="A511" s="9"/>
      <c r="H511" s="79"/>
    </row>
    <row r="512" spans="1:8" ht="12.5">
      <c r="A512" s="9"/>
      <c r="H512" s="79"/>
    </row>
    <row r="513" spans="1:8" ht="12.5">
      <c r="A513" s="9"/>
      <c r="H513" s="79"/>
    </row>
    <row r="514" spans="1:8" ht="12.5">
      <c r="A514" s="9"/>
      <c r="H514" s="79"/>
    </row>
    <row r="515" spans="1:8" ht="12.5">
      <c r="A515" s="9"/>
      <c r="H515" s="79"/>
    </row>
    <row r="516" spans="1:8" ht="12.5">
      <c r="A516" s="9"/>
      <c r="H516" s="79"/>
    </row>
    <row r="517" spans="1:8" ht="12.5">
      <c r="A517" s="9"/>
      <c r="H517" s="79"/>
    </row>
    <row r="518" spans="1:8" ht="12.5">
      <c r="A518" s="9"/>
      <c r="H518" s="79"/>
    </row>
    <row r="519" spans="1:8" ht="12.5">
      <c r="A519" s="9"/>
      <c r="H519" s="79"/>
    </row>
    <row r="520" spans="1:8" ht="12.5">
      <c r="A520" s="9"/>
      <c r="H520" s="79"/>
    </row>
    <row r="521" spans="1:8" ht="12.5">
      <c r="A521" s="9"/>
      <c r="H521" s="79"/>
    </row>
    <row r="522" spans="1:8" ht="12.5">
      <c r="A522" s="9"/>
      <c r="H522" s="79"/>
    </row>
    <row r="523" spans="1:8" ht="12.5">
      <c r="A523" s="9"/>
      <c r="H523" s="79"/>
    </row>
    <row r="524" spans="1:8" ht="12.5">
      <c r="A524" s="9"/>
      <c r="H524" s="79"/>
    </row>
    <row r="525" spans="1:8" ht="12.5">
      <c r="A525" s="9"/>
      <c r="H525" s="79"/>
    </row>
    <row r="526" spans="1:8" ht="12.5">
      <c r="A526" s="9"/>
      <c r="H526" s="79"/>
    </row>
    <row r="527" spans="1:8" ht="12.5">
      <c r="A527" s="9"/>
      <c r="H527" s="79"/>
    </row>
    <row r="528" spans="1:8" ht="12.5">
      <c r="A528" s="9"/>
      <c r="H528" s="79"/>
    </row>
    <row r="529" spans="1:8" ht="12.5">
      <c r="A529" s="9"/>
      <c r="H529" s="79"/>
    </row>
    <row r="530" spans="1:8" ht="12.5">
      <c r="A530" s="9"/>
      <c r="H530" s="79"/>
    </row>
    <row r="531" spans="1:8" ht="12.5">
      <c r="A531" s="9"/>
      <c r="H531" s="79"/>
    </row>
    <row r="532" spans="1:8" ht="12.5">
      <c r="A532" s="9"/>
      <c r="H532" s="79"/>
    </row>
    <row r="533" spans="1:8" ht="12.5">
      <c r="A533" s="9"/>
      <c r="H533" s="79"/>
    </row>
    <row r="534" spans="1:8" ht="12.5">
      <c r="A534" s="9"/>
      <c r="H534" s="79"/>
    </row>
    <row r="535" spans="1:8" ht="12.5">
      <c r="A535" s="9"/>
      <c r="H535" s="79"/>
    </row>
    <row r="536" spans="1:8" ht="12.5">
      <c r="A536" s="9"/>
      <c r="H536" s="79"/>
    </row>
    <row r="537" spans="1:8" ht="12.5">
      <c r="A537" s="9"/>
      <c r="H537" s="79"/>
    </row>
    <row r="538" spans="1:8" ht="12.5">
      <c r="A538" s="9"/>
      <c r="H538" s="79"/>
    </row>
    <row r="539" spans="1:8" ht="12.5">
      <c r="A539" s="9"/>
      <c r="H539" s="79"/>
    </row>
    <row r="540" spans="1:8" ht="12.5">
      <c r="A540" s="9"/>
      <c r="H540" s="79"/>
    </row>
    <row r="541" spans="1:8" ht="12.5">
      <c r="A541" s="9"/>
      <c r="H541" s="79"/>
    </row>
    <row r="542" spans="1:8" ht="12.5">
      <c r="A542" s="9"/>
      <c r="H542" s="79"/>
    </row>
    <row r="543" spans="1:8" ht="12.5">
      <c r="A543" s="9"/>
      <c r="H543" s="79"/>
    </row>
    <row r="544" spans="1:8" ht="12.5">
      <c r="A544" s="9"/>
      <c r="H544" s="79"/>
    </row>
    <row r="545" spans="1:8" ht="12.5">
      <c r="A545" s="9"/>
      <c r="H545" s="79"/>
    </row>
    <row r="546" spans="1:8" ht="12.5">
      <c r="A546" s="9"/>
      <c r="H546" s="79"/>
    </row>
    <row r="547" spans="1:8" ht="12.5">
      <c r="A547" s="9"/>
      <c r="H547" s="79"/>
    </row>
    <row r="548" spans="1:8" ht="12.5">
      <c r="A548" s="9"/>
      <c r="H548" s="79"/>
    </row>
    <row r="549" spans="1:8" ht="12.5">
      <c r="A549" s="9"/>
      <c r="H549" s="79"/>
    </row>
    <row r="550" spans="1:8" ht="12.5">
      <c r="A550" s="9"/>
      <c r="H550" s="79"/>
    </row>
    <row r="551" spans="1:8" ht="12.5">
      <c r="A551" s="9"/>
      <c r="H551" s="79"/>
    </row>
    <row r="552" spans="1:8" ht="12.5">
      <c r="A552" s="9"/>
      <c r="H552" s="79"/>
    </row>
    <row r="553" spans="1:8" ht="12.5">
      <c r="A553" s="9"/>
      <c r="H553" s="79"/>
    </row>
    <row r="554" spans="1:8" ht="12.5">
      <c r="A554" s="9"/>
      <c r="H554" s="79"/>
    </row>
    <row r="555" spans="1:8" ht="12.5">
      <c r="A555" s="9"/>
      <c r="H555" s="79"/>
    </row>
    <row r="556" spans="1:8" ht="12.5">
      <c r="A556" s="9"/>
      <c r="H556" s="79"/>
    </row>
    <row r="557" spans="1:8" ht="12.5">
      <c r="A557" s="9"/>
      <c r="H557" s="79"/>
    </row>
    <row r="558" spans="1:8" ht="12.5">
      <c r="A558" s="9"/>
      <c r="H558" s="79"/>
    </row>
    <row r="559" spans="1:8" ht="12.5">
      <c r="A559" s="9"/>
      <c r="H559" s="79"/>
    </row>
    <row r="560" spans="1:8" ht="12.5">
      <c r="A560" s="9"/>
      <c r="H560" s="79"/>
    </row>
    <row r="561" spans="1:8" ht="12.5">
      <c r="A561" s="9"/>
      <c r="H561" s="79"/>
    </row>
    <row r="562" spans="1:8" ht="12.5">
      <c r="A562" s="9"/>
      <c r="H562" s="79"/>
    </row>
    <row r="563" spans="1:8" ht="12.5">
      <c r="A563" s="9"/>
      <c r="H563" s="79"/>
    </row>
    <row r="564" spans="1:8" ht="12.5">
      <c r="A564" s="9"/>
      <c r="H564" s="79"/>
    </row>
    <row r="565" spans="1:8" ht="12.5">
      <c r="A565" s="9"/>
      <c r="H565" s="79"/>
    </row>
    <row r="566" spans="1:8" ht="12.5">
      <c r="A566" s="9"/>
      <c r="H566" s="79"/>
    </row>
    <row r="567" spans="1:8" ht="12.5">
      <c r="A567" s="9"/>
      <c r="H567" s="79"/>
    </row>
    <row r="568" spans="1:8" ht="12.5">
      <c r="A568" s="9"/>
      <c r="H568" s="79"/>
    </row>
    <row r="569" spans="1:8" ht="12.5">
      <c r="A569" s="9"/>
      <c r="H569" s="79"/>
    </row>
    <row r="570" spans="1:8" ht="12.5">
      <c r="A570" s="9"/>
      <c r="H570" s="79"/>
    </row>
    <row r="571" spans="1:8" ht="12.5">
      <c r="A571" s="9"/>
      <c r="H571" s="79"/>
    </row>
    <row r="572" spans="1:8" ht="12.5">
      <c r="A572" s="9"/>
      <c r="H572" s="79"/>
    </row>
    <row r="573" spans="1:8" ht="12.5">
      <c r="A573" s="9"/>
      <c r="H573" s="79"/>
    </row>
    <row r="574" spans="1:8" ht="12.5">
      <c r="A574" s="9"/>
      <c r="H574" s="79"/>
    </row>
    <row r="575" spans="1:8" ht="12.5">
      <c r="A575" s="9"/>
      <c r="H575" s="79"/>
    </row>
    <row r="576" spans="1:8" ht="12.5">
      <c r="A576" s="9"/>
      <c r="H576" s="79"/>
    </row>
    <row r="577" spans="1:8" ht="12.5">
      <c r="A577" s="9"/>
      <c r="H577" s="79"/>
    </row>
    <row r="578" spans="1:8" ht="12.5">
      <c r="A578" s="9"/>
      <c r="H578" s="79"/>
    </row>
    <row r="579" spans="1:8" ht="12.5">
      <c r="A579" s="9"/>
      <c r="H579" s="79"/>
    </row>
    <row r="580" spans="1:8" ht="12.5">
      <c r="A580" s="9"/>
      <c r="H580" s="79"/>
    </row>
    <row r="581" spans="1:8" ht="12.5">
      <c r="A581" s="9"/>
      <c r="H581" s="79"/>
    </row>
    <row r="582" spans="1:8" ht="12.5">
      <c r="A582" s="9"/>
      <c r="H582" s="79"/>
    </row>
    <row r="583" spans="1:8" ht="12.5">
      <c r="A583" s="9"/>
      <c r="H583" s="79"/>
    </row>
    <row r="584" spans="1:8" ht="12.5">
      <c r="A584" s="9"/>
      <c r="H584" s="79"/>
    </row>
    <row r="585" spans="1:8" ht="12.5">
      <c r="A585" s="9"/>
      <c r="H585" s="79"/>
    </row>
    <row r="586" spans="1:8" ht="12.5">
      <c r="A586" s="9"/>
      <c r="H586" s="79"/>
    </row>
    <row r="587" spans="1:8" ht="12.5">
      <c r="A587" s="9"/>
      <c r="H587" s="79"/>
    </row>
    <row r="588" spans="1:8" ht="12.5">
      <c r="A588" s="9"/>
      <c r="H588" s="79"/>
    </row>
    <row r="589" spans="1:8" ht="12.5">
      <c r="A589" s="9"/>
      <c r="H589" s="79"/>
    </row>
    <row r="590" spans="1:8" ht="12.5">
      <c r="A590" s="9"/>
      <c r="H590" s="79"/>
    </row>
    <row r="591" spans="1:8" ht="12.5">
      <c r="A591" s="9"/>
      <c r="H591" s="79"/>
    </row>
    <row r="592" spans="1:8" ht="12.5">
      <c r="A592" s="9"/>
      <c r="H592" s="79"/>
    </row>
    <row r="593" spans="1:8" ht="12.5">
      <c r="A593" s="9"/>
      <c r="H593" s="79"/>
    </row>
    <row r="594" spans="1:8" ht="12.5">
      <c r="A594" s="9"/>
      <c r="H594" s="79"/>
    </row>
    <row r="595" spans="1:8" ht="12.5">
      <c r="A595" s="9"/>
      <c r="H595" s="79"/>
    </row>
    <row r="596" spans="1:8" ht="12.5">
      <c r="A596" s="9"/>
      <c r="H596" s="79"/>
    </row>
    <row r="597" spans="1:8" ht="12.5">
      <c r="A597" s="9"/>
      <c r="H597" s="79"/>
    </row>
    <row r="598" spans="1:8" ht="12.5">
      <c r="A598" s="9"/>
      <c r="H598" s="79"/>
    </row>
    <row r="599" spans="1:8" ht="12.5">
      <c r="A599" s="9"/>
      <c r="H599" s="79"/>
    </row>
    <row r="600" spans="1:8" ht="12.5">
      <c r="A600" s="9"/>
      <c r="H600" s="79"/>
    </row>
    <row r="601" spans="1:8" ht="12.5">
      <c r="A601" s="9"/>
      <c r="H601" s="79"/>
    </row>
    <row r="602" spans="1:8" ht="12.5">
      <c r="A602" s="9"/>
      <c r="H602" s="79"/>
    </row>
    <row r="603" spans="1:8" ht="12.5">
      <c r="A603" s="9"/>
      <c r="H603" s="79"/>
    </row>
    <row r="604" spans="1:8" ht="12.5">
      <c r="A604" s="9"/>
      <c r="H604" s="79"/>
    </row>
    <row r="605" spans="1:8" ht="12.5">
      <c r="A605" s="9"/>
      <c r="H605" s="79"/>
    </row>
    <row r="606" spans="1:8" ht="12.5">
      <c r="A606" s="9"/>
      <c r="H606" s="79"/>
    </row>
    <row r="607" spans="1:8" ht="12.5">
      <c r="A607" s="9"/>
      <c r="H607" s="79"/>
    </row>
    <row r="608" spans="1:8" ht="12.5">
      <c r="A608" s="9"/>
      <c r="H608" s="79"/>
    </row>
    <row r="609" spans="1:8" ht="12.5">
      <c r="A609" s="9"/>
      <c r="H609" s="79"/>
    </row>
    <row r="610" spans="1:8" ht="12.5">
      <c r="A610" s="9"/>
      <c r="H610" s="79"/>
    </row>
    <row r="611" spans="1:8" ht="12.5">
      <c r="A611" s="9"/>
      <c r="H611" s="79"/>
    </row>
    <row r="612" spans="1:8" ht="12.5">
      <c r="A612" s="9"/>
      <c r="H612" s="79"/>
    </row>
    <row r="613" spans="1:8" ht="12.5">
      <c r="A613" s="9"/>
      <c r="H613" s="79"/>
    </row>
    <row r="614" spans="1:8" ht="12.5">
      <c r="A614" s="9"/>
      <c r="H614" s="79"/>
    </row>
    <row r="615" spans="1:8" ht="12.5">
      <c r="A615" s="9"/>
      <c r="H615" s="79"/>
    </row>
    <row r="616" spans="1:8" ht="12.5">
      <c r="A616" s="9"/>
      <c r="H616" s="79"/>
    </row>
    <row r="617" spans="1:8" ht="12.5">
      <c r="A617" s="9"/>
      <c r="H617" s="79"/>
    </row>
    <row r="618" spans="1:8" ht="12.5">
      <c r="A618" s="9"/>
      <c r="H618" s="79"/>
    </row>
    <row r="619" spans="1:8" ht="12.5">
      <c r="A619" s="9"/>
      <c r="H619" s="79"/>
    </row>
    <row r="620" spans="1:8" ht="12.5">
      <c r="A620" s="9"/>
      <c r="H620" s="79"/>
    </row>
    <row r="621" spans="1:8" ht="12.5">
      <c r="A621" s="9"/>
      <c r="H621" s="79"/>
    </row>
    <row r="622" spans="1:8" ht="12.5">
      <c r="A622" s="9"/>
      <c r="H622" s="79"/>
    </row>
    <row r="623" spans="1:8" ht="12.5">
      <c r="A623" s="9"/>
      <c r="H623" s="79"/>
    </row>
    <row r="624" spans="1:8" ht="12.5">
      <c r="A624" s="9"/>
      <c r="H624" s="79"/>
    </row>
    <row r="625" spans="1:8" ht="12.5">
      <c r="A625" s="9"/>
      <c r="H625" s="79"/>
    </row>
    <row r="626" spans="1:8" ht="12.5">
      <c r="A626" s="9"/>
      <c r="H626" s="79"/>
    </row>
    <row r="627" spans="1:8" ht="12.5">
      <c r="A627" s="9"/>
      <c r="H627" s="79"/>
    </row>
    <row r="628" spans="1:8" ht="12.5">
      <c r="A628" s="9"/>
      <c r="H628" s="79"/>
    </row>
    <row r="629" spans="1:8" ht="12.5">
      <c r="A629" s="9"/>
      <c r="H629" s="79"/>
    </row>
    <row r="630" spans="1:8" ht="12.5">
      <c r="A630" s="9"/>
      <c r="H630" s="79"/>
    </row>
    <row r="631" spans="1:8" ht="12.5">
      <c r="A631" s="9"/>
      <c r="H631" s="79"/>
    </row>
    <row r="632" spans="1:8" ht="12.5">
      <c r="A632" s="9"/>
      <c r="H632" s="79"/>
    </row>
    <row r="633" spans="1:8" ht="12.5">
      <c r="A633" s="9"/>
      <c r="H633" s="79"/>
    </row>
    <row r="634" spans="1:8" ht="12.5">
      <c r="A634" s="9"/>
      <c r="H634" s="79"/>
    </row>
    <row r="635" spans="1:8" ht="12.5">
      <c r="A635" s="9"/>
      <c r="H635" s="79"/>
    </row>
    <row r="636" spans="1:8" ht="12.5">
      <c r="A636" s="9"/>
      <c r="H636" s="79"/>
    </row>
    <row r="637" spans="1:8" ht="12.5">
      <c r="A637" s="9"/>
      <c r="H637" s="79"/>
    </row>
    <row r="638" spans="1:8" ht="12.5">
      <c r="A638" s="9"/>
      <c r="H638" s="79"/>
    </row>
    <row r="639" spans="1:8" ht="12.5">
      <c r="A639" s="9"/>
      <c r="H639" s="79"/>
    </row>
    <row r="640" spans="1:8" ht="12.5">
      <c r="A640" s="9"/>
      <c r="H640" s="79"/>
    </row>
    <row r="641" spans="1:8" ht="12.5">
      <c r="A641" s="9"/>
      <c r="H641" s="79"/>
    </row>
    <row r="642" spans="1:8" ht="12.5">
      <c r="A642" s="9"/>
      <c r="H642" s="79"/>
    </row>
    <row r="643" spans="1:8" ht="12.5">
      <c r="A643" s="9"/>
      <c r="H643" s="79"/>
    </row>
    <row r="644" spans="1:8" ht="12.5">
      <c r="A644" s="9"/>
      <c r="H644" s="79"/>
    </row>
    <row r="645" spans="1:8" ht="12.5">
      <c r="A645" s="9"/>
      <c r="H645" s="79"/>
    </row>
    <row r="646" spans="1:8" ht="12.5">
      <c r="A646" s="9"/>
      <c r="H646" s="79"/>
    </row>
    <row r="647" spans="1:8" ht="12.5">
      <c r="A647" s="9"/>
      <c r="H647" s="79"/>
    </row>
    <row r="648" spans="1:8" ht="12.5">
      <c r="A648" s="9"/>
      <c r="H648" s="79"/>
    </row>
    <row r="649" spans="1:8" ht="12.5">
      <c r="A649" s="9"/>
      <c r="H649" s="79"/>
    </row>
    <row r="650" spans="1:8" ht="12.5">
      <c r="A650" s="9"/>
      <c r="H650" s="79"/>
    </row>
    <row r="651" spans="1:8" ht="12.5">
      <c r="A651" s="9"/>
      <c r="H651" s="79"/>
    </row>
    <row r="652" spans="1:8" ht="12.5">
      <c r="A652" s="9"/>
      <c r="H652" s="79"/>
    </row>
    <row r="653" spans="1:8" ht="12.5">
      <c r="A653" s="9"/>
      <c r="H653" s="79"/>
    </row>
    <row r="654" spans="1:8" ht="12.5">
      <c r="A654" s="9"/>
      <c r="H654" s="79"/>
    </row>
    <row r="655" spans="1:8" ht="12.5">
      <c r="A655" s="9"/>
      <c r="H655" s="79"/>
    </row>
    <row r="656" spans="1:8" ht="12.5">
      <c r="A656" s="9"/>
      <c r="H656" s="79"/>
    </row>
    <row r="657" spans="1:8" ht="12.5">
      <c r="A657" s="9"/>
      <c r="H657" s="79"/>
    </row>
    <row r="658" spans="1:8" ht="12.5">
      <c r="A658" s="9"/>
      <c r="H658" s="79"/>
    </row>
    <row r="659" spans="1:8" ht="12.5">
      <c r="A659" s="9"/>
      <c r="H659" s="79"/>
    </row>
    <row r="660" spans="1:8" ht="12.5">
      <c r="A660" s="9"/>
      <c r="H660" s="79"/>
    </row>
    <row r="661" spans="1:8" ht="12.5">
      <c r="A661" s="9"/>
      <c r="H661" s="79"/>
    </row>
    <row r="662" spans="1:8" ht="12.5">
      <c r="A662" s="9"/>
      <c r="H662" s="79"/>
    </row>
    <row r="663" spans="1:8" ht="12.5">
      <c r="A663" s="9"/>
      <c r="H663" s="79"/>
    </row>
    <row r="664" spans="1:8" ht="12.5">
      <c r="A664" s="9"/>
      <c r="H664" s="79"/>
    </row>
    <row r="665" spans="1:8" ht="12.5">
      <c r="A665" s="9"/>
      <c r="H665" s="79"/>
    </row>
    <row r="666" spans="1:8" ht="12.5">
      <c r="A666" s="9"/>
      <c r="H666" s="79"/>
    </row>
    <row r="667" spans="1:8" ht="12.5">
      <c r="A667" s="9"/>
      <c r="H667" s="79"/>
    </row>
    <row r="668" spans="1:8" ht="12.5">
      <c r="A668" s="9"/>
      <c r="H668" s="79"/>
    </row>
    <row r="669" spans="1:8" ht="12.5">
      <c r="A669" s="9"/>
      <c r="H669" s="79"/>
    </row>
    <row r="670" spans="1:8" ht="12.5">
      <c r="A670" s="9"/>
      <c r="H670" s="79"/>
    </row>
    <row r="671" spans="1:8" ht="12.5">
      <c r="A671" s="9"/>
      <c r="H671" s="79"/>
    </row>
    <row r="672" spans="1:8" ht="12.5">
      <c r="A672" s="9"/>
      <c r="H672" s="79"/>
    </row>
    <row r="673" spans="1:8" ht="12.5">
      <c r="A673" s="9"/>
      <c r="H673" s="79"/>
    </row>
    <row r="674" spans="1:8" ht="12.5">
      <c r="A674" s="9"/>
      <c r="H674" s="79"/>
    </row>
    <row r="675" spans="1:8" ht="12.5">
      <c r="A675" s="9"/>
      <c r="H675" s="79"/>
    </row>
    <row r="676" spans="1:8" ht="12.5">
      <c r="A676" s="9"/>
      <c r="H676" s="79"/>
    </row>
    <row r="677" spans="1:8" ht="12.5">
      <c r="A677" s="9"/>
      <c r="H677" s="79"/>
    </row>
    <row r="678" spans="1:8" ht="12.5">
      <c r="A678" s="9"/>
      <c r="H678" s="79"/>
    </row>
    <row r="679" spans="1:8" ht="12.5">
      <c r="A679" s="9"/>
      <c r="H679" s="79"/>
    </row>
    <row r="680" spans="1:8" ht="12.5">
      <c r="A680" s="9"/>
      <c r="H680" s="79"/>
    </row>
    <row r="681" spans="1:8" ht="12.5">
      <c r="A681" s="9"/>
      <c r="H681" s="79"/>
    </row>
    <row r="682" spans="1:8" ht="12.5">
      <c r="A682" s="9"/>
      <c r="H682" s="79"/>
    </row>
    <row r="683" spans="1:8" ht="12.5">
      <c r="A683" s="9"/>
      <c r="H683" s="79"/>
    </row>
    <row r="684" spans="1:8" ht="12.5">
      <c r="A684" s="9"/>
      <c r="H684" s="79"/>
    </row>
    <row r="685" spans="1:8" ht="12.5">
      <c r="A685" s="9"/>
      <c r="H685" s="79"/>
    </row>
    <row r="686" spans="1:8" ht="12.5">
      <c r="A686" s="9"/>
      <c r="H686" s="79"/>
    </row>
    <row r="687" spans="1:8" ht="12.5">
      <c r="A687" s="9"/>
      <c r="H687" s="79"/>
    </row>
    <row r="688" spans="1:8" ht="12.5">
      <c r="A688" s="9"/>
      <c r="H688" s="79"/>
    </row>
    <row r="689" spans="1:8" ht="12.5">
      <c r="A689" s="9"/>
      <c r="H689" s="79"/>
    </row>
    <row r="690" spans="1:8" ht="12.5">
      <c r="A690" s="9"/>
      <c r="H690" s="79"/>
    </row>
    <row r="691" spans="1:8" ht="12.5">
      <c r="A691" s="9"/>
      <c r="H691" s="79"/>
    </row>
    <row r="692" spans="1:8" ht="12.5">
      <c r="A692" s="9"/>
      <c r="H692" s="79"/>
    </row>
    <row r="693" spans="1:8" ht="12.5">
      <c r="A693" s="9"/>
      <c r="H693" s="79"/>
    </row>
    <row r="694" spans="1:8" ht="12.5">
      <c r="A694" s="9"/>
      <c r="H694" s="79"/>
    </row>
    <row r="695" spans="1:8" ht="12.5">
      <c r="A695" s="9"/>
      <c r="H695" s="79"/>
    </row>
    <row r="696" spans="1:8" ht="12.5">
      <c r="A696" s="9"/>
      <c r="H696" s="79"/>
    </row>
    <row r="697" spans="1:8" ht="12.5">
      <c r="A697" s="9"/>
      <c r="H697" s="79"/>
    </row>
    <row r="698" spans="1:8" ht="12.5">
      <c r="A698" s="9"/>
      <c r="H698" s="79"/>
    </row>
    <row r="699" spans="1:8" ht="12.5">
      <c r="A699" s="9"/>
      <c r="H699" s="79"/>
    </row>
    <row r="700" spans="1:8" ht="12.5">
      <c r="A700" s="9"/>
      <c r="H700" s="79"/>
    </row>
    <row r="701" spans="1:8" ht="12.5">
      <c r="A701" s="9"/>
      <c r="H701" s="79"/>
    </row>
    <row r="702" spans="1:8" ht="12.5">
      <c r="A702" s="9"/>
      <c r="H702" s="79"/>
    </row>
    <row r="703" spans="1:8" ht="12.5">
      <c r="A703" s="9"/>
      <c r="H703" s="79"/>
    </row>
    <row r="704" spans="1:8" ht="12.5">
      <c r="A704" s="9"/>
      <c r="H704" s="79"/>
    </row>
    <row r="705" spans="1:8" ht="12.5">
      <c r="A705" s="9"/>
      <c r="H705" s="79"/>
    </row>
    <row r="706" spans="1:8" ht="12.5">
      <c r="A706" s="9"/>
      <c r="H706" s="79"/>
    </row>
    <row r="707" spans="1:8" ht="12.5">
      <c r="A707" s="9"/>
      <c r="H707" s="79"/>
    </row>
    <row r="708" spans="1:8" ht="12.5">
      <c r="A708" s="9"/>
      <c r="H708" s="79"/>
    </row>
    <row r="709" spans="1:8" ht="12.5">
      <c r="A709" s="9"/>
      <c r="H709" s="79"/>
    </row>
    <row r="710" spans="1:8" ht="12.5">
      <c r="A710" s="9"/>
      <c r="H710" s="79"/>
    </row>
    <row r="711" spans="1:8" ht="12.5">
      <c r="A711" s="9"/>
      <c r="H711" s="79"/>
    </row>
    <row r="712" spans="1:8" ht="12.5">
      <c r="A712" s="9"/>
      <c r="H712" s="79"/>
    </row>
    <row r="713" spans="1:8" ht="12.5">
      <c r="A713" s="9"/>
      <c r="H713" s="79"/>
    </row>
    <row r="714" spans="1:8" ht="12.5">
      <c r="A714" s="9"/>
      <c r="H714" s="79"/>
    </row>
    <row r="715" spans="1:8" ht="12.5">
      <c r="A715" s="9"/>
      <c r="H715" s="79"/>
    </row>
    <row r="716" spans="1:8" ht="12.5">
      <c r="A716" s="9"/>
      <c r="H716" s="79"/>
    </row>
    <row r="717" spans="1:8" ht="12.5">
      <c r="A717" s="9"/>
      <c r="H717" s="79"/>
    </row>
    <row r="718" spans="1:8" ht="12.5">
      <c r="A718" s="9"/>
      <c r="H718" s="79"/>
    </row>
    <row r="719" spans="1:8" ht="12.5">
      <c r="A719" s="9"/>
      <c r="H719" s="79"/>
    </row>
    <row r="720" spans="1:8" ht="12.5">
      <c r="A720" s="9"/>
      <c r="H720" s="79"/>
    </row>
    <row r="721" spans="1:8" ht="12.5">
      <c r="A721" s="9"/>
      <c r="H721" s="79"/>
    </row>
    <row r="722" spans="1:8" ht="12.5">
      <c r="A722" s="9"/>
      <c r="H722" s="79"/>
    </row>
    <row r="723" spans="1:8" ht="12.5">
      <c r="A723" s="9"/>
      <c r="H723" s="79"/>
    </row>
    <row r="724" spans="1:8" ht="12.5">
      <c r="A724" s="9"/>
      <c r="H724" s="79"/>
    </row>
    <row r="725" spans="1:8" ht="12.5">
      <c r="A725" s="9"/>
      <c r="H725" s="79"/>
    </row>
    <row r="726" spans="1:8" ht="12.5">
      <c r="A726" s="9"/>
      <c r="H726" s="79"/>
    </row>
    <row r="727" spans="1:8" ht="12.5">
      <c r="A727" s="9"/>
      <c r="H727" s="79"/>
    </row>
    <row r="728" spans="1:8" ht="12.5">
      <c r="A728" s="9"/>
      <c r="H728" s="79"/>
    </row>
    <row r="729" spans="1:8" ht="12.5">
      <c r="A729" s="9"/>
      <c r="H729" s="79"/>
    </row>
    <row r="730" spans="1:8" ht="12.5">
      <c r="A730" s="9"/>
      <c r="H730" s="79"/>
    </row>
    <row r="731" spans="1:8" ht="12.5">
      <c r="A731" s="9"/>
      <c r="H731" s="79"/>
    </row>
    <row r="732" spans="1:8" ht="12.5">
      <c r="A732" s="9"/>
      <c r="H732" s="79"/>
    </row>
    <row r="733" spans="1:8" ht="12.5">
      <c r="A733" s="9"/>
      <c r="H733" s="79"/>
    </row>
    <row r="734" spans="1:8" ht="12.5">
      <c r="A734" s="9"/>
      <c r="H734" s="79"/>
    </row>
    <row r="735" spans="1:8" ht="12.5">
      <c r="A735" s="9"/>
      <c r="H735" s="79"/>
    </row>
    <row r="736" spans="1:8" ht="12.5">
      <c r="A736" s="9"/>
      <c r="H736" s="79"/>
    </row>
    <row r="737" spans="1:8" ht="12.5">
      <c r="A737" s="9"/>
      <c r="H737" s="79"/>
    </row>
    <row r="738" spans="1:8" ht="12.5">
      <c r="A738" s="9"/>
      <c r="H738" s="79"/>
    </row>
    <row r="739" spans="1:8" ht="12.5">
      <c r="A739" s="9"/>
      <c r="H739" s="79"/>
    </row>
    <row r="740" spans="1:8" ht="12.5">
      <c r="A740" s="9"/>
      <c r="H740" s="79"/>
    </row>
    <row r="741" spans="1:8" ht="12.5">
      <c r="A741" s="9"/>
      <c r="H741" s="79"/>
    </row>
    <row r="742" spans="1:8" ht="12.5">
      <c r="A742" s="9"/>
      <c r="H742" s="79"/>
    </row>
    <row r="743" spans="1:8" ht="12.5">
      <c r="A743" s="9"/>
      <c r="H743" s="79"/>
    </row>
    <row r="744" spans="1:8" ht="12.5">
      <c r="A744" s="9"/>
      <c r="H744" s="79"/>
    </row>
    <row r="745" spans="1:8" ht="12.5">
      <c r="A745" s="9"/>
      <c r="H745" s="79"/>
    </row>
    <row r="746" spans="1:8" ht="12.5">
      <c r="A746" s="9"/>
      <c r="H746" s="79"/>
    </row>
    <row r="747" spans="1:8" ht="12.5">
      <c r="A747" s="9"/>
      <c r="H747" s="79"/>
    </row>
    <row r="748" spans="1:8" ht="12.5">
      <c r="A748" s="9"/>
      <c r="H748" s="79"/>
    </row>
    <row r="749" spans="1:8" ht="12.5">
      <c r="A749" s="9"/>
      <c r="H749" s="79"/>
    </row>
    <row r="750" spans="1:8" ht="12.5">
      <c r="A750" s="9"/>
      <c r="H750" s="79"/>
    </row>
    <row r="751" spans="1:8" ht="12.5">
      <c r="A751" s="9"/>
      <c r="H751" s="79"/>
    </row>
    <row r="752" spans="1:8" ht="12.5">
      <c r="A752" s="9"/>
      <c r="H752" s="79"/>
    </row>
    <row r="753" spans="1:8" ht="12.5">
      <c r="A753" s="9"/>
      <c r="H753" s="79"/>
    </row>
    <row r="754" spans="1:8" ht="12.5">
      <c r="A754" s="9"/>
      <c r="H754" s="79"/>
    </row>
    <row r="755" spans="1:8" ht="12.5">
      <c r="A755" s="9"/>
      <c r="H755" s="79"/>
    </row>
    <row r="756" spans="1:8" ht="12.5">
      <c r="A756" s="9"/>
      <c r="H756" s="79"/>
    </row>
    <row r="757" spans="1:8" ht="12.5">
      <c r="A757" s="9"/>
      <c r="H757" s="79"/>
    </row>
    <row r="758" spans="1:8" ht="12.5">
      <c r="A758" s="9"/>
      <c r="H758" s="79"/>
    </row>
    <row r="759" spans="1:8" ht="12.5">
      <c r="A759" s="9"/>
      <c r="H759" s="79"/>
    </row>
    <row r="760" spans="1:8" ht="12.5">
      <c r="A760" s="9"/>
      <c r="H760" s="79"/>
    </row>
    <row r="761" spans="1:8" ht="12.5">
      <c r="A761" s="9"/>
      <c r="H761" s="79"/>
    </row>
    <row r="762" spans="1:8" ht="12.5">
      <c r="A762" s="9"/>
      <c r="H762" s="79"/>
    </row>
    <row r="763" spans="1:8" ht="12.5">
      <c r="A763" s="9"/>
      <c r="H763" s="79"/>
    </row>
    <row r="764" spans="1:8" ht="12.5">
      <c r="A764" s="9"/>
      <c r="H764" s="79"/>
    </row>
    <row r="765" spans="1:8" ht="12.5">
      <c r="A765" s="9"/>
      <c r="H765" s="79"/>
    </row>
    <row r="766" spans="1:8" ht="12.5">
      <c r="A766" s="9"/>
      <c r="H766" s="79"/>
    </row>
    <row r="767" spans="1:8" ht="12.5">
      <c r="A767" s="9"/>
      <c r="H767" s="79"/>
    </row>
    <row r="768" spans="1:8" ht="12.5">
      <c r="A768" s="9"/>
      <c r="H768" s="79"/>
    </row>
    <row r="769" spans="1:8" ht="12.5">
      <c r="A769" s="9"/>
      <c r="H769" s="79"/>
    </row>
    <row r="770" spans="1:8" ht="12.5">
      <c r="A770" s="9"/>
      <c r="H770" s="79"/>
    </row>
    <row r="771" spans="1:8" ht="12.5">
      <c r="A771" s="9"/>
      <c r="H771" s="79"/>
    </row>
    <row r="772" spans="1:8" ht="12.5">
      <c r="A772" s="9"/>
      <c r="H772" s="79"/>
    </row>
    <row r="773" spans="1:8" ht="12.5">
      <c r="A773" s="9"/>
      <c r="H773" s="79"/>
    </row>
    <row r="774" spans="1:8" ht="12.5">
      <c r="A774" s="9"/>
      <c r="H774" s="79"/>
    </row>
    <row r="775" spans="1:8" ht="12.5">
      <c r="A775" s="9"/>
      <c r="H775" s="79"/>
    </row>
    <row r="776" spans="1:8" ht="12.5">
      <c r="A776" s="9"/>
      <c r="H776" s="79"/>
    </row>
    <row r="777" spans="1:8" ht="12.5">
      <c r="A777" s="9"/>
      <c r="H777" s="79"/>
    </row>
    <row r="778" spans="1:8" ht="12.5">
      <c r="A778" s="9"/>
      <c r="H778" s="79"/>
    </row>
    <row r="779" spans="1:8" ht="12.5">
      <c r="A779" s="9"/>
      <c r="H779" s="79"/>
    </row>
    <row r="780" spans="1:8" ht="12.5">
      <c r="A780" s="9"/>
      <c r="H780" s="79"/>
    </row>
    <row r="781" spans="1:8" ht="12.5">
      <c r="A781" s="9"/>
      <c r="H781" s="79"/>
    </row>
    <row r="782" spans="1:8" ht="12.5">
      <c r="A782" s="9"/>
      <c r="H782" s="79"/>
    </row>
    <row r="783" spans="1:8" ht="12.5">
      <c r="A783" s="9"/>
      <c r="H783" s="79"/>
    </row>
    <row r="784" spans="1:8" ht="12.5">
      <c r="A784" s="9"/>
      <c r="H784" s="79"/>
    </row>
    <row r="785" spans="1:8" ht="12.5">
      <c r="A785" s="9"/>
      <c r="H785" s="79"/>
    </row>
    <row r="786" spans="1:8" ht="12.5">
      <c r="A786" s="9"/>
      <c r="H786" s="79"/>
    </row>
    <row r="787" spans="1:8" ht="12.5">
      <c r="A787" s="9"/>
      <c r="H787" s="79"/>
    </row>
    <row r="788" spans="1:8" ht="12.5">
      <c r="A788" s="9"/>
      <c r="H788" s="79"/>
    </row>
    <row r="789" spans="1:8" ht="12.5">
      <c r="A789" s="9"/>
      <c r="H789" s="79"/>
    </row>
    <row r="790" spans="1:8" ht="12.5">
      <c r="A790" s="9"/>
      <c r="H790" s="79"/>
    </row>
    <row r="791" spans="1:8" ht="12.5">
      <c r="A791" s="9"/>
      <c r="H791" s="79"/>
    </row>
    <row r="792" spans="1:8" ht="12.5">
      <c r="A792" s="9"/>
      <c r="H792" s="79"/>
    </row>
    <row r="793" spans="1:8" ht="12.5">
      <c r="A793" s="9"/>
      <c r="H793" s="79"/>
    </row>
    <row r="794" spans="1:8" ht="12.5">
      <c r="A794" s="9"/>
      <c r="H794" s="79"/>
    </row>
    <row r="795" spans="1:8" ht="12.5">
      <c r="A795" s="9"/>
      <c r="H795" s="79"/>
    </row>
    <row r="796" spans="1:8" ht="12.5">
      <c r="A796" s="9"/>
      <c r="H796" s="79"/>
    </row>
    <row r="797" spans="1:8" ht="12.5">
      <c r="A797" s="9"/>
      <c r="H797" s="79"/>
    </row>
    <row r="798" spans="1:8" ht="12.5">
      <c r="A798" s="9"/>
      <c r="H798" s="79"/>
    </row>
    <row r="799" spans="1:8" ht="12.5">
      <c r="A799" s="9"/>
      <c r="H799" s="79"/>
    </row>
    <row r="800" spans="1:8" ht="12.5">
      <c r="A800" s="9"/>
      <c r="H800" s="79"/>
    </row>
    <row r="801" spans="1:8" ht="12.5">
      <c r="A801" s="9"/>
      <c r="H801" s="79"/>
    </row>
    <row r="802" spans="1:8" ht="12.5">
      <c r="A802" s="9"/>
      <c r="H802" s="79"/>
    </row>
    <row r="803" spans="1:8" ht="12.5">
      <c r="A803" s="9"/>
      <c r="H803" s="79"/>
    </row>
    <row r="804" spans="1:8" ht="12.5">
      <c r="A804" s="9"/>
      <c r="H804" s="79"/>
    </row>
    <row r="805" spans="1:8" ht="12.5">
      <c r="A805" s="9"/>
      <c r="H805" s="79"/>
    </row>
    <row r="806" spans="1:8" ht="12.5">
      <c r="A806" s="9"/>
      <c r="H806" s="79"/>
    </row>
    <row r="807" spans="1:8" ht="12.5">
      <c r="A807" s="9"/>
      <c r="H807" s="79"/>
    </row>
    <row r="808" spans="1:8" ht="12.5">
      <c r="A808" s="9"/>
      <c r="H808" s="79"/>
    </row>
    <row r="809" spans="1:8" ht="12.5">
      <c r="A809" s="9"/>
      <c r="H809" s="79"/>
    </row>
    <row r="810" spans="1:8" ht="12.5">
      <c r="A810" s="9"/>
      <c r="H810" s="79"/>
    </row>
    <row r="811" spans="1:8" ht="12.5">
      <c r="A811" s="9"/>
      <c r="H811" s="79"/>
    </row>
    <row r="812" spans="1:8" ht="12.5">
      <c r="A812" s="9"/>
      <c r="H812" s="79"/>
    </row>
    <row r="813" spans="1:8" ht="12.5">
      <c r="A813" s="9"/>
      <c r="H813" s="79"/>
    </row>
    <row r="814" spans="1:8" ht="12.5">
      <c r="A814" s="9"/>
      <c r="H814" s="79"/>
    </row>
    <row r="815" spans="1:8" ht="12.5">
      <c r="A815" s="9"/>
      <c r="H815" s="79"/>
    </row>
    <row r="816" spans="1:8" ht="12.5">
      <c r="A816" s="9"/>
      <c r="H816" s="79"/>
    </row>
    <row r="817" spans="1:8" ht="12.5">
      <c r="A817" s="9"/>
      <c r="H817" s="79"/>
    </row>
    <row r="818" spans="1:8" ht="12.5">
      <c r="A818" s="9"/>
      <c r="H818" s="79"/>
    </row>
    <row r="819" spans="1:8" ht="12.5">
      <c r="A819" s="9"/>
      <c r="H819" s="79"/>
    </row>
    <row r="820" spans="1:8" ht="12.5">
      <c r="A820" s="9"/>
      <c r="H820" s="79"/>
    </row>
    <row r="821" spans="1:8" ht="12.5">
      <c r="A821" s="9"/>
      <c r="H821" s="79"/>
    </row>
    <row r="822" spans="1:8" ht="12.5">
      <c r="A822" s="9"/>
      <c r="H822" s="79"/>
    </row>
    <row r="823" spans="1:8" ht="12.5">
      <c r="A823" s="9"/>
      <c r="H823" s="79"/>
    </row>
    <row r="824" spans="1:8" ht="12.5">
      <c r="A824" s="9"/>
      <c r="H824" s="79"/>
    </row>
    <row r="825" spans="1:8" ht="12.5">
      <c r="A825" s="9"/>
      <c r="H825" s="79"/>
    </row>
    <row r="826" spans="1:8" ht="12.5">
      <c r="A826" s="9"/>
      <c r="H826" s="79"/>
    </row>
    <row r="827" spans="1:8" ht="12.5">
      <c r="A827" s="9"/>
      <c r="H827" s="79"/>
    </row>
    <row r="828" spans="1:8" ht="12.5">
      <c r="A828" s="9"/>
      <c r="H828" s="79"/>
    </row>
    <row r="829" spans="1:8" ht="12.5">
      <c r="A829" s="9"/>
      <c r="H829" s="79"/>
    </row>
    <row r="830" spans="1:8" ht="12.5">
      <c r="A830" s="9"/>
      <c r="H830" s="79"/>
    </row>
    <row r="831" spans="1:8" ht="12.5">
      <c r="A831" s="9"/>
      <c r="H831" s="79"/>
    </row>
    <row r="832" spans="1:8" ht="12.5">
      <c r="A832" s="9"/>
      <c r="H832" s="79"/>
    </row>
    <row r="833" spans="1:8" ht="12.5">
      <c r="A833" s="9"/>
      <c r="H833" s="79"/>
    </row>
    <row r="834" spans="1:8" ht="12.5">
      <c r="A834" s="9"/>
      <c r="H834" s="79"/>
    </row>
    <row r="835" spans="1:8" ht="12.5">
      <c r="A835" s="9"/>
      <c r="H835" s="79"/>
    </row>
    <row r="836" spans="1:8" ht="12.5">
      <c r="A836" s="9"/>
      <c r="H836" s="79"/>
    </row>
    <row r="837" spans="1:8" ht="12.5">
      <c r="A837" s="9"/>
      <c r="H837" s="79"/>
    </row>
    <row r="838" spans="1:8" ht="12.5">
      <c r="A838" s="9"/>
      <c r="H838" s="79"/>
    </row>
    <row r="839" spans="1:8" ht="12.5">
      <c r="A839" s="9"/>
      <c r="H839" s="79"/>
    </row>
    <row r="840" spans="1:8" ht="12.5">
      <c r="A840" s="9"/>
      <c r="H840" s="79"/>
    </row>
    <row r="841" spans="1:8" ht="12.5">
      <c r="A841" s="9"/>
      <c r="H841" s="79"/>
    </row>
    <row r="842" spans="1:8" ht="12.5">
      <c r="A842" s="9"/>
      <c r="H842" s="79"/>
    </row>
    <row r="843" spans="1:8" ht="12.5">
      <c r="A843" s="9"/>
      <c r="H843" s="79"/>
    </row>
    <row r="844" spans="1:8" ht="12.5">
      <c r="A844" s="9"/>
      <c r="H844" s="79"/>
    </row>
    <row r="845" spans="1:8" ht="12.5">
      <c r="A845" s="9"/>
      <c r="H845" s="79"/>
    </row>
    <row r="846" spans="1:8" ht="12.5">
      <c r="A846" s="9"/>
      <c r="H846" s="79"/>
    </row>
    <row r="847" spans="1:8" ht="12.5">
      <c r="A847" s="9"/>
      <c r="H847" s="79"/>
    </row>
    <row r="848" spans="1:8" ht="12.5">
      <c r="A848" s="9"/>
      <c r="H848" s="79"/>
    </row>
    <row r="849" spans="1:8" ht="12.5">
      <c r="A849" s="9"/>
      <c r="H849" s="79"/>
    </row>
    <row r="850" spans="1:8" ht="12.5">
      <c r="A850" s="9"/>
      <c r="H850" s="79"/>
    </row>
    <row r="851" spans="1:8" ht="12.5">
      <c r="A851" s="9"/>
      <c r="H851" s="79"/>
    </row>
    <row r="852" spans="1:8" ht="12.5">
      <c r="A852" s="9"/>
      <c r="H852" s="79"/>
    </row>
    <row r="853" spans="1:8" ht="12.5">
      <c r="A853" s="9"/>
      <c r="H853" s="79"/>
    </row>
    <row r="854" spans="1:8" ht="12.5">
      <c r="A854" s="9"/>
      <c r="H854" s="79"/>
    </row>
    <row r="855" spans="1:8" ht="12.5">
      <c r="A855" s="9"/>
      <c r="H855" s="79"/>
    </row>
    <row r="856" spans="1:8" ht="12.5">
      <c r="A856" s="9"/>
      <c r="H856" s="79"/>
    </row>
    <row r="857" spans="1:8" ht="12.5">
      <c r="A857" s="9"/>
      <c r="H857" s="79"/>
    </row>
    <row r="858" spans="1:8" ht="12.5">
      <c r="A858" s="9"/>
      <c r="H858" s="79"/>
    </row>
    <row r="859" spans="1:8" ht="12.5">
      <c r="A859" s="9"/>
      <c r="H859" s="79"/>
    </row>
    <row r="860" spans="1:8" ht="12.5">
      <c r="A860" s="9"/>
      <c r="H860" s="79"/>
    </row>
    <row r="861" spans="1:8" ht="12.5">
      <c r="A861" s="9"/>
      <c r="H861" s="79"/>
    </row>
    <row r="862" spans="1:8" ht="12.5">
      <c r="A862" s="9"/>
      <c r="H862" s="79"/>
    </row>
    <row r="863" spans="1:8" ht="12.5">
      <c r="A863" s="9"/>
      <c r="H863" s="79"/>
    </row>
    <row r="864" spans="1:8" ht="12.5">
      <c r="A864" s="9"/>
      <c r="H864" s="79"/>
    </row>
    <row r="865" spans="1:8" ht="12.5">
      <c r="A865" s="9"/>
      <c r="H865" s="79"/>
    </row>
    <row r="866" spans="1:8" ht="12.5">
      <c r="A866" s="9"/>
      <c r="H866" s="79"/>
    </row>
    <row r="867" spans="1:8" ht="12.5">
      <c r="A867" s="9"/>
      <c r="H867" s="79"/>
    </row>
    <row r="868" spans="1:8" ht="12.5">
      <c r="A868" s="9"/>
      <c r="H868" s="79"/>
    </row>
    <row r="869" spans="1:8" ht="12.5">
      <c r="A869" s="9"/>
      <c r="H869" s="79"/>
    </row>
    <row r="870" spans="1:8" ht="12.5">
      <c r="A870" s="9"/>
      <c r="H870" s="79"/>
    </row>
    <row r="871" spans="1:8" ht="12.5">
      <c r="A871" s="9"/>
      <c r="H871" s="79"/>
    </row>
    <row r="872" spans="1:8" ht="12.5">
      <c r="A872" s="9"/>
      <c r="H872" s="79"/>
    </row>
    <row r="873" spans="1:8" ht="12.5">
      <c r="A873" s="9"/>
      <c r="H873" s="79"/>
    </row>
    <row r="874" spans="1:8" ht="12.5">
      <c r="A874" s="9"/>
      <c r="H874" s="79"/>
    </row>
    <row r="875" spans="1:8" ht="12.5">
      <c r="A875" s="9"/>
      <c r="H875" s="79"/>
    </row>
    <row r="876" spans="1:8" ht="12.5">
      <c r="A876" s="9"/>
      <c r="H876" s="79"/>
    </row>
    <row r="877" spans="1:8" ht="12.5">
      <c r="A877" s="9"/>
      <c r="H877" s="79"/>
    </row>
    <row r="878" spans="1:8" ht="12.5">
      <c r="A878" s="9"/>
      <c r="H878" s="79"/>
    </row>
    <row r="879" spans="1:8" ht="12.5">
      <c r="A879" s="9"/>
      <c r="H879" s="79"/>
    </row>
    <row r="880" spans="1:8" ht="12.5">
      <c r="A880" s="9"/>
      <c r="H880" s="79"/>
    </row>
    <row r="881" spans="1:8" ht="12.5">
      <c r="A881" s="9"/>
      <c r="H881" s="79"/>
    </row>
    <row r="882" spans="1:8" ht="12.5">
      <c r="A882" s="9"/>
      <c r="H882" s="79"/>
    </row>
    <row r="883" spans="1:8" ht="12.5">
      <c r="A883" s="9"/>
      <c r="H883" s="79"/>
    </row>
    <row r="884" spans="1:8" ht="12.5">
      <c r="A884" s="9"/>
      <c r="H884" s="79"/>
    </row>
    <row r="885" spans="1:8" ht="12.5">
      <c r="A885" s="9"/>
      <c r="H885" s="79"/>
    </row>
    <row r="886" spans="1:8" ht="12.5">
      <c r="A886" s="9"/>
      <c r="H886" s="79"/>
    </row>
    <row r="887" spans="1:8" ht="12.5">
      <c r="A887" s="9"/>
      <c r="H887" s="79"/>
    </row>
    <row r="888" spans="1:8" ht="12.5">
      <c r="A888" s="9"/>
      <c r="H888" s="79"/>
    </row>
    <row r="889" spans="1:8" ht="12.5">
      <c r="A889" s="9"/>
      <c r="H889" s="79"/>
    </row>
    <row r="890" spans="1:8" ht="12.5">
      <c r="A890" s="9"/>
      <c r="H890" s="79"/>
    </row>
    <row r="891" spans="1:8" ht="12.5">
      <c r="A891" s="9"/>
      <c r="H891" s="79"/>
    </row>
    <row r="892" spans="1:8" ht="12.5">
      <c r="A892" s="9"/>
      <c r="H892" s="79"/>
    </row>
    <row r="893" spans="1:8" ht="12.5">
      <c r="A893" s="9"/>
      <c r="H893" s="79"/>
    </row>
    <row r="894" spans="1:8" ht="12.5">
      <c r="A894" s="9"/>
      <c r="H894" s="79"/>
    </row>
    <row r="895" spans="1:8" ht="12.5">
      <c r="A895" s="9"/>
      <c r="H895" s="79"/>
    </row>
    <row r="896" spans="1:8" ht="12.5">
      <c r="A896" s="9"/>
      <c r="H896" s="79"/>
    </row>
    <row r="897" spans="1:8" ht="12.5">
      <c r="A897" s="9"/>
      <c r="H897" s="79"/>
    </row>
    <row r="898" spans="1:8" ht="12.5">
      <c r="A898" s="9"/>
      <c r="H898" s="79"/>
    </row>
    <row r="899" spans="1:8" ht="12.5">
      <c r="A899" s="9"/>
      <c r="H899" s="79"/>
    </row>
    <row r="900" spans="1:8" ht="12.5">
      <c r="A900" s="9"/>
      <c r="H900" s="79"/>
    </row>
    <row r="901" spans="1:8" ht="12.5">
      <c r="A901" s="9"/>
      <c r="H901" s="79"/>
    </row>
    <row r="902" spans="1:8" ht="12.5">
      <c r="A902" s="9"/>
      <c r="H902" s="79"/>
    </row>
    <row r="903" spans="1:8" ht="12.5">
      <c r="A903" s="9"/>
      <c r="H903" s="79"/>
    </row>
    <row r="904" spans="1:8" ht="12.5">
      <c r="A904" s="9"/>
      <c r="H904" s="79"/>
    </row>
    <row r="905" spans="1:8" ht="12.5">
      <c r="A905" s="9"/>
      <c r="H905" s="79"/>
    </row>
    <row r="906" spans="1:8" ht="12.5">
      <c r="A906" s="9"/>
      <c r="H906" s="79"/>
    </row>
    <row r="907" spans="1:8" ht="12.5">
      <c r="A907" s="9"/>
      <c r="H907" s="79"/>
    </row>
    <row r="908" spans="1:8" ht="12.5">
      <c r="A908" s="9"/>
      <c r="H908" s="79"/>
    </row>
    <row r="909" spans="1:8" ht="12.5">
      <c r="A909" s="9"/>
      <c r="H909" s="79"/>
    </row>
    <row r="910" spans="1:8" ht="12.5">
      <c r="A910" s="9"/>
      <c r="H910" s="79"/>
    </row>
    <row r="911" spans="1:8" ht="12.5">
      <c r="A911" s="9"/>
      <c r="H911" s="79"/>
    </row>
    <row r="912" spans="1:8" ht="12.5">
      <c r="A912" s="9"/>
      <c r="H912" s="79"/>
    </row>
    <row r="913" spans="1:8" ht="12.5">
      <c r="A913" s="9"/>
      <c r="H913" s="79"/>
    </row>
    <row r="914" spans="1:8" ht="12.5">
      <c r="A914" s="9"/>
      <c r="H914" s="79"/>
    </row>
    <row r="915" spans="1:8" ht="12.5">
      <c r="A915" s="9"/>
      <c r="H915" s="79"/>
    </row>
    <row r="916" spans="1:8" ht="12.5">
      <c r="A916" s="9"/>
      <c r="H916" s="79"/>
    </row>
    <row r="917" spans="1:8" ht="12.5">
      <c r="A917" s="9"/>
      <c r="H917" s="79"/>
    </row>
    <row r="918" spans="1:8" ht="12.5">
      <c r="A918" s="9"/>
      <c r="H918" s="79"/>
    </row>
    <row r="919" spans="1:8" ht="12.5">
      <c r="A919" s="9"/>
      <c r="H919" s="79"/>
    </row>
    <row r="920" spans="1:8" ht="12.5">
      <c r="A920" s="9"/>
      <c r="H920" s="79"/>
    </row>
    <row r="921" spans="1:8" ht="12.5">
      <c r="A921" s="9"/>
      <c r="H921" s="79"/>
    </row>
    <row r="922" spans="1:8" ht="12.5">
      <c r="A922" s="9"/>
      <c r="H922" s="79"/>
    </row>
    <row r="923" spans="1:8" ht="12.5">
      <c r="A923" s="9"/>
      <c r="H923" s="79"/>
    </row>
    <row r="924" spans="1:8" ht="12.5">
      <c r="A924" s="9"/>
      <c r="H924" s="79"/>
    </row>
    <row r="925" spans="1:8" ht="12.5">
      <c r="A925" s="9"/>
      <c r="H925" s="79"/>
    </row>
    <row r="926" spans="1:8" ht="12.5">
      <c r="A926" s="9"/>
      <c r="H926" s="79"/>
    </row>
    <row r="927" spans="1:8" ht="12.5">
      <c r="A927" s="9"/>
      <c r="H927" s="79"/>
    </row>
    <row r="928" spans="1:8" ht="12.5">
      <c r="A928" s="9"/>
      <c r="H928" s="79"/>
    </row>
    <row r="929" spans="1:8" ht="12.5">
      <c r="A929" s="9"/>
      <c r="H929" s="79"/>
    </row>
    <row r="930" spans="1:8" ht="12.5">
      <c r="A930" s="9"/>
      <c r="H930" s="79"/>
    </row>
    <row r="931" spans="1:8" ht="12.5">
      <c r="A931" s="9"/>
      <c r="H931" s="79"/>
    </row>
    <row r="932" spans="1:8" ht="12.5">
      <c r="A932" s="9"/>
      <c r="H932" s="79"/>
    </row>
    <row r="933" spans="1:8" ht="12.5">
      <c r="A933" s="9"/>
      <c r="H933" s="79"/>
    </row>
    <row r="934" spans="1:8" ht="12.5">
      <c r="A934" s="9"/>
      <c r="H934" s="79"/>
    </row>
    <row r="935" spans="1:8" ht="12.5">
      <c r="A935" s="9"/>
      <c r="H935" s="79"/>
    </row>
    <row r="936" spans="1:8" ht="12.5">
      <c r="A936" s="9"/>
      <c r="H936" s="79"/>
    </row>
    <row r="937" spans="1:8" ht="12.5">
      <c r="A937" s="9"/>
      <c r="H937" s="79"/>
    </row>
    <row r="938" spans="1:8" ht="12.5">
      <c r="A938" s="9"/>
      <c r="H938" s="79"/>
    </row>
    <row r="939" spans="1:8" ht="12.5">
      <c r="A939" s="9"/>
      <c r="H939" s="79"/>
    </row>
    <row r="940" spans="1:8" ht="12.5">
      <c r="A940" s="9"/>
      <c r="H940" s="79"/>
    </row>
    <row r="941" spans="1:8" ht="12.5">
      <c r="A941" s="9"/>
      <c r="H941" s="79"/>
    </row>
    <row r="942" spans="1:8" ht="12.5">
      <c r="A942" s="9"/>
      <c r="H942" s="79"/>
    </row>
    <row r="943" spans="1:8" ht="12.5">
      <c r="A943" s="9"/>
      <c r="H943" s="79"/>
    </row>
    <row r="944" spans="1:8" ht="12.5">
      <c r="A944" s="9"/>
      <c r="H944" s="79"/>
    </row>
    <row r="945" spans="1:8" ht="12.5">
      <c r="A945" s="9"/>
      <c r="H945" s="79"/>
    </row>
    <row r="946" spans="1:8" ht="12.5">
      <c r="A946" s="9"/>
      <c r="H946" s="79"/>
    </row>
    <row r="947" spans="1:8" ht="12.5">
      <c r="A947" s="9"/>
      <c r="H947" s="79"/>
    </row>
    <row r="948" spans="1:8" ht="12.5">
      <c r="A948" s="9"/>
      <c r="H948" s="79"/>
    </row>
    <row r="949" spans="1:8" ht="12.5">
      <c r="A949" s="9"/>
      <c r="H949" s="79"/>
    </row>
    <row r="950" spans="1:8" ht="12.5">
      <c r="A950" s="9"/>
      <c r="H950" s="79"/>
    </row>
    <row r="951" spans="1:8" ht="12.5">
      <c r="A951" s="9"/>
      <c r="H951" s="79"/>
    </row>
    <row r="952" spans="1:8" ht="12.5">
      <c r="A952" s="9"/>
      <c r="H952" s="79"/>
    </row>
    <row r="953" spans="1:8" ht="12.5">
      <c r="A953" s="9"/>
      <c r="H953" s="79"/>
    </row>
    <row r="954" spans="1:8" ht="12.5">
      <c r="A954" s="9"/>
      <c r="H954" s="79"/>
    </row>
    <row r="955" spans="1:8" ht="12.5">
      <c r="A955" s="9"/>
      <c r="H955" s="79"/>
    </row>
    <row r="956" spans="1:8" ht="12.5">
      <c r="A956" s="9"/>
      <c r="H956" s="79"/>
    </row>
    <row r="957" spans="1:8" ht="12.5">
      <c r="A957" s="9"/>
      <c r="H957" s="79"/>
    </row>
    <row r="958" spans="1:8" ht="12.5">
      <c r="A958" s="9"/>
      <c r="H958" s="79"/>
    </row>
    <row r="959" spans="1:8" ht="12.5">
      <c r="A959" s="9"/>
      <c r="H959" s="79"/>
    </row>
    <row r="960" spans="1:8" ht="12.5">
      <c r="A960" s="9"/>
      <c r="H960" s="79"/>
    </row>
    <row r="961" spans="1:8" ht="12.5">
      <c r="A961" s="9"/>
      <c r="H961" s="79"/>
    </row>
    <row r="962" spans="1:8" ht="12.5">
      <c r="A962" s="9"/>
      <c r="H962" s="79"/>
    </row>
    <row r="963" spans="1:8" ht="12.5">
      <c r="A963" s="9"/>
      <c r="H963" s="79"/>
    </row>
    <row r="964" spans="1:8" ht="12.5">
      <c r="A964" s="9"/>
      <c r="H964" s="79"/>
    </row>
    <row r="965" spans="1:8" ht="12.5">
      <c r="A965" s="9"/>
      <c r="H965" s="79"/>
    </row>
    <row r="966" spans="1:8" ht="12.5">
      <c r="A966" s="9"/>
      <c r="H966" s="79"/>
    </row>
    <row r="967" spans="1:8" ht="12.5">
      <c r="A967" s="9"/>
      <c r="H967" s="79"/>
    </row>
    <row r="968" spans="1:8" ht="12.5">
      <c r="A968" s="9"/>
      <c r="H968" s="79"/>
    </row>
    <row r="969" spans="1:8" ht="12.5">
      <c r="A969" s="9"/>
      <c r="H969" s="79"/>
    </row>
    <row r="970" spans="1:8" ht="12.5">
      <c r="A970" s="9"/>
      <c r="H970" s="79"/>
    </row>
    <row r="971" spans="1:8" ht="12.5">
      <c r="A971" s="9"/>
      <c r="H971" s="79"/>
    </row>
    <row r="972" spans="1:8" ht="12.5">
      <c r="A972" s="9"/>
      <c r="H972" s="79"/>
    </row>
    <row r="973" spans="1:8" ht="12.5">
      <c r="A973" s="9"/>
      <c r="H973" s="79"/>
    </row>
    <row r="974" spans="1:8" ht="12.5">
      <c r="A974" s="9"/>
      <c r="H974" s="79"/>
    </row>
    <row r="975" spans="1:8" ht="12.5">
      <c r="A975" s="9"/>
      <c r="H975" s="79"/>
    </row>
    <row r="976" spans="1:8" ht="12.5">
      <c r="A976" s="9"/>
      <c r="H976" s="79"/>
    </row>
    <row r="977" spans="1:8" ht="12.5">
      <c r="A977" s="9"/>
      <c r="H977" s="79"/>
    </row>
    <row r="978" spans="1:8" ht="12.5">
      <c r="A978" s="9"/>
      <c r="H978" s="79"/>
    </row>
    <row r="979" spans="1:8" ht="12.5">
      <c r="A979" s="9"/>
      <c r="H979" s="79"/>
    </row>
    <row r="980" spans="1:8" ht="12.5">
      <c r="A980" s="9"/>
      <c r="H980" s="79"/>
    </row>
    <row r="981" spans="1:8" ht="12.5">
      <c r="A981" s="9"/>
      <c r="H981" s="79"/>
    </row>
    <row r="982" spans="1:8" ht="12.5">
      <c r="A982" s="9"/>
      <c r="H982" s="79"/>
    </row>
    <row r="983" spans="1:8" ht="12.5">
      <c r="A983" s="9"/>
      <c r="H983" s="79"/>
    </row>
    <row r="984" spans="1:8" ht="12.5">
      <c r="A984" s="9"/>
      <c r="H984" s="79"/>
    </row>
    <row r="985" spans="1:8" ht="12.5">
      <c r="A985" s="9"/>
      <c r="H985" s="79"/>
    </row>
    <row r="986" spans="1:8" ht="12.5">
      <c r="A986" s="9"/>
      <c r="H986" s="79"/>
    </row>
    <row r="987" spans="1:8" ht="12.5">
      <c r="A987" s="9"/>
      <c r="H987" s="79"/>
    </row>
    <row r="988" spans="1:8" ht="12.5">
      <c r="A988" s="9"/>
      <c r="H988" s="79"/>
    </row>
    <row r="989" spans="1:8" ht="12.5">
      <c r="A989" s="9"/>
      <c r="H989" s="79"/>
    </row>
    <row r="990" spans="1:8" ht="12.5">
      <c r="A990" s="9"/>
      <c r="H990" s="79"/>
    </row>
    <row r="991" spans="1:8" ht="12.5">
      <c r="A991" s="9"/>
      <c r="H991" s="79"/>
    </row>
    <row r="992" spans="1:8" ht="12.5">
      <c r="A992" s="9"/>
      <c r="H992" s="79"/>
    </row>
    <row r="993" spans="1:8" ht="12.5">
      <c r="A993" s="9"/>
      <c r="H993" s="79"/>
    </row>
    <row r="994" spans="1:8" ht="12.5">
      <c r="A994" s="9"/>
      <c r="H994" s="79"/>
    </row>
    <row r="995" spans="1:8" ht="12.5">
      <c r="A995" s="9"/>
      <c r="H995" s="79"/>
    </row>
    <row r="996" spans="1:8" ht="12.5">
      <c r="A996" s="9"/>
      <c r="H996" s="79"/>
    </row>
    <row r="997" spans="1:8" ht="12.5">
      <c r="A997" s="9"/>
      <c r="H997" s="79"/>
    </row>
    <row r="998" spans="1:8" ht="12.5">
      <c r="A998" s="9"/>
      <c r="H998" s="79"/>
    </row>
    <row r="999" spans="1:8" ht="12.5">
      <c r="A999" s="9"/>
      <c r="H999" s="79"/>
    </row>
    <row r="1000" spans="1:8" ht="12.5">
      <c r="A1000" s="9"/>
      <c r="H1000" s="7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1001"/>
  <sheetViews>
    <sheetView workbookViewId="0">
      <pane ySplit="1" topLeftCell="A2" activePane="bottomLeft" state="frozen"/>
      <selection pane="bottomLeft" activeCell="B3" sqref="B3"/>
    </sheetView>
  </sheetViews>
  <sheetFormatPr defaultColWidth="12.6328125" defaultRowHeight="15.75" customHeight="1"/>
  <cols>
    <col min="1" max="1" width="42.453125" customWidth="1"/>
  </cols>
  <sheetData>
    <row r="1" spans="1:2" ht="15.75" customHeight="1">
      <c r="A1" s="78" t="s">
        <v>13555</v>
      </c>
      <c r="B1" s="80" t="s">
        <v>13556</v>
      </c>
    </row>
    <row r="2" spans="1:2" ht="15.75" customHeight="1">
      <c r="A2" s="78" t="str">
        <f ca="1">IFERROR(__xludf.DUMMYFUNCTION("IMPORTRANGE(""https://docs.google.com/spreadsheets/d/14vPQhjkb1FnoIkJTl9wXcWKUYOGYFHiTODOOwUvftKU"", ""Deals!$A2:$A"")"),"American Chemical Society TA 2022")</f>
        <v>American Chemical Society TA 2022</v>
      </c>
      <c r="B2" s="80">
        <f ca="1">SUMIFS(Articles!$AM:$AM, Articles!$H:$H, A2, Articles!$P:$P, "Yes")</f>
        <v>50603.039999999994</v>
      </c>
    </row>
    <row r="3" spans="1:2" ht="15.75" customHeight="1">
      <c r="A3" s="9" t="str">
        <f ca="1">IFERROR(__xludf.DUMMYFUNCTION("""COMPUTED_VALUE"""),"American Chemical Society TA 2023")</f>
        <v>American Chemical Society TA 2023</v>
      </c>
      <c r="B3" s="80">
        <f ca="1">SUMIFS(Articles!$AM:$AM, Articles!$H:$H, A3, Articles!$P:$P, "Yes")</f>
        <v>65680.800000000003</v>
      </c>
    </row>
    <row r="4" spans="1:2" ht="15.75" customHeight="1">
      <c r="A4" s="9" t="str">
        <f ca="1">IFERROR(__xludf.DUMMYFUNCTION("""COMPUTED_VALUE"""),"American Chemical Society TA 2024")</f>
        <v>American Chemical Society TA 2024</v>
      </c>
      <c r="B4" s="80">
        <f ca="1">SUMIFS(Articles!$AM:$AM, Articles!$H:$H, A4, Articles!$P:$P, "Yes")</f>
        <v>22775.039999999997</v>
      </c>
    </row>
    <row r="5" spans="1:2" ht="15.75" customHeight="1">
      <c r="A5" s="9" t="str">
        <f ca="1">IFERROR(__xludf.DUMMYFUNCTION("""COMPUTED_VALUE"""),"American Institute of Physics TA 2022")</f>
        <v>American Institute of Physics TA 2022</v>
      </c>
      <c r="B5" s="80">
        <f ca="1">SUMIFS(Articles!$AM:$AM, Articles!$H:$H, A5, Articles!$P:$P, "Yes")</f>
        <v>19475.999999999996</v>
      </c>
    </row>
    <row r="6" spans="1:2" ht="15.75" customHeight="1">
      <c r="A6" s="9" t="str">
        <f ca="1">IFERROR(__xludf.DUMMYFUNCTION("""COMPUTED_VALUE"""),"American Institute of Physics TA 2023")</f>
        <v>American Institute of Physics TA 2023</v>
      </c>
      <c r="B6" s="80">
        <f ca="1">SUMIFS(Articles!$AM:$AM, Articles!$H:$H, A6, Articles!$P:$P, "Yes")</f>
        <v>16890.3</v>
      </c>
    </row>
    <row r="7" spans="1:2" ht="15.75" customHeight="1">
      <c r="A7" s="9" t="str">
        <f ca="1">IFERROR(__xludf.DUMMYFUNCTION("""COMPUTED_VALUE"""),"American Institute of Physics TA 2024")</f>
        <v>American Institute of Physics TA 2024</v>
      </c>
      <c r="B7" s="80">
        <f ca="1">SUMIFS(Articles!$AM:$AM, Articles!$H:$H, A7, Articles!$P:$P, "Yes")</f>
        <v>0</v>
      </c>
    </row>
    <row r="8" spans="1:2" ht="15.75" customHeight="1">
      <c r="A8" s="9" t="str">
        <f ca="1">IFERROR(__xludf.DUMMYFUNCTION("""COMPUTED_VALUE"""),"American Institute of Physics TA 2025")</f>
        <v>American Institute of Physics TA 2025</v>
      </c>
      <c r="B8" s="80">
        <f ca="1">SUMIFS(Articles!$AM:$AM, Articles!$H:$H, A8, Articles!$P:$P, "Yes")</f>
        <v>0</v>
      </c>
    </row>
    <row r="9" spans="1:2" ht="15.75" customHeight="1">
      <c r="A9" s="9" t="str">
        <f ca="1">IFERROR(__xludf.DUMMYFUNCTION("""COMPUTED_VALUE"""),"American Physical Society TA 2023")</f>
        <v>American Physical Society TA 2023</v>
      </c>
      <c r="B9" s="80">
        <f ca="1">SUMIFS(Articles!$AM:$AM, Articles!$H:$H, A9, Articles!$P:$P, "Yes")</f>
        <v>9048.375</v>
      </c>
    </row>
    <row r="10" spans="1:2" ht="15.75" customHeight="1">
      <c r="A10" s="9" t="str">
        <f ca="1">IFERROR(__xludf.DUMMYFUNCTION("""COMPUTED_VALUE"""),"American Physical Society TA 2024")</f>
        <v>American Physical Society TA 2024</v>
      </c>
      <c r="B10" s="80">
        <f ca="1">SUMIFS(Articles!$AM:$AM, Articles!$H:$H, A10, Articles!$P:$P, "Yes")</f>
        <v>0</v>
      </c>
    </row>
    <row r="11" spans="1:2" ht="15.75" customHeight="1">
      <c r="A11" s="9" t="str">
        <f ca="1">IFERROR(__xludf.DUMMYFUNCTION("""COMPUTED_VALUE"""),"American Physical Society TA 2025")</f>
        <v>American Physical Society TA 2025</v>
      </c>
      <c r="B11" s="80">
        <f ca="1">SUMIFS(Articles!$AM:$AM, Articles!$H:$H, A11, Articles!$P:$P, "Yes")</f>
        <v>0</v>
      </c>
    </row>
    <row r="12" spans="1:2" ht="15.75" customHeight="1">
      <c r="A12" s="9" t="str">
        <f ca="1">IFERROR(__xludf.DUMMYFUNCTION("""COMPUTED_VALUE"""),"American Psychological Association TA 2022-2023")</f>
        <v>American Psychological Association TA 2022-2023</v>
      </c>
      <c r="B12" s="80">
        <f ca="1">SUMIFS(Articles!$AM:$AM, Articles!$H:$H, A12, Articles!$P:$P, "Yes")</f>
        <v>2895.48</v>
      </c>
    </row>
    <row r="13" spans="1:2" ht="15.75" customHeight="1">
      <c r="A13" s="9" t="str">
        <f ca="1">IFERROR(__xludf.DUMMYFUNCTION("""COMPUTED_VALUE"""),"American Psychological Association TA 2023-2024")</f>
        <v>American Psychological Association TA 2023-2024</v>
      </c>
      <c r="B13" s="80">
        <f ca="1">SUMIFS(Articles!$AM:$AM, Articles!$H:$H, A13, Articles!$P:$P, "Yes")</f>
        <v>0</v>
      </c>
    </row>
    <row r="14" spans="1:2" ht="12.5">
      <c r="A14" s="9" t="str">
        <f ca="1">IFERROR(__xludf.DUMMYFUNCTION("""COMPUTED_VALUE"""),"Brill TA 2020")</f>
        <v>Brill TA 2020</v>
      </c>
      <c r="B14" s="80">
        <f ca="1">SUMIFS(Articles!$AM:$AM, Articles!$H:$H, A14, Articles!$P:$P, "Yes")</f>
        <v>0</v>
      </c>
    </row>
    <row r="15" spans="1:2" ht="12.5">
      <c r="A15" s="9" t="str">
        <f ca="1">IFERROR(__xludf.DUMMYFUNCTION("""COMPUTED_VALUE"""),"Brill TA 2021")</f>
        <v>Brill TA 2021</v>
      </c>
      <c r="B15" s="80">
        <f ca="1">SUMIFS(Articles!$AM:$AM, Articles!$H:$H, A15, Articles!$P:$P, "Yes")</f>
        <v>0</v>
      </c>
    </row>
    <row r="16" spans="1:2" ht="12.5">
      <c r="A16" s="9" t="str">
        <f ca="1">IFERROR(__xludf.DUMMYFUNCTION("""COMPUTED_VALUE"""),"Brill TA 2022")</f>
        <v>Brill TA 2022</v>
      </c>
      <c r="B16" s="80">
        <f ca="1">SUMIFS(Articles!$AM:$AM, Articles!$H:$H, A16, Articles!$P:$P, "Yes")</f>
        <v>0</v>
      </c>
    </row>
    <row r="17" spans="1:2" ht="12.5">
      <c r="A17" s="9" t="str">
        <f ca="1">IFERROR(__xludf.DUMMYFUNCTION("""COMPUTED_VALUE"""),"Brill TA 2023")</f>
        <v>Brill TA 2023</v>
      </c>
      <c r="B17" s="80">
        <f ca="1">SUMIFS(Articles!$AM:$AM, Articles!$H:$H, A17, Articles!$P:$P, "Yes")</f>
        <v>0</v>
      </c>
    </row>
    <row r="18" spans="1:2" ht="12.5">
      <c r="A18" s="9" t="str">
        <f ca="1">IFERROR(__xludf.DUMMYFUNCTION("""COMPUTED_VALUE"""),"Brill TA 2024")</f>
        <v>Brill TA 2024</v>
      </c>
      <c r="B18" s="80">
        <f ca="1">SUMIFS(Articles!$AM:$AM, Articles!$H:$H, A18, Articles!$P:$P, "Yes")</f>
        <v>0</v>
      </c>
    </row>
    <row r="19" spans="1:2" ht="12.5">
      <c r="A19" s="9" t="str">
        <f ca="1">IFERROR(__xludf.DUMMYFUNCTION("""COMPUTED_VALUE"""),"BMJ TA 2021")</f>
        <v>BMJ TA 2021</v>
      </c>
      <c r="B19" s="80">
        <f ca="1">SUMIFS(Articles!$AM:$AM, Articles!$H:$H, A19, Articles!$P:$P, "Yes")</f>
        <v>2340</v>
      </c>
    </row>
    <row r="20" spans="1:2" ht="12.5">
      <c r="A20" s="9" t="str">
        <f ca="1">IFERROR(__xludf.DUMMYFUNCTION("""COMPUTED_VALUE"""),"BMJ TA 2022")</f>
        <v>BMJ TA 2022</v>
      </c>
      <c r="B20" s="80">
        <f ca="1">SUMIFS(Articles!$AM:$AM, Articles!$H:$H, A20, Articles!$P:$P, "Yes")</f>
        <v>0</v>
      </c>
    </row>
    <row r="21" spans="1:2" ht="12.5">
      <c r="A21" s="9" t="str">
        <f ca="1">IFERROR(__xludf.DUMMYFUNCTION("""COMPUTED_VALUE"""),"BMJ TA 2023")</f>
        <v>BMJ TA 2023</v>
      </c>
      <c r="B21" s="80">
        <f ca="1">SUMIFS(Articles!$AM:$AM, Articles!$H:$H, A21, Articles!$P:$P, "Yes")</f>
        <v>0</v>
      </c>
    </row>
    <row r="22" spans="1:2" ht="12.5">
      <c r="A22" s="9" t="str">
        <f ca="1">IFERROR(__xludf.DUMMYFUNCTION("""COMPUTED_VALUE"""),"BMJ TA 2024")</f>
        <v>BMJ TA 2024</v>
      </c>
      <c r="B22" s="80">
        <f ca="1">SUMIFS(Articles!$AM:$AM, Articles!$H:$H, A22, Articles!$P:$P, "Yes")</f>
        <v>0</v>
      </c>
    </row>
    <row r="23" spans="1:2" ht="12.5">
      <c r="A23" s="9" t="str">
        <f ca="1">IFERROR(__xludf.DUMMYFUNCTION("""COMPUTED_VALUE"""),"Bristol University Press TA 2023")</f>
        <v>Bristol University Press TA 2023</v>
      </c>
      <c r="B23" s="80">
        <f ca="1">SUMIFS(Articles!$AM:$AM, Articles!$H:$H, A23, Articles!$P:$P, "Yes")</f>
        <v>0</v>
      </c>
    </row>
    <row r="24" spans="1:2" ht="12.5">
      <c r="A24" s="9" t="str">
        <f ca="1">IFERROR(__xludf.DUMMYFUNCTION("""COMPUTED_VALUE"""),"Bristol University Press TA 2024")</f>
        <v>Bristol University Press TA 2024</v>
      </c>
      <c r="B24" s="80">
        <f ca="1">SUMIFS(Articles!$AM:$AM, Articles!$H:$H, A24, Articles!$P:$P, "Yes")</f>
        <v>0</v>
      </c>
    </row>
    <row r="25" spans="1:2" ht="12.5">
      <c r="A25" s="9" t="str">
        <f ca="1">IFERROR(__xludf.DUMMYFUNCTION("""COMPUTED_VALUE"""),"Company of Biologists TA 2020")</f>
        <v>Company of Biologists TA 2020</v>
      </c>
      <c r="B25" s="80">
        <f ca="1">SUMIFS(Articles!$AM:$AM, Articles!$H:$H, A25, Articles!$P:$P, "Yes")</f>
        <v>0</v>
      </c>
    </row>
    <row r="26" spans="1:2" ht="12.5">
      <c r="A26" s="9" t="str">
        <f ca="1">IFERROR(__xludf.DUMMYFUNCTION("""COMPUTED_VALUE"""),"Company of Biologists TA 2021")</f>
        <v>Company of Biologists TA 2021</v>
      </c>
      <c r="B26" s="80">
        <f ca="1">SUMIFS(Articles!$AM:$AM, Articles!$H:$H, A26, Articles!$P:$P, "Yes")</f>
        <v>0</v>
      </c>
    </row>
    <row r="27" spans="1:2" ht="12.5">
      <c r="A27" s="9" t="str">
        <f ca="1">IFERROR(__xludf.DUMMYFUNCTION("""COMPUTED_VALUE"""),"Company of Biologists TA 2022")</f>
        <v>Company of Biologists TA 2022</v>
      </c>
      <c r="B27" s="80">
        <f ca="1">SUMIFS(Articles!$AM:$AM, Articles!$H:$H, A27, Articles!$P:$P, "Yes")</f>
        <v>4674.24</v>
      </c>
    </row>
    <row r="28" spans="1:2" ht="12.5">
      <c r="A28" s="9" t="str">
        <f ca="1">IFERROR(__xludf.DUMMYFUNCTION("""COMPUTED_VALUE"""),"Company of Biologists TA 2023")</f>
        <v>Company of Biologists TA 2023</v>
      </c>
      <c r="B28" s="80">
        <f ca="1">SUMIFS(Articles!$AM:$AM, Articles!$H:$H, A28, Articles!$P:$P, "Yes")</f>
        <v>0</v>
      </c>
    </row>
    <row r="29" spans="1:2" ht="12.5">
      <c r="A29" s="9" t="str">
        <f ca="1">IFERROR(__xludf.DUMMYFUNCTION("""COMPUTED_VALUE"""),"Company of Biologists TA 2024")</f>
        <v>Company of Biologists TA 2024</v>
      </c>
      <c r="B29" s="80">
        <f ca="1">SUMIFS(Articles!$AM:$AM, Articles!$H:$H, A29, Articles!$P:$P, "Yes")</f>
        <v>0</v>
      </c>
    </row>
    <row r="30" spans="1:2" ht="12.5">
      <c r="A30" s="9" t="str">
        <f ca="1">IFERROR(__xludf.DUMMYFUNCTION("""COMPUTED_VALUE"""),"Cambridge University Press TA 2021")</f>
        <v>Cambridge University Press TA 2021</v>
      </c>
      <c r="B30" s="80">
        <f ca="1">SUMIFS(Articles!$AM:$AM, Articles!$H:$H, A30, Articles!$P:$P, "Yes")</f>
        <v>8364</v>
      </c>
    </row>
    <row r="31" spans="1:2" ht="12.5">
      <c r="A31" s="9" t="str">
        <f ca="1">IFERROR(__xludf.DUMMYFUNCTION("""COMPUTED_VALUE"""),"Cambridge University Press TA 2022")</f>
        <v>Cambridge University Press TA 2022</v>
      </c>
      <c r="B31" s="80">
        <f ca="1">SUMIFS(Articles!$AM:$AM, Articles!$H:$H, A31, Articles!$P:$P, "Yes")</f>
        <v>13092</v>
      </c>
    </row>
    <row r="32" spans="1:2" ht="12.5">
      <c r="A32" s="9" t="str">
        <f ca="1">IFERROR(__xludf.DUMMYFUNCTION("""COMPUTED_VALUE"""),"Cambridge University Press TA 2023")</f>
        <v>Cambridge University Press TA 2023</v>
      </c>
      <c r="B32" s="80">
        <f ca="1">SUMIFS(Articles!$AM:$AM, Articles!$H:$H, A32, Articles!$P:$P, "Yes")</f>
        <v>15192</v>
      </c>
    </row>
    <row r="33" spans="1:2" ht="12.5">
      <c r="A33" s="9" t="str">
        <f ca="1">IFERROR(__xludf.DUMMYFUNCTION("""COMPUTED_VALUE"""),"Cambridge University Press TA 2024")</f>
        <v>Cambridge University Press TA 2024</v>
      </c>
      <c r="B33" s="80">
        <f ca="1">SUMIFS(Articles!$AM:$AM, Articles!$H:$H, A33, Articles!$P:$P, "Yes")</f>
        <v>5568</v>
      </c>
    </row>
    <row r="34" spans="1:2" ht="12.5">
      <c r="A34" s="9" t="str">
        <f ca="1">IFERROR(__xludf.DUMMYFUNCTION("""COMPUTED_VALUE"""),"Cold Spring Harbor Laboratory Press TA 2021")</f>
        <v>Cold Spring Harbor Laboratory Press TA 2021</v>
      </c>
      <c r="B34" s="80">
        <f ca="1">SUMIFS(Articles!$AM:$AM, Articles!$H:$H, A34, Articles!$P:$P, "Yes")</f>
        <v>0</v>
      </c>
    </row>
    <row r="35" spans="1:2" ht="12.5">
      <c r="A35" s="9" t="str">
        <f ca="1">IFERROR(__xludf.DUMMYFUNCTION("""COMPUTED_VALUE"""),"Cold Spring Harbor Laboratory Press TA 2022")</f>
        <v>Cold Spring Harbor Laboratory Press TA 2022</v>
      </c>
      <c r="B35" s="80">
        <f ca="1">SUMIFS(Articles!$AM:$AM, Articles!$H:$H, A35, Articles!$P:$P, "Yes")</f>
        <v>0</v>
      </c>
    </row>
    <row r="36" spans="1:2" ht="12.5">
      <c r="A36" s="9" t="str">
        <f ca="1">IFERROR(__xludf.DUMMYFUNCTION("""COMPUTED_VALUE"""),"Cold Spring Harbor Laboratory Press TA 2023")</f>
        <v>Cold Spring Harbor Laboratory Press TA 2023</v>
      </c>
      <c r="B36" s="80">
        <f ca="1">SUMIFS(Articles!$AM:$AM, Articles!$H:$H, A36, Articles!$P:$P, "Yes")</f>
        <v>0</v>
      </c>
    </row>
    <row r="37" spans="1:2" ht="12.5">
      <c r="A37" s="9" t="str">
        <f ca="1">IFERROR(__xludf.DUMMYFUNCTION("""COMPUTED_VALUE"""),"Cold Spring Harbor Laboratory Press TA 2024")</f>
        <v>Cold Spring Harbor Laboratory Press TA 2024</v>
      </c>
      <c r="B37" s="80">
        <f ca="1">SUMIFS(Articles!$AM:$AM, Articles!$H:$H, A37, Articles!$P:$P, "Yes")</f>
        <v>0</v>
      </c>
    </row>
    <row r="38" spans="1:2" ht="12.5">
      <c r="A38" s="9" t="str">
        <f ca="1">IFERROR(__xludf.DUMMYFUNCTION("""COMPUTED_VALUE"""),"Elsevier TA 2022")</f>
        <v>Elsevier TA 2022</v>
      </c>
      <c r="B38" s="80">
        <f ca="1">SUMIFS(Articles!$AM:$AM, Articles!$H:$H, A38, Articles!$P:$P, "Yes")</f>
        <v>98100</v>
      </c>
    </row>
    <row r="39" spans="1:2" ht="12.5">
      <c r="A39" s="9" t="str">
        <f ca="1">IFERROR(__xludf.DUMMYFUNCTION("""COMPUTED_VALUE"""),"Elsevier TA 2023")</f>
        <v>Elsevier TA 2023</v>
      </c>
      <c r="B39" s="80">
        <f ca="1">SUMIFS(Articles!$AM:$AM, Articles!$H:$H, A39, Articles!$P:$P, "Yes")</f>
        <v>137664</v>
      </c>
    </row>
    <row r="40" spans="1:2" ht="12.5">
      <c r="A40" s="9" t="str">
        <f ca="1">IFERROR(__xludf.DUMMYFUNCTION("""COMPUTED_VALUE"""),"Elsevier TA 2024")</f>
        <v>Elsevier TA 2024</v>
      </c>
      <c r="B40" s="80">
        <f ca="1">SUMIFS(Articles!$AM:$AM, Articles!$H:$H, A40, Articles!$P:$P, "Yes")</f>
        <v>56700</v>
      </c>
    </row>
    <row r="41" spans="1:2" ht="12.5">
      <c r="A41" s="9" t="str">
        <f ca="1">IFERROR(__xludf.DUMMYFUNCTION("""COMPUTED_VALUE"""),"Geological Society Lyell Collection TA 2021")</f>
        <v>Geological Society Lyell Collection TA 2021</v>
      </c>
      <c r="B41" s="80">
        <f ca="1">SUMIFS(Articles!$AM:$AM, Articles!$H:$H, A41, Articles!$P:$P, "Yes")</f>
        <v>0</v>
      </c>
    </row>
    <row r="42" spans="1:2" ht="12.5">
      <c r="A42" s="9" t="str">
        <f ca="1">IFERROR(__xludf.DUMMYFUNCTION("""COMPUTED_VALUE"""),"Geological Society Lyell Collection TA 2022")</f>
        <v>Geological Society Lyell Collection TA 2022</v>
      </c>
      <c r="B42" s="80">
        <f ca="1">SUMIFS(Articles!$AM:$AM, Articles!$H:$H, A42, Articles!$P:$P, "Yes")</f>
        <v>0</v>
      </c>
    </row>
    <row r="43" spans="1:2" ht="12.5">
      <c r="A43" s="9" t="str">
        <f ca="1">IFERROR(__xludf.DUMMYFUNCTION("""COMPUTED_VALUE"""),"Geological Society Lyell Collection TA 2023")</f>
        <v>Geological Society Lyell Collection TA 2023</v>
      </c>
      <c r="B43" s="80">
        <f ca="1">SUMIFS(Articles!$AM:$AM, Articles!$H:$H, A43, Articles!$P:$P, "Yes")</f>
        <v>0</v>
      </c>
    </row>
    <row r="44" spans="1:2" ht="12.5">
      <c r="A44" s="9" t="str">
        <f ca="1">IFERROR(__xludf.DUMMYFUNCTION("""COMPUTED_VALUE"""),"Geological Society Lyell Collection TA 2024")</f>
        <v>Geological Society Lyell Collection TA 2024</v>
      </c>
      <c r="B44" s="80">
        <f ca="1">SUMIFS(Articles!$AM:$AM, Articles!$H:$H, A44, Articles!$P:$P, "Yes")</f>
        <v>0</v>
      </c>
    </row>
    <row r="45" spans="1:2" ht="12.5">
      <c r="A45" s="9" t="str">
        <f ca="1">IFERROR(__xludf.DUMMYFUNCTION("""COMPUTED_VALUE"""),"Geological Society Lyell Collection TA 2025")</f>
        <v>Geological Society Lyell Collection TA 2025</v>
      </c>
      <c r="B45" s="80">
        <f ca="1">SUMIFS(Articles!$AM:$AM, Articles!$H:$H, A45, Articles!$P:$P, "Yes")</f>
        <v>0</v>
      </c>
    </row>
    <row r="46" spans="1:2" ht="12.5">
      <c r="A46" s="9" t="str">
        <f ca="1">IFERROR(__xludf.DUMMYFUNCTION("""COMPUTED_VALUE"""),"John Benjamins TA 2022")</f>
        <v>John Benjamins TA 2022</v>
      </c>
      <c r="B46" s="80">
        <f ca="1">SUMIFS(Articles!$AM:$AM, Articles!$H:$H, A46, Articles!$P:$P, "Yes")</f>
        <v>0</v>
      </c>
    </row>
    <row r="47" spans="1:2" ht="12.5">
      <c r="A47" s="9" t="str">
        <f ca="1">IFERROR(__xludf.DUMMYFUNCTION("""COMPUTED_VALUE"""),"John Benjamins TA 2023")</f>
        <v>John Benjamins TA 2023</v>
      </c>
      <c r="B47" s="80">
        <f ca="1">SUMIFS(Articles!$AM:$AM, Articles!$H:$H, A47, Articles!$P:$P, "Yes")</f>
        <v>0</v>
      </c>
    </row>
    <row r="48" spans="1:2" ht="12.5">
      <c r="A48" s="9" t="str">
        <f ca="1">IFERROR(__xludf.DUMMYFUNCTION("""COMPUTED_VALUE"""),"John Benjamins TA 2024")</f>
        <v>John Benjamins TA 2024</v>
      </c>
      <c r="B48" s="80">
        <f ca="1">SUMIFS(Articles!$AM:$AM, Articles!$H:$H, A48, Articles!$P:$P, "Yes")</f>
        <v>0</v>
      </c>
    </row>
    <row r="49" spans="1:2" ht="12.5">
      <c r="A49" s="9" t="str">
        <f ca="1">IFERROR(__xludf.DUMMYFUNCTION("""COMPUTED_VALUE"""),"Institute of Physics Publishing TA 2020")</f>
        <v>Institute of Physics Publishing TA 2020</v>
      </c>
      <c r="B49" s="80">
        <f ca="1">SUMIFS(Articles!$AM:$AM, Articles!$H:$H, A49, Articles!$P:$P, "Yes")</f>
        <v>0</v>
      </c>
    </row>
    <row r="50" spans="1:2" ht="12.5">
      <c r="A50" s="9" t="str">
        <f ca="1">IFERROR(__xludf.DUMMYFUNCTION("""COMPUTED_VALUE"""),"Institute of Physics Publishing TA 2021")</f>
        <v>Institute of Physics Publishing TA 2021</v>
      </c>
      <c r="B50" s="80">
        <f ca="1">SUMIFS(Articles!$AM:$AM, Articles!$H:$H, A50, Articles!$P:$P, "Yes")</f>
        <v>35376</v>
      </c>
    </row>
    <row r="51" spans="1:2" ht="12.5">
      <c r="A51" s="9" t="str">
        <f ca="1">IFERROR(__xludf.DUMMYFUNCTION("""COMPUTED_VALUE"""),"Institute of Physics Publishing TA 2022")</f>
        <v>Institute of Physics Publishing TA 2022</v>
      </c>
      <c r="B51" s="80">
        <f ca="1">SUMIFS(Articles!$AM:$AM, Articles!$H:$H, A51, Articles!$P:$P, "Yes")</f>
        <v>26436</v>
      </c>
    </row>
    <row r="52" spans="1:2" ht="12.5">
      <c r="A52" s="9" t="str">
        <f ca="1">IFERROR(__xludf.DUMMYFUNCTION("""COMPUTED_VALUE"""),"Institute of Physics Publishing TA 2023")</f>
        <v>Institute of Physics Publishing TA 2023</v>
      </c>
      <c r="B52" s="80">
        <f ca="1">SUMIFS(Articles!$AM:$AM, Articles!$H:$H, A52, Articles!$P:$P, "Yes")</f>
        <v>37332</v>
      </c>
    </row>
    <row r="53" spans="1:2" ht="12.5">
      <c r="A53" s="9" t="str">
        <f ca="1">IFERROR(__xludf.DUMMYFUNCTION("""COMPUTED_VALUE"""),"Institute of Physics Publishing TA 2024")</f>
        <v>Institute of Physics Publishing TA 2024</v>
      </c>
      <c r="B53" s="80">
        <f ca="1">SUMIFS(Articles!$AM:$AM, Articles!$H:$H, A53, Articles!$P:$P, "Yes")</f>
        <v>0</v>
      </c>
    </row>
    <row r="54" spans="1:2" ht="12.5">
      <c r="A54" s="9" t="str">
        <f ca="1">IFERROR(__xludf.DUMMYFUNCTION("""COMPUTED_VALUE"""),"Institute of Physics Publishing TA 2025")</f>
        <v>Institute of Physics Publishing TA 2025</v>
      </c>
      <c r="B54" s="80">
        <f ca="1">SUMIFS(Articles!$AM:$AM, Articles!$H:$H, A54, Articles!$P:$P, "Yes")</f>
        <v>0</v>
      </c>
    </row>
    <row r="55" spans="1:2" ht="12.5">
      <c r="A55" s="9" t="str">
        <f ca="1">IFERROR(__xludf.DUMMYFUNCTION("""COMPUTED_VALUE"""),"Microbiology Society TA 2020")</f>
        <v>Microbiology Society TA 2020</v>
      </c>
      <c r="B55" s="80">
        <f ca="1">SUMIFS(Articles!$AM:$AM, Articles!$H:$H, A55, Articles!$P:$P, "Yes")</f>
        <v>0</v>
      </c>
    </row>
    <row r="56" spans="1:2" ht="12.5">
      <c r="A56" s="9" t="str">
        <f ca="1">IFERROR(__xludf.DUMMYFUNCTION("""COMPUTED_VALUE"""),"Microbiology Society TA 2021")</f>
        <v>Microbiology Society TA 2021</v>
      </c>
      <c r="B56" s="80">
        <f ca="1">SUMIFS(Articles!$AM:$AM, Articles!$H:$H, A56, Articles!$P:$P, "Yes")</f>
        <v>2520</v>
      </c>
    </row>
    <row r="57" spans="1:2" ht="12.5">
      <c r="A57" s="9" t="str">
        <f ca="1">IFERROR(__xludf.DUMMYFUNCTION("""COMPUTED_VALUE"""),"Microbiology Society TA 2022")</f>
        <v>Microbiology Society TA 2022</v>
      </c>
      <c r="B57" s="80">
        <f ca="1">SUMIFS(Articles!$AM:$AM, Articles!$H:$H, A57, Articles!$P:$P, "Yes")</f>
        <v>6840</v>
      </c>
    </row>
    <row r="58" spans="1:2" ht="12.5">
      <c r="A58" s="9" t="str">
        <f ca="1">IFERROR(__xludf.DUMMYFUNCTION("""COMPUTED_VALUE"""),"Microbiology Society TA 2023")</f>
        <v>Microbiology Society TA 2023</v>
      </c>
      <c r="B58" s="80">
        <f ca="1">SUMIFS(Articles!$AM:$AM, Articles!$H:$H, A58, Articles!$P:$P, "Yes")</f>
        <v>7560</v>
      </c>
    </row>
    <row r="59" spans="1:2" ht="12.5">
      <c r="A59" s="9" t="str">
        <f ca="1">IFERROR(__xludf.DUMMYFUNCTION("""COMPUTED_VALUE"""),"Microbiology Society TA 2024")</f>
        <v>Microbiology Society TA 2024</v>
      </c>
      <c r="B59" s="80">
        <f ca="1">SUMIFS(Articles!$AM:$AM, Articles!$H:$H, A59, Articles!$P:$P, "Yes")</f>
        <v>0</v>
      </c>
    </row>
    <row r="60" spans="1:2" ht="12.5">
      <c r="A60" s="9" t="str">
        <f ca="1">IFERROR(__xludf.DUMMYFUNCTION("""COMPUTED_VALUE"""),"Oxford University Press TA 2021")</f>
        <v>Oxford University Press TA 2021</v>
      </c>
      <c r="B60" s="80">
        <f ca="1">SUMIFS(Articles!$AM:$AM, Articles!$H:$H, A60, Articles!$P:$P, "Yes")</f>
        <v>26227.199999999997</v>
      </c>
    </row>
    <row r="61" spans="1:2" ht="12.5">
      <c r="A61" s="9" t="str">
        <f ca="1">IFERROR(__xludf.DUMMYFUNCTION("""COMPUTED_VALUE"""),"Oxford University Press TA 2022")</f>
        <v>Oxford University Press TA 2022</v>
      </c>
      <c r="B61" s="80">
        <f ca="1">SUMIFS(Articles!$AM:$AM, Articles!$H:$H, A61, Articles!$P:$P, "Yes")</f>
        <v>18934.401654000001</v>
      </c>
    </row>
    <row r="62" spans="1:2" ht="12.5">
      <c r="A62" s="9" t="str">
        <f ca="1">IFERROR(__xludf.DUMMYFUNCTION("""COMPUTED_VALUE"""),"Oxford University Press TA 2023")</f>
        <v>Oxford University Press TA 2023</v>
      </c>
      <c r="B62" s="80">
        <f ca="1">SUMIFS(Articles!$AM:$AM, Articles!$H:$H, A62, Articles!$P:$P, "Yes")</f>
        <v>17557.912560000001</v>
      </c>
    </row>
    <row r="63" spans="1:2" ht="12.5">
      <c r="A63" s="9" t="str">
        <f ca="1">IFERROR(__xludf.DUMMYFUNCTION("""COMPUTED_VALUE"""),"Oxford University Press TA 2024")</f>
        <v>Oxford University Press TA 2024</v>
      </c>
      <c r="B63" s="80">
        <f ca="1">SUMIFS(Articles!$AM:$AM, Articles!$H:$H, A63, Articles!$P:$P, "Yes")</f>
        <v>0</v>
      </c>
    </row>
    <row r="64" spans="1:2" ht="12.5">
      <c r="A64" s="9" t="str">
        <f ca="1">IFERROR(__xludf.DUMMYFUNCTION("""COMPUTED_VALUE"""),"PLOS CAP 2021")</f>
        <v>PLOS CAP 2021</v>
      </c>
      <c r="B64" s="80">
        <f ca="1">SUMIFS(Articles!$AM:$AM, Articles!$H:$H, A64, Articles!$P:$P, "Yes")</f>
        <v>0</v>
      </c>
    </row>
    <row r="65" spans="1:2" ht="12.5">
      <c r="A65" s="9" t="str">
        <f ca="1">IFERROR(__xludf.DUMMYFUNCTION("""COMPUTED_VALUE"""),"PLOS CAP 2022")</f>
        <v>PLOS CAP 2022</v>
      </c>
      <c r="B65" s="80">
        <f ca="1">SUMIFS(Articles!$AM:$AM, Articles!$H:$H, A65, Articles!$P:$P, "Yes")</f>
        <v>0</v>
      </c>
    </row>
    <row r="66" spans="1:2" ht="12.5">
      <c r="A66" s="9" t="str">
        <f ca="1">IFERROR(__xludf.DUMMYFUNCTION("""COMPUTED_VALUE"""),"PLOS CAP 2023")</f>
        <v>PLOS CAP 2023</v>
      </c>
      <c r="B66" s="80">
        <f ca="1">SUMIFS(Articles!$AM:$AM, Articles!$H:$H, A66, Articles!$P:$P, "Yes")</f>
        <v>0</v>
      </c>
    </row>
    <row r="67" spans="1:2" ht="12.5">
      <c r="A67" s="9" t="str">
        <f ca="1">IFERROR(__xludf.DUMMYFUNCTION("""COMPUTED_VALUE"""),"PLOS CAP 2024")</f>
        <v>PLOS CAP 2024</v>
      </c>
      <c r="B67" s="80">
        <f ca="1">SUMIFS(Articles!$AM:$AM, Articles!$H:$H, A67, Articles!$P:$P, "Yes")</f>
        <v>0</v>
      </c>
    </row>
    <row r="68" spans="1:2" ht="12.5">
      <c r="A68" s="9" t="str">
        <f ca="1">IFERROR(__xludf.DUMMYFUNCTION("""COMPUTED_VALUE"""),"PLOS GE 2024")</f>
        <v>PLOS GE 2024</v>
      </c>
      <c r="B68" s="80">
        <f ca="1">SUMIFS(Articles!$AM:$AM, Articles!$H:$H, A68, Articles!$P:$P, "Yes")</f>
        <v>0</v>
      </c>
    </row>
    <row r="69" spans="1:2" ht="12.5">
      <c r="A69" s="9" t="str">
        <f ca="1">IFERROR(__xludf.DUMMYFUNCTION("""COMPUTED_VALUE"""),"PLOS TFF 2021")</f>
        <v>PLOS TFF 2021</v>
      </c>
      <c r="B69" s="80">
        <f ca="1">SUMIFS(Articles!$AM:$AM, Articles!$H:$H, A69, Articles!$P:$P, "Yes")</f>
        <v>17888.377559999994</v>
      </c>
    </row>
    <row r="70" spans="1:2" ht="12.5">
      <c r="A70" s="9" t="str">
        <f ca="1">IFERROR(__xludf.DUMMYFUNCTION("""COMPUTED_VALUE"""),"PLOS TFF 2022")</f>
        <v>PLOS TFF 2022</v>
      </c>
      <c r="B70" s="80">
        <f ca="1">SUMIFS(Articles!$AM:$AM, Articles!$H:$H, A70, Articles!$P:$P, "Yes")</f>
        <v>12531.832200000001</v>
      </c>
    </row>
    <row r="71" spans="1:2" ht="12.5">
      <c r="A71" s="9" t="str">
        <f ca="1">IFERROR(__xludf.DUMMYFUNCTION("""COMPUTED_VALUE"""),"PLOS TFF 2023")</f>
        <v>PLOS TFF 2023</v>
      </c>
      <c r="B71" s="80">
        <f ca="1">SUMIFS(Articles!$AM:$AM, Articles!$H:$H, A71, Articles!$P:$P, "Yes")</f>
        <v>8710.5689999999995</v>
      </c>
    </row>
    <row r="72" spans="1:2" ht="12.5">
      <c r="A72" s="9" t="str">
        <f ca="1">IFERROR(__xludf.DUMMYFUNCTION("""COMPUTED_VALUE"""),"PLOS TFF 2024")</f>
        <v>PLOS TFF 2024</v>
      </c>
      <c r="B72" s="80">
        <f ca="1">SUMIFS(Articles!$AM:$AM, Articles!$H:$H, A72, Articles!$P:$P, "Yes")</f>
        <v>0</v>
      </c>
    </row>
    <row r="73" spans="1:2" ht="12.5">
      <c r="A73" s="9" t="str">
        <f ca="1">IFERROR(__xludf.DUMMYFUNCTION("""COMPUTED_VALUE"""),"PNAS TA 2022")</f>
        <v>PNAS TA 2022</v>
      </c>
      <c r="B73" s="80">
        <f ca="1">SUMIFS(Articles!$AM:$AM, Articles!$H:$H, A73, Articles!$P:$P, "Yes")</f>
        <v>4864.1310000000003</v>
      </c>
    </row>
    <row r="74" spans="1:2" ht="12.5">
      <c r="A74" s="9" t="str">
        <f ca="1">IFERROR(__xludf.DUMMYFUNCTION("""COMPUTED_VALUE"""),"PNAS TA 2023")</f>
        <v>PNAS TA 2023</v>
      </c>
      <c r="B74" s="80">
        <f ca="1">SUMIFS(Articles!$AM:$AM, Articles!$H:$H, A74, Articles!$P:$P, "Yes")</f>
        <v>5115.348</v>
      </c>
    </row>
    <row r="75" spans="1:2" ht="12.5">
      <c r="A75" s="9" t="str">
        <f ca="1">IFERROR(__xludf.DUMMYFUNCTION("""COMPUTED_VALUE"""),"Portland Press TA 2020")</f>
        <v>Portland Press TA 2020</v>
      </c>
      <c r="B75" s="80">
        <f ca="1">SUMIFS(Articles!$AM:$AM, Articles!$H:$H, A75, Articles!$P:$P, "Yes")</f>
        <v>0</v>
      </c>
    </row>
    <row r="76" spans="1:2" ht="12.5">
      <c r="A76" s="9" t="str">
        <f ca="1">IFERROR(__xludf.DUMMYFUNCTION("""COMPUTED_VALUE"""),"Portland Press TA 2021")</f>
        <v>Portland Press TA 2021</v>
      </c>
      <c r="B76" s="80">
        <f ca="1">SUMIFS(Articles!$AM:$AM, Articles!$H:$H, A76, Articles!$P:$P, "Yes")</f>
        <v>0</v>
      </c>
    </row>
    <row r="77" spans="1:2" ht="12.5">
      <c r="A77" s="9" t="str">
        <f ca="1">IFERROR(__xludf.DUMMYFUNCTION("""COMPUTED_VALUE"""),"Portland Press TA 2022")</f>
        <v>Portland Press TA 2022</v>
      </c>
      <c r="B77" s="80">
        <f ca="1">SUMIFS(Articles!$AM:$AM, Articles!$H:$H, A77, Articles!$P:$P, "Yes")</f>
        <v>4680</v>
      </c>
    </row>
    <row r="78" spans="1:2" ht="12.5">
      <c r="A78" s="9" t="str">
        <f ca="1">IFERROR(__xludf.DUMMYFUNCTION("""COMPUTED_VALUE"""),"Portland Press TA 2023")</f>
        <v>Portland Press TA 2023</v>
      </c>
      <c r="B78" s="80">
        <f ca="1">SUMIFS(Articles!$AM:$AM, Articles!$H:$H, A78, Articles!$P:$P, "Yes")</f>
        <v>0</v>
      </c>
    </row>
    <row r="79" spans="1:2" ht="12.5">
      <c r="A79" s="9" t="str">
        <f ca="1">IFERROR(__xludf.DUMMYFUNCTION("""COMPUTED_VALUE"""),"Portland Press TA 2024")</f>
        <v>Portland Press TA 2024</v>
      </c>
      <c r="B79" s="80">
        <f ca="1">SUMIFS(Articles!$AM:$AM, Articles!$H:$H, A79, Articles!$P:$P, "Yes")</f>
        <v>0</v>
      </c>
    </row>
    <row r="80" spans="1:2" ht="12.5">
      <c r="A80" s="9" t="str">
        <f ca="1">IFERROR(__xludf.DUMMYFUNCTION("""COMPUTED_VALUE"""),"Portland Press TA 2025")</f>
        <v>Portland Press TA 2025</v>
      </c>
      <c r="B80" s="80">
        <f ca="1">SUMIFS(Articles!$AM:$AM, Articles!$H:$H, A80, Articles!$P:$P, "Yes")</f>
        <v>0</v>
      </c>
    </row>
    <row r="81" spans="1:2" ht="12.5">
      <c r="A81" s="9" t="str">
        <f ca="1">IFERROR(__xludf.DUMMYFUNCTION("""COMPUTED_VALUE"""),"Rockefeller University Press TA 2020")</f>
        <v>Rockefeller University Press TA 2020</v>
      </c>
      <c r="B81" s="80">
        <f ca="1">SUMIFS(Articles!$AM:$AM, Articles!$H:$H, A81, Articles!$P:$P, "Yes")</f>
        <v>0</v>
      </c>
    </row>
    <row r="82" spans="1:2" ht="12.5">
      <c r="A82" s="9" t="str">
        <f ca="1">IFERROR(__xludf.DUMMYFUNCTION("""COMPUTED_VALUE"""),"Rockefeller University Press TA 2021")</f>
        <v>Rockefeller University Press TA 2021</v>
      </c>
      <c r="B82" s="80">
        <f ca="1">SUMIFS(Articles!$AM:$AM, Articles!$H:$H, A82, Articles!$P:$P, "Yes")</f>
        <v>4624.3559999999998</v>
      </c>
    </row>
    <row r="83" spans="1:2" ht="12.5">
      <c r="A83" s="9" t="str">
        <f ca="1">IFERROR(__xludf.DUMMYFUNCTION("""COMPUTED_VALUE"""),"Rockefeller University Press TA 2022")</f>
        <v>Rockefeller University Press TA 2022</v>
      </c>
      <c r="B83" s="80">
        <f ca="1">SUMIFS(Articles!$AM:$AM, Articles!$H:$H, A83, Articles!$P:$P, "Yes")</f>
        <v>0</v>
      </c>
    </row>
    <row r="84" spans="1:2" ht="12.5">
      <c r="A84" s="9" t="str">
        <f ca="1">IFERROR(__xludf.DUMMYFUNCTION("""COMPUTED_VALUE"""),"Rockefeller University Press TA 2023")</f>
        <v>Rockefeller University Press TA 2023</v>
      </c>
      <c r="B84" s="80">
        <f ca="1">SUMIFS(Articles!$AM:$AM, Articles!$H:$H, A84, Articles!$P:$P, "Yes")</f>
        <v>6000</v>
      </c>
    </row>
    <row r="85" spans="1:2" ht="12.5">
      <c r="A85" s="9" t="str">
        <f ca="1">IFERROR(__xludf.DUMMYFUNCTION("""COMPUTED_VALUE"""),"Rockefeller University Press TA 2024")</f>
        <v>Rockefeller University Press TA 2024</v>
      </c>
      <c r="B85" s="80">
        <f ca="1">SUMIFS(Articles!$AM:$AM, Articles!$H:$H, A85, Articles!$P:$P, "Yes")</f>
        <v>0</v>
      </c>
    </row>
    <row r="86" spans="1:2" ht="12.5">
      <c r="A86" s="9" t="str">
        <f ca="1">IFERROR(__xludf.DUMMYFUNCTION("""COMPUTED_VALUE"""),"Rockefeller University Press TA 2025")</f>
        <v>Rockefeller University Press TA 2025</v>
      </c>
      <c r="B86" s="80">
        <f ca="1">SUMIFS(Articles!$AM:$AM, Articles!$H:$H, A86, Articles!$P:$P, "Yes")</f>
        <v>0</v>
      </c>
    </row>
    <row r="87" spans="1:2" ht="12.5">
      <c r="A87" s="9" t="str">
        <f ca="1">IFERROR(__xludf.DUMMYFUNCTION("""COMPUTED_VALUE"""),"Royal Society TA 2023")</f>
        <v>Royal Society TA 2023</v>
      </c>
      <c r="B87" s="80">
        <f ca="1">SUMIFS(Articles!$AM:$AM, Articles!$H:$H, A87, Articles!$P:$P, "Yes")</f>
        <v>3360</v>
      </c>
    </row>
    <row r="88" spans="1:2" ht="12.5">
      <c r="A88" s="9" t="str">
        <f ca="1">IFERROR(__xludf.DUMMYFUNCTION("""COMPUTED_VALUE"""),"Royal Society TA 2024")</f>
        <v>Royal Society TA 2024</v>
      </c>
      <c r="B88" s="80">
        <f ca="1">SUMIFS(Articles!$AM:$AM, Articles!$H:$H, A88, Articles!$P:$P, "Yes")</f>
        <v>0</v>
      </c>
    </row>
    <row r="89" spans="1:2" ht="12.5">
      <c r="A89" s="9" t="str">
        <f ca="1">IFERROR(__xludf.DUMMYFUNCTION("""COMPUTED_VALUE"""),"Royal Society of Chemistry TA 2020")</f>
        <v>Royal Society of Chemistry TA 2020</v>
      </c>
      <c r="B89" s="80">
        <f ca="1">SUMIFS(Articles!$AM:$AM, Articles!$H:$H, A89, Articles!$P:$P, "Yes")</f>
        <v>10432.799999999999</v>
      </c>
    </row>
    <row r="90" spans="1:2" ht="12.5">
      <c r="A90" s="9" t="str">
        <f ca="1">IFERROR(__xludf.DUMMYFUNCTION("""COMPUTED_VALUE"""),"Royal Society of Chemistry TA 2021")</f>
        <v>Royal Society of Chemistry TA 2021</v>
      </c>
      <c r="B90" s="80">
        <f ca="1">SUMIFS(Articles!$AM:$AM, Articles!$H:$H, A90, Articles!$P:$P, "Yes")</f>
        <v>8942.4</v>
      </c>
    </row>
    <row r="91" spans="1:2" ht="12.5">
      <c r="A91" s="9" t="str">
        <f ca="1">IFERROR(__xludf.DUMMYFUNCTION("""COMPUTED_VALUE"""),"Royal Society of Chemistry TA 2022")</f>
        <v>Royal Society of Chemistry TA 2022</v>
      </c>
      <c r="B91" s="80">
        <f ca="1">SUMIFS(Articles!$AM:$AM, Articles!$H:$H, A91, Articles!$P:$P, "Yes")</f>
        <v>24000</v>
      </c>
    </row>
    <row r="92" spans="1:2" ht="12.5">
      <c r="A92" s="9" t="str">
        <f ca="1">IFERROR(__xludf.DUMMYFUNCTION("""COMPUTED_VALUE"""),"Royal Society of Chemistry TA 2023")</f>
        <v>Royal Society of Chemistry TA 2023</v>
      </c>
      <c r="B92" s="80">
        <f ca="1">SUMIFS(Articles!$AM:$AM, Articles!$H:$H, A92, Articles!$P:$P, "Yes")</f>
        <v>15900</v>
      </c>
    </row>
    <row r="93" spans="1:2" ht="12.5">
      <c r="A93" s="9" t="str">
        <f ca="1">IFERROR(__xludf.DUMMYFUNCTION("""COMPUTED_VALUE"""),"Royal Society of Chemistry TA 2024")</f>
        <v>Royal Society of Chemistry TA 2024</v>
      </c>
      <c r="B93" s="80">
        <f ca="1">SUMIFS(Articles!$AM:$AM, Articles!$H:$H, A93, Articles!$P:$P, "Yes")</f>
        <v>0</v>
      </c>
    </row>
    <row r="94" spans="1:2" ht="12.5">
      <c r="A94" s="9" t="str">
        <f ca="1">IFERROR(__xludf.DUMMYFUNCTION("""COMPUTED_VALUE"""),"Sage TA 2020")</f>
        <v>Sage TA 2020</v>
      </c>
      <c r="B94" s="80">
        <f ca="1">SUMIFS(Articles!$AM:$AM, Articles!$H:$H, A94, Articles!$P:$P, "Yes")</f>
        <v>23769.599999999999</v>
      </c>
    </row>
    <row r="95" spans="1:2" ht="12.5">
      <c r="A95" s="9" t="str">
        <f ca="1">IFERROR(__xludf.DUMMYFUNCTION("""COMPUTED_VALUE"""),"Sage TA 2021")</f>
        <v>Sage TA 2021</v>
      </c>
      <c r="B95" s="80">
        <f ca="1">SUMIFS(Articles!$AM:$AM, Articles!$H:$H, A95, Articles!$P:$P, "Yes")</f>
        <v>19800</v>
      </c>
    </row>
    <row r="96" spans="1:2" ht="12.5">
      <c r="A96" s="9" t="str">
        <f ca="1">IFERROR(__xludf.DUMMYFUNCTION("""COMPUTED_VALUE"""),"Sage TA 2022")</f>
        <v>Sage TA 2022</v>
      </c>
      <c r="B96" s="80">
        <f ca="1">SUMIFS(Articles!$AM:$AM, Articles!$H:$H, A96, Articles!$P:$P, "Yes")</f>
        <v>34759.595999999998</v>
      </c>
    </row>
    <row r="97" spans="1:2" ht="12.5">
      <c r="A97" s="9" t="str">
        <f ca="1">IFERROR(__xludf.DUMMYFUNCTION("""COMPUTED_VALUE"""),"Sage TA 2023")</f>
        <v>Sage TA 2023</v>
      </c>
      <c r="B97" s="80">
        <f ca="1">SUMIFS(Articles!$AM:$AM, Articles!$H:$H, A97, Articles!$P:$P, "Yes")</f>
        <v>11659.487999999999</v>
      </c>
    </row>
    <row r="98" spans="1:2" ht="12.5">
      <c r="A98" s="9" t="str">
        <f ca="1">IFERROR(__xludf.DUMMYFUNCTION("""COMPUTED_VALUE"""),"Sage TA 2024")</f>
        <v>Sage TA 2024</v>
      </c>
      <c r="B98" s="80">
        <f ca="1">SUMIFS(Articles!$AM:$AM, Articles!$H:$H, A98, Articles!$P:$P, "Yes")</f>
        <v>6291.7199999999993</v>
      </c>
    </row>
    <row r="99" spans="1:2" ht="12.5">
      <c r="A99" s="9" t="str">
        <f ca="1">IFERROR(__xludf.DUMMYFUNCTION("""COMPUTED_VALUE"""),"Society for Neuroscience TA 2023")</f>
        <v>Society for Neuroscience TA 2023</v>
      </c>
      <c r="B99" s="80">
        <f ca="1">SUMIFS(Articles!$AM:$AM, Articles!$H:$H, A99, Articles!$P:$P, "Yes")</f>
        <v>5766.8310000000001</v>
      </c>
    </row>
    <row r="100" spans="1:2" ht="12.5">
      <c r="A100" s="9" t="str">
        <f ca="1">IFERROR(__xludf.DUMMYFUNCTION("""COMPUTED_VALUE"""),"Society for Neuroscience TA 2024")</f>
        <v>Society for Neuroscience TA 2024</v>
      </c>
      <c r="B100" s="80">
        <f ca="1">SUMIFS(Articles!$AM:$AM, Articles!$H:$H, A100, Articles!$P:$P, "Yes")</f>
        <v>0</v>
      </c>
    </row>
    <row r="101" spans="1:2" ht="12.5">
      <c r="A101" s="9" t="str">
        <f ca="1">IFERROR(__xludf.DUMMYFUNCTION("""COMPUTED_VALUE"""),"Springer Compact 2016")</f>
        <v>Springer Compact 2016</v>
      </c>
      <c r="B101" s="80">
        <f ca="1">SUMIFS(Articles!$AM:$AM, Articles!$H:$H, A101, Articles!$P:$P, "Yes")</f>
        <v>0</v>
      </c>
    </row>
    <row r="102" spans="1:2" ht="12.5">
      <c r="A102" s="9" t="str">
        <f ca="1">IFERROR(__xludf.DUMMYFUNCTION("""COMPUTED_VALUE"""),"Springer Compact 2017")</f>
        <v>Springer Compact 2017</v>
      </c>
      <c r="B102" s="80">
        <f ca="1">SUMIFS(Articles!$AM:$AM, Articles!$H:$H, A102, Articles!$P:$P, "Yes")</f>
        <v>0</v>
      </c>
    </row>
    <row r="103" spans="1:2" ht="12.5">
      <c r="A103" s="9" t="str">
        <f ca="1">IFERROR(__xludf.DUMMYFUNCTION("""COMPUTED_VALUE"""),"Springer Compact 2018")</f>
        <v>Springer Compact 2018</v>
      </c>
      <c r="B103" s="80">
        <f ca="1">SUMIFS(Articles!$AM:$AM, Articles!$H:$H, A103, Articles!$P:$P, "Yes")</f>
        <v>0</v>
      </c>
    </row>
    <row r="104" spans="1:2" ht="12.5">
      <c r="A104" s="9" t="str">
        <f ca="1">IFERROR(__xludf.DUMMYFUNCTION("""COMPUTED_VALUE"""),"Springer Compact 2019")</f>
        <v>Springer Compact 2019</v>
      </c>
      <c r="B104" s="80">
        <f ca="1">SUMIFS(Articles!$AM:$AM, Articles!$H:$H, A104, Articles!$P:$P, "Yes")</f>
        <v>0</v>
      </c>
    </row>
    <row r="105" spans="1:2" ht="12.5">
      <c r="A105" s="9" t="str">
        <f ca="1">IFERROR(__xludf.DUMMYFUNCTION("""COMPUTED_VALUE"""),"Springer Compact 2020")</f>
        <v>Springer Compact 2020</v>
      </c>
      <c r="B105" s="80">
        <f ca="1">SUMIFS(Articles!$AM:$AM, Articles!$H:$H, A105, Articles!$P:$P, "Yes")</f>
        <v>0</v>
      </c>
    </row>
    <row r="106" spans="1:2" ht="12.5">
      <c r="A106" s="9" t="str">
        <f ca="1">IFERROR(__xludf.DUMMYFUNCTION("""COMPUTED_VALUE"""),"Springer Compact 2021")</f>
        <v>Springer Compact 2021</v>
      </c>
      <c r="B106" s="80">
        <f ca="1">SUMIFS(Articles!$AM:$AM, Articles!$H:$H, A106, Articles!$P:$P, "Yes")</f>
        <v>51573.362400000005</v>
      </c>
    </row>
    <row r="107" spans="1:2" ht="12.5">
      <c r="A107" s="9" t="str">
        <f ca="1">IFERROR(__xludf.DUMMYFUNCTION("""COMPUTED_VALUE"""),"Springer Compact 2022")</f>
        <v>Springer Compact 2022</v>
      </c>
      <c r="B107" s="80">
        <f ca="1">SUMIFS(Articles!$AM:$AM, Articles!$H:$H, A107, Articles!$P:$P, "Yes")</f>
        <v>44724.925439999985</v>
      </c>
    </row>
    <row r="108" spans="1:2" ht="12.5">
      <c r="A108" s="9" t="str">
        <f ca="1">IFERROR(__xludf.DUMMYFUNCTION("""COMPUTED_VALUE"""),"Springer Nature TA 2023")</f>
        <v>Springer Nature TA 2023</v>
      </c>
      <c r="B108" s="80">
        <f ca="1">SUMIFS(Articles!$AM:$AM, Articles!$H:$H, A108, Articles!$P:$P, "Yes")</f>
        <v>61040.936640000014</v>
      </c>
    </row>
    <row r="109" spans="1:2" ht="12.5">
      <c r="A109" s="9" t="str">
        <f ca="1">IFERROR(__xludf.DUMMYFUNCTION("""COMPUTED_VALUE"""),"Springer Nature TA 2024")</f>
        <v>Springer Nature TA 2024</v>
      </c>
      <c r="B109" s="80">
        <f ca="1">SUMIFS(Articles!$AM:$AM, Articles!$H:$H, A109, Articles!$P:$P, "Yes")</f>
        <v>2868</v>
      </c>
    </row>
    <row r="110" spans="1:2" ht="12.5">
      <c r="A110" s="9" t="str">
        <f ca="1">IFERROR(__xludf.DUMMYFUNCTION("""COMPUTED_VALUE"""),"Springer Nature TA 2025")</f>
        <v>Springer Nature TA 2025</v>
      </c>
      <c r="B110" s="80">
        <f ca="1">SUMIFS(Articles!$AM:$AM, Articles!$H:$H, A110, Articles!$P:$P, "Yes")</f>
        <v>0</v>
      </c>
    </row>
    <row r="111" spans="1:2" ht="12.5">
      <c r="A111" s="9" t="str">
        <f ca="1">IFERROR(__xludf.DUMMYFUNCTION("""COMPUTED_VALUE"""),"Taylor &amp; Francis TA 2021")</f>
        <v>Taylor &amp; Francis TA 2021</v>
      </c>
      <c r="B111" s="80">
        <f ca="1">SUMIFS(Articles!$AM:$AM, Articles!$H:$H, A111, Articles!$P:$P, "Yes")</f>
        <v>32407.199999999997</v>
      </c>
    </row>
    <row r="112" spans="1:2" ht="12.5">
      <c r="A112" s="9" t="str">
        <f ca="1">IFERROR(__xludf.DUMMYFUNCTION("""COMPUTED_VALUE"""),"Taylor &amp; Francis TA 2022")</f>
        <v>Taylor &amp; Francis TA 2022</v>
      </c>
      <c r="B112" s="80">
        <f ca="1">SUMIFS(Articles!$AM:$AM, Articles!$H:$H, A112, Articles!$P:$P, "Yes")</f>
        <v>49312.800000000003</v>
      </c>
    </row>
    <row r="113" spans="1:2" ht="12.5">
      <c r="A113" s="9" t="str">
        <f ca="1">IFERROR(__xludf.DUMMYFUNCTION("""COMPUTED_VALUE"""),"Taylor &amp; Francis TA 2023")</f>
        <v>Taylor &amp; Francis TA 2023</v>
      </c>
      <c r="B113" s="80">
        <f ca="1">SUMIFS(Articles!$AM:$AM, Articles!$H:$H, A113, Articles!$P:$P, "Yes")</f>
        <v>57006</v>
      </c>
    </row>
    <row r="114" spans="1:2" ht="12.5">
      <c r="A114" s="9" t="str">
        <f ca="1">IFERROR(__xludf.DUMMYFUNCTION("""COMPUTED_VALUE"""),"Taylor &amp; Francis TA 2024")</f>
        <v>Taylor &amp; Francis TA 2024</v>
      </c>
      <c r="B114" s="80">
        <f ca="1">SUMIFS(Articles!$AM:$AM, Articles!$H:$H, A114, Articles!$P:$P, "Yes")</f>
        <v>3168</v>
      </c>
    </row>
    <row r="115" spans="1:2" ht="12.5">
      <c r="A115" s="9" t="str">
        <f ca="1">IFERROR(__xludf.DUMMYFUNCTION("""COMPUTED_VALUE"""),"Taylor &amp; Francis TA 2025")</f>
        <v>Taylor &amp; Francis TA 2025</v>
      </c>
      <c r="B115" s="80">
        <f ca="1">SUMIFS(Articles!$AM:$AM, Articles!$H:$H, A115, Articles!$P:$P, "Yes")</f>
        <v>0</v>
      </c>
    </row>
    <row r="116" spans="1:2" ht="12.5">
      <c r="A116" s="9" t="str">
        <f ca="1">IFERROR(__xludf.DUMMYFUNCTION("""COMPUTED_VALUE"""),"Wiley TA 2020")</f>
        <v>Wiley TA 2020</v>
      </c>
      <c r="B116" s="80">
        <f ca="1">SUMIFS(Articles!$AM:$AM, Articles!$H:$H, A116, Articles!$P:$P, "Yes")</f>
        <v>100734</v>
      </c>
    </row>
    <row r="117" spans="1:2" ht="12.5">
      <c r="A117" s="9" t="str">
        <f ca="1">IFERROR(__xludf.DUMMYFUNCTION("""COMPUTED_VALUE"""),"Wiley TA 2021")</f>
        <v>Wiley TA 2021</v>
      </c>
      <c r="B117" s="80">
        <f ca="1">SUMIFS(Articles!$AM:$AM, Articles!$H:$H, A117, Articles!$P:$P, "Yes")</f>
        <v>71828.399999999994</v>
      </c>
    </row>
    <row r="118" spans="1:2" ht="12.5">
      <c r="A118" s="9" t="str">
        <f ca="1">IFERROR(__xludf.DUMMYFUNCTION("""COMPUTED_VALUE"""),"Wiley TA 2022")</f>
        <v>Wiley TA 2022</v>
      </c>
      <c r="B118" s="80">
        <f ca="1">SUMIFS(Articles!$AM:$AM, Articles!$H:$H, A118, Articles!$P:$P, "Yes")</f>
        <v>83714.399999999994</v>
      </c>
    </row>
    <row r="119" spans="1:2" ht="12.5">
      <c r="A119" s="9" t="str">
        <f ca="1">IFERROR(__xludf.DUMMYFUNCTION("""COMPUTED_VALUE"""),"Wiley TA 2023")</f>
        <v>Wiley TA 2023</v>
      </c>
      <c r="B119" s="80">
        <f ca="1">SUMIFS(Articles!$AM:$AM, Articles!$H:$H, A119, Articles!$P:$P, "Yes")</f>
        <v>117654.90000000001</v>
      </c>
    </row>
    <row r="120" spans="1:2" ht="12.5">
      <c r="A120" s="9" t="str">
        <f ca="1">IFERROR(__xludf.DUMMYFUNCTION("""COMPUTED_VALUE"""),"Wiley TA 2024")</f>
        <v>Wiley TA 2024</v>
      </c>
      <c r="B120" s="80">
        <f ca="1">SUMIFS(Articles!$AM:$AM, Articles!$H:$H, A120, Articles!$P:$P, "Yes")</f>
        <v>0</v>
      </c>
    </row>
    <row r="121" spans="1:2" ht="12.5">
      <c r="A121" s="9" t="str">
        <f ca="1">IFERROR(__xludf.DUMMYFUNCTION("""COMPUTED_VALUE"""),"Wiley TA 2025")</f>
        <v>Wiley TA 2025</v>
      </c>
      <c r="B121" s="80">
        <f ca="1">SUMIFS(Articles!$AM:$AM, Articles!$H:$H, A121, Articles!$P:$P, "Yes")</f>
        <v>0</v>
      </c>
    </row>
    <row r="122" spans="1:2" ht="12.5">
      <c r="A122" s="9"/>
      <c r="B122" s="80">
        <f>SUMIFS(Articles!$AM:$AM, Articles!$H:$H, A122, Articles!$P:$P, "Yes")</f>
        <v>0</v>
      </c>
    </row>
    <row r="123" spans="1:2" ht="12.5">
      <c r="A123" s="9"/>
      <c r="B123" s="80">
        <f>SUMIFS(Articles!$AM:$AM, Articles!$H:$H, A123, Articles!$P:$P, "Yes")</f>
        <v>0</v>
      </c>
    </row>
    <row r="124" spans="1:2" ht="12.5">
      <c r="A124" s="9"/>
      <c r="B124" s="80">
        <f>SUMIFS(Articles!$AM:$AM, Articles!$H:$H, A124, Articles!$P:$P, "Yes")</f>
        <v>0</v>
      </c>
    </row>
    <row r="125" spans="1:2" ht="12.5">
      <c r="A125" s="9"/>
      <c r="B125" s="80">
        <f>SUMIFS(Articles!$AM:$AM, Articles!$H:$H, A125, Articles!$P:$P, "Yes")</f>
        <v>0</v>
      </c>
    </row>
    <row r="126" spans="1:2" ht="12.5">
      <c r="A126" s="9"/>
      <c r="B126" s="80">
        <f>SUMIFS(Articles!$AM:$AM, Articles!$H:$H, A126, Articles!$P:$P, "Yes")</f>
        <v>0</v>
      </c>
    </row>
    <row r="127" spans="1:2" ht="12.5">
      <c r="A127" s="9"/>
      <c r="B127" s="80">
        <f>SUMIFS(Articles!$AM:$AM, Articles!$H:$H, A127, Articles!$P:$P, "Yes")</f>
        <v>0</v>
      </c>
    </row>
    <row r="128" spans="1:2" ht="12.5">
      <c r="A128" s="9"/>
      <c r="B128" s="80">
        <f>SUMIFS(Articles!$AM:$AM, Articles!$H:$H, A128, Articles!$P:$P, "Yes")</f>
        <v>0</v>
      </c>
    </row>
    <row r="129" spans="1:2" ht="12.5">
      <c r="A129" s="9"/>
      <c r="B129" s="80">
        <f>SUMIFS(Articles!$AM:$AM, Articles!$H:$H, A129, Articles!$P:$P, "Yes")</f>
        <v>0</v>
      </c>
    </row>
    <row r="130" spans="1:2" ht="12.5">
      <c r="A130" s="9"/>
      <c r="B130" s="80">
        <f>SUMIFS(Articles!$AM:$AM, Articles!$H:$H, A130, Articles!$P:$P, "Yes")</f>
        <v>0</v>
      </c>
    </row>
    <row r="131" spans="1:2" ht="12.5">
      <c r="A131" s="9"/>
      <c r="B131" s="80">
        <f>SUMIFS(Articles!$AM:$AM, Articles!$H:$H, A131, Articles!$P:$P, "Yes")</f>
        <v>0</v>
      </c>
    </row>
    <row r="132" spans="1:2" ht="12.5">
      <c r="A132" s="9"/>
      <c r="B132" s="80">
        <f>SUMIFS(Articles!$AM:$AM, Articles!$H:$H, A132, Articles!$P:$P, "Yes")</f>
        <v>0</v>
      </c>
    </row>
    <row r="133" spans="1:2" ht="12.5">
      <c r="A133" s="9"/>
      <c r="B133" s="80">
        <f>SUMIFS(Articles!$AM:$AM, Articles!$H:$H, A133, Articles!$P:$P, "Yes")</f>
        <v>0</v>
      </c>
    </row>
    <row r="134" spans="1:2" ht="12.5">
      <c r="A134" s="9"/>
      <c r="B134" s="80">
        <f>SUMIFS(Articles!$AM:$AM, Articles!$H:$H, A134, Articles!$P:$P, "Yes")</f>
        <v>0</v>
      </c>
    </row>
    <row r="135" spans="1:2" ht="12.5">
      <c r="A135" s="9"/>
      <c r="B135" s="80">
        <f>SUMIFS(Articles!$AM:$AM, Articles!$H:$H, A135, Articles!$P:$P, "Yes")</f>
        <v>0</v>
      </c>
    </row>
    <row r="136" spans="1:2" ht="12.5">
      <c r="A136" s="9"/>
      <c r="B136" s="80">
        <f>SUMIFS(Articles!$AM:$AM, Articles!$H:$H, A136, Articles!$P:$P, "Yes")</f>
        <v>0</v>
      </c>
    </row>
    <row r="137" spans="1:2" ht="12.5">
      <c r="A137" s="9"/>
      <c r="B137" s="80">
        <f>SUMIFS(Articles!$AM:$AM, Articles!$H:$H, A137, Articles!$P:$P, "Yes")</f>
        <v>0</v>
      </c>
    </row>
    <row r="138" spans="1:2" ht="12.5">
      <c r="A138" s="9"/>
      <c r="B138" s="80">
        <f>SUMIFS(Articles!$AM:$AM, Articles!$H:$H, A138, Articles!$P:$P, "Yes")</f>
        <v>0</v>
      </c>
    </row>
    <row r="139" spans="1:2" ht="12.5">
      <c r="A139" s="9"/>
      <c r="B139" s="80">
        <f>SUMIFS(Articles!$AM:$AM, Articles!$H:$H, A139, Articles!$P:$P, "Yes")</f>
        <v>0</v>
      </c>
    </row>
    <row r="140" spans="1:2" ht="12.5">
      <c r="A140" s="9"/>
      <c r="B140" s="80">
        <f>SUMIFS(Articles!$AM:$AM, Articles!$H:$H, A140, Articles!$P:$P, "Yes")</f>
        <v>0</v>
      </c>
    </row>
    <row r="141" spans="1:2" ht="12.5">
      <c r="A141" s="9"/>
      <c r="B141" s="80">
        <f>SUMIFS(Articles!$AM:$AM, Articles!$H:$H, A141, Articles!$P:$P, "Yes")</f>
        <v>0</v>
      </c>
    </row>
    <row r="142" spans="1:2" ht="12.5">
      <c r="A142" s="9"/>
      <c r="B142" s="80">
        <f>SUMIFS(Articles!$AM:$AM, Articles!$H:$H, A142, Articles!$P:$P, "Yes")</f>
        <v>0</v>
      </c>
    </row>
    <row r="143" spans="1:2" ht="12.5">
      <c r="A143" s="9"/>
      <c r="B143" s="80">
        <f>SUMIFS(Articles!$AM:$AM, Articles!$H:$H, A143, Articles!$P:$P, "Yes")</f>
        <v>0</v>
      </c>
    </row>
    <row r="144" spans="1:2" ht="12.5">
      <c r="A144" s="9"/>
      <c r="B144" s="80">
        <f>SUMIFS(Articles!$AM:$AM, Articles!$H:$H, A144, Articles!$P:$P, "Yes")</f>
        <v>0</v>
      </c>
    </row>
    <row r="145" spans="1:2" ht="12.5">
      <c r="A145" s="9"/>
      <c r="B145" s="80">
        <f>SUMIFS(Articles!$AM:$AM, Articles!$H:$H, A145, Articles!$P:$P, "Yes")</f>
        <v>0</v>
      </c>
    </row>
    <row r="146" spans="1:2" ht="12.5">
      <c r="A146" s="9"/>
      <c r="B146" s="80">
        <f>SUMIFS(Articles!$AM:$AM, Articles!$H:$H, A146, Articles!$P:$P, "Yes")</f>
        <v>0</v>
      </c>
    </row>
    <row r="147" spans="1:2" ht="12.5">
      <c r="A147" s="9"/>
      <c r="B147" s="80">
        <f>SUMIFS(Articles!$AM:$AM, Articles!$H:$H, A147, Articles!$P:$P, "Yes")</f>
        <v>0</v>
      </c>
    </row>
    <row r="148" spans="1:2" ht="12.5">
      <c r="A148" s="9"/>
      <c r="B148" s="80">
        <f>SUMIFS(Articles!$AM:$AM, Articles!$H:$H, A148, Articles!$P:$P, "Yes")</f>
        <v>0</v>
      </c>
    </row>
    <row r="149" spans="1:2" ht="12.5">
      <c r="A149" s="9"/>
      <c r="B149" s="80">
        <f>SUMIFS(Articles!$AM:$AM, Articles!$H:$H, A149, Articles!$P:$P, "Yes")</f>
        <v>0</v>
      </c>
    </row>
    <row r="150" spans="1:2" ht="12.5">
      <c r="A150" s="9"/>
      <c r="B150" s="80">
        <f>SUMIFS(Articles!$AM:$AM, Articles!$H:$H, A150, Articles!$P:$P, "Yes")</f>
        <v>0</v>
      </c>
    </row>
    <row r="151" spans="1:2" ht="12.5">
      <c r="A151" s="9"/>
      <c r="B151" s="80">
        <f>SUMIFS(Articles!$AM:$AM, Articles!$H:$H, A151, Articles!$P:$P, "Yes")</f>
        <v>0</v>
      </c>
    </row>
    <row r="152" spans="1:2" ht="12.5">
      <c r="A152" s="9"/>
      <c r="B152" s="80">
        <f>SUMIFS(Articles!$AM:$AM, Articles!$H:$H, A152, Articles!$P:$P, "Yes")</f>
        <v>0</v>
      </c>
    </row>
    <row r="153" spans="1:2" ht="12.5">
      <c r="A153" s="9"/>
      <c r="B153" s="80">
        <f>SUMIFS(Articles!$AM:$AM, Articles!$H:$H, A153, Articles!$P:$P, "Yes")</f>
        <v>0</v>
      </c>
    </row>
    <row r="154" spans="1:2" ht="12.5">
      <c r="A154" s="9"/>
      <c r="B154" s="80">
        <f>SUMIFS(Articles!$AM:$AM, Articles!$H:$H, A154, Articles!$P:$P, "Yes")</f>
        <v>0</v>
      </c>
    </row>
    <row r="155" spans="1:2" ht="12.5">
      <c r="A155" s="9"/>
      <c r="B155" s="80">
        <f>SUMIFS(Articles!$AM:$AM, Articles!$H:$H, A155, Articles!$P:$P, "Yes")</f>
        <v>0</v>
      </c>
    </row>
    <row r="156" spans="1:2" ht="12.5">
      <c r="A156" s="9"/>
      <c r="B156" s="80">
        <f>SUMIFS(Articles!$AM:$AM, Articles!$H:$H, A156, Articles!$P:$P, "Yes")</f>
        <v>0</v>
      </c>
    </row>
    <row r="157" spans="1:2" ht="12.5">
      <c r="A157" s="9"/>
      <c r="B157" s="80">
        <f>SUMIFS(Articles!$AM:$AM, Articles!$H:$H, A157, Articles!$P:$P, "Yes")</f>
        <v>0</v>
      </c>
    </row>
    <row r="158" spans="1:2" ht="12.5">
      <c r="A158" s="9"/>
      <c r="B158" s="80">
        <f>SUMIFS(Articles!$AM:$AM, Articles!$H:$H, A158, Articles!$P:$P, "Yes")</f>
        <v>0</v>
      </c>
    </row>
    <row r="159" spans="1:2" ht="12.5">
      <c r="A159" s="9"/>
      <c r="B159" s="80">
        <f>SUMIFS(Articles!$AM:$AM, Articles!$H:$H, A159, Articles!$P:$P, "Yes")</f>
        <v>0</v>
      </c>
    </row>
    <row r="160" spans="1:2" ht="12.5">
      <c r="A160" s="9"/>
      <c r="B160" s="80">
        <f>SUMIFS(Articles!$AM:$AM, Articles!$H:$H, A160, Articles!$P:$P, "Yes")</f>
        <v>0</v>
      </c>
    </row>
    <row r="161" spans="1:2" ht="12.5">
      <c r="A161" s="9"/>
      <c r="B161" s="80">
        <f>SUMIFS(Articles!$AM:$AM, Articles!$H:$H, A161, Articles!$P:$P, "Yes")</f>
        <v>0</v>
      </c>
    </row>
    <row r="162" spans="1:2" ht="12.5">
      <c r="A162" s="9"/>
      <c r="B162" s="80">
        <f>SUMIFS(Articles!$AM:$AM, Articles!$H:$H, A162, Articles!$P:$P, "Yes")</f>
        <v>0</v>
      </c>
    </row>
    <row r="163" spans="1:2" ht="12.5">
      <c r="A163" s="9"/>
      <c r="B163" s="80">
        <f>SUMIFS(Articles!$AM:$AM, Articles!$H:$H, A163, Articles!$P:$P, "Yes")</f>
        <v>0</v>
      </c>
    </row>
    <row r="164" spans="1:2" ht="12.5">
      <c r="A164" s="9"/>
      <c r="B164" s="80">
        <f>SUMIFS(Articles!$AM:$AM, Articles!$H:$H, A164, Articles!$P:$P, "Yes")</f>
        <v>0</v>
      </c>
    </row>
    <row r="165" spans="1:2" ht="12.5">
      <c r="A165" s="9"/>
      <c r="B165" s="80">
        <f>SUMIFS(Articles!$AM:$AM, Articles!$H:$H, A165, Articles!$P:$P, "Yes")</f>
        <v>0</v>
      </c>
    </row>
    <row r="166" spans="1:2" ht="12.5">
      <c r="A166" s="9"/>
      <c r="B166" s="80">
        <f>SUMIFS(Articles!$AM:$AM, Articles!$H:$H, A166, Articles!$P:$P, "Yes")</f>
        <v>0</v>
      </c>
    </row>
    <row r="167" spans="1:2" ht="12.5">
      <c r="A167" s="9"/>
      <c r="B167" s="80">
        <f>SUMIFS(Articles!$AM:$AM, Articles!$H:$H, A167, Articles!$P:$P, "Yes")</f>
        <v>0</v>
      </c>
    </row>
    <row r="168" spans="1:2" ht="12.5">
      <c r="A168" s="9"/>
      <c r="B168" s="80">
        <f>SUMIFS(Articles!$AM:$AM, Articles!$H:$H, A168, Articles!$P:$P, "Yes")</f>
        <v>0</v>
      </c>
    </row>
    <row r="169" spans="1:2" ht="12.5">
      <c r="A169" s="9"/>
      <c r="B169" s="80">
        <f>SUMIFS(Articles!$AM:$AM, Articles!$H:$H, A169, Articles!$P:$P, "Yes")</f>
        <v>0</v>
      </c>
    </row>
    <row r="170" spans="1:2" ht="12.5">
      <c r="A170" s="9"/>
      <c r="B170" s="80">
        <f>SUMIFS(Articles!$AM:$AM, Articles!$H:$H, A170, Articles!$P:$P, "Yes")</f>
        <v>0</v>
      </c>
    </row>
    <row r="171" spans="1:2" ht="12.5">
      <c r="A171" s="9"/>
      <c r="B171" s="80">
        <f>SUMIFS(Articles!$AM:$AM, Articles!$H:$H, A171, Articles!$P:$P, "Yes")</f>
        <v>0</v>
      </c>
    </row>
    <row r="172" spans="1:2" ht="12.5">
      <c r="A172" s="9"/>
      <c r="B172" s="80">
        <f>SUMIFS(Articles!$AM:$AM, Articles!$H:$H, A172, Articles!$P:$P, "Yes")</f>
        <v>0</v>
      </c>
    </row>
    <row r="173" spans="1:2" ht="12.5">
      <c r="A173" s="9"/>
    </row>
    <row r="174" spans="1:2" ht="12.5">
      <c r="A174" s="9"/>
    </row>
    <row r="175" spans="1:2" ht="12.5">
      <c r="A175" s="9"/>
    </row>
    <row r="176" spans="1:2" ht="12.5">
      <c r="A176" s="9"/>
    </row>
    <row r="177" spans="1:1" ht="12.5">
      <c r="A177" s="9"/>
    </row>
    <row r="178" spans="1:1" ht="12.5">
      <c r="A178" s="9"/>
    </row>
    <row r="179" spans="1:1" ht="12.5">
      <c r="A179" s="9"/>
    </row>
    <row r="180" spans="1:1" ht="12.5">
      <c r="A180" s="9"/>
    </row>
    <row r="181" spans="1:1" ht="12.5">
      <c r="A181" s="9"/>
    </row>
    <row r="182" spans="1:1" ht="12.5">
      <c r="A182" s="9"/>
    </row>
    <row r="183" spans="1:1" ht="12.5">
      <c r="A183" s="9"/>
    </row>
    <row r="184" spans="1:1" ht="12.5">
      <c r="A184" s="9"/>
    </row>
    <row r="185" spans="1:1" ht="12.5">
      <c r="A185" s="9"/>
    </row>
    <row r="186" spans="1:1" ht="12.5">
      <c r="A186" s="9"/>
    </row>
    <row r="187" spans="1:1" ht="12.5">
      <c r="A187" s="9"/>
    </row>
    <row r="188" spans="1:1" ht="12.5">
      <c r="A188" s="9"/>
    </row>
    <row r="189" spans="1:1" ht="12.5">
      <c r="A189" s="9"/>
    </row>
    <row r="190" spans="1:1" ht="12.5">
      <c r="A190" s="9"/>
    </row>
    <row r="191" spans="1:1" ht="12.5">
      <c r="A191" s="9"/>
    </row>
    <row r="192" spans="1:1" ht="12.5">
      <c r="A192" s="9"/>
    </row>
    <row r="193" spans="1:1" ht="12.5">
      <c r="A193" s="9"/>
    </row>
    <row r="194" spans="1:1" ht="12.5">
      <c r="A194" s="9"/>
    </row>
    <row r="195" spans="1:1" ht="12.5">
      <c r="A195" s="9"/>
    </row>
    <row r="196" spans="1:1" ht="12.5">
      <c r="A196" s="9"/>
    </row>
    <row r="197" spans="1:1" ht="12.5">
      <c r="A197" s="9"/>
    </row>
    <row r="198" spans="1:1" ht="12.5">
      <c r="A198" s="9"/>
    </row>
    <row r="199" spans="1:1" ht="12.5">
      <c r="A199" s="9"/>
    </row>
    <row r="200" spans="1:1" ht="12.5">
      <c r="A200" s="9"/>
    </row>
    <row r="201" spans="1:1" ht="12.5">
      <c r="A201" s="9"/>
    </row>
    <row r="202" spans="1:1" ht="12.5">
      <c r="A202" s="9"/>
    </row>
    <row r="203" spans="1:1" ht="12.5">
      <c r="A203" s="9"/>
    </row>
    <row r="204" spans="1:1" ht="12.5">
      <c r="A204" s="9"/>
    </row>
    <row r="205" spans="1:1" ht="12.5">
      <c r="A205" s="9"/>
    </row>
    <row r="206" spans="1:1" ht="12.5">
      <c r="A206" s="9"/>
    </row>
    <row r="207" spans="1:1" ht="12.5">
      <c r="A207" s="9"/>
    </row>
    <row r="208" spans="1:1" ht="12.5">
      <c r="A208" s="9"/>
    </row>
    <row r="209" spans="1:1" ht="12.5">
      <c r="A209" s="9"/>
    </row>
    <row r="210" spans="1:1" ht="12.5">
      <c r="A210" s="9"/>
    </row>
    <row r="211" spans="1:1" ht="12.5">
      <c r="A211" s="9"/>
    </row>
    <row r="212" spans="1:1" ht="12.5">
      <c r="A212" s="9"/>
    </row>
    <row r="213" spans="1:1" ht="12.5">
      <c r="A213" s="9"/>
    </row>
    <row r="214" spans="1:1" ht="12.5">
      <c r="A214" s="9"/>
    </row>
    <row r="215" spans="1:1" ht="12.5">
      <c r="A215" s="9"/>
    </row>
    <row r="216" spans="1:1" ht="12.5">
      <c r="A216" s="9"/>
    </row>
    <row r="217" spans="1:1" ht="12.5">
      <c r="A217" s="9"/>
    </row>
    <row r="218" spans="1:1" ht="12.5">
      <c r="A218" s="9"/>
    </row>
    <row r="219" spans="1:1" ht="12.5">
      <c r="A219" s="9"/>
    </row>
    <row r="220" spans="1:1" ht="12.5">
      <c r="A220" s="9"/>
    </row>
    <row r="221" spans="1:1" ht="12.5">
      <c r="A221" s="9"/>
    </row>
    <row r="222" spans="1:1" ht="12.5">
      <c r="A222" s="9"/>
    </row>
    <row r="223" spans="1:1" ht="12.5">
      <c r="A223" s="9"/>
    </row>
    <row r="224" spans="1:1" ht="12.5">
      <c r="A224" s="9"/>
    </row>
    <row r="225" spans="1:1" ht="12.5">
      <c r="A225" s="9"/>
    </row>
    <row r="226" spans="1:1" ht="12.5">
      <c r="A226" s="9"/>
    </row>
    <row r="227" spans="1:1" ht="12.5">
      <c r="A227" s="9"/>
    </row>
    <row r="228" spans="1:1" ht="12.5">
      <c r="A228" s="9"/>
    </row>
    <row r="229" spans="1:1" ht="12.5">
      <c r="A229" s="9"/>
    </row>
    <row r="230" spans="1:1" ht="12.5">
      <c r="A230" s="9"/>
    </row>
    <row r="231" spans="1:1" ht="12.5">
      <c r="A231" s="9"/>
    </row>
    <row r="232" spans="1:1" ht="12.5">
      <c r="A232" s="9"/>
    </row>
    <row r="233" spans="1:1" ht="12.5">
      <c r="A233" s="9"/>
    </row>
    <row r="234" spans="1:1" ht="12.5">
      <c r="A234" s="9"/>
    </row>
    <row r="235" spans="1:1" ht="12.5">
      <c r="A235" s="9"/>
    </row>
    <row r="236" spans="1:1" ht="12.5">
      <c r="A236" s="9"/>
    </row>
    <row r="237" spans="1:1" ht="12.5">
      <c r="A237" s="9"/>
    </row>
    <row r="238" spans="1:1" ht="12.5">
      <c r="A238" s="9"/>
    </row>
    <row r="239" spans="1:1" ht="12.5">
      <c r="A239" s="9"/>
    </row>
    <row r="240" spans="1:1" ht="12.5">
      <c r="A240" s="9"/>
    </row>
    <row r="241" spans="1:1" ht="12.5">
      <c r="A241" s="9"/>
    </row>
    <row r="242" spans="1:1" ht="12.5">
      <c r="A242" s="9"/>
    </row>
    <row r="243" spans="1:1" ht="12.5">
      <c r="A243" s="9"/>
    </row>
    <row r="244" spans="1:1" ht="12.5">
      <c r="A244" s="9"/>
    </row>
    <row r="245" spans="1:1" ht="12.5">
      <c r="A245" s="9"/>
    </row>
    <row r="246" spans="1:1" ht="12.5">
      <c r="A246" s="9"/>
    </row>
    <row r="247" spans="1:1" ht="12.5">
      <c r="A247" s="9"/>
    </row>
    <row r="248" spans="1:1" ht="12.5">
      <c r="A248" s="9"/>
    </row>
    <row r="249" spans="1:1" ht="12.5">
      <c r="A249" s="9"/>
    </row>
    <row r="250" spans="1:1" ht="12.5">
      <c r="A250" s="9"/>
    </row>
    <row r="251" spans="1:1" ht="12.5">
      <c r="A251" s="9"/>
    </row>
    <row r="252" spans="1:1" ht="12.5">
      <c r="A252" s="9"/>
    </row>
    <row r="253" spans="1:1" ht="12.5">
      <c r="A253" s="9"/>
    </row>
    <row r="254" spans="1:1" ht="12.5">
      <c r="A254" s="9"/>
    </row>
    <row r="255" spans="1:1" ht="12.5">
      <c r="A255" s="9"/>
    </row>
    <row r="256" spans="1:1" ht="12.5">
      <c r="A256" s="9"/>
    </row>
    <row r="257" spans="1:1" ht="12.5">
      <c r="A257" s="9"/>
    </row>
    <row r="258" spans="1:1" ht="12.5">
      <c r="A258" s="9"/>
    </row>
    <row r="259" spans="1:1" ht="12.5">
      <c r="A259" s="9"/>
    </row>
    <row r="260" spans="1:1" ht="12.5">
      <c r="A260" s="9"/>
    </row>
    <row r="261" spans="1:1" ht="12.5">
      <c r="A261" s="9"/>
    </row>
    <row r="262" spans="1:1" ht="12.5">
      <c r="A262" s="9"/>
    </row>
    <row r="263" spans="1:1" ht="12.5">
      <c r="A263" s="9"/>
    </row>
    <row r="264" spans="1:1" ht="12.5">
      <c r="A264" s="9"/>
    </row>
    <row r="265" spans="1:1" ht="12.5">
      <c r="A265" s="9"/>
    </row>
    <row r="266" spans="1:1" ht="12.5">
      <c r="A266" s="9"/>
    </row>
    <row r="267" spans="1:1" ht="12.5">
      <c r="A267" s="9"/>
    </row>
    <row r="268" spans="1:1" ht="12.5">
      <c r="A268" s="9"/>
    </row>
    <row r="269" spans="1:1" ht="12.5">
      <c r="A269" s="9"/>
    </row>
    <row r="270" spans="1:1" ht="12.5">
      <c r="A270" s="9"/>
    </row>
    <row r="271" spans="1:1" ht="12.5">
      <c r="A271" s="9"/>
    </row>
    <row r="272" spans="1:1" ht="12.5">
      <c r="A272" s="9"/>
    </row>
    <row r="273" spans="1:1" ht="12.5">
      <c r="A273" s="9"/>
    </row>
    <row r="274" spans="1:1" ht="12.5">
      <c r="A274" s="9"/>
    </row>
    <row r="275" spans="1:1" ht="12.5">
      <c r="A275" s="9"/>
    </row>
    <row r="276" spans="1:1" ht="12.5">
      <c r="A276" s="9"/>
    </row>
    <row r="277" spans="1:1" ht="12.5">
      <c r="A277" s="9"/>
    </row>
    <row r="278" spans="1:1" ht="12.5">
      <c r="A278" s="9"/>
    </row>
    <row r="279" spans="1:1" ht="12.5">
      <c r="A279" s="9"/>
    </row>
    <row r="280" spans="1:1" ht="12.5">
      <c r="A280" s="9"/>
    </row>
    <row r="281" spans="1:1" ht="12.5">
      <c r="A281" s="9"/>
    </row>
    <row r="282" spans="1:1" ht="12.5">
      <c r="A282" s="9"/>
    </row>
    <row r="283" spans="1:1" ht="12.5">
      <c r="A283" s="9"/>
    </row>
    <row r="284" spans="1:1" ht="12.5">
      <c r="A284" s="9"/>
    </row>
    <row r="285" spans="1:1" ht="12.5">
      <c r="A285" s="9"/>
    </row>
    <row r="286" spans="1:1" ht="12.5">
      <c r="A286" s="9"/>
    </row>
    <row r="287" spans="1:1" ht="12.5">
      <c r="A287" s="9"/>
    </row>
    <row r="288" spans="1:1" ht="12.5">
      <c r="A288" s="9"/>
    </row>
    <row r="289" spans="1:1" ht="12.5">
      <c r="A289" s="9"/>
    </row>
    <row r="290" spans="1:1" ht="12.5">
      <c r="A290" s="9"/>
    </row>
    <row r="291" spans="1:1" ht="12.5">
      <c r="A291" s="9"/>
    </row>
    <row r="292" spans="1:1" ht="12.5">
      <c r="A292" s="9"/>
    </row>
    <row r="293" spans="1:1" ht="12.5">
      <c r="A293" s="9"/>
    </row>
    <row r="294" spans="1:1" ht="12.5">
      <c r="A294" s="9"/>
    </row>
    <row r="295" spans="1:1" ht="12.5">
      <c r="A295" s="9"/>
    </row>
    <row r="296" spans="1:1" ht="12.5">
      <c r="A296" s="9"/>
    </row>
    <row r="297" spans="1:1" ht="12.5">
      <c r="A297" s="9"/>
    </row>
    <row r="298" spans="1:1" ht="12.5">
      <c r="A298" s="9"/>
    </row>
    <row r="299" spans="1:1" ht="12.5">
      <c r="A299" s="9"/>
    </row>
    <row r="300" spans="1:1" ht="12.5">
      <c r="A300" s="9"/>
    </row>
    <row r="301" spans="1:1" ht="12.5">
      <c r="A301" s="9"/>
    </row>
    <row r="302" spans="1:1" ht="12.5">
      <c r="A302" s="9"/>
    </row>
    <row r="303" spans="1:1" ht="12.5">
      <c r="A303" s="9"/>
    </row>
    <row r="304" spans="1:1" ht="12.5">
      <c r="A304" s="9"/>
    </row>
    <row r="305" spans="1:1" ht="12.5">
      <c r="A305" s="9"/>
    </row>
    <row r="306" spans="1:1" ht="12.5">
      <c r="A306" s="9"/>
    </row>
    <row r="307" spans="1:1" ht="12.5">
      <c r="A307" s="9"/>
    </row>
    <row r="308" spans="1:1" ht="12.5">
      <c r="A308" s="9"/>
    </row>
    <row r="309" spans="1:1" ht="12.5">
      <c r="A309" s="9"/>
    </row>
    <row r="310" spans="1:1" ht="12.5">
      <c r="A310" s="9"/>
    </row>
    <row r="311" spans="1:1" ht="12.5">
      <c r="A311" s="9"/>
    </row>
    <row r="312" spans="1:1" ht="12.5">
      <c r="A312" s="9"/>
    </row>
    <row r="313" spans="1:1" ht="12.5">
      <c r="A313" s="9"/>
    </row>
    <row r="314" spans="1:1" ht="12.5">
      <c r="A314" s="9"/>
    </row>
    <row r="315" spans="1:1" ht="12.5">
      <c r="A315" s="9"/>
    </row>
    <row r="316" spans="1:1" ht="12.5">
      <c r="A316" s="9"/>
    </row>
    <row r="317" spans="1:1" ht="12.5">
      <c r="A317" s="9"/>
    </row>
    <row r="318" spans="1:1" ht="12.5">
      <c r="A318" s="9"/>
    </row>
    <row r="319" spans="1:1" ht="12.5">
      <c r="A319" s="9"/>
    </row>
    <row r="320" spans="1:1" ht="12.5">
      <c r="A320" s="9"/>
    </row>
    <row r="321" spans="1:1" ht="12.5">
      <c r="A321" s="9"/>
    </row>
    <row r="322" spans="1:1" ht="12.5">
      <c r="A322" s="9"/>
    </row>
    <row r="323" spans="1:1" ht="12.5">
      <c r="A323" s="9"/>
    </row>
    <row r="324" spans="1:1" ht="12.5">
      <c r="A324" s="9"/>
    </row>
    <row r="325" spans="1:1" ht="12.5">
      <c r="A325" s="9"/>
    </row>
    <row r="326" spans="1:1" ht="12.5">
      <c r="A326" s="9"/>
    </row>
    <row r="327" spans="1:1" ht="12.5">
      <c r="A327" s="9"/>
    </row>
    <row r="328" spans="1:1" ht="12.5">
      <c r="A328" s="9"/>
    </row>
    <row r="329" spans="1:1" ht="12.5">
      <c r="A329" s="9"/>
    </row>
    <row r="330" spans="1:1" ht="12.5">
      <c r="A330" s="9"/>
    </row>
    <row r="331" spans="1:1" ht="12.5">
      <c r="A331" s="9"/>
    </row>
    <row r="332" spans="1:1" ht="12.5">
      <c r="A332" s="9"/>
    </row>
    <row r="333" spans="1:1" ht="12.5">
      <c r="A333" s="9"/>
    </row>
    <row r="334" spans="1:1" ht="12.5">
      <c r="A334" s="9"/>
    </row>
    <row r="335" spans="1:1" ht="12.5">
      <c r="A335" s="9"/>
    </row>
    <row r="336" spans="1:1" ht="12.5">
      <c r="A336" s="9"/>
    </row>
    <row r="337" spans="1:1" ht="12.5">
      <c r="A337" s="9"/>
    </row>
    <row r="338" spans="1:1" ht="12.5">
      <c r="A338" s="9"/>
    </row>
    <row r="339" spans="1:1" ht="12.5">
      <c r="A339" s="9"/>
    </row>
    <row r="340" spans="1:1" ht="12.5">
      <c r="A340" s="9"/>
    </row>
    <row r="341" spans="1:1" ht="12.5">
      <c r="A341" s="9"/>
    </row>
    <row r="342" spans="1:1" ht="12.5">
      <c r="A342" s="9"/>
    </row>
    <row r="343" spans="1:1" ht="12.5">
      <c r="A343" s="9"/>
    </row>
    <row r="344" spans="1:1" ht="12.5">
      <c r="A344" s="9"/>
    </row>
    <row r="345" spans="1:1" ht="12.5">
      <c r="A345" s="9"/>
    </row>
    <row r="346" spans="1:1" ht="12.5">
      <c r="A346" s="9"/>
    </row>
    <row r="347" spans="1:1" ht="12.5">
      <c r="A347" s="9"/>
    </row>
    <row r="348" spans="1:1" ht="12.5">
      <c r="A348" s="9"/>
    </row>
    <row r="349" spans="1:1" ht="12.5">
      <c r="A349" s="9"/>
    </row>
    <row r="350" spans="1:1" ht="12.5">
      <c r="A350" s="9"/>
    </row>
    <row r="351" spans="1:1" ht="12.5">
      <c r="A351" s="9"/>
    </row>
    <row r="352" spans="1:1" ht="12.5">
      <c r="A352" s="9"/>
    </row>
    <row r="353" spans="1:1" ht="12.5">
      <c r="A353" s="9"/>
    </row>
    <row r="354" spans="1:1" ht="12.5">
      <c r="A354" s="9"/>
    </row>
    <row r="355" spans="1:1" ht="12.5">
      <c r="A355" s="9"/>
    </row>
    <row r="356" spans="1:1" ht="12.5">
      <c r="A356" s="9"/>
    </row>
    <row r="357" spans="1:1" ht="12.5">
      <c r="A357" s="9"/>
    </row>
    <row r="358" spans="1:1" ht="12.5">
      <c r="A358" s="9"/>
    </row>
    <row r="359" spans="1:1" ht="12.5">
      <c r="A359" s="9"/>
    </row>
    <row r="360" spans="1:1" ht="12.5">
      <c r="A360" s="9"/>
    </row>
    <row r="361" spans="1:1" ht="12.5">
      <c r="A361" s="9"/>
    </row>
    <row r="362" spans="1:1" ht="12.5">
      <c r="A362" s="9"/>
    </row>
    <row r="363" spans="1:1" ht="12.5">
      <c r="A363" s="9"/>
    </row>
    <row r="364" spans="1:1" ht="12.5">
      <c r="A364" s="9"/>
    </row>
    <row r="365" spans="1:1" ht="12.5">
      <c r="A365" s="9"/>
    </row>
    <row r="366" spans="1:1" ht="12.5">
      <c r="A366" s="9"/>
    </row>
    <row r="367" spans="1:1" ht="12.5">
      <c r="A367" s="9"/>
    </row>
    <row r="368" spans="1:1" ht="12.5">
      <c r="A368" s="9"/>
    </row>
    <row r="369" spans="1:1" ht="12.5">
      <c r="A369" s="9"/>
    </row>
    <row r="370" spans="1:1" ht="12.5">
      <c r="A370" s="9"/>
    </row>
    <row r="371" spans="1:1" ht="12.5">
      <c r="A371" s="9"/>
    </row>
    <row r="372" spans="1:1" ht="12.5">
      <c r="A372" s="9"/>
    </row>
    <row r="373" spans="1:1" ht="12.5">
      <c r="A373" s="9"/>
    </row>
    <row r="374" spans="1:1" ht="12.5">
      <c r="A374" s="9"/>
    </row>
    <row r="375" spans="1:1" ht="12.5">
      <c r="A375" s="9"/>
    </row>
    <row r="376" spans="1:1" ht="12.5">
      <c r="A376" s="9"/>
    </row>
    <row r="377" spans="1:1" ht="12.5">
      <c r="A377" s="9"/>
    </row>
    <row r="378" spans="1:1" ht="12.5">
      <c r="A378" s="9"/>
    </row>
    <row r="379" spans="1:1" ht="12.5">
      <c r="A379" s="9"/>
    </row>
    <row r="380" spans="1:1" ht="12.5">
      <c r="A380" s="9"/>
    </row>
    <row r="381" spans="1:1" ht="12.5">
      <c r="A381" s="9"/>
    </row>
    <row r="382" spans="1:1" ht="12.5">
      <c r="A382" s="9"/>
    </row>
    <row r="383" spans="1:1" ht="12.5">
      <c r="A383" s="9"/>
    </row>
    <row r="384" spans="1:1" ht="12.5">
      <c r="A384" s="9"/>
    </row>
    <row r="385" spans="1:1" ht="12.5">
      <c r="A385" s="9"/>
    </row>
    <row r="386" spans="1:1" ht="12.5">
      <c r="A386" s="9"/>
    </row>
    <row r="387" spans="1:1" ht="12.5">
      <c r="A387" s="9"/>
    </row>
    <row r="388" spans="1:1" ht="12.5">
      <c r="A388" s="9"/>
    </row>
    <row r="389" spans="1:1" ht="12.5">
      <c r="A389" s="9"/>
    </row>
    <row r="390" spans="1:1" ht="12.5">
      <c r="A390" s="9"/>
    </row>
    <row r="391" spans="1:1" ht="12.5">
      <c r="A391" s="9"/>
    </row>
    <row r="392" spans="1:1" ht="12.5">
      <c r="A392" s="9"/>
    </row>
    <row r="393" spans="1:1" ht="12.5">
      <c r="A393" s="9"/>
    </row>
    <row r="394" spans="1:1" ht="12.5">
      <c r="A394" s="9"/>
    </row>
    <row r="395" spans="1:1" ht="12.5">
      <c r="A395" s="9"/>
    </row>
    <row r="396" spans="1:1" ht="12.5">
      <c r="A396" s="9"/>
    </row>
    <row r="397" spans="1:1" ht="12.5">
      <c r="A397" s="9"/>
    </row>
    <row r="398" spans="1:1" ht="12.5">
      <c r="A398" s="9"/>
    </row>
    <row r="399" spans="1:1" ht="12.5">
      <c r="A399" s="9"/>
    </row>
    <row r="400" spans="1:1" ht="12.5">
      <c r="A400" s="9"/>
    </row>
    <row r="401" spans="1:1" ht="12.5">
      <c r="A401" s="9"/>
    </row>
    <row r="402" spans="1:1" ht="12.5">
      <c r="A402" s="9"/>
    </row>
    <row r="403" spans="1:1" ht="12.5">
      <c r="A403" s="9"/>
    </row>
    <row r="404" spans="1:1" ht="12.5">
      <c r="A404" s="9"/>
    </row>
    <row r="405" spans="1:1" ht="12.5">
      <c r="A405" s="9"/>
    </row>
    <row r="406" spans="1:1" ht="12.5">
      <c r="A406" s="9"/>
    </row>
    <row r="407" spans="1:1" ht="12.5">
      <c r="A407" s="9"/>
    </row>
    <row r="408" spans="1:1" ht="12.5">
      <c r="A408" s="9"/>
    </row>
    <row r="409" spans="1:1" ht="12.5">
      <c r="A409" s="9"/>
    </row>
    <row r="410" spans="1:1" ht="12.5">
      <c r="A410" s="9"/>
    </row>
    <row r="411" spans="1:1" ht="12.5">
      <c r="A411" s="9"/>
    </row>
    <row r="412" spans="1:1" ht="12.5">
      <c r="A412" s="9"/>
    </row>
    <row r="413" spans="1:1" ht="12.5">
      <c r="A413" s="9"/>
    </row>
    <row r="414" spans="1:1" ht="12.5">
      <c r="A414" s="9"/>
    </row>
    <row r="415" spans="1:1" ht="12.5">
      <c r="A415" s="9"/>
    </row>
    <row r="416" spans="1:1" ht="12.5">
      <c r="A416" s="9"/>
    </row>
    <row r="417" spans="1:1" ht="12.5">
      <c r="A417" s="9"/>
    </row>
    <row r="418" spans="1:1" ht="12.5">
      <c r="A418" s="9"/>
    </row>
    <row r="419" spans="1:1" ht="12.5">
      <c r="A419" s="9"/>
    </row>
    <row r="420" spans="1:1" ht="12.5">
      <c r="A420" s="9"/>
    </row>
    <row r="421" spans="1:1" ht="12.5">
      <c r="A421" s="9"/>
    </row>
    <row r="422" spans="1:1" ht="12.5">
      <c r="A422" s="9"/>
    </row>
    <row r="423" spans="1:1" ht="12.5">
      <c r="A423" s="9"/>
    </row>
    <row r="424" spans="1:1" ht="12.5">
      <c r="A424" s="9"/>
    </row>
    <row r="425" spans="1:1" ht="12.5">
      <c r="A425" s="9"/>
    </row>
    <row r="426" spans="1:1" ht="12.5">
      <c r="A426" s="9"/>
    </row>
    <row r="427" spans="1:1" ht="12.5">
      <c r="A427" s="9"/>
    </row>
    <row r="428" spans="1:1" ht="12.5">
      <c r="A428" s="9"/>
    </row>
    <row r="429" spans="1:1" ht="12.5">
      <c r="A429" s="9"/>
    </row>
    <row r="430" spans="1:1" ht="12.5">
      <c r="A430" s="9"/>
    </row>
    <row r="431" spans="1:1" ht="12.5">
      <c r="A431" s="9"/>
    </row>
    <row r="432" spans="1:1" ht="12.5">
      <c r="A432" s="9"/>
    </row>
    <row r="433" spans="1:1" ht="12.5">
      <c r="A433" s="9"/>
    </row>
    <row r="434" spans="1:1" ht="12.5">
      <c r="A434" s="9"/>
    </row>
    <row r="435" spans="1:1" ht="12.5">
      <c r="A435" s="9"/>
    </row>
    <row r="436" spans="1:1" ht="12.5">
      <c r="A436" s="9"/>
    </row>
    <row r="437" spans="1:1" ht="12.5">
      <c r="A437" s="9"/>
    </row>
    <row r="438" spans="1:1" ht="12.5">
      <c r="A438" s="9"/>
    </row>
    <row r="439" spans="1:1" ht="12.5">
      <c r="A439" s="9"/>
    </row>
    <row r="440" spans="1:1" ht="12.5">
      <c r="A440" s="9"/>
    </row>
    <row r="441" spans="1:1" ht="12.5">
      <c r="A441" s="9"/>
    </row>
    <row r="442" spans="1:1" ht="12.5">
      <c r="A442" s="9"/>
    </row>
    <row r="443" spans="1:1" ht="12.5">
      <c r="A443" s="9"/>
    </row>
    <row r="444" spans="1:1" ht="12.5">
      <c r="A444" s="9"/>
    </row>
    <row r="445" spans="1:1" ht="12.5">
      <c r="A445" s="9"/>
    </row>
    <row r="446" spans="1:1" ht="12.5">
      <c r="A446" s="9"/>
    </row>
    <row r="447" spans="1:1" ht="12.5">
      <c r="A447" s="9"/>
    </row>
    <row r="448" spans="1:1" ht="12.5">
      <c r="A448" s="9"/>
    </row>
    <row r="449" spans="1:1" ht="12.5">
      <c r="A449" s="9"/>
    </row>
    <row r="450" spans="1:1" ht="12.5">
      <c r="A450" s="9"/>
    </row>
    <row r="451" spans="1:1" ht="12.5">
      <c r="A451" s="9"/>
    </row>
    <row r="452" spans="1:1" ht="12.5">
      <c r="A452" s="9"/>
    </row>
    <row r="453" spans="1:1" ht="12.5">
      <c r="A453" s="9"/>
    </row>
    <row r="454" spans="1:1" ht="12.5">
      <c r="A454" s="9"/>
    </row>
    <row r="455" spans="1:1" ht="12.5">
      <c r="A455" s="9"/>
    </row>
    <row r="456" spans="1:1" ht="12.5">
      <c r="A456" s="9"/>
    </row>
    <row r="457" spans="1:1" ht="12.5">
      <c r="A457" s="9"/>
    </row>
    <row r="458" spans="1:1" ht="12.5">
      <c r="A458" s="9"/>
    </row>
    <row r="459" spans="1:1" ht="12.5">
      <c r="A459" s="9"/>
    </row>
    <row r="460" spans="1:1" ht="12.5">
      <c r="A460" s="9"/>
    </row>
    <row r="461" spans="1:1" ht="12.5">
      <c r="A461" s="9"/>
    </row>
    <row r="462" spans="1:1" ht="12.5">
      <c r="A462" s="9"/>
    </row>
    <row r="463" spans="1:1" ht="12.5">
      <c r="A463" s="9"/>
    </row>
    <row r="464" spans="1:1" ht="12.5">
      <c r="A464" s="9"/>
    </row>
    <row r="465" spans="1:1" ht="12.5">
      <c r="A465" s="9"/>
    </row>
    <row r="466" spans="1:1" ht="12.5">
      <c r="A466" s="9"/>
    </row>
    <row r="467" spans="1:1" ht="12.5">
      <c r="A467" s="9"/>
    </row>
    <row r="468" spans="1:1" ht="12.5">
      <c r="A468" s="9"/>
    </row>
    <row r="469" spans="1:1" ht="12.5">
      <c r="A469" s="9"/>
    </row>
    <row r="470" spans="1:1" ht="12.5">
      <c r="A470" s="9"/>
    </row>
    <row r="471" spans="1:1" ht="12.5">
      <c r="A471" s="9"/>
    </row>
    <row r="472" spans="1:1" ht="12.5">
      <c r="A472" s="9"/>
    </row>
    <row r="473" spans="1:1" ht="12.5">
      <c r="A473" s="9"/>
    </row>
    <row r="474" spans="1:1" ht="12.5">
      <c r="A474" s="9"/>
    </row>
    <row r="475" spans="1:1" ht="12.5">
      <c r="A475" s="9"/>
    </row>
    <row r="476" spans="1:1" ht="12.5">
      <c r="A476" s="9"/>
    </row>
    <row r="477" spans="1:1" ht="12.5">
      <c r="A477" s="9"/>
    </row>
    <row r="478" spans="1:1" ht="12.5">
      <c r="A478" s="9"/>
    </row>
    <row r="479" spans="1:1" ht="12.5">
      <c r="A479" s="9"/>
    </row>
    <row r="480" spans="1:1" ht="12.5">
      <c r="A480" s="9"/>
    </row>
    <row r="481" spans="1:1" ht="12.5">
      <c r="A481" s="9"/>
    </row>
    <row r="482" spans="1:1" ht="12.5">
      <c r="A482" s="9"/>
    </row>
    <row r="483" spans="1:1" ht="12.5">
      <c r="A483" s="9"/>
    </row>
    <row r="484" spans="1:1" ht="12.5">
      <c r="A484" s="9"/>
    </row>
    <row r="485" spans="1:1" ht="12.5">
      <c r="A485" s="9"/>
    </row>
    <row r="486" spans="1:1" ht="12.5">
      <c r="A486" s="9"/>
    </row>
    <row r="487" spans="1:1" ht="12.5">
      <c r="A487" s="9"/>
    </row>
    <row r="488" spans="1:1" ht="12.5">
      <c r="A488" s="9"/>
    </row>
    <row r="489" spans="1:1" ht="12.5">
      <c r="A489" s="9"/>
    </row>
    <row r="490" spans="1:1" ht="12.5">
      <c r="A490" s="9"/>
    </row>
    <row r="491" spans="1:1" ht="12.5">
      <c r="A491" s="9"/>
    </row>
    <row r="492" spans="1:1" ht="12.5">
      <c r="A492" s="9"/>
    </row>
    <row r="493" spans="1:1" ht="12.5">
      <c r="A493" s="9"/>
    </row>
    <row r="494" spans="1:1" ht="12.5">
      <c r="A494" s="9"/>
    </row>
    <row r="495" spans="1:1" ht="12.5">
      <c r="A495" s="9"/>
    </row>
    <row r="496" spans="1:1" ht="12.5">
      <c r="A496" s="9"/>
    </row>
    <row r="497" spans="1:1" ht="12.5">
      <c r="A497" s="9"/>
    </row>
    <row r="498" spans="1:1" ht="12.5">
      <c r="A498" s="9"/>
    </row>
    <row r="499" spans="1:1" ht="12.5">
      <c r="A499" s="9"/>
    </row>
    <row r="500" spans="1:1" ht="12.5">
      <c r="A500" s="9"/>
    </row>
    <row r="501" spans="1:1" ht="12.5">
      <c r="A501" s="9"/>
    </row>
    <row r="502" spans="1:1" ht="12.5">
      <c r="A502" s="9"/>
    </row>
    <row r="503" spans="1:1" ht="12.5">
      <c r="A503" s="9"/>
    </row>
    <row r="504" spans="1:1" ht="12.5">
      <c r="A504" s="9"/>
    </row>
    <row r="505" spans="1:1" ht="12.5">
      <c r="A505" s="9"/>
    </row>
    <row r="506" spans="1:1" ht="12.5">
      <c r="A506" s="9"/>
    </row>
    <row r="507" spans="1:1" ht="12.5">
      <c r="A507" s="9"/>
    </row>
    <row r="508" spans="1:1" ht="12.5">
      <c r="A508" s="9"/>
    </row>
    <row r="509" spans="1:1" ht="12.5">
      <c r="A509" s="9"/>
    </row>
    <row r="510" spans="1:1" ht="12.5">
      <c r="A510" s="9"/>
    </row>
    <row r="511" spans="1:1" ht="12.5">
      <c r="A511" s="9"/>
    </row>
    <row r="512" spans="1:1" ht="12.5">
      <c r="A512" s="9"/>
    </row>
    <row r="513" spans="1:1" ht="12.5">
      <c r="A513" s="9"/>
    </row>
    <row r="514" spans="1:1" ht="12.5">
      <c r="A514" s="9"/>
    </row>
    <row r="515" spans="1:1" ht="12.5">
      <c r="A515" s="9"/>
    </row>
    <row r="516" spans="1:1" ht="12.5">
      <c r="A516" s="9"/>
    </row>
    <row r="517" spans="1:1" ht="12.5">
      <c r="A517" s="9"/>
    </row>
    <row r="518" spans="1:1" ht="12.5">
      <c r="A518" s="9"/>
    </row>
    <row r="519" spans="1:1" ht="12.5">
      <c r="A519" s="9"/>
    </row>
    <row r="520" spans="1:1" ht="12.5">
      <c r="A520" s="9"/>
    </row>
    <row r="521" spans="1:1" ht="12.5">
      <c r="A521" s="9"/>
    </row>
    <row r="522" spans="1:1" ht="12.5">
      <c r="A522" s="9"/>
    </row>
    <row r="523" spans="1:1" ht="12.5">
      <c r="A523" s="9"/>
    </row>
    <row r="524" spans="1:1" ht="12.5">
      <c r="A524" s="9"/>
    </row>
    <row r="525" spans="1:1" ht="12.5">
      <c r="A525" s="9"/>
    </row>
    <row r="526" spans="1:1" ht="12.5">
      <c r="A526" s="9"/>
    </row>
    <row r="527" spans="1:1" ht="12.5">
      <c r="A527" s="9"/>
    </row>
    <row r="528" spans="1:1" ht="12.5">
      <c r="A528" s="9"/>
    </row>
    <row r="529" spans="1:1" ht="12.5">
      <c r="A529" s="9"/>
    </row>
    <row r="530" spans="1:1" ht="12.5">
      <c r="A530" s="9"/>
    </row>
    <row r="531" spans="1:1" ht="12.5">
      <c r="A531" s="9"/>
    </row>
    <row r="532" spans="1:1" ht="12.5">
      <c r="A532" s="9"/>
    </row>
    <row r="533" spans="1:1" ht="12.5">
      <c r="A533" s="9"/>
    </row>
    <row r="534" spans="1:1" ht="12.5">
      <c r="A534" s="9"/>
    </row>
    <row r="535" spans="1:1" ht="12.5">
      <c r="A535" s="9"/>
    </row>
    <row r="536" spans="1:1" ht="12.5">
      <c r="A536" s="9"/>
    </row>
    <row r="537" spans="1:1" ht="12.5">
      <c r="A537" s="9"/>
    </row>
    <row r="538" spans="1:1" ht="12.5">
      <c r="A538" s="9"/>
    </row>
    <row r="539" spans="1:1" ht="12.5">
      <c r="A539" s="9"/>
    </row>
    <row r="540" spans="1:1" ht="12.5">
      <c r="A540" s="9"/>
    </row>
    <row r="541" spans="1:1" ht="12.5">
      <c r="A541" s="9"/>
    </row>
    <row r="542" spans="1:1" ht="12.5">
      <c r="A542" s="9"/>
    </row>
    <row r="543" spans="1:1" ht="12.5">
      <c r="A543" s="9"/>
    </row>
    <row r="544" spans="1:1" ht="12.5">
      <c r="A544" s="9"/>
    </row>
    <row r="545" spans="1:1" ht="12.5">
      <c r="A545" s="9"/>
    </row>
    <row r="546" spans="1:1" ht="12.5">
      <c r="A546" s="9"/>
    </row>
    <row r="547" spans="1:1" ht="12.5">
      <c r="A547" s="9"/>
    </row>
    <row r="548" spans="1:1" ht="12.5">
      <c r="A548" s="9"/>
    </row>
    <row r="549" spans="1:1" ht="12.5">
      <c r="A549" s="9"/>
    </row>
    <row r="550" spans="1:1" ht="12.5">
      <c r="A550" s="9"/>
    </row>
    <row r="551" spans="1:1" ht="12.5">
      <c r="A551" s="9"/>
    </row>
    <row r="552" spans="1:1" ht="12.5">
      <c r="A552" s="9"/>
    </row>
    <row r="553" spans="1:1" ht="12.5">
      <c r="A553" s="9"/>
    </row>
    <row r="554" spans="1:1" ht="12.5">
      <c r="A554" s="9"/>
    </row>
    <row r="555" spans="1:1" ht="12.5">
      <c r="A555" s="9"/>
    </row>
    <row r="556" spans="1:1" ht="12.5">
      <c r="A556" s="9"/>
    </row>
    <row r="557" spans="1:1" ht="12.5">
      <c r="A557" s="9"/>
    </row>
    <row r="558" spans="1:1" ht="12.5">
      <c r="A558" s="9"/>
    </row>
    <row r="559" spans="1:1" ht="12.5">
      <c r="A559" s="9"/>
    </row>
    <row r="560" spans="1:1" ht="12.5">
      <c r="A560" s="9"/>
    </row>
    <row r="561" spans="1:1" ht="12.5">
      <c r="A561" s="9"/>
    </row>
    <row r="562" spans="1:1" ht="12.5">
      <c r="A562" s="9"/>
    </row>
    <row r="563" spans="1:1" ht="12.5">
      <c r="A563" s="9"/>
    </row>
    <row r="564" spans="1:1" ht="12.5">
      <c r="A564" s="9"/>
    </row>
    <row r="565" spans="1:1" ht="12.5">
      <c r="A565" s="9"/>
    </row>
    <row r="566" spans="1:1" ht="12.5">
      <c r="A566" s="9"/>
    </row>
    <row r="567" spans="1:1" ht="12.5">
      <c r="A567" s="9"/>
    </row>
    <row r="568" spans="1:1" ht="12.5">
      <c r="A568" s="9"/>
    </row>
    <row r="569" spans="1:1" ht="12.5">
      <c r="A569" s="9"/>
    </row>
    <row r="570" spans="1:1" ht="12.5">
      <c r="A570" s="9"/>
    </row>
    <row r="571" spans="1:1" ht="12.5">
      <c r="A571" s="9"/>
    </row>
    <row r="572" spans="1:1" ht="12.5">
      <c r="A572" s="9"/>
    </row>
    <row r="573" spans="1:1" ht="12.5">
      <c r="A573" s="9"/>
    </row>
    <row r="574" spans="1:1" ht="12.5">
      <c r="A574" s="9"/>
    </row>
    <row r="575" spans="1:1" ht="12.5">
      <c r="A575" s="9"/>
    </row>
    <row r="576" spans="1:1" ht="12.5">
      <c r="A576" s="9"/>
    </row>
    <row r="577" spans="1:1" ht="12.5">
      <c r="A577" s="9"/>
    </row>
    <row r="578" spans="1:1" ht="12.5">
      <c r="A578" s="9"/>
    </row>
    <row r="579" spans="1:1" ht="12.5">
      <c r="A579" s="9"/>
    </row>
    <row r="580" spans="1:1" ht="12.5">
      <c r="A580" s="9"/>
    </row>
    <row r="581" spans="1:1" ht="12.5">
      <c r="A581" s="9"/>
    </row>
    <row r="582" spans="1:1" ht="12.5">
      <c r="A582" s="9"/>
    </row>
    <row r="583" spans="1:1" ht="12.5">
      <c r="A583" s="9"/>
    </row>
    <row r="584" spans="1:1" ht="12.5">
      <c r="A584" s="9"/>
    </row>
    <row r="585" spans="1:1" ht="12.5">
      <c r="A585" s="9"/>
    </row>
    <row r="586" spans="1:1" ht="12.5">
      <c r="A586" s="9"/>
    </row>
    <row r="587" spans="1:1" ht="12.5">
      <c r="A587" s="9"/>
    </row>
    <row r="588" spans="1:1" ht="12.5">
      <c r="A588" s="9"/>
    </row>
    <row r="589" spans="1:1" ht="12.5">
      <c r="A589" s="9"/>
    </row>
    <row r="590" spans="1:1" ht="12.5">
      <c r="A590" s="9"/>
    </row>
    <row r="591" spans="1:1" ht="12.5">
      <c r="A591" s="9"/>
    </row>
    <row r="592" spans="1:1" ht="12.5">
      <c r="A592" s="9"/>
    </row>
    <row r="593" spans="1:1" ht="12.5">
      <c r="A593" s="9"/>
    </row>
    <row r="594" spans="1:1" ht="12.5">
      <c r="A594" s="9"/>
    </row>
    <row r="595" spans="1:1" ht="12.5">
      <c r="A595" s="9"/>
    </row>
    <row r="596" spans="1:1" ht="12.5">
      <c r="A596" s="9"/>
    </row>
    <row r="597" spans="1:1" ht="12.5">
      <c r="A597" s="9"/>
    </row>
    <row r="598" spans="1:1" ht="12.5">
      <c r="A598" s="9"/>
    </row>
    <row r="599" spans="1:1" ht="12.5">
      <c r="A599" s="9"/>
    </row>
    <row r="600" spans="1:1" ht="12.5">
      <c r="A600" s="9"/>
    </row>
    <row r="601" spans="1:1" ht="12.5">
      <c r="A601" s="9"/>
    </row>
    <row r="602" spans="1:1" ht="12.5">
      <c r="A602" s="9"/>
    </row>
    <row r="603" spans="1:1" ht="12.5">
      <c r="A603" s="9"/>
    </row>
    <row r="604" spans="1:1" ht="12.5">
      <c r="A604" s="9"/>
    </row>
    <row r="605" spans="1:1" ht="12.5">
      <c r="A605" s="9"/>
    </row>
    <row r="606" spans="1:1" ht="12.5">
      <c r="A606" s="9"/>
    </row>
    <row r="607" spans="1:1" ht="12.5">
      <c r="A607" s="9"/>
    </row>
    <row r="608" spans="1:1" ht="12.5">
      <c r="A608" s="9"/>
    </row>
    <row r="609" spans="1:1" ht="12.5">
      <c r="A609" s="9"/>
    </row>
    <row r="610" spans="1:1" ht="12.5">
      <c r="A610" s="9"/>
    </row>
    <row r="611" spans="1:1" ht="12.5">
      <c r="A611" s="9"/>
    </row>
    <row r="612" spans="1:1" ht="12.5">
      <c r="A612" s="9"/>
    </row>
    <row r="613" spans="1:1" ht="12.5">
      <c r="A613" s="9"/>
    </row>
    <row r="614" spans="1:1" ht="12.5">
      <c r="A614" s="9"/>
    </row>
    <row r="615" spans="1:1" ht="12.5">
      <c r="A615" s="9"/>
    </row>
    <row r="616" spans="1:1" ht="12.5">
      <c r="A616" s="9"/>
    </row>
    <row r="617" spans="1:1" ht="12.5">
      <c r="A617" s="9"/>
    </row>
    <row r="618" spans="1:1" ht="12.5">
      <c r="A618" s="9"/>
    </row>
    <row r="619" spans="1:1" ht="12.5">
      <c r="A619" s="9"/>
    </row>
    <row r="620" spans="1:1" ht="12.5">
      <c r="A620" s="9"/>
    </row>
    <row r="621" spans="1:1" ht="12.5">
      <c r="A621" s="9"/>
    </row>
    <row r="622" spans="1:1" ht="12.5">
      <c r="A622" s="9"/>
    </row>
    <row r="623" spans="1:1" ht="12.5">
      <c r="A623" s="9"/>
    </row>
    <row r="624" spans="1:1" ht="12.5">
      <c r="A624" s="9"/>
    </row>
    <row r="625" spans="1:1" ht="12.5">
      <c r="A625" s="9"/>
    </row>
    <row r="626" spans="1:1" ht="12.5">
      <c r="A626" s="9"/>
    </row>
    <row r="627" spans="1:1" ht="12.5">
      <c r="A627" s="9"/>
    </row>
    <row r="628" spans="1:1" ht="12.5">
      <c r="A628" s="9"/>
    </row>
    <row r="629" spans="1:1" ht="12.5">
      <c r="A629" s="9"/>
    </row>
    <row r="630" spans="1:1" ht="12.5">
      <c r="A630" s="9"/>
    </row>
    <row r="631" spans="1:1" ht="12.5">
      <c r="A631" s="9"/>
    </row>
    <row r="632" spans="1:1" ht="12.5">
      <c r="A632" s="9"/>
    </row>
    <row r="633" spans="1:1" ht="12.5">
      <c r="A633" s="9"/>
    </row>
    <row r="634" spans="1:1" ht="12.5">
      <c r="A634" s="9"/>
    </row>
    <row r="635" spans="1:1" ht="12.5">
      <c r="A635" s="9"/>
    </row>
    <row r="636" spans="1:1" ht="12.5">
      <c r="A636" s="9"/>
    </row>
    <row r="637" spans="1:1" ht="12.5">
      <c r="A637" s="9"/>
    </row>
    <row r="638" spans="1:1" ht="12.5">
      <c r="A638" s="9"/>
    </row>
    <row r="639" spans="1:1" ht="12.5">
      <c r="A639" s="9"/>
    </row>
    <row r="640" spans="1:1" ht="12.5">
      <c r="A640" s="9"/>
    </row>
    <row r="641" spans="1:1" ht="12.5">
      <c r="A641" s="9"/>
    </row>
    <row r="642" spans="1:1" ht="12.5">
      <c r="A642" s="9"/>
    </row>
    <row r="643" spans="1:1" ht="12.5">
      <c r="A643" s="9"/>
    </row>
    <row r="644" spans="1:1" ht="12.5">
      <c r="A644" s="9"/>
    </row>
    <row r="645" spans="1:1" ht="12.5">
      <c r="A645" s="9"/>
    </row>
    <row r="646" spans="1:1" ht="12.5">
      <c r="A646" s="9"/>
    </row>
    <row r="647" spans="1:1" ht="12.5">
      <c r="A647" s="9"/>
    </row>
    <row r="648" spans="1:1" ht="12.5">
      <c r="A648" s="9"/>
    </row>
    <row r="649" spans="1:1" ht="12.5">
      <c r="A649" s="9"/>
    </row>
    <row r="650" spans="1:1" ht="12.5">
      <c r="A650" s="9"/>
    </row>
    <row r="651" spans="1:1" ht="12.5">
      <c r="A651" s="9"/>
    </row>
    <row r="652" spans="1:1" ht="12.5">
      <c r="A652" s="9"/>
    </row>
    <row r="653" spans="1:1" ht="12.5">
      <c r="A653" s="9"/>
    </row>
    <row r="654" spans="1:1" ht="12.5">
      <c r="A654" s="9"/>
    </row>
    <row r="655" spans="1:1" ht="12.5">
      <c r="A655" s="9"/>
    </row>
    <row r="656" spans="1:1" ht="12.5">
      <c r="A656" s="9"/>
    </row>
    <row r="657" spans="1:1" ht="12.5">
      <c r="A657" s="9"/>
    </row>
    <row r="658" spans="1:1" ht="12.5">
      <c r="A658" s="9"/>
    </row>
    <row r="659" spans="1:1" ht="12.5">
      <c r="A659" s="9"/>
    </row>
    <row r="660" spans="1:1" ht="12.5">
      <c r="A660" s="9"/>
    </row>
    <row r="661" spans="1:1" ht="12.5">
      <c r="A661" s="9"/>
    </row>
    <row r="662" spans="1:1" ht="12.5">
      <c r="A662" s="9"/>
    </row>
    <row r="663" spans="1:1" ht="12.5">
      <c r="A663" s="9"/>
    </row>
    <row r="664" spans="1:1" ht="12.5">
      <c r="A664" s="9"/>
    </row>
    <row r="665" spans="1:1" ht="12.5">
      <c r="A665" s="9"/>
    </row>
    <row r="666" spans="1:1" ht="12.5">
      <c r="A666" s="9"/>
    </row>
    <row r="667" spans="1:1" ht="12.5">
      <c r="A667" s="9"/>
    </row>
    <row r="668" spans="1:1" ht="12.5">
      <c r="A668" s="9"/>
    </row>
    <row r="669" spans="1:1" ht="12.5">
      <c r="A669" s="9"/>
    </row>
    <row r="670" spans="1:1" ht="12.5">
      <c r="A670" s="9"/>
    </row>
    <row r="671" spans="1:1" ht="12.5">
      <c r="A671" s="9"/>
    </row>
    <row r="672" spans="1:1" ht="12.5">
      <c r="A672" s="9"/>
    </row>
    <row r="673" spans="1:1" ht="12.5">
      <c r="A673" s="9"/>
    </row>
    <row r="674" spans="1:1" ht="12.5">
      <c r="A674" s="9"/>
    </row>
    <row r="675" spans="1:1" ht="12.5">
      <c r="A675" s="9"/>
    </row>
    <row r="676" spans="1:1" ht="12.5">
      <c r="A676" s="9"/>
    </row>
    <row r="677" spans="1:1" ht="12.5">
      <c r="A677" s="9"/>
    </row>
    <row r="678" spans="1:1" ht="12.5">
      <c r="A678" s="9"/>
    </row>
    <row r="679" spans="1:1" ht="12.5">
      <c r="A679" s="9"/>
    </row>
    <row r="680" spans="1:1" ht="12.5">
      <c r="A680" s="9"/>
    </row>
    <row r="681" spans="1:1" ht="12.5">
      <c r="A681" s="9"/>
    </row>
    <row r="682" spans="1:1" ht="12.5">
      <c r="A682" s="9"/>
    </row>
    <row r="683" spans="1:1" ht="12.5">
      <c r="A683" s="9"/>
    </row>
    <row r="684" spans="1:1" ht="12.5">
      <c r="A684" s="9"/>
    </row>
    <row r="685" spans="1:1" ht="12.5">
      <c r="A685" s="9"/>
    </row>
    <row r="686" spans="1:1" ht="12.5">
      <c r="A686" s="9"/>
    </row>
    <row r="687" spans="1:1" ht="12.5">
      <c r="A687" s="9"/>
    </row>
    <row r="688" spans="1:1" ht="12.5">
      <c r="A688" s="9"/>
    </row>
    <row r="689" spans="1:1" ht="12.5">
      <c r="A689" s="9"/>
    </row>
    <row r="690" spans="1:1" ht="12.5">
      <c r="A690" s="9"/>
    </row>
    <row r="691" spans="1:1" ht="12.5">
      <c r="A691" s="9"/>
    </row>
    <row r="692" spans="1:1" ht="12.5">
      <c r="A692" s="9"/>
    </row>
    <row r="693" spans="1:1" ht="12.5">
      <c r="A693" s="9"/>
    </row>
    <row r="694" spans="1:1" ht="12.5">
      <c r="A694" s="9"/>
    </row>
    <row r="695" spans="1:1" ht="12.5">
      <c r="A695" s="9"/>
    </row>
    <row r="696" spans="1:1" ht="12.5">
      <c r="A696" s="9"/>
    </row>
    <row r="697" spans="1:1" ht="12.5">
      <c r="A697" s="9"/>
    </row>
    <row r="698" spans="1:1" ht="12.5">
      <c r="A698" s="9"/>
    </row>
    <row r="699" spans="1:1" ht="12.5">
      <c r="A699" s="9"/>
    </row>
    <row r="700" spans="1:1" ht="12.5">
      <c r="A700" s="9"/>
    </row>
    <row r="701" spans="1:1" ht="12.5">
      <c r="A701" s="9"/>
    </row>
    <row r="702" spans="1:1" ht="12.5">
      <c r="A702" s="9"/>
    </row>
    <row r="703" spans="1:1" ht="12.5">
      <c r="A703" s="9"/>
    </row>
    <row r="704" spans="1:1" ht="12.5">
      <c r="A704" s="9"/>
    </row>
    <row r="705" spans="1:1" ht="12.5">
      <c r="A705" s="9"/>
    </row>
    <row r="706" spans="1:1" ht="12.5">
      <c r="A706" s="9"/>
    </row>
    <row r="707" spans="1:1" ht="12.5">
      <c r="A707" s="9"/>
    </row>
    <row r="708" spans="1:1" ht="12.5">
      <c r="A708" s="9"/>
    </row>
    <row r="709" spans="1:1" ht="12.5">
      <c r="A709" s="9"/>
    </row>
    <row r="710" spans="1:1" ht="12.5">
      <c r="A710" s="9"/>
    </row>
    <row r="711" spans="1:1" ht="12.5">
      <c r="A711" s="9"/>
    </row>
    <row r="712" spans="1:1" ht="12.5">
      <c r="A712" s="9"/>
    </row>
    <row r="713" spans="1:1" ht="12.5">
      <c r="A713" s="9"/>
    </row>
    <row r="714" spans="1:1" ht="12.5">
      <c r="A714" s="9"/>
    </row>
    <row r="715" spans="1:1" ht="12.5">
      <c r="A715" s="9"/>
    </row>
    <row r="716" spans="1:1" ht="12.5">
      <c r="A716" s="9"/>
    </row>
    <row r="717" spans="1:1" ht="12.5">
      <c r="A717" s="9"/>
    </row>
    <row r="718" spans="1:1" ht="12.5">
      <c r="A718" s="9"/>
    </row>
    <row r="719" spans="1:1" ht="12.5">
      <c r="A719" s="9"/>
    </row>
    <row r="720" spans="1:1" ht="12.5">
      <c r="A720" s="9"/>
    </row>
    <row r="721" spans="1:1" ht="12.5">
      <c r="A721" s="9"/>
    </row>
    <row r="722" spans="1:1" ht="12.5">
      <c r="A722" s="9"/>
    </row>
    <row r="723" spans="1:1" ht="12.5">
      <c r="A723" s="9"/>
    </row>
    <row r="724" spans="1:1" ht="12.5">
      <c r="A724" s="9"/>
    </row>
    <row r="725" spans="1:1" ht="12.5">
      <c r="A725" s="9"/>
    </row>
    <row r="726" spans="1:1" ht="12.5">
      <c r="A726" s="9"/>
    </row>
    <row r="727" spans="1:1" ht="12.5">
      <c r="A727" s="9"/>
    </row>
    <row r="728" spans="1:1" ht="12.5">
      <c r="A728" s="9"/>
    </row>
    <row r="729" spans="1:1" ht="12.5">
      <c r="A729" s="9"/>
    </row>
    <row r="730" spans="1:1" ht="12.5">
      <c r="A730" s="9"/>
    </row>
    <row r="731" spans="1:1" ht="12.5">
      <c r="A731" s="9"/>
    </row>
    <row r="732" spans="1:1" ht="12.5">
      <c r="A732" s="9"/>
    </row>
    <row r="733" spans="1:1" ht="12.5">
      <c r="A733" s="9"/>
    </row>
    <row r="734" spans="1:1" ht="12.5">
      <c r="A734" s="9"/>
    </row>
    <row r="735" spans="1:1" ht="12.5">
      <c r="A735" s="9"/>
    </row>
    <row r="736" spans="1:1" ht="12.5">
      <c r="A736" s="9"/>
    </row>
    <row r="737" spans="1:1" ht="12.5">
      <c r="A737" s="9"/>
    </row>
    <row r="738" spans="1:1" ht="12.5">
      <c r="A738" s="9"/>
    </row>
    <row r="739" spans="1:1" ht="12.5">
      <c r="A739" s="9"/>
    </row>
    <row r="740" spans="1:1" ht="12.5">
      <c r="A740" s="9"/>
    </row>
    <row r="741" spans="1:1" ht="12.5">
      <c r="A741" s="9"/>
    </row>
    <row r="742" spans="1:1" ht="12.5">
      <c r="A742" s="9"/>
    </row>
    <row r="743" spans="1:1" ht="12.5">
      <c r="A743" s="9"/>
    </row>
    <row r="744" spans="1:1" ht="12.5">
      <c r="A744" s="9"/>
    </row>
    <row r="745" spans="1:1" ht="12.5">
      <c r="A745" s="9"/>
    </row>
    <row r="746" spans="1:1" ht="12.5">
      <c r="A746" s="9"/>
    </row>
    <row r="747" spans="1:1" ht="12.5">
      <c r="A747" s="9"/>
    </row>
    <row r="748" spans="1:1" ht="12.5">
      <c r="A748" s="9"/>
    </row>
    <row r="749" spans="1:1" ht="12.5">
      <c r="A749" s="9"/>
    </row>
    <row r="750" spans="1:1" ht="12.5">
      <c r="A750" s="9"/>
    </row>
    <row r="751" spans="1:1" ht="12.5">
      <c r="A751" s="9"/>
    </row>
    <row r="752" spans="1:1" ht="12.5">
      <c r="A752" s="9"/>
    </row>
    <row r="753" spans="1:1" ht="12.5">
      <c r="A753" s="9"/>
    </row>
    <row r="754" spans="1:1" ht="12.5">
      <c r="A754" s="9"/>
    </row>
    <row r="755" spans="1:1" ht="12.5">
      <c r="A755" s="9"/>
    </row>
    <row r="756" spans="1:1" ht="12.5">
      <c r="A756" s="9"/>
    </row>
    <row r="757" spans="1:1" ht="12.5">
      <c r="A757" s="9"/>
    </row>
    <row r="758" spans="1:1" ht="12.5">
      <c r="A758" s="9"/>
    </row>
    <row r="759" spans="1:1" ht="12.5">
      <c r="A759" s="9"/>
    </row>
    <row r="760" spans="1:1" ht="12.5">
      <c r="A760" s="9"/>
    </row>
    <row r="761" spans="1:1" ht="12.5">
      <c r="A761" s="9"/>
    </row>
    <row r="762" spans="1:1" ht="12.5">
      <c r="A762" s="9"/>
    </row>
    <row r="763" spans="1:1" ht="12.5">
      <c r="A763" s="9"/>
    </row>
    <row r="764" spans="1:1" ht="12.5">
      <c r="A764" s="9"/>
    </row>
    <row r="765" spans="1:1" ht="12.5">
      <c r="A765" s="9"/>
    </row>
    <row r="766" spans="1:1" ht="12.5">
      <c r="A766" s="9"/>
    </row>
    <row r="767" spans="1:1" ht="12.5">
      <c r="A767" s="9"/>
    </row>
    <row r="768" spans="1:1" ht="12.5">
      <c r="A768" s="9"/>
    </row>
    <row r="769" spans="1:1" ht="12.5">
      <c r="A769" s="9"/>
    </row>
    <row r="770" spans="1:1" ht="12.5">
      <c r="A770" s="9"/>
    </row>
    <row r="771" spans="1:1" ht="12.5">
      <c r="A771" s="9"/>
    </row>
    <row r="772" spans="1:1" ht="12.5">
      <c r="A772" s="9"/>
    </row>
    <row r="773" spans="1:1" ht="12.5">
      <c r="A773" s="9"/>
    </row>
    <row r="774" spans="1:1" ht="12.5">
      <c r="A774" s="9"/>
    </row>
    <row r="775" spans="1:1" ht="12.5">
      <c r="A775" s="9"/>
    </row>
    <row r="776" spans="1:1" ht="12.5">
      <c r="A776" s="9"/>
    </row>
    <row r="777" spans="1:1" ht="12.5">
      <c r="A777" s="9"/>
    </row>
    <row r="778" spans="1:1" ht="12.5">
      <c r="A778" s="9"/>
    </row>
    <row r="779" spans="1:1" ht="12.5">
      <c r="A779" s="9"/>
    </row>
    <row r="780" spans="1:1" ht="12.5">
      <c r="A780" s="9"/>
    </row>
    <row r="781" spans="1:1" ht="12.5">
      <c r="A781" s="9"/>
    </row>
    <row r="782" spans="1:1" ht="12.5">
      <c r="A782" s="9"/>
    </row>
    <row r="783" spans="1:1" ht="12.5">
      <c r="A783" s="9"/>
    </row>
    <row r="784" spans="1:1" ht="12.5">
      <c r="A784" s="9"/>
    </row>
    <row r="785" spans="1:1" ht="12.5">
      <c r="A785" s="9"/>
    </row>
    <row r="786" spans="1:1" ht="12.5">
      <c r="A786" s="9"/>
    </row>
    <row r="787" spans="1:1" ht="12.5">
      <c r="A787" s="9"/>
    </row>
    <row r="788" spans="1:1" ht="12.5">
      <c r="A788" s="9"/>
    </row>
    <row r="789" spans="1:1" ht="12.5">
      <c r="A789" s="9"/>
    </row>
    <row r="790" spans="1:1" ht="12.5">
      <c r="A790" s="9"/>
    </row>
    <row r="791" spans="1:1" ht="12.5">
      <c r="A791" s="9"/>
    </row>
    <row r="792" spans="1:1" ht="12.5">
      <c r="A792" s="9"/>
    </row>
    <row r="793" spans="1:1" ht="12.5">
      <c r="A793" s="9"/>
    </row>
    <row r="794" spans="1:1" ht="12.5">
      <c r="A794" s="9"/>
    </row>
    <row r="795" spans="1:1" ht="12.5">
      <c r="A795" s="9"/>
    </row>
    <row r="796" spans="1:1" ht="12.5">
      <c r="A796" s="9"/>
    </row>
    <row r="797" spans="1:1" ht="12.5">
      <c r="A797" s="9"/>
    </row>
    <row r="798" spans="1:1" ht="12.5">
      <c r="A798" s="9"/>
    </row>
    <row r="799" spans="1:1" ht="12.5">
      <c r="A799" s="9"/>
    </row>
    <row r="800" spans="1:1" ht="12.5">
      <c r="A800" s="9"/>
    </row>
    <row r="801" spans="1:1" ht="12.5">
      <c r="A801" s="9"/>
    </row>
    <row r="802" spans="1:1" ht="12.5">
      <c r="A802" s="9"/>
    </row>
    <row r="803" spans="1:1" ht="12.5">
      <c r="A803" s="9"/>
    </row>
    <row r="804" spans="1:1" ht="12.5">
      <c r="A804" s="9"/>
    </row>
    <row r="805" spans="1:1" ht="12.5">
      <c r="A805" s="9"/>
    </row>
    <row r="806" spans="1:1" ht="12.5">
      <c r="A806" s="9"/>
    </row>
    <row r="807" spans="1:1" ht="12.5">
      <c r="A807" s="9"/>
    </row>
    <row r="808" spans="1:1" ht="12.5">
      <c r="A808" s="9"/>
    </row>
    <row r="809" spans="1:1" ht="12.5">
      <c r="A809" s="9"/>
    </row>
    <row r="810" spans="1:1" ht="12.5">
      <c r="A810" s="9"/>
    </row>
    <row r="811" spans="1:1" ht="12.5">
      <c r="A811" s="9"/>
    </row>
    <row r="812" spans="1:1" ht="12.5">
      <c r="A812" s="9"/>
    </row>
    <row r="813" spans="1:1" ht="12.5">
      <c r="A813" s="9"/>
    </row>
    <row r="814" spans="1:1" ht="12.5">
      <c r="A814" s="9"/>
    </row>
    <row r="815" spans="1:1" ht="12.5">
      <c r="A815" s="9"/>
    </row>
    <row r="816" spans="1:1" ht="12.5">
      <c r="A816" s="9"/>
    </row>
    <row r="817" spans="1:1" ht="12.5">
      <c r="A817" s="9"/>
    </row>
    <row r="818" spans="1:1" ht="12.5">
      <c r="A818" s="9"/>
    </row>
    <row r="819" spans="1:1" ht="12.5">
      <c r="A819" s="9"/>
    </row>
    <row r="820" spans="1:1" ht="12.5">
      <c r="A820" s="9"/>
    </row>
    <row r="821" spans="1:1" ht="12.5">
      <c r="A821" s="9"/>
    </row>
    <row r="822" spans="1:1" ht="12.5">
      <c r="A822" s="9"/>
    </row>
    <row r="823" spans="1:1" ht="12.5">
      <c r="A823" s="9"/>
    </row>
    <row r="824" spans="1:1" ht="12.5">
      <c r="A824" s="9"/>
    </row>
    <row r="825" spans="1:1" ht="12.5">
      <c r="A825" s="9"/>
    </row>
    <row r="826" spans="1:1" ht="12.5">
      <c r="A826" s="9"/>
    </row>
    <row r="827" spans="1:1" ht="12.5">
      <c r="A827" s="9"/>
    </row>
    <row r="828" spans="1:1" ht="12.5">
      <c r="A828" s="9"/>
    </row>
    <row r="829" spans="1:1" ht="12.5">
      <c r="A829" s="9"/>
    </row>
    <row r="830" spans="1:1" ht="12.5">
      <c r="A830" s="9"/>
    </row>
    <row r="831" spans="1:1" ht="12.5">
      <c r="A831" s="9"/>
    </row>
    <row r="832" spans="1:1" ht="12.5">
      <c r="A832" s="9"/>
    </row>
    <row r="833" spans="1:1" ht="12.5">
      <c r="A833" s="9"/>
    </row>
    <row r="834" spans="1:1" ht="12.5">
      <c r="A834" s="9"/>
    </row>
    <row r="835" spans="1:1" ht="12.5">
      <c r="A835" s="9"/>
    </row>
    <row r="836" spans="1:1" ht="12.5">
      <c r="A836" s="9"/>
    </row>
    <row r="837" spans="1:1" ht="12.5">
      <c r="A837" s="9"/>
    </row>
    <row r="838" spans="1:1" ht="12.5">
      <c r="A838" s="9"/>
    </row>
    <row r="839" spans="1:1" ht="12.5">
      <c r="A839" s="9"/>
    </row>
    <row r="840" spans="1:1" ht="12.5">
      <c r="A840" s="9"/>
    </row>
    <row r="841" spans="1:1" ht="12.5">
      <c r="A841" s="9"/>
    </row>
    <row r="842" spans="1:1" ht="12.5">
      <c r="A842" s="9"/>
    </row>
    <row r="843" spans="1:1" ht="12.5">
      <c r="A843" s="9"/>
    </row>
    <row r="844" spans="1:1" ht="12.5">
      <c r="A844" s="9"/>
    </row>
    <row r="845" spans="1:1" ht="12.5">
      <c r="A845" s="9"/>
    </row>
    <row r="846" spans="1:1" ht="12.5">
      <c r="A846" s="9"/>
    </row>
    <row r="847" spans="1:1" ht="12.5">
      <c r="A847" s="9"/>
    </row>
    <row r="848" spans="1:1" ht="12.5">
      <c r="A848" s="9"/>
    </row>
    <row r="849" spans="1:1" ht="12.5">
      <c r="A849" s="9"/>
    </row>
    <row r="850" spans="1:1" ht="12.5">
      <c r="A850" s="9"/>
    </row>
    <row r="851" spans="1:1" ht="12.5">
      <c r="A851" s="9"/>
    </row>
    <row r="852" spans="1:1" ht="12.5">
      <c r="A852" s="9"/>
    </row>
    <row r="853" spans="1:1" ht="12.5">
      <c r="A853" s="9"/>
    </row>
    <row r="854" spans="1:1" ht="12.5">
      <c r="A854" s="9"/>
    </row>
    <row r="855" spans="1:1" ht="12.5">
      <c r="A855" s="9"/>
    </row>
    <row r="856" spans="1:1" ht="12.5">
      <c r="A856" s="9"/>
    </row>
    <row r="857" spans="1:1" ht="12.5">
      <c r="A857" s="9"/>
    </row>
    <row r="858" spans="1:1" ht="12.5">
      <c r="A858" s="9"/>
    </row>
    <row r="859" spans="1:1" ht="12.5">
      <c r="A859" s="9"/>
    </row>
    <row r="860" spans="1:1" ht="12.5">
      <c r="A860" s="9"/>
    </row>
    <row r="861" spans="1:1" ht="12.5">
      <c r="A861" s="9"/>
    </row>
    <row r="862" spans="1:1" ht="12.5">
      <c r="A862" s="9"/>
    </row>
    <row r="863" spans="1:1" ht="12.5">
      <c r="A863" s="9"/>
    </row>
    <row r="864" spans="1:1" ht="12.5">
      <c r="A864" s="9"/>
    </row>
    <row r="865" spans="1:1" ht="12.5">
      <c r="A865" s="9"/>
    </row>
    <row r="866" spans="1:1" ht="12.5">
      <c r="A866" s="9"/>
    </row>
    <row r="867" spans="1:1" ht="12.5">
      <c r="A867" s="9"/>
    </row>
    <row r="868" spans="1:1" ht="12.5">
      <c r="A868" s="9"/>
    </row>
    <row r="869" spans="1:1" ht="12.5">
      <c r="A869" s="9"/>
    </row>
    <row r="870" spans="1:1" ht="12.5">
      <c r="A870" s="9"/>
    </row>
    <row r="871" spans="1:1" ht="12.5">
      <c r="A871" s="9"/>
    </row>
    <row r="872" spans="1:1" ht="12.5">
      <c r="A872" s="9"/>
    </row>
    <row r="873" spans="1:1" ht="12.5">
      <c r="A873" s="9"/>
    </row>
    <row r="874" spans="1:1" ht="12.5">
      <c r="A874" s="9"/>
    </row>
    <row r="875" spans="1:1" ht="12.5">
      <c r="A875" s="9"/>
    </row>
    <row r="876" spans="1:1" ht="12.5">
      <c r="A876" s="9"/>
    </row>
    <row r="877" spans="1:1" ht="12.5">
      <c r="A877" s="9"/>
    </row>
    <row r="878" spans="1:1" ht="12.5">
      <c r="A878" s="9"/>
    </row>
    <row r="879" spans="1:1" ht="12.5">
      <c r="A879" s="9"/>
    </row>
    <row r="880" spans="1:1" ht="12.5">
      <c r="A880" s="9"/>
    </row>
    <row r="881" spans="1:1" ht="12.5">
      <c r="A881" s="9"/>
    </row>
    <row r="882" spans="1:1" ht="12.5">
      <c r="A882" s="9"/>
    </row>
    <row r="883" spans="1:1" ht="12.5">
      <c r="A883" s="9"/>
    </row>
    <row r="884" spans="1:1" ht="12.5">
      <c r="A884" s="9"/>
    </row>
    <row r="885" spans="1:1" ht="12.5">
      <c r="A885" s="9"/>
    </row>
    <row r="886" spans="1:1" ht="12.5">
      <c r="A886" s="9"/>
    </row>
    <row r="887" spans="1:1" ht="12.5">
      <c r="A887" s="9"/>
    </row>
    <row r="888" spans="1:1" ht="12.5">
      <c r="A888" s="9"/>
    </row>
    <row r="889" spans="1:1" ht="12.5">
      <c r="A889" s="9"/>
    </row>
    <row r="890" spans="1:1" ht="12.5">
      <c r="A890" s="9"/>
    </row>
    <row r="891" spans="1:1" ht="12.5">
      <c r="A891" s="9"/>
    </row>
    <row r="892" spans="1:1" ht="12.5">
      <c r="A892" s="9"/>
    </row>
    <row r="893" spans="1:1" ht="12.5">
      <c r="A893" s="9"/>
    </row>
    <row r="894" spans="1:1" ht="12.5">
      <c r="A894" s="9"/>
    </row>
    <row r="895" spans="1:1" ht="12.5">
      <c r="A895" s="9"/>
    </row>
    <row r="896" spans="1:1" ht="12.5">
      <c r="A896" s="9"/>
    </row>
    <row r="897" spans="1:1" ht="12.5">
      <c r="A897" s="9"/>
    </row>
    <row r="898" spans="1:1" ht="12.5">
      <c r="A898" s="9"/>
    </row>
    <row r="899" spans="1:1" ht="12.5">
      <c r="A899" s="9"/>
    </row>
    <row r="900" spans="1:1" ht="12.5">
      <c r="A900" s="9"/>
    </row>
    <row r="901" spans="1:1" ht="12.5">
      <c r="A901" s="9"/>
    </row>
    <row r="902" spans="1:1" ht="12.5">
      <c r="A902" s="9"/>
    </row>
    <row r="903" spans="1:1" ht="12.5">
      <c r="A903" s="9"/>
    </row>
    <row r="904" spans="1:1" ht="12.5">
      <c r="A904" s="9"/>
    </row>
    <row r="905" spans="1:1" ht="12.5">
      <c r="A905" s="9"/>
    </row>
    <row r="906" spans="1:1" ht="12.5">
      <c r="A906" s="9"/>
    </row>
    <row r="907" spans="1:1" ht="12.5">
      <c r="A907" s="9"/>
    </row>
    <row r="908" spans="1:1" ht="12.5">
      <c r="A908" s="9"/>
    </row>
    <row r="909" spans="1:1" ht="12.5">
      <c r="A909" s="9"/>
    </row>
    <row r="910" spans="1:1" ht="12.5">
      <c r="A910" s="9"/>
    </row>
    <row r="911" spans="1:1" ht="12.5">
      <c r="A911" s="9"/>
    </row>
    <row r="912" spans="1:1" ht="12.5">
      <c r="A912" s="9"/>
    </row>
    <row r="913" spans="1:1" ht="12.5">
      <c r="A913" s="9"/>
    </row>
    <row r="914" spans="1:1" ht="12.5">
      <c r="A914" s="9"/>
    </row>
    <row r="915" spans="1:1" ht="12.5">
      <c r="A915" s="9"/>
    </row>
    <row r="916" spans="1:1" ht="12.5">
      <c r="A916" s="9"/>
    </row>
    <row r="917" spans="1:1" ht="12.5">
      <c r="A917" s="9"/>
    </row>
    <row r="918" spans="1:1" ht="12.5">
      <c r="A918" s="9"/>
    </row>
    <row r="919" spans="1:1" ht="12.5">
      <c r="A919" s="9"/>
    </row>
    <row r="920" spans="1:1" ht="12.5">
      <c r="A920" s="9"/>
    </row>
    <row r="921" spans="1:1" ht="12.5">
      <c r="A921" s="9"/>
    </row>
    <row r="922" spans="1:1" ht="12.5">
      <c r="A922" s="9"/>
    </row>
    <row r="923" spans="1:1" ht="12.5">
      <c r="A923" s="9"/>
    </row>
    <row r="924" spans="1:1" ht="12.5">
      <c r="A924" s="9"/>
    </row>
    <row r="925" spans="1:1" ht="12.5">
      <c r="A925" s="9"/>
    </row>
    <row r="926" spans="1:1" ht="12.5">
      <c r="A926" s="9"/>
    </row>
    <row r="927" spans="1:1" ht="12.5">
      <c r="A927" s="9"/>
    </row>
    <row r="928" spans="1:1" ht="12.5">
      <c r="A928" s="9"/>
    </row>
    <row r="929" spans="1:1" ht="12.5">
      <c r="A929" s="9"/>
    </row>
    <row r="930" spans="1:1" ht="12.5">
      <c r="A930" s="9"/>
    </row>
    <row r="931" spans="1:1" ht="12.5">
      <c r="A931" s="9"/>
    </row>
    <row r="932" spans="1:1" ht="12.5">
      <c r="A932" s="9"/>
    </row>
    <row r="933" spans="1:1" ht="12.5">
      <c r="A933" s="9"/>
    </row>
    <row r="934" spans="1:1" ht="12.5">
      <c r="A934" s="9"/>
    </row>
    <row r="935" spans="1:1" ht="12.5">
      <c r="A935" s="9"/>
    </row>
    <row r="936" spans="1:1" ht="12.5">
      <c r="A936" s="9"/>
    </row>
    <row r="937" spans="1:1" ht="12.5">
      <c r="A937" s="9"/>
    </row>
    <row r="938" spans="1:1" ht="12.5">
      <c r="A938" s="9"/>
    </row>
    <row r="939" spans="1:1" ht="12.5">
      <c r="A939" s="9"/>
    </row>
    <row r="940" spans="1:1" ht="12.5">
      <c r="A940" s="9"/>
    </row>
    <row r="941" spans="1:1" ht="12.5">
      <c r="A941" s="9"/>
    </row>
    <row r="942" spans="1:1" ht="12.5">
      <c r="A942" s="9"/>
    </row>
    <row r="943" spans="1:1" ht="12.5">
      <c r="A943" s="9"/>
    </row>
    <row r="944" spans="1:1" ht="12.5">
      <c r="A944" s="9"/>
    </row>
    <row r="945" spans="1:1" ht="12.5">
      <c r="A945" s="9"/>
    </row>
    <row r="946" spans="1:1" ht="12.5">
      <c r="A946" s="9"/>
    </row>
    <row r="947" spans="1:1" ht="12.5">
      <c r="A947" s="9"/>
    </row>
    <row r="948" spans="1:1" ht="12.5">
      <c r="A948" s="9"/>
    </row>
    <row r="949" spans="1:1" ht="12.5">
      <c r="A949" s="9"/>
    </row>
    <row r="950" spans="1:1" ht="12.5">
      <c r="A950" s="9"/>
    </row>
    <row r="951" spans="1:1" ht="12.5">
      <c r="A951" s="9"/>
    </row>
    <row r="952" spans="1:1" ht="12.5">
      <c r="A952" s="9"/>
    </row>
    <row r="953" spans="1:1" ht="12.5">
      <c r="A953" s="9"/>
    </row>
    <row r="954" spans="1:1" ht="12.5">
      <c r="A954" s="9"/>
    </row>
    <row r="955" spans="1:1" ht="12.5">
      <c r="A955" s="9"/>
    </row>
    <row r="956" spans="1:1" ht="12.5">
      <c r="A956" s="9"/>
    </row>
    <row r="957" spans="1:1" ht="12.5">
      <c r="A957" s="9"/>
    </row>
    <row r="958" spans="1:1" ht="12.5">
      <c r="A958" s="9"/>
    </row>
    <row r="959" spans="1:1" ht="12.5">
      <c r="A959" s="9"/>
    </row>
    <row r="960" spans="1:1" ht="12.5">
      <c r="A960" s="9"/>
    </row>
    <row r="961" spans="1:1" ht="12.5">
      <c r="A961" s="9"/>
    </row>
    <row r="962" spans="1:1" ht="12.5">
      <c r="A962" s="9"/>
    </row>
    <row r="963" spans="1:1" ht="12.5">
      <c r="A963" s="9"/>
    </row>
    <row r="964" spans="1:1" ht="12.5">
      <c r="A964" s="9"/>
    </row>
    <row r="965" spans="1:1" ht="12.5">
      <c r="A965" s="9"/>
    </row>
    <row r="966" spans="1:1" ht="12.5">
      <c r="A966" s="9"/>
    </row>
    <row r="967" spans="1:1" ht="12.5">
      <c r="A967" s="9"/>
    </row>
    <row r="968" spans="1:1" ht="12.5">
      <c r="A968" s="9"/>
    </row>
    <row r="969" spans="1:1" ht="12.5">
      <c r="A969" s="9"/>
    </row>
    <row r="970" spans="1:1" ht="12.5">
      <c r="A970" s="9"/>
    </row>
    <row r="971" spans="1:1" ht="12.5">
      <c r="A971" s="9"/>
    </row>
    <row r="972" spans="1:1" ht="12.5">
      <c r="A972" s="9"/>
    </row>
    <row r="973" spans="1:1" ht="12.5">
      <c r="A973" s="9"/>
    </row>
    <row r="974" spans="1:1" ht="12.5">
      <c r="A974" s="9"/>
    </row>
    <row r="975" spans="1:1" ht="12.5">
      <c r="A975" s="9"/>
    </row>
    <row r="976" spans="1:1" ht="12.5">
      <c r="A976" s="9"/>
    </row>
    <row r="977" spans="1:1" ht="12.5">
      <c r="A977" s="9"/>
    </row>
    <row r="978" spans="1:1" ht="12.5">
      <c r="A978" s="9"/>
    </row>
    <row r="979" spans="1:1" ht="12.5">
      <c r="A979" s="9"/>
    </row>
    <row r="980" spans="1:1" ht="12.5">
      <c r="A980" s="9"/>
    </row>
    <row r="981" spans="1:1" ht="12.5">
      <c r="A981" s="9"/>
    </row>
    <row r="982" spans="1:1" ht="12.5">
      <c r="A982" s="9"/>
    </row>
    <row r="983" spans="1:1" ht="12.5">
      <c r="A983" s="9"/>
    </row>
    <row r="984" spans="1:1" ht="12.5">
      <c r="A984" s="9"/>
    </row>
    <row r="985" spans="1:1" ht="12.5">
      <c r="A985" s="9"/>
    </row>
    <row r="986" spans="1:1" ht="12.5">
      <c r="A986" s="9"/>
    </row>
    <row r="987" spans="1:1" ht="12.5">
      <c r="A987" s="9"/>
    </row>
    <row r="988" spans="1:1" ht="12.5">
      <c r="A988" s="9"/>
    </row>
    <row r="989" spans="1:1" ht="12.5">
      <c r="A989" s="9"/>
    </row>
    <row r="990" spans="1:1" ht="12.5">
      <c r="A990" s="9"/>
    </row>
    <row r="991" spans="1:1" ht="12.5">
      <c r="A991" s="9"/>
    </row>
    <row r="992" spans="1:1" ht="12.5">
      <c r="A992" s="9"/>
    </row>
    <row r="993" spans="1:1" ht="12.5">
      <c r="A993" s="9"/>
    </row>
    <row r="994" spans="1:1" ht="12.5">
      <c r="A994" s="9"/>
    </row>
    <row r="995" spans="1:1" ht="12.5">
      <c r="A995" s="9"/>
    </row>
    <row r="996" spans="1:1" ht="12.5">
      <c r="A996" s="9"/>
    </row>
    <row r="997" spans="1:1" ht="12.5">
      <c r="A997" s="9"/>
    </row>
    <row r="998" spans="1:1" ht="12.5">
      <c r="A998" s="9"/>
    </row>
    <row r="999" spans="1:1" ht="12.5">
      <c r="A999" s="9"/>
    </row>
    <row r="1000" spans="1:1" ht="12.5">
      <c r="A1000" s="9"/>
    </row>
    <row r="1001" spans="1:1" ht="12.5">
      <c r="A1001" s="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B1000"/>
  <sheetViews>
    <sheetView workbookViewId="0"/>
  </sheetViews>
  <sheetFormatPr defaultColWidth="12.6328125" defaultRowHeight="15.75" customHeight="1"/>
  <cols>
    <col min="2" max="2" width="85.08984375" customWidth="1"/>
  </cols>
  <sheetData>
    <row r="1" spans="1:2" ht="15.75" customHeight="1">
      <c r="A1" s="81" t="s">
        <v>77</v>
      </c>
      <c r="B1" s="81" t="s">
        <v>13557</v>
      </c>
    </row>
    <row r="2" spans="1:2" ht="15.75" customHeight="1">
      <c r="A2" s="81" t="s">
        <v>2288</v>
      </c>
      <c r="B2" s="81" t="s">
        <v>13558</v>
      </c>
    </row>
    <row r="3" spans="1:2" ht="15.75" customHeight="1">
      <c r="A3" s="81" t="s">
        <v>875</v>
      </c>
      <c r="B3" s="81" t="s">
        <v>13559</v>
      </c>
    </row>
    <row r="4" spans="1:2" ht="15.75" customHeight="1">
      <c r="A4" s="81" t="s">
        <v>1999</v>
      </c>
      <c r="B4" s="81" t="s">
        <v>13560</v>
      </c>
    </row>
    <row r="5" spans="1:2" ht="15.75" customHeight="1">
      <c r="A5" s="81" t="s">
        <v>7159</v>
      </c>
      <c r="B5" s="81" t="s">
        <v>13561</v>
      </c>
    </row>
    <row r="6" spans="1:2" ht="15.75" customHeight="1">
      <c r="A6" s="81" t="s">
        <v>9881</v>
      </c>
      <c r="B6" s="81" t="s">
        <v>13562</v>
      </c>
    </row>
    <row r="7" spans="1:2" ht="15.75" customHeight="1">
      <c r="A7" s="81"/>
      <c r="B7" s="81"/>
    </row>
    <row r="8" spans="1:2" ht="15.75" customHeight="1">
      <c r="A8" s="81"/>
      <c r="B8" s="81"/>
    </row>
    <row r="9" spans="1:2" ht="15.75" customHeight="1">
      <c r="A9" s="81"/>
      <c r="B9" s="81"/>
    </row>
    <row r="10" spans="1:2" ht="15.75" customHeight="1">
      <c r="A10" s="81"/>
      <c r="B10" s="81"/>
    </row>
    <row r="11" spans="1:2" ht="15.75" customHeight="1">
      <c r="A11" s="81"/>
      <c r="B11" s="81"/>
    </row>
    <row r="12" spans="1:2" ht="12.5">
      <c r="A12" s="81"/>
      <c r="B12" s="81"/>
    </row>
    <row r="13" spans="1:2" ht="12.5">
      <c r="A13" s="81"/>
      <c r="B13" s="81"/>
    </row>
    <row r="14" spans="1:2" ht="12.5">
      <c r="A14" s="81"/>
      <c r="B14" s="81"/>
    </row>
    <row r="15" spans="1:2" ht="12.5">
      <c r="A15" s="81"/>
      <c r="B15" s="81"/>
    </row>
    <row r="16" spans="1:2" ht="12.5">
      <c r="A16" s="81"/>
      <c r="B16" s="81"/>
    </row>
    <row r="17" spans="1:2" ht="12.5">
      <c r="A17" s="81"/>
      <c r="B17" s="81"/>
    </row>
    <row r="18" spans="1:2" ht="12.5">
      <c r="A18" s="81"/>
      <c r="B18" s="81"/>
    </row>
    <row r="19" spans="1:2" ht="12.5">
      <c r="A19" s="81"/>
      <c r="B19" s="81"/>
    </row>
    <row r="20" spans="1:2" ht="12.5">
      <c r="A20" s="81"/>
      <c r="B20" s="81"/>
    </row>
    <row r="21" spans="1:2" ht="12.5">
      <c r="A21" s="81"/>
      <c r="B21" s="81"/>
    </row>
    <row r="22" spans="1:2" ht="12.5">
      <c r="A22" s="81"/>
      <c r="B22" s="81"/>
    </row>
    <row r="23" spans="1:2" ht="12.5">
      <c r="A23" s="81"/>
      <c r="B23" s="81"/>
    </row>
    <row r="24" spans="1:2" ht="12.5">
      <c r="A24" s="81"/>
      <c r="B24" s="81"/>
    </row>
    <row r="25" spans="1:2" ht="12.5">
      <c r="A25" s="81"/>
      <c r="B25" s="81"/>
    </row>
    <row r="26" spans="1:2" ht="12.5">
      <c r="A26" s="81"/>
      <c r="B26" s="81"/>
    </row>
    <row r="27" spans="1:2" ht="12.5">
      <c r="A27" s="81"/>
      <c r="B27" s="81"/>
    </row>
    <row r="28" spans="1:2" ht="12.5">
      <c r="A28" s="81"/>
      <c r="B28" s="81"/>
    </row>
    <row r="29" spans="1:2" ht="12.5">
      <c r="A29" s="81"/>
      <c r="B29" s="81"/>
    </row>
    <row r="30" spans="1:2" ht="12.5">
      <c r="A30" s="81"/>
      <c r="B30" s="81"/>
    </row>
    <row r="31" spans="1:2" ht="12.5">
      <c r="A31" s="81"/>
      <c r="B31" s="81"/>
    </row>
    <row r="32" spans="1:2" ht="12.5">
      <c r="A32" s="81"/>
      <c r="B32" s="81"/>
    </row>
    <row r="33" spans="1:2" ht="12.5">
      <c r="A33" s="81"/>
      <c r="B33" s="81"/>
    </row>
    <row r="34" spans="1:2" ht="12.5">
      <c r="A34" s="81"/>
      <c r="B34" s="81"/>
    </row>
    <row r="35" spans="1:2" ht="12.5">
      <c r="A35" s="81"/>
      <c r="B35" s="81"/>
    </row>
    <row r="36" spans="1:2" ht="12.5">
      <c r="A36" s="81"/>
      <c r="B36" s="81"/>
    </row>
    <row r="37" spans="1:2" ht="12.5">
      <c r="A37" s="81"/>
      <c r="B37" s="81"/>
    </row>
    <row r="38" spans="1:2" ht="12.5">
      <c r="A38" s="81"/>
      <c r="B38" s="81"/>
    </row>
    <row r="39" spans="1:2" ht="12.5">
      <c r="A39" s="81"/>
      <c r="B39" s="81"/>
    </row>
    <row r="40" spans="1:2" ht="12.5">
      <c r="A40" s="81"/>
      <c r="B40" s="81"/>
    </row>
    <row r="41" spans="1:2" ht="12.5">
      <c r="A41" s="81"/>
      <c r="B41" s="81"/>
    </row>
    <row r="42" spans="1:2" ht="12.5">
      <c r="A42" s="81"/>
      <c r="B42" s="81"/>
    </row>
    <row r="43" spans="1:2" ht="12.5">
      <c r="A43" s="81"/>
      <c r="B43" s="81"/>
    </row>
    <row r="44" spans="1:2" ht="12.5">
      <c r="A44" s="81"/>
      <c r="B44" s="81"/>
    </row>
    <row r="45" spans="1:2" ht="12.5">
      <c r="A45" s="81"/>
      <c r="B45" s="81"/>
    </row>
    <row r="46" spans="1:2" ht="12.5">
      <c r="A46" s="81"/>
      <c r="B46" s="81"/>
    </row>
    <row r="47" spans="1:2" ht="12.5">
      <c r="A47" s="81"/>
      <c r="B47" s="81"/>
    </row>
    <row r="48" spans="1:2" ht="12.5">
      <c r="A48" s="81"/>
      <c r="B48" s="81"/>
    </row>
    <row r="49" spans="1:2" ht="12.5">
      <c r="A49" s="81"/>
      <c r="B49" s="81"/>
    </row>
    <row r="50" spans="1:2" ht="12.5">
      <c r="A50" s="81"/>
      <c r="B50" s="81"/>
    </row>
    <row r="51" spans="1:2" ht="12.5">
      <c r="A51" s="81"/>
      <c r="B51" s="81"/>
    </row>
    <row r="52" spans="1:2" ht="12.5">
      <c r="A52" s="81"/>
      <c r="B52" s="81"/>
    </row>
    <row r="53" spans="1:2" ht="12.5">
      <c r="A53" s="81"/>
      <c r="B53" s="81"/>
    </row>
    <row r="54" spans="1:2" ht="12.5">
      <c r="A54" s="81"/>
      <c r="B54" s="81"/>
    </row>
    <row r="55" spans="1:2" ht="12.5">
      <c r="A55" s="81"/>
      <c r="B55" s="81"/>
    </row>
    <row r="56" spans="1:2" ht="12.5">
      <c r="A56" s="81"/>
      <c r="B56" s="81"/>
    </row>
    <row r="57" spans="1:2" ht="12.5">
      <c r="A57" s="81"/>
      <c r="B57" s="81"/>
    </row>
    <row r="58" spans="1:2" ht="12.5">
      <c r="A58" s="81"/>
      <c r="B58" s="81"/>
    </row>
    <row r="59" spans="1:2" ht="12.5">
      <c r="A59" s="81"/>
      <c r="B59" s="81"/>
    </row>
    <row r="60" spans="1:2" ht="12.5">
      <c r="A60" s="81"/>
      <c r="B60" s="81"/>
    </row>
    <row r="61" spans="1:2" ht="12.5">
      <c r="A61" s="81"/>
      <c r="B61" s="81"/>
    </row>
    <row r="62" spans="1:2" ht="12.5">
      <c r="A62" s="81"/>
      <c r="B62" s="81"/>
    </row>
    <row r="63" spans="1:2" ht="12.5">
      <c r="A63" s="81"/>
      <c r="B63" s="81"/>
    </row>
    <row r="64" spans="1:2" ht="12.5">
      <c r="A64" s="81"/>
      <c r="B64" s="81"/>
    </row>
    <row r="65" spans="1:2" ht="12.5">
      <c r="A65" s="81"/>
      <c r="B65" s="81"/>
    </row>
    <row r="66" spans="1:2" ht="12.5">
      <c r="A66" s="81"/>
      <c r="B66" s="81"/>
    </row>
    <row r="67" spans="1:2" ht="12.5">
      <c r="A67" s="81"/>
      <c r="B67" s="81"/>
    </row>
    <row r="68" spans="1:2" ht="12.5">
      <c r="A68" s="81"/>
      <c r="B68" s="81"/>
    </row>
    <row r="69" spans="1:2" ht="12.5">
      <c r="A69" s="81"/>
      <c r="B69" s="81"/>
    </row>
    <row r="70" spans="1:2" ht="12.5">
      <c r="A70" s="81"/>
      <c r="B70" s="81"/>
    </row>
    <row r="71" spans="1:2" ht="12.5">
      <c r="A71" s="81"/>
      <c r="B71" s="81"/>
    </row>
    <row r="72" spans="1:2" ht="12.5">
      <c r="A72" s="81"/>
      <c r="B72" s="81"/>
    </row>
    <row r="73" spans="1:2" ht="12.5">
      <c r="A73" s="81"/>
      <c r="B73" s="81"/>
    </row>
    <row r="74" spans="1:2" ht="12.5">
      <c r="A74" s="81"/>
      <c r="B74" s="81"/>
    </row>
    <row r="75" spans="1:2" ht="12.5">
      <c r="A75" s="81"/>
      <c r="B75" s="81"/>
    </row>
    <row r="76" spans="1:2" ht="12.5">
      <c r="A76" s="81"/>
      <c r="B76" s="81"/>
    </row>
    <row r="77" spans="1:2" ht="12.5">
      <c r="A77" s="81"/>
      <c r="B77" s="81"/>
    </row>
    <row r="78" spans="1:2" ht="12.5">
      <c r="A78" s="81"/>
      <c r="B78" s="81"/>
    </row>
    <row r="79" spans="1:2" ht="12.5">
      <c r="A79" s="81"/>
      <c r="B79" s="81"/>
    </row>
    <row r="80" spans="1:2" ht="12.5">
      <c r="A80" s="81"/>
      <c r="B80" s="81"/>
    </row>
    <row r="81" spans="1:2" ht="12.5">
      <c r="A81" s="81"/>
      <c r="B81" s="81"/>
    </row>
    <row r="82" spans="1:2" ht="12.5">
      <c r="A82" s="81"/>
      <c r="B82" s="81"/>
    </row>
    <row r="83" spans="1:2" ht="12.5">
      <c r="A83" s="81"/>
      <c r="B83" s="81"/>
    </row>
    <row r="84" spans="1:2" ht="12.5">
      <c r="A84" s="81"/>
      <c r="B84" s="81"/>
    </row>
    <row r="85" spans="1:2" ht="12.5">
      <c r="A85" s="81"/>
      <c r="B85" s="81"/>
    </row>
    <row r="86" spans="1:2" ht="12.5">
      <c r="A86" s="81"/>
      <c r="B86" s="81"/>
    </row>
    <row r="87" spans="1:2" ht="12.5">
      <c r="A87" s="81"/>
      <c r="B87" s="81"/>
    </row>
    <row r="88" spans="1:2" ht="12.5">
      <c r="A88" s="81"/>
      <c r="B88" s="81"/>
    </row>
    <row r="89" spans="1:2" ht="12.5">
      <c r="A89" s="81"/>
      <c r="B89" s="81"/>
    </row>
    <row r="90" spans="1:2" ht="12.5">
      <c r="A90" s="81"/>
      <c r="B90" s="81"/>
    </row>
    <row r="91" spans="1:2" ht="12.5">
      <c r="A91" s="81"/>
      <c r="B91" s="81"/>
    </row>
    <row r="92" spans="1:2" ht="12.5">
      <c r="A92" s="81"/>
      <c r="B92" s="81"/>
    </row>
    <row r="93" spans="1:2" ht="12.5">
      <c r="A93" s="81"/>
      <c r="B93" s="81"/>
    </row>
    <row r="94" spans="1:2" ht="12.5">
      <c r="A94" s="81"/>
      <c r="B94" s="81"/>
    </row>
    <row r="95" spans="1:2" ht="12.5">
      <c r="A95" s="81"/>
      <c r="B95" s="81"/>
    </row>
    <row r="96" spans="1:2" ht="12.5">
      <c r="A96" s="81"/>
      <c r="B96" s="81"/>
    </row>
    <row r="97" spans="1:2" ht="12.5">
      <c r="A97" s="81"/>
      <c r="B97" s="81"/>
    </row>
    <row r="98" spans="1:2" ht="12.5">
      <c r="A98" s="81"/>
      <c r="B98" s="81"/>
    </row>
    <row r="99" spans="1:2" ht="12.5">
      <c r="A99" s="81"/>
      <c r="B99" s="81"/>
    </row>
    <row r="100" spans="1:2" ht="12.5">
      <c r="A100" s="81"/>
      <c r="B100" s="81"/>
    </row>
    <row r="101" spans="1:2" ht="12.5">
      <c r="A101" s="81"/>
      <c r="B101" s="81"/>
    </row>
    <row r="102" spans="1:2" ht="12.5">
      <c r="A102" s="81"/>
      <c r="B102" s="81"/>
    </row>
    <row r="103" spans="1:2" ht="12.5">
      <c r="A103" s="81"/>
      <c r="B103" s="81"/>
    </row>
    <row r="104" spans="1:2" ht="12.5">
      <c r="A104" s="81"/>
      <c r="B104" s="81"/>
    </row>
    <row r="105" spans="1:2" ht="12.5">
      <c r="A105" s="81"/>
      <c r="B105" s="81"/>
    </row>
    <row r="106" spans="1:2" ht="12.5">
      <c r="A106" s="81"/>
      <c r="B106" s="81"/>
    </row>
    <row r="107" spans="1:2" ht="12.5">
      <c r="A107" s="81"/>
      <c r="B107" s="81"/>
    </row>
    <row r="108" spans="1:2" ht="12.5">
      <c r="A108" s="81"/>
      <c r="B108" s="81"/>
    </row>
    <row r="109" spans="1:2" ht="12.5">
      <c r="A109" s="81"/>
      <c r="B109" s="81"/>
    </row>
    <row r="110" spans="1:2" ht="12.5">
      <c r="A110" s="81"/>
      <c r="B110" s="81"/>
    </row>
    <row r="111" spans="1:2" ht="12.5">
      <c r="A111" s="81"/>
      <c r="B111" s="81"/>
    </row>
    <row r="112" spans="1:2" ht="12.5">
      <c r="A112" s="81"/>
      <c r="B112" s="81"/>
    </row>
    <row r="113" spans="1:2" ht="12.5">
      <c r="A113" s="81"/>
      <c r="B113" s="81"/>
    </row>
    <row r="114" spans="1:2" ht="12.5">
      <c r="A114" s="81"/>
      <c r="B114" s="81"/>
    </row>
    <row r="115" spans="1:2" ht="12.5">
      <c r="A115" s="81"/>
      <c r="B115" s="81"/>
    </row>
    <row r="116" spans="1:2" ht="12.5">
      <c r="A116" s="81"/>
      <c r="B116" s="81"/>
    </row>
    <row r="117" spans="1:2" ht="12.5">
      <c r="A117" s="81"/>
      <c r="B117" s="81"/>
    </row>
    <row r="118" spans="1:2" ht="12.5">
      <c r="A118" s="81"/>
      <c r="B118" s="81"/>
    </row>
    <row r="119" spans="1:2" ht="12.5">
      <c r="A119" s="81"/>
      <c r="B119" s="81"/>
    </row>
    <row r="120" spans="1:2" ht="12.5">
      <c r="A120" s="81"/>
      <c r="B120" s="81"/>
    </row>
    <row r="121" spans="1:2" ht="12.5">
      <c r="A121" s="81"/>
      <c r="B121" s="81"/>
    </row>
    <row r="122" spans="1:2" ht="12.5">
      <c r="A122" s="81"/>
      <c r="B122" s="81"/>
    </row>
    <row r="123" spans="1:2" ht="12.5">
      <c r="A123" s="81"/>
      <c r="B123" s="81"/>
    </row>
    <row r="124" spans="1:2" ht="12.5">
      <c r="A124" s="81"/>
      <c r="B124" s="81"/>
    </row>
    <row r="125" spans="1:2" ht="12.5">
      <c r="A125" s="81"/>
      <c r="B125" s="81"/>
    </row>
    <row r="126" spans="1:2" ht="12.5">
      <c r="A126" s="81"/>
      <c r="B126" s="81"/>
    </row>
    <row r="127" spans="1:2" ht="12.5">
      <c r="A127" s="81"/>
      <c r="B127" s="81"/>
    </row>
    <row r="128" spans="1:2" ht="12.5">
      <c r="A128" s="81"/>
      <c r="B128" s="81"/>
    </row>
    <row r="129" spans="1:2" ht="12.5">
      <c r="A129" s="81"/>
      <c r="B129" s="81"/>
    </row>
    <row r="130" spans="1:2" ht="12.5">
      <c r="A130" s="81"/>
      <c r="B130" s="81"/>
    </row>
    <row r="131" spans="1:2" ht="12.5">
      <c r="A131" s="81"/>
      <c r="B131" s="81"/>
    </row>
    <row r="132" spans="1:2" ht="12.5">
      <c r="A132" s="81"/>
      <c r="B132" s="81"/>
    </row>
    <row r="133" spans="1:2" ht="12.5">
      <c r="A133" s="81"/>
      <c r="B133" s="81"/>
    </row>
    <row r="134" spans="1:2" ht="12.5">
      <c r="A134" s="81"/>
      <c r="B134" s="81"/>
    </row>
    <row r="135" spans="1:2" ht="12.5">
      <c r="A135" s="81"/>
      <c r="B135" s="81"/>
    </row>
    <row r="136" spans="1:2" ht="12.5">
      <c r="A136" s="81"/>
      <c r="B136" s="81"/>
    </row>
    <row r="137" spans="1:2" ht="12.5">
      <c r="A137" s="81"/>
      <c r="B137" s="81"/>
    </row>
    <row r="138" spans="1:2" ht="12.5">
      <c r="A138" s="81"/>
      <c r="B138" s="81"/>
    </row>
    <row r="139" spans="1:2" ht="12.5">
      <c r="A139" s="81"/>
      <c r="B139" s="81"/>
    </row>
    <row r="140" spans="1:2" ht="12.5">
      <c r="A140" s="81"/>
      <c r="B140" s="81"/>
    </row>
    <row r="141" spans="1:2" ht="12.5">
      <c r="A141" s="81"/>
      <c r="B141" s="81"/>
    </row>
    <row r="142" spans="1:2" ht="12.5">
      <c r="A142" s="81"/>
      <c r="B142" s="81"/>
    </row>
    <row r="143" spans="1:2" ht="12.5">
      <c r="A143" s="81"/>
      <c r="B143" s="81"/>
    </row>
    <row r="144" spans="1:2" ht="12.5">
      <c r="A144" s="81"/>
      <c r="B144" s="81"/>
    </row>
    <row r="145" spans="1:2" ht="12.5">
      <c r="A145" s="81"/>
      <c r="B145" s="81"/>
    </row>
    <row r="146" spans="1:2" ht="12.5">
      <c r="A146" s="81"/>
      <c r="B146" s="81"/>
    </row>
    <row r="147" spans="1:2" ht="12.5">
      <c r="A147" s="81"/>
      <c r="B147" s="81"/>
    </row>
    <row r="148" spans="1:2" ht="12.5">
      <c r="A148" s="81"/>
      <c r="B148" s="81"/>
    </row>
    <row r="149" spans="1:2" ht="12.5">
      <c r="A149" s="81"/>
      <c r="B149" s="81"/>
    </row>
    <row r="150" spans="1:2" ht="12.5">
      <c r="A150" s="81"/>
      <c r="B150" s="81"/>
    </row>
    <row r="151" spans="1:2" ht="12.5">
      <c r="A151" s="81"/>
      <c r="B151" s="81"/>
    </row>
    <row r="152" spans="1:2" ht="12.5">
      <c r="A152" s="81"/>
      <c r="B152" s="81"/>
    </row>
    <row r="153" spans="1:2" ht="12.5">
      <c r="A153" s="81"/>
      <c r="B153" s="81"/>
    </row>
    <row r="154" spans="1:2" ht="12.5">
      <c r="A154" s="81"/>
      <c r="B154" s="81"/>
    </row>
    <row r="155" spans="1:2" ht="12.5">
      <c r="A155" s="81"/>
      <c r="B155" s="81"/>
    </row>
    <row r="156" spans="1:2" ht="12.5">
      <c r="A156" s="81"/>
      <c r="B156" s="81"/>
    </row>
    <row r="157" spans="1:2" ht="12.5">
      <c r="A157" s="81"/>
      <c r="B157" s="81"/>
    </row>
    <row r="158" spans="1:2" ht="12.5">
      <c r="A158" s="81"/>
      <c r="B158" s="81"/>
    </row>
    <row r="159" spans="1:2" ht="12.5">
      <c r="A159" s="81"/>
      <c r="B159" s="81"/>
    </row>
    <row r="160" spans="1:2" ht="12.5">
      <c r="A160" s="81"/>
      <c r="B160" s="81"/>
    </row>
    <row r="161" spans="1:2" ht="12.5">
      <c r="A161" s="81"/>
      <c r="B161" s="81"/>
    </row>
    <row r="162" spans="1:2" ht="12.5">
      <c r="A162" s="81"/>
      <c r="B162" s="81"/>
    </row>
    <row r="163" spans="1:2" ht="12.5">
      <c r="A163" s="81"/>
      <c r="B163" s="81"/>
    </row>
    <row r="164" spans="1:2" ht="12.5">
      <c r="A164" s="81"/>
      <c r="B164" s="81"/>
    </row>
    <row r="165" spans="1:2" ht="12.5">
      <c r="A165" s="81"/>
      <c r="B165" s="81"/>
    </row>
    <row r="166" spans="1:2" ht="12.5">
      <c r="A166" s="81"/>
      <c r="B166" s="81"/>
    </row>
    <row r="167" spans="1:2" ht="12.5">
      <c r="A167" s="81"/>
      <c r="B167" s="81"/>
    </row>
    <row r="168" spans="1:2" ht="12.5">
      <c r="A168" s="81"/>
      <c r="B168" s="81"/>
    </row>
    <row r="169" spans="1:2" ht="12.5">
      <c r="A169" s="81"/>
      <c r="B169" s="81"/>
    </row>
    <row r="170" spans="1:2" ht="12.5">
      <c r="A170" s="81"/>
      <c r="B170" s="81"/>
    </row>
    <row r="171" spans="1:2" ht="12.5">
      <c r="A171" s="81"/>
      <c r="B171" s="81"/>
    </row>
    <row r="172" spans="1:2" ht="12.5">
      <c r="A172" s="81"/>
      <c r="B172" s="81"/>
    </row>
    <row r="173" spans="1:2" ht="12.5">
      <c r="A173" s="81"/>
      <c r="B173" s="81"/>
    </row>
    <row r="174" spans="1:2" ht="12.5">
      <c r="A174" s="81"/>
      <c r="B174" s="81"/>
    </row>
    <row r="175" spans="1:2" ht="12.5">
      <c r="A175" s="81"/>
      <c r="B175" s="81"/>
    </row>
    <row r="176" spans="1:2" ht="12.5">
      <c r="A176" s="81"/>
      <c r="B176" s="81"/>
    </row>
    <row r="177" spans="1:2" ht="12.5">
      <c r="A177" s="81"/>
      <c r="B177" s="81"/>
    </row>
    <row r="178" spans="1:2" ht="12.5">
      <c r="A178" s="81"/>
      <c r="B178" s="81"/>
    </row>
    <row r="179" spans="1:2" ht="12.5">
      <c r="A179" s="81"/>
      <c r="B179" s="81"/>
    </row>
    <row r="180" spans="1:2" ht="12.5">
      <c r="A180" s="81"/>
      <c r="B180" s="81"/>
    </row>
    <row r="181" spans="1:2" ht="12.5">
      <c r="A181" s="81"/>
      <c r="B181" s="81"/>
    </row>
    <row r="182" spans="1:2" ht="12.5">
      <c r="A182" s="81"/>
      <c r="B182" s="81"/>
    </row>
    <row r="183" spans="1:2" ht="12.5">
      <c r="A183" s="81"/>
      <c r="B183" s="81"/>
    </row>
    <row r="184" spans="1:2" ht="12.5">
      <c r="A184" s="81"/>
      <c r="B184" s="81"/>
    </row>
    <row r="185" spans="1:2" ht="12.5">
      <c r="A185" s="81"/>
      <c r="B185" s="81"/>
    </row>
    <row r="186" spans="1:2" ht="12.5">
      <c r="A186" s="81"/>
      <c r="B186" s="81"/>
    </row>
    <row r="187" spans="1:2" ht="12.5">
      <c r="A187" s="81"/>
      <c r="B187" s="81"/>
    </row>
    <row r="188" spans="1:2" ht="12.5">
      <c r="A188" s="81"/>
      <c r="B188" s="81"/>
    </row>
    <row r="189" spans="1:2" ht="12.5">
      <c r="A189" s="81"/>
      <c r="B189" s="81"/>
    </row>
    <row r="190" spans="1:2" ht="12.5">
      <c r="A190" s="81"/>
      <c r="B190" s="81"/>
    </row>
    <row r="191" spans="1:2" ht="12.5">
      <c r="A191" s="81"/>
      <c r="B191" s="81"/>
    </row>
    <row r="192" spans="1:2" ht="12.5">
      <c r="A192" s="81"/>
      <c r="B192" s="81"/>
    </row>
    <row r="193" spans="1:2" ht="12.5">
      <c r="A193" s="81"/>
      <c r="B193" s="81"/>
    </row>
    <row r="194" spans="1:2" ht="12.5">
      <c r="A194" s="81"/>
      <c r="B194" s="81"/>
    </row>
    <row r="195" spans="1:2" ht="12.5">
      <c r="A195" s="81"/>
      <c r="B195" s="81"/>
    </row>
    <row r="196" spans="1:2" ht="12.5">
      <c r="A196" s="81"/>
      <c r="B196" s="81"/>
    </row>
    <row r="197" spans="1:2" ht="12.5">
      <c r="A197" s="81"/>
      <c r="B197" s="81"/>
    </row>
    <row r="198" spans="1:2" ht="12.5">
      <c r="A198" s="81"/>
      <c r="B198" s="81"/>
    </row>
    <row r="199" spans="1:2" ht="12.5">
      <c r="A199" s="81"/>
      <c r="B199" s="81"/>
    </row>
    <row r="200" spans="1:2" ht="12.5">
      <c r="A200" s="81"/>
      <c r="B200" s="81"/>
    </row>
    <row r="201" spans="1:2" ht="12.5">
      <c r="A201" s="81"/>
      <c r="B201" s="81"/>
    </row>
    <row r="202" spans="1:2" ht="12.5">
      <c r="A202" s="81"/>
      <c r="B202" s="81"/>
    </row>
    <row r="203" spans="1:2" ht="12.5">
      <c r="A203" s="81"/>
      <c r="B203" s="81"/>
    </row>
    <row r="204" spans="1:2" ht="12.5">
      <c r="A204" s="81"/>
      <c r="B204" s="81"/>
    </row>
    <row r="205" spans="1:2" ht="12.5">
      <c r="A205" s="81"/>
      <c r="B205" s="81"/>
    </row>
    <row r="206" spans="1:2" ht="12.5">
      <c r="A206" s="81"/>
      <c r="B206" s="81"/>
    </row>
    <row r="207" spans="1:2" ht="12.5">
      <c r="A207" s="81"/>
      <c r="B207" s="81"/>
    </row>
    <row r="208" spans="1:2" ht="12.5">
      <c r="A208" s="81"/>
      <c r="B208" s="81"/>
    </row>
    <row r="209" spans="1:2" ht="12.5">
      <c r="A209" s="81"/>
      <c r="B209" s="81"/>
    </row>
    <row r="210" spans="1:2" ht="12.5">
      <c r="A210" s="81"/>
      <c r="B210" s="81"/>
    </row>
    <row r="211" spans="1:2" ht="12.5">
      <c r="A211" s="81"/>
      <c r="B211" s="81"/>
    </row>
    <row r="212" spans="1:2" ht="12.5">
      <c r="A212" s="81"/>
      <c r="B212" s="81"/>
    </row>
    <row r="213" spans="1:2" ht="12.5">
      <c r="A213" s="81"/>
      <c r="B213" s="81"/>
    </row>
    <row r="214" spans="1:2" ht="12.5">
      <c r="A214" s="81"/>
      <c r="B214" s="81"/>
    </row>
    <row r="215" spans="1:2" ht="12.5">
      <c r="A215" s="81"/>
      <c r="B215" s="81"/>
    </row>
    <row r="216" spans="1:2" ht="12.5">
      <c r="A216" s="81"/>
      <c r="B216" s="81"/>
    </row>
    <row r="217" spans="1:2" ht="12.5">
      <c r="A217" s="81"/>
      <c r="B217" s="81"/>
    </row>
    <row r="218" spans="1:2" ht="12.5">
      <c r="A218" s="81"/>
      <c r="B218" s="81"/>
    </row>
    <row r="219" spans="1:2" ht="12.5">
      <c r="A219" s="81"/>
      <c r="B219" s="81"/>
    </row>
    <row r="220" spans="1:2" ht="12.5">
      <c r="A220" s="81"/>
      <c r="B220" s="81"/>
    </row>
    <row r="221" spans="1:2" ht="12.5">
      <c r="A221" s="81"/>
      <c r="B221" s="81"/>
    </row>
    <row r="222" spans="1:2" ht="12.5">
      <c r="A222" s="81"/>
      <c r="B222" s="81"/>
    </row>
    <row r="223" spans="1:2" ht="12.5">
      <c r="A223" s="81"/>
      <c r="B223" s="81"/>
    </row>
    <row r="224" spans="1:2" ht="12.5">
      <c r="A224" s="81"/>
      <c r="B224" s="81"/>
    </row>
    <row r="225" spans="1:2" ht="12.5">
      <c r="A225" s="81"/>
      <c r="B225" s="81"/>
    </row>
    <row r="226" spans="1:2" ht="12.5">
      <c r="A226" s="81"/>
      <c r="B226" s="81"/>
    </row>
    <row r="227" spans="1:2" ht="12.5">
      <c r="A227" s="81"/>
      <c r="B227" s="81"/>
    </row>
    <row r="228" spans="1:2" ht="12.5">
      <c r="A228" s="81"/>
      <c r="B228" s="81"/>
    </row>
    <row r="229" spans="1:2" ht="12.5">
      <c r="A229" s="81"/>
      <c r="B229" s="81"/>
    </row>
    <row r="230" spans="1:2" ht="12.5">
      <c r="A230" s="81"/>
      <c r="B230" s="81"/>
    </row>
    <row r="231" spans="1:2" ht="12.5">
      <c r="A231" s="81"/>
      <c r="B231" s="81"/>
    </row>
    <row r="232" spans="1:2" ht="12.5">
      <c r="A232" s="81"/>
      <c r="B232" s="81"/>
    </row>
    <row r="233" spans="1:2" ht="12.5">
      <c r="A233" s="81"/>
      <c r="B233" s="81"/>
    </row>
    <row r="234" spans="1:2" ht="12.5">
      <c r="A234" s="81"/>
      <c r="B234" s="81"/>
    </row>
    <row r="235" spans="1:2" ht="12.5">
      <c r="A235" s="81"/>
      <c r="B235" s="81"/>
    </row>
    <row r="236" spans="1:2" ht="12.5">
      <c r="A236" s="81"/>
      <c r="B236" s="81"/>
    </row>
    <row r="237" spans="1:2" ht="12.5">
      <c r="A237" s="81"/>
      <c r="B237" s="81"/>
    </row>
    <row r="238" spans="1:2" ht="12.5">
      <c r="A238" s="81"/>
      <c r="B238" s="81"/>
    </row>
    <row r="239" spans="1:2" ht="12.5">
      <c r="A239" s="81"/>
      <c r="B239" s="81"/>
    </row>
    <row r="240" spans="1:2" ht="12.5">
      <c r="A240" s="81"/>
      <c r="B240" s="81"/>
    </row>
    <row r="241" spans="1:2" ht="12.5">
      <c r="A241" s="81"/>
      <c r="B241" s="81"/>
    </row>
    <row r="242" spans="1:2" ht="12.5">
      <c r="A242" s="81"/>
      <c r="B242" s="81"/>
    </row>
    <row r="243" spans="1:2" ht="12.5">
      <c r="A243" s="81"/>
      <c r="B243" s="81"/>
    </row>
    <row r="244" spans="1:2" ht="12.5">
      <c r="A244" s="81"/>
      <c r="B244" s="81"/>
    </row>
    <row r="245" spans="1:2" ht="12.5">
      <c r="A245" s="81"/>
      <c r="B245" s="81"/>
    </row>
    <row r="246" spans="1:2" ht="12.5">
      <c r="A246" s="81"/>
      <c r="B246" s="81"/>
    </row>
    <row r="247" spans="1:2" ht="12.5">
      <c r="A247" s="81"/>
      <c r="B247" s="81"/>
    </row>
    <row r="248" spans="1:2" ht="12.5">
      <c r="A248" s="81"/>
      <c r="B248" s="81"/>
    </row>
    <row r="249" spans="1:2" ht="12.5">
      <c r="A249" s="81"/>
      <c r="B249" s="81"/>
    </row>
    <row r="250" spans="1:2" ht="12.5">
      <c r="A250" s="81"/>
      <c r="B250" s="81"/>
    </row>
    <row r="251" spans="1:2" ht="12.5">
      <c r="A251" s="81"/>
      <c r="B251" s="81"/>
    </row>
    <row r="252" spans="1:2" ht="12.5">
      <c r="A252" s="81"/>
      <c r="B252" s="81"/>
    </row>
    <row r="253" spans="1:2" ht="12.5">
      <c r="A253" s="81"/>
      <c r="B253" s="81"/>
    </row>
    <row r="254" spans="1:2" ht="12.5">
      <c r="A254" s="81"/>
      <c r="B254" s="81"/>
    </row>
    <row r="255" spans="1:2" ht="12.5">
      <c r="A255" s="81"/>
      <c r="B255" s="81"/>
    </row>
    <row r="256" spans="1:2" ht="12.5">
      <c r="A256" s="81"/>
      <c r="B256" s="81"/>
    </row>
    <row r="257" spans="1:2" ht="12.5">
      <c r="A257" s="81"/>
      <c r="B257" s="81"/>
    </row>
    <row r="258" spans="1:2" ht="12.5">
      <c r="A258" s="81"/>
      <c r="B258" s="81"/>
    </row>
    <row r="259" spans="1:2" ht="12.5">
      <c r="A259" s="81"/>
      <c r="B259" s="81"/>
    </row>
    <row r="260" spans="1:2" ht="12.5">
      <c r="A260" s="81"/>
      <c r="B260" s="81"/>
    </row>
    <row r="261" spans="1:2" ht="12.5">
      <c r="A261" s="81"/>
      <c r="B261" s="81"/>
    </row>
    <row r="262" spans="1:2" ht="12.5">
      <c r="A262" s="81"/>
      <c r="B262" s="81"/>
    </row>
    <row r="263" spans="1:2" ht="12.5">
      <c r="A263" s="81"/>
      <c r="B263" s="81"/>
    </row>
    <row r="264" spans="1:2" ht="12.5">
      <c r="A264" s="81"/>
      <c r="B264" s="81"/>
    </row>
    <row r="265" spans="1:2" ht="12.5">
      <c r="A265" s="81"/>
      <c r="B265" s="81"/>
    </row>
    <row r="266" spans="1:2" ht="12.5">
      <c r="A266" s="81"/>
      <c r="B266" s="81"/>
    </row>
    <row r="267" spans="1:2" ht="12.5">
      <c r="A267" s="81"/>
      <c r="B267" s="81"/>
    </row>
    <row r="268" spans="1:2" ht="12.5">
      <c r="A268" s="81"/>
      <c r="B268" s="81"/>
    </row>
    <row r="269" spans="1:2" ht="12.5">
      <c r="A269" s="81"/>
      <c r="B269" s="81"/>
    </row>
    <row r="270" spans="1:2" ht="12.5">
      <c r="A270" s="81"/>
      <c r="B270" s="81"/>
    </row>
    <row r="271" spans="1:2" ht="12.5">
      <c r="A271" s="81"/>
      <c r="B271" s="81"/>
    </row>
    <row r="272" spans="1:2" ht="12.5">
      <c r="A272" s="81"/>
      <c r="B272" s="81"/>
    </row>
    <row r="273" spans="1:2" ht="12.5">
      <c r="A273" s="81"/>
      <c r="B273" s="81"/>
    </row>
    <row r="274" spans="1:2" ht="12.5">
      <c r="A274" s="81"/>
      <c r="B274" s="81"/>
    </row>
    <row r="275" spans="1:2" ht="12.5">
      <c r="A275" s="81"/>
      <c r="B275" s="81"/>
    </row>
    <row r="276" spans="1:2" ht="12.5">
      <c r="A276" s="81"/>
      <c r="B276" s="81"/>
    </row>
    <row r="277" spans="1:2" ht="12.5">
      <c r="A277" s="81"/>
      <c r="B277" s="81"/>
    </row>
    <row r="278" spans="1:2" ht="12.5">
      <c r="A278" s="81"/>
      <c r="B278" s="81"/>
    </row>
    <row r="279" spans="1:2" ht="12.5">
      <c r="A279" s="81"/>
      <c r="B279" s="81"/>
    </row>
    <row r="280" spans="1:2" ht="12.5">
      <c r="A280" s="81"/>
      <c r="B280" s="81"/>
    </row>
    <row r="281" spans="1:2" ht="12.5">
      <c r="A281" s="81"/>
      <c r="B281" s="81"/>
    </row>
    <row r="282" spans="1:2" ht="12.5">
      <c r="A282" s="81"/>
      <c r="B282" s="81"/>
    </row>
    <row r="283" spans="1:2" ht="12.5">
      <c r="A283" s="81"/>
      <c r="B283" s="81"/>
    </row>
    <row r="284" spans="1:2" ht="12.5">
      <c r="A284" s="81"/>
      <c r="B284" s="81"/>
    </row>
    <row r="285" spans="1:2" ht="12.5">
      <c r="A285" s="81"/>
      <c r="B285" s="81"/>
    </row>
    <row r="286" spans="1:2" ht="12.5">
      <c r="A286" s="81"/>
      <c r="B286" s="81"/>
    </row>
    <row r="287" spans="1:2" ht="12.5">
      <c r="A287" s="81"/>
      <c r="B287" s="81"/>
    </row>
    <row r="288" spans="1:2" ht="12.5">
      <c r="A288" s="81"/>
      <c r="B288" s="81"/>
    </row>
    <row r="289" spans="1:2" ht="12.5">
      <c r="A289" s="81"/>
      <c r="B289" s="81"/>
    </row>
    <row r="290" spans="1:2" ht="12.5">
      <c r="A290" s="81"/>
      <c r="B290" s="81"/>
    </row>
    <row r="291" spans="1:2" ht="12.5">
      <c r="A291" s="81"/>
      <c r="B291" s="81"/>
    </row>
    <row r="292" spans="1:2" ht="12.5">
      <c r="A292" s="81"/>
      <c r="B292" s="81"/>
    </row>
    <row r="293" spans="1:2" ht="12.5">
      <c r="A293" s="81"/>
      <c r="B293" s="81"/>
    </row>
    <row r="294" spans="1:2" ht="12.5">
      <c r="A294" s="81"/>
      <c r="B294" s="81"/>
    </row>
    <row r="295" spans="1:2" ht="12.5">
      <c r="A295" s="81"/>
      <c r="B295" s="81"/>
    </row>
    <row r="296" spans="1:2" ht="12.5">
      <c r="A296" s="81"/>
      <c r="B296" s="81"/>
    </row>
    <row r="297" spans="1:2" ht="12.5">
      <c r="A297" s="81"/>
      <c r="B297" s="81"/>
    </row>
    <row r="298" spans="1:2" ht="12.5">
      <c r="A298" s="81"/>
      <c r="B298" s="81"/>
    </row>
    <row r="299" spans="1:2" ht="12.5">
      <c r="A299" s="81"/>
      <c r="B299" s="81"/>
    </row>
    <row r="300" spans="1:2" ht="12.5">
      <c r="A300" s="81"/>
      <c r="B300" s="81"/>
    </row>
    <row r="301" spans="1:2" ht="12.5">
      <c r="A301" s="81"/>
      <c r="B301" s="81"/>
    </row>
    <row r="302" spans="1:2" ht="12.5">
      <c r="A302" s="81"/>
      <c r="B302" s="81"/>
    </row>
    <row r="303" spans="1:2" ht="12.5">
      <c r="A303" s="81"/>
      <c r="B303" s="81"/>
    </row>
    <row r="304" spans="1:2" ht="12.5">
      <c r="A304" s="81"/>
      <c r="B304" s="81"/>
    </row>
    <row r="305" spans="1:2" ht="12.5">
      <c r="A305" s="81"/>
      <c r="B305" s="81"/>
    </row>
    <row r="306" spans="1:2" ht="12.5">
      <c r="A306" s="81"/>
      <c r="B306" s="81"/>
    </row>
    <row r="307" spans="1:2" ht="12.5">
      <c r="A307" s="81"/>
      <c r="B307" s="81"/>
    </row>
    <row r="308" spans="1:2" ht="12.5">
      <c r="A308" s="81"/>
      <c r="B308" s="81"/>
    </row>
    <row r="309" spans="1:2" ht="12.5">
      <c r="A309" s="81"/>
      <c r="B309" s="81"/>
    </row>
    <row r="310" spans="1:2" ht="12.5">
      <c r="A310" s="81"/>
      <c r="B310" s="81"/>
    </row>
    <row r="311" spans="1:2" ht="12.5">
      <c r="A311" s="81"/>
      <c r="B311" s="81"/>
    </row>
    <row r="312" spans="1:2" ht="12.5">
      <c r="A312" s="81"/>
      <c r="B312" s="81"/>
    </row>
    <row r="313" spans="1:2" ht="12.5">
      <c r="A313" s="81"/>
      <c r="B313" s="81"/>
    </row>
    <row r="314" spans="1:2" ht="12.5">
      <c r="A314" s="81"/>
      <c r="B314" s="81"/>
    </row>
    <row r="315" spans="1:2" ht="12.5">
      <c r="A315" s="81"/>
      <c r="B315" s="81"/>
    </row>
    <row r="316" spans="1:2" ht="12.5">
      <c r="A316" s="81"/>
      <c r="B316" s="81"/>
    </row>
    <row r="317" spans="1:2" ht="12.5">
      <c r="A317" s="81"/>
      <c r="B317" s="81"/>
    </row>
    <row r="318" spans="1:2" ht="12.5">
      <c r="A318" s="81"/>
      <c r="B318" s="81"/>
    </row>
    <row r="319" spans="1:2" ht="12.5">
      <c r="A319" s="81"/>
      <c r="B319" s="81"/>
    </row>
    <row r="320" spans="1:2" ht="12.5">
      <c r="A320" s="81"/>
      <c r="B320" s="81"/>
    </row>
    <row r="321" spans="1:2" ht="12.5">
      <c r="A321" s="81"/>
      <c r="B321" s="81"/>
    </row>
    <row r="322" spans="1:2" ht="12.5">
      <c r="A322" s="81"/>
      <c r="B322" s="81"/>
    </row>
    <row r="323" spans="1:2" ht="12.5">
      <c r="A323" s="81"/>
      <c r="B323" s="81"/>
    </row>
    <row r="324" spans="1:2" ht="12.5">
      <c r="A324" s="81"/>
      <c r="B324" s="81"/>
    </row>
    <row r="325" spans="1:2" ht="12.5">
      <c r="A325" s="81"/>
      <c r="B325" s="81"/>
    </row>
    <row r="326" spans="1:2" ht="12.5">
      <c r="A326" s="81"/>
      <c r="B326" s="81"/>
    </row>
    <row r="327" spans="1:2" ht="12.5">
      <c r="A327" s="81"/>
      <c r="B327" s="81"/>
    </row>
    <row r="328" spans="1:2" ht="12.5">
      <c r="A328" s="81"/>
      <c r="B328" s="81"/>
    </row>
    <row r="329" spans="1:2" ht="12.5">
      <c r="A329" s="81"/>
      <c r="B329" s="81"/>
    </row>
    <row r="330" spans="1:2" ht="12.5">
      <c r="A330" s="81"/>
      <c r="B330" s="81"/>
    </row>
    <row r="331" spans="1:2" ht="12.5">
      <c r="A331" s="81"/>
      <c r="B331" s="81"/>
    </row>
    <row r="332" spans="1:2" ht="12.5">
      <c r="A332" s="81"/>
      <c r="B332" s="81"/>
    </row>
    <row r="333" spans="1:2" ht="12.5">
      <c r="A333" s="81"/>
      <c r="B333" s="81"/>
    </row>
    <row r="334" spans="1:2" ht="12.5">
      <c r="A334" s="81"/>
      <c r="B334" s="81"/>
    </row>
    <row r="335" spans="1:2" ht="12.5">
      <c r="A335" s="81"/>
      <c r="B335" s="81"/>
    </row>
    <row r="336" spans="1:2" ht="12.5">
      <c r="A336" s="81"/>
      <c r="B336" s="81"/>
    </row>
    <row r="337" spans="1:2" ht="12.5">
      <c r="A337" s="81"/>
      <c r="B337" s="81"/>
    </row>
    <row r="338" spans="1:2" ht="12.5">
      <c r="A338" s="81"/>
      <c r="B338" s="81"/>
    </row>
    <row r="339" spans="1:2" ht="12.5">
      <c r="A339" s="81"/>
      <c r="B339" s="81"/>
    </row>
    <row r="340" spans="1:2" ht="12.5">
      <c r="A340" s="81"/>
      <c r="B340" s="81"/>
    </row>
    <row r="341" spans="1:2" ht="12.5">
      <c r="A341" s="81"/>
      <c r="B341" s="81"/>
    </row>
    <row r="342" spans="1:2" ht="12.5">
      <c r="A342" s="81"/>
      <c r="B342" s="81"/>
    </row>
    <row r="343" spans="1:2" ht="12.5">
      <c r="A343" s="81"/>
      <c r="B343" s="81"/>
    </row>
    <row r="344" spans="1:2" ht="12.5">
      <c r="A344" s="81"/>
      <c r="B344" s="81"/>
    </row>
    <row r="345" spans="1:2" ht="12.5">
      <c r="A345" s="81"/>
      <c r="B345" s="81"/>
    </row>
    <row r="346" spans="1:2" ht="12.5">
      <c r="A346" s="81"/>
      <c r="B346" s="81"/>
    </row>
    <row r="347" spans="1:2" ht="12.5">
      <c r="A347" s="81"/>
      <c r="B347" s="81"/>
    </row>
    <row r="348" spans="1:2" ht="12.5">
      <c r="A348" s="81"/>
      <c r="B348" s="81"/>
    </row>
    <row r="349" spans="1:2" ht="12.5">
      <c r="A349" s="81"/>
      <c r="B349" s="81"/>
    </row>
    <row r="350" spans="1:2" ht="12.5">
      <c r="A350" s="81"/>
      <c r="B350" s="81"/>
    </row>
    <row r="351" spans="1:2" ht="12.5">
      <c r="A351" s="81"/>
      <c r="B351" s="81"/>
    </row>
    <row r="352" spans="1:2" ht="12.5">
      <c r="A352" s="81"/>
      <c r="B352" s="81"/>
    </row>
    <row r="353" spans="1:2" ht="12.5">
      <c r="A353" s="81"/>
      <c r="B353" s="81"/>
    </row>
    <row r="354" spans="1:2" ht="12.5">
      <c r="A354" s="81"/>
      <c r="B354" s="81"/>
    </row>
    <row r="355" spans="1:2" ht="12.5">
      <c r="A355" s="81"/>
      <c r="B355" s="81"/>
    </row>
    <row r="356" spans="1:2" ht="12.5">
      <c r="A356" s="81"/>
      <c r="B356" s="81"/>
    </row>
    <row r="357" spans="1:2" ht="12.5">
      <c r="A357" s="81"/>
      <c r="B357" s="81"/>
    </row>
    <row r="358" spans="1:2" ht="12.5">
      <c r="A358" s="81"/>
      <c r="B358" s="81"/>
    </row>
    <row r="359" spans="1:2" ht="12.5">
      <c r="A359" s="81"/>
      <c r="B359" s="81"/>
    </row>
    <row r="360" spans="1:2" ht="12.5">
      <c r="A360" s="81"/>
      <c r="B360" s="81"/>
    </row>
    <row r="361" spans="1:2" ht="12.5">
      <c r="A361" s="81"/>
      <c r="B361" s="81"/>
    </row>
    <row r="362" spans="1:2" ht="12.5">
      <c r="A362" s="81"/>
      <c r="B362" s="81"/>
    </row>
    <row r="363" spans="1:2" ht="12.5">
      <c r="A363" s="81"/>
      <c r="B363" s="81"/>
    </row>
    <row r="364" spans="1:2" ht="12.5">
      <c r="A364" s="81"/>
      <c r="B364" s="81"/>
    </row>
    <row r="365" spans="1:2" ht="12.5">
      <c r="A365" s="81"/>
      <c r="B365" s="81"/>
    </row>
    <row r="366" spans="1:2" ht="12.5">
      <c r="A366" s="81"/>
      <c r="B366" s="81"/>
    </row>
    <row r="367" spans="1:2" ht="12.5">
      <c r="A367" s="81"/>
      <c r="B367" s="81"/>
    </row>
    <row r="368" spans="1:2" ht="12.5">
      <c r="A368" s="81"/>
      <c r="B368" s="81"/>
    </row>
    <row r="369" spans="1:2" ht="12.5">
      <c r="A369" s="81"/>
      <c r="B369" s="81"/>
    </row>
    <row r="370" spans="1:2" ht="12.5">
      <c r="A370" s="81"/>
      <c r="B370" s="81"/>
    </row>
    <row r="371" spans="1:2" ht="12.5">
      <c r="A371" s="81"/>
      <c r="B371" s="81"/>
    </row>
    <row r="372" spans="1:2" ht="12.5">
      <c r="A372" s="81"/>
      <c r="B372" s="81"/>
    </row>
    <row r="373" spans="1:2" ht="12.5">
      <c r="A373" s="81"/>
      <c r="B373" s="81"/>
    </row>
    <row r="374" spans="1:2" ht="12.5">
      <c r="A374" s="81"/>
      <c r="B374" s="81"/>
    </row>
    <row r="375" spans="1:2" ht="12.5">
      <c r="A375" s="81"/>
      <c r="B375" s="81"/>
    </row>
    <row r="376" spans="1:2" ht="12.5">
      <c r="A376" s="81"/>
      <c r="B376" s="81"/>
    </row>
    <row r="377" spans="1:2" ht="12.5">
      <c r="A377" s="81"/>
      <c r="B377" s="81"/>
    </row>
    <row r="378" spans="1:2" ht="12.5">
      <c r="A378" s="81"/>
      <c r="B378" s="81"/>
    </row>
    <row r="379" spans="1:2" ht="12.5">
      <c r="A379" s="81"/>
      <c r="B379" s="81"/>
    </row>
    <row r="380" spans="1:2" ht="12.5">
      <c r="A380" s="81"/>
      <c r="B380" s="81"/>
    </row>
    <row r="381" spans="1:2" ht="12.5">
      <c r="A381" s="81"/>
      <c r="B381" s="81"/>
    </row>
    <row r="382" spans="1:2" ht="12.5">
      <c r="A382" s="81"/>
      <c r="B382" s="81"/>
    </row>
    <row r="383" spans="1:2" ht="12.5">
      <c r="A383" s="81"/>
      <c r="B383" s="81"/>
    </row>
    <row r="384" spans="1:2" ht="12.5">
      <c r="A384" s="81"/>
      <c r="B384" s="81"/>
    </row>
    <row r="385" spans="1:2" ht="12.5">
      <c r="A385" s="81"/>
      <c r="B385" s="81"/>
    </row>
    <row r="386" spans="1:2" ht="12.5">
      <c r="A386" s="81"/>
      <c r="B386" s="81"/>
    </row>
    <row r="387" spans="1:2" ht="12.5">
      <c r="A387" s="81"/>
      <c r="B387" s="81"/>
    </row>
    <row r="388" spans="1:2" ht="12.5">
      <c r="A388" s="81"/>
      <c r="B388" s="81"/>
    </row>
    <row r="389" spans="1:2" ht="12.5">
      <c r="A389" s="81"/>
      <c r="B389" s="81"/>
    </row>
    <row r="390" spans="1:2" ht="12.5">
      <c r="A390" s="81"/>
      <c r="B390" s="81"/>
    </row>
    <row r="391" spans="1:2" ht="12.5">
      <c r="A391" s="81"/>
      <c r="B391" s="81"/>
    </row>
    <row r="392" spans="1:2" ht="12.5">
      <c r="A392" s="81"/>
      <c r="B392" s="81"/>
    </row>
    <row r="393" spans="1:2" ht="12.5">
      <c r="A393" s="81"/>
      <c r="B393" s="81"/>
    </row>
    <row r="394" spans="1:2" ht="12.5">
      <c r="A394" s="81"/>
      <c r="B394" s="81"/>
    </row>
    <row r="395" spans="1:2" ht="12.5">
      <c r="A395" s="81"/>
      <c r="B395" s="81"/>
    </row>
    <row r="396" spans="1:2" ht="12.5">
      <c r="A396" s="81"/>
      <c r="B396" s="81"/>
    </row>
    <row r="397" spans="1:2" ht="12.5">
      <c r="A397" s="81"/>
      <c r="B397" s="81"/>
    </row>
    <row r="398" spans="1:2" ht="12.5">
      <c r="A398" s="81"/>
      <c r="B398" s="81"/>
    </row>
    <row r="399" spans="1:2" ht="12.5">
      <c r="A399" s="81"/>
      <c r="B399" s="81"/>
    </row>
    <row r="400" spans="1:2" ht="12.5">
      <c r="A400" s="81"/>
      <c r="B400" s="81"/>
    </row>
    <row r="401" spans="1:2" ht="12.5">
      <c r="A401" s="81"/>
      <c r="B401" s="81"/>
    </row>
    <row r="402" spans="1:2" ht="12.5">
      <c r="A402" s="81"/>
      <c r="B402" s="81"/>
    </row>
    <row r="403" spans="1:2" ht="12.5">
      <c r="A403" s="81"/>
      <c r="B403" s="81"/>
    </row>
    <row r="404" spans="1:2" ht="12.5">
      <c r="A404" s="81"/>
      <c r="B404" s="81"/>
    </row>
    <row r="405" spans="1:2" ht="12.5">
      <c r="A405" s="81"/>
      <c r="B405" s="81"/>
    </row>
    <row r="406" spans="1:2" ht="12.5">
      <c r="A406" s="81"/>
      <c r="B406" s="81"/>
    </row>
    <row r="407" spans="1:2" ht="12.5">
      <c r="A407" s="81"/>
      <c r="B407" s="81"/>
    </row>
    <row r="408" spans="1:2" ht="12.5">
      <c r="A408" s="81"/>
      <c r="B408" s="81"/>
    </row>
    <row r="409" spans="1:2" ht="12.5">
      <c r="A409" s="81"/>
      <c r="B409" s="81"/>
    </row>
    <row r="410" spans="1:2" ht="12.5">
      <c r="A410" s="81"/>
      <c r="B410" s="81"/>
    </row>
    <row r="411" spans="1:2" ht="12.5">
      <c r="A411" s="81"/>
      <c r="B411" s="81"/>
    </row>
    <row r="412" spans="1:2" ht="12.5">
      <c r="A412" s="81"/>
      <c r="B412" s="81"/>
    </row>
    <row r="413" spans="1:2" ht="12.5">
      <c r="A413" s="81"/>
      <c r="B413" s="81"/>
    </row>
    <row r="414" spans="1:2" ht="12.5">
      <c r="A414" s="81"/>
      <c r="B414" s="81"/>
    </row>
    <row r="415" spans="1:2" ht="12.5">
      <c r="A415" s="81"/>
      <c r="B415" s="81"/>
    </row>
    <row r="416" spans="1:2" ht="12.5">
      <c r="A416" s="81"/>
      <c r="B416" s="81"/>
    </row>
    <row r="417" spans="1:2" ht="12.5">
      <c r="A417" s="81"/>
      <c r="B417" s="81"/>
    </row>
    <row r="418" spans="1:2" ht="12.5">
      <c r="A418" s="81"/>
      <c r="B418" s="81"/>
    </row>
    <row r="419" spans="1:2" ht="12.5">
      <c r="A419" s="81"/>
      <c r="B419" s="81"/>
    </row>
    <row r="420" spans="1:2" ht="12.5">
      <c r="A420" s="81"/>
      <c r="B420" s="81"/>
    </row>
    <row r="421" spans="1:2" ht="12.5">
      <c r="A421" s="81"/>
      <c r="B421" s="81"/>
    </row>
    <row r="422" spans="1:2" ht="12.5">
      <c r="A422" s="81"/>
      <c r="B422" s="81"/>
    </row>
    <row r="423" spans="1:2" ht="12.5">
      <c r="A423" s="81"/>
      <c r="B423" s="81"/>
    </row>
    <row r="424" spans="1:2" ht="12.5">
      <c r="A424" s="81"/>
      <c r="B424" s="81"/>
    </row>
    <row r="425" spans="1:2" ht="12.5">
      <c r="A425" s="81"/>
      <c r="B425" s="81"/>
    </row>
    <row r="426" spans="1:2" ht="12.5">
      <c r="A426" s="81"/>
      <c r="B426" s="81"/>
    </row>
    <row r="427" spans="1:2" ht="12.5">
      <c r="A427" s="81"/>
      <c r="B427" s="81"/>
    </row>
    <row r="428" spans="1:2" ht="12.5">
      <c r="A428" s="81"/>
      <c r="B428" s="81"/>
    </row>
    <row r="429" spans="1:2" ht="12.5">
      <c r="A429" s="81"/>
      <c r="B429" s="81"/>
    </row>
    <row r="430" spans="1:2" ht="12.5">
      <c r="A430" s="81"/>
      <c r="B430" s="81"/>
    </row>
    <row r="431" spans="1:2" ht="12.5">
      <c r="A431" s="81"/>
      <c r="B431" s="81"/>
    </row>
    <row r="432" spans="1:2" ht="12.5">
      <c r="A432" s="81"/>
      <c r="B432" s="81"/>
    </row>
    <row r="433" spans="1:2" ht="12.5">
      <c r="A433" s="81"/>
      <c r="B433" s="81"/>
    </row>
    <row r="434" spans="1:2" ht="12.5">
      <c r="A434" s="81"/>
      <c r="B434" s="81"/>
    </row>
    <row r="435" spans="1:2" ht="12.5">
      <c r="A435" s="81"/>
      <c r="B435" s="81"/>
    </row>
    <row r="436" spans="1:2" ht="12.5">
      <c r="A436" s="81"/>
      <c r="B436" s="81"/>
    </row>
    <row r="437" spans="1:2" ht="12.5">
      <c r="A437" s="81"/>
      <c r="B437" s="81"/>
    </row>
    <row r="438" spans="1:2" ht="12.5">
      <c r="A438" s="81"/>
      <c r="B438" s="81"/>
    </row>
    <row r="439" spans="1:2" ht="12.5">
      <c r="A439" s="81"/>
      <c r="B439" s="81"/>
    </row>
    <row r="440" spans="1:2" ht="12.5">
      <c r="A440" s="81"/>
      <c r="B440" s="81"/>
    </row>
    <row r="441" spans="1:2" ht="12.5">
      <c r="A441" s="81"/>
      <c r="B441" s="81"/>
    </row>
    <row r="442" spans="1:2" ht="12.5">
      <c r="A442" s="81"/>
      <c r="B442" s="81"/>
    </row>
    <row r="443" spans="1:2" ht="12.5">
      <c r="A443" s="81"/>
      <c r="B443" s="81"/>
    </row>
    <row r="444" spans="1:2" ht="12.5">
      <c r="A444" s="81"/>
      <c r="B444" s="81"/>
    </row>
    <row r="445" spans="1:2" ht="12.5">
      <c r="A445" s="81"/>
      <c r="B445" s="81"/>
    </row>
    <row r="446" spans="1:2" ht="12.5">
      <c r="A446" s="81"/>
      <c r="B446" s="81"/>
    </row>
    <row r="447" spans="1:2" ht="12.5">
      <c r="A447" s="81"/>
      <c r="B447" s="81"/>
    </row>
    <row r="448" spans="1:2" ht="12.5">
      <c r="A448" s="81"/>
      <c r="B448" s="81"/>
    </row>
    <row r="449" spans="1:2" ht="12.5">
      <c r="A449" s="81"/>
      <c r="B449" s="81"/>
    </row>
    <row r="450" spans="1:2" ht="12.5">
      <c r="A450" s="81"/>
      <c r="B450" s="81"/>
    </row>
    <row r="451" spans="1:2" ht="12.5">
      <c r="A451" s="81"/>
      <c r="B451" s="81"/>
    </row>
    <row r="452" spans="1:2" ht="12.5">
      <c r="A452" s="81"/>
      <c r="B452" s="81"/>
    </row>
    <row r="453" spans="1:2" ht="12.5">
      <c r="A453" s="81"/>
      <c r="B453" s="81"/>
    </row>
    <row r="454" spans="1:2" ht="12.5">
      <c r="A454" s="81"/>
      <c r="B454" s="81"/>
    </row>
    <row r="455" spans="1:2" ht="12.5">
      <c r="A455" s="81"/>
      <c r="B455" s="81"/>
    </row>
    <row r="456" spans="1:2" ht="12.5">
      <c r="A456" s="81"/>
      <c r="B456" s="81"/>
    </row>
    <row r="457" spans="1:2" ht="12.5">
      <c r="A457" s="81"/>
      <c r="B457" s="81"/>
    </row>
    <row r="458" spans="1:2" ht="12.5">
      <c r="A458" s="81"/>
      <c r="B458" s="81"/>
    </row>
    <row r="459" spans="1:2" ht="12.5">
      <c r="A459" s="81"/>
      <c r="B459" s="81"/>
    </row>
    <row r="460" spans="1:2" ht="12.5">
      <c r="A460" s="81"/>
      <c r="B460" s="81"/>
    </row>
    <row r="461" spans="1:2" ht="12.5">
      <c r="A461" s="81"/>
      <c r="B461" s="81"/>
    </row>
    <row r="462" spans="1:2" ht="12.5">
      <c r="A462" s="81"/>
      <c r="B462" s="81"/>
    </row>
    <row r="463" spans="1:2" ht="12.5">
      <c r="A463" s="81"/>
      <c r="B463" s="81"/>
    </row>
    <row r="464" spans="1:2" ht="12.5">
      <c r="A464" s="81"/>
      <c r="B464" s="81"/>
    </row>
    <row r="465" spans="1:2" ht="12.5">
      <c r="A465" s="81"/>
      <c r="B465" s="81"/>
    </row>
    <row r="466" spans="1:2" ht="12.5">
      <c r="A466" s="81"/>
      <c r="B466" s="81"/>
    </row>
    <row r="467" spans="1:2" ht="12.5">
      <c r="A467" s="81"/>
      <c r="B467" s="81"/>
    </row>
    <row r="468" spans="1:2" ht="12.5">
      <c r="A468" s="81"/>
      <c r="B468" s="81"/>
    </row>
    <row r="469" spans="1:2" ht="12.5">
      <c r="A469" s="81"/>
      <c r="B469" s="81"/>
    </row>
    <row r="470" spans="1:2" ht="12.5">
      <c r="A470" s="81"/>
      <c r="B470" s="81"/>
    </row>
    <row r="471" spans="1:2" ht="12.5">
      <c r="A471" s="81"/>
      <c r="B471" s="81"/>
    </row>
    <row r="472" spans="1:2" ht="12.5">
      <c r="A472" s="81"/>
      <c r="B472" s="81"/>
    </row>
    <row r="473" spans="1:2" ht="12.5">
      <c r="A473" s="81"/>
      <c r="B473" s="81"/>
    </row>
    <row r="474" spans="1:2" ht="12.5">
      <c r="A474" s="81"/>
      <c r="B474" s="81"/>
    </row>
    <row r="475" spans="1:2" ht="12.5">
      <c r="A475" s="81"/>
      <c r="B475" s="81"/>
    </row>
    <row r="476" spans="1:2" ht="12.5">
      <c r="A476" s="81"/>
      <c r="B476" s="81"/>
    </row>
    <row r="477" spans="1:2" ht="12.5">
      <c r="A477" s="81"/>
      <c r="B477" s="81"/>
    </row>
    <row r="478" spans="1:2" ht="12.5">
      <c r="A478" s="81"/>
      <c r="B478" s="81"/>
    </row>
    <row r="479" spans="1:2" ht="12.5">
      <c r="A479" s="81"/>
      <c r="B479" s="81"/>
    </row>
    <row r="480" spans="1:2" ht="12.5">
      <c r="A480" s="81"/>
      <c r="B480" s="81"/>
    </row>
    <row r="481" spans="1:2" ht="12.5">
      <c r="A481" s="81"/>
      <c r="B481" s="81"/>
    </row>
    <row r="482" spans="1:2" ht="12.5">
      <c r="A482" s="81"/>
      <c r="B482" s="81"/>
    </row>
    <row r="483" spans="1:2" ht="12.5">
      <c r="A483" s="81"/>
      <c r="B483" s="81"/>
    </row>
    <row r="484" spans="1:2" ht="12.5">
      <c r="A484" s="81"/>
      <c r="B484" s="81"/>
    </row>
    <row r="485" spans="1:2" ht="12.5">
      <c r="A485" s="81"/>
      <c r="B485" s="81"/>
    </row>
    <row r="486" spans="1:2" ht="12.5">
      <c r="A486" s="81"/>
      <c r="B486" s="81"/>
    </row>
    <row r="487" spans="1:2" ht="12.5">
      <c r="A487" s="81"/>
      <c r="B487" s="81"/>
    </row>
    <row r="488" spans="1:2" ht="12.5">
      <c r="A488" s="81"/>
      <c r="B488" s="81"/>
    </row>
    <row r="489" spans="1:2" ht="12.5">
      <c r="A489" s="81"/>
      <c r="B489" s="81"/>
    </row>
    <row r="490" spans="1:2" ht="12.5">
      <c r="A490" s="81"/>
      <c r="B490" s="81"/>
    </row>
    <row r="491" spans="1:2" ht="12.5">
      <c r="A491" s="81"/>
      <c r="B491" s="81"/>
    </row>
    <row r="492" spans="1:2" ht="12.5">
      <c r="A492" s="81"/>
      <c r="B492" s="81"/>
    </row>
    <row r="493" spans="1:2" ht="12.5">
      <c r="A493" s="81"/>
      <c r="B493" s="81"/>
    </row>
    <row r="494" spans="1:2" ht="12.5">
      <c r="A494" s="81"/>
      <c r="B494" s="81"/>
    </row>
    <row r="495" spans="1:2" ht="12.5">
      <c r="A495" s="81"/>
      <c r="B495" s="81"/>
    </row>
    <row r="496" spans="1:2" ht="12.5">
      <c r="A496" s="81"/>
      <c r="B496" s="81"/>
    </row>
    <row r="497" spans="1:2" ht="12.5">
      <c r="A497" s="81"/>
      <c r="B497" s="81"/>
    </row>
    <row r="498" spans="1:2" ht="12.5">
      <c r="A498" s="81"/>
      <c r="B498" s="81"/>
    </row>
    <row r="499" spans="1:2" ht="12.5">
      <c r="A499" s="81"/>
      <c r="B499" s="81"/>
    </row>
    <row r="500" spans="1:2" ht="12.5">
      <c r="A500" s="81"/>
      <c r="B500" s="81"/>
    </row>
    <row r="501" spans="1:2" ht="12.5">
      <c r="A501" s="81"/>
      <c r="B501" s="81"/>
    </row>
    <row r="502" spans="1:2" ht="12.5">
      <c r="A502" s="81"/>
      <c r="B502" s="81"/>
    </row>
    <row r="503" spans="1:2" ht="12.5">
      <c r="A503" s="81"/>
      <c r="B503" s="81"/>
    </row>
    <row r="504" spans="1:2" ht="12.5">
      <c r="A504" s="81"/>
      <c r="B504" s="81"/>
    </row>
    <row r="505" spans="1:2" ht="12.5">
      <c r="A505" s="81"/>
      <c r="B505" s="81"/>
    </row>
    <row r="506" spans="1:2" ht="12.5">
      <c r="A506" s="81"/>
      <c r="B506" s="81"/>
    </row>
    <row r="507" spans="1:2" ht="12.5">
      <c r="A507" s="81"/>
      <c r="B507" s="81"/>
    </row>
    <row r="508" spans="1:2" ht="12.5">
      <c r="A508" s="81"/>
      <c r="B508" s="81"/>
    </row>
    <row r="509" spans="1:2" ht="12.5">
      <c r="A509" s="81"/>
      <c r="B509" s="81"/>
    </row>
    <row r="510" spans="1:2" ht="12.5">
      <c r="A510" s="81"/>
      <c r="B510" s="81"/>
    </row>
    <row r="511" spans="1:2" ht="12.5">
      <c r="A511" s="81"/>
      <c r="B511" s="81"/>
    </row>
    <row r="512" spans="1:2" ht="12.5">
      <c r="A512" s="81"/>
      <c r="B512" s="81"/>
    </row>
    <row r="513" spans="1:2" ht="12.5">
      <c r="A513" s="81"/>
      <c r="B513" s="81"/>
    </row>
    <row r="514" spans="1:2" ht="12.5">
      <c r="A514" s="81"/>
      <c r="B514" s="81"/>
    </row>
    <row r="515" spans="1:2" ht="12.5">
      <c r="A515" s="81"/>
      <c r="B515" s="81"/>
    </row>
    <row r="516" spans="1:2" ht="12.5">
      <c r="A516" s="81"/>
      <c r="B516" s="81"/>
    </row>
    <row r="517" spans="1:2" ht="12.5">
      <c r="A517" s="81"/>
      <c r="B517" s="81"/>
    </row>
    <row r="518" spans="1:2" ht="12.5">
      <c r="A518" s="81"/>
      <c r="B518" s="81"/>
    </row>
    <row r="519" spans="1:2" ht="12.5">
      <c r="A519" s="81"/>
      <c r="B519" s="81"/>
    </row>
    <row r="520" spans="1:2" ht="12.5">
      <c r="A520" s="81"/>
      <c r="B520" s="81"/>
    </row>
    <row r="521" spans="1:2" ht="12.5">
      <c r="A521" s="81"/>
      <c r="B521" s="81"/>
    </row>
    <row r="522" spans="1:2" ht="12.5">
      <c r="A522" s="81"/>
      <c r="B522" s="81"/>
    </row>
    <row r="523" spans="1:2" ht="12.5">
      <c r="A523" s="81"/>
      <c r="B523" s="81"/>
    </row>
    <row r="524" spans="1:2" ht="12.5">
      <c r="A524" s="81"/>
      <c r="B524" s="81"/>
    </row>
    <row r="525" spans="1:2" ht="12.5">
      <c r="A525" s="81"/>
      <c r="B525" s="81"/>
    </row>
    <row r="526" spans="1:2" ht="12.5">
      <c r="A526" s="81"/>
      <c r="B526" s="81"/>
    </row>
    <row r="527" spans="1:2" ht="12.5">
      <c r="A527" s="81"/>
      <c r="B527" s="81"/>
    </row>
    <row r="528" spans="1:2" ht="12.5">
      <c r="A528" s="81"/>
      <c r="B528" s="81"/>
    </row>
    <row r="529" spans="1:2" ht="12.5">
      <c r="A529" s="81"/>
      <c r="B529" s="81"/>
    </row>
    <row r="530" spans="1:2" ht="12.5">
      <c r="A530" s="81"/>
      <c r="B530" s="81"/>
    </row>
    <row r="531" spans="1:2" ht="12.5">
      <c r="A531" s="81"/>
      <c r="B531" s="81"/>
    </row>
    <row r="532" spans="1:2" ht="12.5">
      <c r="A532" s="81"/>
      <c r="B532" s="81"/>
    </row>
    <row r="533" spans="1:2" ht="12.5">
      <c r="A533" s="81"/>
      <c r="B533" s="81"/>
    </row>
    <row r="534" spans="1:2" ht="12.5">
      <c r="A534" s="81"/>
      <c r="B534" s="81"/>
    </row>
    <row r="535" spans="1:2" ht="12.5">
      <c r="A535" s="81"/>
      <c r="B535" s="81"/>
    </row>
    <row r="536" spans="1:2" ht="12.5">
      <c r="A536" s="81"/>
      <c r="B536" s="81"/>
    </row>
    <row r="537" spans="1:2" ht="12.5">
      <c r="A537" s="81"/>
      <c r="B537" s="81"/>
    </row>
    <row r="538" spans="1:2" ht="12.5">
      <c r="A538" s="81"/>
      <c r="B538" s="81"/>
    </row>
    <row r="539" spans="1:2" ht="12.5">
      <c r="A539" s="81"/>
      <c r="B539" s="81"/>
    </row>
    <row r="540" spans="1:2" ht="12.5">
      <c r="A540" s="81"/>
      <c r="B540" s="81"/>
    </row>
    <row r="541" spans="1:2" ht="12.5">
      <c r="A541" s="81"/>
      <c r="B541" s="81"/>
    </row>
    <row r="542" spans="1:2" ht="12.5">
      <c r="A542" s="81"/>
      <c r="B542" s="81"/>
    </row>
    <row r="543" spans="1:2" ht="12.5">
      <c r="A543" s="81"/>
      <c r="B543" s="81"/>
    </row>
    <row r="544" spans="1:2" ht="12.5">
      <c r="A544" s="81"/>
      <c r="B544" s="81"/>
    </row>
    <row r="545" spans="1:2" ht="12.5">
      <c r="A545" s="81"/>
      <c r="B545" s="81"/>
    </row>
    <row r="546" spans="1:2" ht="12.5">
      <c r="A546" s="81"/>
      <c r="B546" s="81"/>
    </row>
    <row r="547" spans="1:2" ht="12.5">
      <c r="A547" s="81"/>
      <c r="B547" s="81"/>
    </row>
    <row r="548" spans="1:2" ht="12.5">
      <c r="A548" s="81"/>
      <c r="B548" s="81"/>
    </row>
    <row r="549" spans="1:2" ht="12.5">
      <c r="A549" s="81"/>
      <c r="B549" s="81"/>
    </row>
    <row r="550" spans="1:2" ht="12.5">
      <c r="A550" s="81"/>
      <c r="B550" s="81"/>
    </row>
    <row r="551" spans="1:2" ht="12.5">
      <c r="A551" s="81"/>
      <c r="B551" s="81"/>
    </row>
    <row r="552" spans="1:2" ht="12.5">
      <c r="A552" s="81"/>
      <c r="B552" s="81"/>
    </row>
    <row r="553" spans="1:2" ht="12.5">
      <c r="A553" s="81"/>
      <c r="B553" s="81"/>
    </row>
    <row r="554" spans="1:2" ht="12.5">
      <c r="A554" s="81"/>
      <c r="B554" s="81"/>
    </row>
    <row r="555" spans="1:2" ht="12.5">
      <c r="A555" s="81"/>
      <c r="B555" s="81"/>
    </row>
    <row r="556" spans="1:2" ht="12.5">
      <c r="A556" s="81"/>
      <c r="B556" s="81"/>
    </row>
    <row r="557" spans="1:2" ht="12.5">
      <c r="A557" s="81"/>
      <c r="B557" s="81"/>
    </row>
    <row r="558" spans="1:2" ht="12.5">
      <c r="A558" s="81"/>
      <c r="B558" s="81"/>
    </row>
    <row r="559" spans="1:2" ht="12.5">
      <c r="A559" s="81"/>
      <c r="B559" s="81"/>
    </row>
    <row r="560" spans="1:2" ht="12.5">
      <c r="A560" s="81"/>
      <c r="B560" s="81"/>
    </row>
    <row r="561" spans="1:2" ht="12.5">
      <c r="A561" s="81"/>
      <c r="B561" s="81"/>
    </row>
    <row r="562" spans="1:2" ht="12.5">
      <c r="A562" s="81"/>
      <c r="B562" s="81"/>
    </row>
    <row r="563" spans="1:2" ht="12.5">
      <c r="A563" s="81"/>
      <c r="B563" s="81"/>
    </row>
    <row r="564" spans="1:2" ht="12.5">
      <c r="A564" s="81"/>
      <c r="B564" s="81"/>
    </row>
    <row r="565" spans="1:2" ht="12.5">
      <c r="A565" s="81"/>
      <c r="B565" s="81"/>
    </row>
    <row r="566" spans="1:2" ht="12.5">
      <c r="A566" s="81"/>
      <c r="B566" s="81"/>
    </row>
    <row r="567" spans="1:2" ht="12.5">
      <c r="A567" s="81"/>
      <c r="B567" s="81"/>
    </row>
    <row r="568" spans="1:2" ht="12.5">
      <c r="A568" s="81"/>
      <c r="B568" s="81"/>
    </row>
    <row r="569" spans="1:2" ht="12.5">
      <c r="A569" s="81"/>
      <c r="B569" s="81"/>
    </row>
    <row r="570" spans="1:2" ht="12.5">
      <c r="A570" s="81"/>
      <c r="B570" s="81"/>
    </row>
    <row r="571" spans="1:2" ht="12.5">
      <c r="A571" s="81"/>
      <c r="B571" s="81"/>
    </row>
    <row r="572" spans="1:2" ht="12.5">
      <c r="A572" s="81"/>
      <c r="B572" s="81"/>
    </row>
    <row r="573" spans="1:2" ht="12.5">
      <c r="A573" s="81"/>
      <c r="B573" s="81"/>
    </row>
    <row r="574" spans="1:2" ht="12.5">
      <c r="A574" s="81"/>
      <c r="B574" s="81"/>
    </row>
    <row r="575" spans="1:2" ht="12.5">
      <c r="A575" s="81"/>
      <c r="B575" s="81"/>
    </row>
    <row r="576" spans="1:2" ht="12.5">
      <c r="A576" s="81"/>
      <c r="B576" s="81"/>
    </row>
    <row r="577" spans="1:2" ht="12.5">
      <c r="A577" s="81"/>
      <c r="B577" s="81"/>
    </row>
    <row r="578" spans="1:2" ht="12.5">
      <c r="A578" s="81"/>
      <c r="B578" s="81"/>
    </row>
    <row r="579" spans="1:2" ht="12.5">
      <c r="A579" s="81"/>
      <c r="B579" s="81"/>
    </row>
    <row r="580" spans="1:2" ht="12.5">
      <c r="A580" s="81"/>
      <c r="B580" s="81"/>
    </row>
    <row r="581" spans="1:2" ht="12.5">
      <c r="A581" s="81"/>
      <c r="B581" s="81"/>
    </row>
    <row r="582" spans="1:2" ht="12.5">
      <c r="A582" s="81"/>
      <c r="B582" s="81"/>
    </row>
    <row r="583" spans="1:2" ht="12.5">
      <c r="A583" s="81"/>
      <c r="B583" s="81"/>
    </row>
    <row r="584" spans="1:2" ht="12.5">
      <c r="A584" s="81"/>
      <c r="B584" s="81"/>
    </row>
    <row r="585" spans="1:2" ht="12.5">
      <c r="A585" s="81"/>
      <c r="B585" s="81"/>
    </row>
    <row r="586" spans="1:2" ht="12.5">
      <c r="A586" s="81"/>
      <c r="B586" s="81"/>
    </row>
    <row r="587" spans="1:2" ht="12.5">
      <c r="A587" s="81"/>
      <c r="B587" s="81"/>
    </row>
    <row r="588" spans="1:2" ht="12.5">
      <c r="A588" s="81"/>
      <c r="B588" s="81"/>
    </row>
    <row r="589" spans="1:2" ht="12.5">
      <c r="A589" s="81"/>
      <c r="B589" s="81"/>
    </row>
    <row r="590" spans="1:2" ht="12.5">
      <c r="A590" s="81"/>
      <c r="B590" s="81"/>
    </row>
    <row r="591" spans="1:2" ht="12.5">
      <c r="A591" s="81"/>
      <c r="B591" s="81"/>
    </row>
    <row r="592" spans="1:2" ht="12.5">
      <c r="A592" s="81"/>
      <c r="B592" s="81"/>
    </row>
    <row r="593" spans="1:2" ht="12.5">
      <c r="A593" s="81"/>
      <c r="B593" s="81"/>
    </row>
    <row r="594" spans="1:2" ht="12.5">
      <c r="A594" s="81"/>
      <c r="B594" s="81"/>
    </row>
    <row r="595" spans="1:2" ht="12.5">
      <c r="A595" s="81"/>
      <c r="B595" s="81"/>
    </row>
    <row r="596" spans="1:2" ht="12.5">
      <c r="A596" s="81"/>
      <c r="B596" s="81"/>
    </row>
    <row r="597" spans="1:2" ht="12.5">
      <c r="A597" s="81"/>
      <c r="B597" s="81"/>
    </row>
    <row r="598" spans="1:2" ht="12.5">
      <c r="A598" s="81"/>
      <c r="B598" s="81"/>
    </row>
    <row r="599" spans="1:2" ht="12.5">
      <c r="A599" s="81"/>
      <c r="B599" s="81"/>
    </row>
    <row r="600" spans="1:2" ht="12.5">
      <c r="A600" s="81"/>
      <c r="B600" s="81"/>
    </row>
    <row r="601" spans="1:2" ht="12.5">
      <c r="A601" s="81"/>
      <c r="B601" s="81"/>
    </row>
    <row r="602" spans="1:2" ht="12.5">
      <c r="A602" s="81"/>
      <c r="B602" s="81"/>
    </row>
    <row r="603" spans="1:2" ht="12.5">
      <c r="A603" s="81"/>
      <c r="B603" s="81"/>
    </row>
    <row r="604" spans="1:2" ht="12.5">
      <c r="A604" s="81"/>
      <c r="B604" s="81"/>
    </row>
    <row r="605" spans="1:2" ht="12.5">
      <c r="A605" s="81"/>
      <c r="B605" s="81"/>
    </row>
    <row r="606" spans="1:2" ht="12.5">
      <c r="A606" s="81"/>
      <c r="B606" s="81"/>
    </row>
    <row r="607" spans="1:2" ht="12.5">
      <c r="A607" s="81"/>
      <c r="B607" s="81"/>
    </row>
    <row r="608" spans="1:2" ht="12.5">
      <c r="A608" s="81"/>
      <c r="B608" s="81"/>
    </row>
    <row r="609" spans="1:2" ht="12.5">
      <c r="A609" s="81"/>
      <c r="B609" s="81"/>
    </row>
    <row r="610" spans="1:2" ht="12.5">
      <c r="A610" s="81"/>
      <c r="B610" s="81"/>
    </row>
    <row r="611" spans="1:2" ht="12.5">
      <c r="A611" s="81"/>
      <c r="B611" s="81"/>
    </row>
    <row r="612" spans="1:2" ht="12.5">
      <c r="A612" s="81"/>
      <c r="B612" s="81"/>
    </row>
    <row r="613" spans="1:2" ht="12.5">
      <c r="A613" s="81"/>
      <c r="B613" s="81"/>
    </row>
    <row r="614" spans="1:2" ht="12.5">
      <c r="A614" s="81"/>
      <c r="B614" s="81"/>
    </row>
    <row r="615" spans="1:2" ht="12.5">
      <c r="A615" s="81"/>
      <c r="B615" s="81"/>
    </row>
    <row r="616" spans="1:2" ht="12.5">
      <c r="A616" s="81"/>
      <c r="B616" s="81"/>
    </row>
    <row r="617" spans="1:2" ht="12.5">
      <c r="A617" s="81"/>
      <c r="B617" s="81"/>
    </row>
    <row r="618" spans="1:2" ht="12.5">
      <c r="A618" s="81"/>
      <c r="B618" s="81"/>
    </row>
    <row r="619" spans="1:2" ht="12.5">
      <c r="A619" s="81"/>
      <c r="B619" s="81"/>
    </row>
    <row r="620" spans="1:2" ht="12.5">
      <c r="A620" s="81"/>
      <c r="B620" s="81"/>
    </row>
    <row r="621" spans="1:2" ht="12.5">
      <c r="A621" s="81"/>
      <c r="B621" s="81"/>
    </row>
    <row r="622" spans="1:2" ht="12.5">
      <c r="A622" s="81"/>
      <c r="B622" s="81"/>
    </row>
    <row r="623" spans="1:2" ht="12.5">
      <c r="A623" s="81"/>
      <c r="B623" s="81"/>
    </row>
    <row r="624" spans="1:2" ht="12.5">
      <c r="A624" s="81"/>
      <c r="B624" s="81"/>
    </row>
    <row r="625" spans="1:2" ht="12.5">
      <c r="A625" s="81"/>
      <c r="B625" s="81"/>
    </row>
    <row r="626" spans="1:2" ht="12.5">
      <c r="A626" s="81"/>
      <c r="B626" s="81"/>
    </row>
    <row r="627" spans="1:2" ht="12.5">
      <c r="A627" s="81"/>
      <c r="B627" s="81"/>
    </row>
    <row r="628" spans="1:2" ht="12.5">
      <c r="A628" s="81"/>
      <c r="B628" s="81"/>
    </row>
    <row r="629" spans="1:2" ht="12.5">
      <c r="A629" s="81"/>
      <c r="B629" s="81"/>
    </row>
    <row r="630" spans="1:2" ht="12.5">
      <c r="A630" s="81"/>
      <c r="B630" s="81"/>
    </row>
    <row r="631" spans="1:2" ht="12.5">
      <c r="A631" s="81"/>
      <c r="B631" s="81"/>
    </row>
    <row r="632" spans="1:2" ht="12.5">
      <c r="A632" s="81"/>
      <c r="B632" s="81"/>
    </row>
    <row r="633" spans="1:2" ht="12.5">
      <c r="A633" s="81"/>
      <c r="B633" s="81"/>
    </row>
    <row r="634" spans="1:2" ht="12.5">
      <c r="A634" s="81"/>
      <c r="B634" s="81"/>
    </row>
    <row r="635" spans="1:2" ht="12.5">
      <c r="A635" s="81"/>
      <c r="B635" s="81"/>
    </row>
    <row r="636" spans="1:2" ht="12.5">
      <c r="A636" s="81"/>
      <c r="B636" s="81"/>
    </row>
    <row r="637" spans="1:2" ht="12.5">
      <c r="A637" s="81"/>
      <c r="B637" s="81"/>
    </row>
    <row r="638" spans="1:2" ht="12.5">
      <c r="A638" s="81"/>
      <c r="B638" s="81"/>
    </row>
    <row r="639" spans="1:2" ht="12.5">
      <c r="A639" s="81"/>
      <c r="B639" s="81"/>
    </row>
    <row r="640" spans="1:2" ht="12.5">
      <c r="A640" s="81"/>
      <c r="B640" s="81"/>
    </row>
    <row r="641" spans="1:2" ht="12.5">
      <c r="A641" s="81"/>
      <c r="B641" s="81"/>
    </row>
    <row r="642" spans="1:2" ht="12.5">
      <c r="A642" s="81"/>
      <c r="B642" s="81"/>
    </row>
    <row r="643" spans="1:2" ht="12.5">
      <c r="A643" s="81"/>
      <c r="B643" s="81"/>
    </row>
    <row r="644" spans="1:2" ht="12.5">
      <c r="A644" s="81"/>
      <c r="B644" s="81"/>
    </row>
    <row r="645" spans="1:2" ht="12.5">
      <c r="A645" s="81"/>
      <c r="B645" s="81"/>
    </row>
    <row r="646" spans="1:2" ht="12.5">
      <c r="A646" s="81"/>
      <c r="B646" s="81"/>
    </row>
    <row r="647" spans="1:2" ht="12.5">
      <c r="A647" s="81"/>
      <c r="B647" s="81"/>
    </row>
    <row r="648" spans="1:2" ht="12.5">
      <c r="A648" s="81"/>
      <c r="B648" s="81"/>
    </row>
    <row r="649" spans="1:2" ht="12.5">
      <c r="A649" s="81"/>
      <c r="B649" s="81"/>
    </row>
    <row r="650" spans="1:2" ht="12.5">
      <c r="A650" s="81"/>
      <c r="B650" s="81"/>
    </row>
    <row r="651" spans="1:2" ht="12.5">
      <c r="A651" s="81"/>
      <c r="B651" s="81"/>
    </row>
    <row r="652" spans="1:2" ht="12.5">
      <c r="A652" s="81"/>
      <c r="B652" s="81"/>
    </row>
    <row r="653" spans="1:2" ht="12.5">
      <c r="A653" s="81"/>
      <c r="B653" s="81"/>
    </row>
    <row r="654" spans="1:2" ht="12.5">
      <c r="A654" s="81"/>
      <c r="B654" s="81"/>
    </row>
    <row r="655" spans="1:2" ht="12.5">
      <c r="A655" s="81"/>
      <c r="B655" s="81"/>
    </row>
    <row r="656" spans="1:2" ht="12.5">
      <c r="A656" s="81"/>
      <c r="B656" s="81"/>
    </row>
    <row r="657" spans="1:2" ht="12.5">
      <c r="A657" s="81"/>
      <c r="B657" s="81"/>
    </row>
    <row r="658" spans="1:2" ht="12.5">
      <c r="A658" s="81"/>
      <c r="B658" s="81"/>
    </row>
    <row r="659" spans="1:2" ht="12.5">
      <c r="A659" s="81"/>
      <c r="B659" s="81"/>
    </row>
    <row r="660" spans="1:2" ht="12.5">
      <c r="A660" s="81"/>
      <c r="B660" s="81"/>
    </row>
    <row r="661" spans="1:2" ht="12.5">
      <c r="A661" s="81"/>
      <c r="B661" s="81"/>
    </row>
    <row r="662" spans="1:2" ht="12.5">
      <c r="A662" s="81"/>
      <c r="B662" s="81"/>
    </row>
    <row r="663" spans="1:2" ht="12.5">
      <c r="A663" s="81"/>
      <c r="B663" s="81"/>
    </row>
    <row r="664" spans="1:2" ht="12.5">
      <c r="A664" s="81"/>
      <c r="B664" s="81"/>
    </row>
    <row r="665" spans="1:2" ht="12.5">
      <c r="A665" s="81"/>
      <c r="B665" s="81"/>
    </row>
    <row r="666" spans="1:2" ht="12.5">
      <c r="A666" s="81"/>
      <c r="B666" s="81"/>
    </row>
    <row r="667" spans="1:2" ht="12.5">
      <c r="A667" s="81"/>
      <c r="B667" s="81"/>
    </row>
    <row r="668" spans="1:2" ht="12.5">
      <c r="A668" s="81"/>
      <c r="B668" s="81"/>
    </row>
    <row r="669" spans="1:2" ht="12.5">
      <c r="A669" s="81"/>
      <c r="B669" s="81"/>
    </row>
    <row r="670" spans="1:2" ht="12.5">
      <c r="A670" s="81"/>
      <c r="B670" s="81"/>
    </row>
    <row r="671" spans="1:2" ht="12.5">
      <c r="A671" s="81"/>
      <c r="B671" s="81"/>
    </row>
    <row r="672" spans="1:2" ht="12.5">
      <c r="A672" s="81"/>
      <c r="B672" s="81"/>
    </row>
    <row r="673" spans="1:2" ht="12.5">
      <c r="A673" s="81"/>
      <c r="B673" s="81"/>
    </row>
    <row r="674" spans="1:2" ht="12.5">
      <c r="A674" s="81"/>
      <c r="B674" s="81"/>
    </row>
    <row r="675" spans="1:2" ht="12.5">
      <c r="A675" s="81"/>
      <c r="B675" s="81"/>
    </row>
    <row r="676" spans="1:2" ht="12.5">
      <c r="A676" s="81"/>
      <c r="B676" s="81"/>
    </row>
    <row r="677" spans="1:2" ht="12.5">
      <c r="A677" s="81"/>
      <c r="B677" s="81"/>
    </row>
    <row r="678" spans="1:2" ht="12.5">
      <c r="A678" s="81"/>
      <c r="B678" s="81"/>
    </row>
    <row r="679" spans="1:2" ht="12.5">
      <c r="A679" s="81"/>
      <c r="B679" s="81"/>
    </row>
    <row r="680" spans="1:2" ht="12.5">
      <c r="A680" s="81"/>
      <c r="B680" s="81"/>
    </row>
    <row r="681" spans="1:2" ht="12.5">
      <c r="A681" s="81"/>
      <c r="B681" s="81"/>
    </row>
    <row r="682" spans="1:2" ht="12.5">
      <c r="A682" s="81"/>
      <c r="B682" s="81"/>
    </row>
    <row r="683" spans="1:2" ht="12.5">
      <c r="A683" s="81"/>
      <c r="B683" s="81"/>
    </row>
    <row r="684" spans="1:2" ht="12.5">
      <c r="A684" s="81"/>
      <c r="B684" s="81"/>
    </row>
    <row r="685" spans="1:2" ht="12.5">
      <c r="A685" s="81"/>
      <c r="B685" s="81"/>
    </row>
    <row r="686" spans="1:2" ht="12.5">
      <c r="A686" s="81"/>
      <c r="B686" s="81"/>
    </row>
    <row r="687" spans="1:2" ht="12.5">
      <c r="A687" s="81"/>
      <c r="B687" s="81"/>
    </row>
    <row r="688" spans="1:2" ht="12.5">
      <c r="A688" s="81"/>
      <c r="B688" s="81"/>
    </row>
    <row r="689" spans="1:2" ht="12.5">
      <c r="A689" s="81"/>
      <c r="B689" s="81"/>
    </row>
    <row r="690" spans="1:2" ht="12.5">
      <c r="A690" s="81"/>
      <c r="B690" s="81"/>
    </row>
    <row r="691" spans="1:2" ht="12.5">
      <c r="A691" s="81"/>
      <c r="B691" s="81"/>
    </row>
    <row r="692" spans="1:2" ht="12.5">
      <c r="A692" s="81"/>
      <c r="B692" s="81"/>
    </row>
    <row r="693" spans="1:2" ht="12.5">
      <c r="A693" s="81"/>
      <c r="B693" s="81"/>
    </row>
    <row r="694" spans="1:2" ht="12.5">
      <c r="A694" s="81"/>
      <c r="B694" s="81"/>
    </row>
    <row r="695" spans="1:2" ht="12.5">
      <c r="A695" s="81"/>
      <c r="B695" s="81"/>
    </row>
    <row r="696" spans="1:2" ht="12.5">
      <c r="A696" s="81"/>
      <c r="B696" s="81"/>
    </row>
    <row r="697" spans="1:2" ht="12.5">
      <c r="A697" s="81"/>
      <c r="B697" s="81"/>
    </row>
    <row r="698" spans="1:2" ht="12.5">
      <c r="A698" s="81"/>
      <c r="B698" s="81"/>
    </row>
    <row r="699" spans="1:2" ht="12.5">
      <c r="A699" s="81"/>
      <c r="B699" s="81"/>
    </row>
    <row r="700" spans="1:2" ht="12.5">
      <c r="A700" s="81"/>
      <c r="B700" s="81"/>
    </row>
    <row r="701" spans="1:2" ht="12.5">
      <c r="A701" s="81"/>
      <c r="B701" s="81"/>
    </row>
    <row r="702" spans="1:2" ht="12.5">
      <c r="A702" s="81"/>
      <c r="B702" s="81"/>
    </row>
    <row r="703" spans="1:2" ht="12.5">
      <c r="A703" s="81"/>
      <c r="B703" s="81"/>
    </row>
    <row r="704" spans="1:2" ht="12.5">
      <c r="A704" s="81"/>
      <c r="B704" s="81"/>
    </row>
    <row r="705" spans="1:2" ht="12.5">
      <c r="A705" s="81"/>
      <c r="B705" s="81"/>
    </row>
    <row r="706" spans="1:2" ht="12.5">
      <c r="A706" s="81"/>
      <c r="B706" s="81"/>
    </row>
    <row r="707" spans="1:2" ht="12.5">
      <c r="A707" s="81"/>
      <c r="B707" s="81"/>
    </row>
    <row r="708" spans="1:2" ht="12.5">
      <c r="A708" s="81"/>
      <c r="B708" s="81"/>
    </row>
    <row r="709" spans="1:2" ht="12.5">
      <c r="A709" s="81"/>
      <c r="B709" s="81"/>
    </row>
    <row r="710" spans="1:2" ht="12.5">
      <c r="A710" s="81"/>
      <c r="B710" s="81"/>
    </row>
    <row r="711" spans="1:2" ht="12.5">
      <c r="A711" s="81"/>
      <c r="B711" s="81"/>
    </row>
    <row r="712" spans="1:2" ht="12.5">
      <c r="A712" s="81"/>
      <c r="B712" s="81"/>
    </row>
    <row r="713" spans="1:2" ht="12.5">
      <c r="A713" s="81"/>
      <c r="B713" s="81"/>
    </row>
    <row r="714" spans="1:2" ht="12.5">
      <c r="A714" s="81"/>
      <c r="B714" s="81"/>
    </row>
    <row r="715" spans="1:2" ht="12.5">
      <c r="A715" s="81"/>
      <c r="B715" s="81"/>
    </row>
    <row r="716" spans="1:2" ht="12.5">
      <c r="A716" s="81"/>
      <c r="B716" s="81"/>
    </row>
    <row r="717" spans="1:2" ht="12.5">
      <c r="A717" s="81"/>
      <c r="B717" s="81"/>
    </row>
    <row r="718" spans="1:2" ht="12.5">
      <c r="A718" s="81"/>
      <c r="B718" s="81"/>
    </row>
    <row r="719" spans="1:2" ht="12.5">
      <c r="A719" s="81"/>
      <c r="B719" s="81"/>
    </row>
    <row r="720" spans="1:2" ht="12.5">
      <c r="A720" s="81"/>
      <c r="B720" s="81"/>
    </row>
    <row r="721" spans="1:2" ht="12.5">
      <c r="A721" s="81"/>
      <c r="B721" s="81"/>
    </row>
    <row r="722" spans="1:2" ht="12.5">
      <c r="A722" s="81"/>
      <c r="B722" s="81"/>
    </row>
    <row r="723" spans="1:2" ht="12.5">
      <c r="A723" s="81"/>
      <c r="B723" s="81"/>
    </row>
    <row r="724" spans="1:2" ht="12.5">
      <c r="A724" s="81"/>
      <c r="B724" s="81"/>
    </row>
    <row r="725" spans="1:2" ht="12.5">
      <c r="A725" s="81"/>
      <c r="B725" s="81"/>
    </row>
    <row r="726" spans="1:2" ht="12.5">
      <c r="A726" s="81"/>
      <c r="B726" s="81"/>
    </row>
    <row r="727" spans="1:2" ht="12.5">
      <c r="A727" s="81"/>
      <c r="B727" s="81"/>
    </row>
    <row r="728" spans="1:2" ht="12.5">
      <c r="A728" s="81"/>
      <c r="B728" s="81"/>
    </row>
    <row r="729" spans="1:2" ht="12.5">
      <c r="A729" s="81"/>
      <c r="B729" s="81"/>
    </row>
    <row r="730" spans="1:2" ht="12.5">
      <c r="A730" s="81"/>
      <c r="B730" s="81"/>
    </row>
    <row r="731" spans="1:2" ht="12.5">
      <c r="A731" s="81"/>
      <c r="B731" s="81"/>
    </row>
    <row r="732" spans="1:2" ht="12.5">
      <c r="A732" s="81"/>
      <c r="B732" s="81"/>
    </row>
    <row r="733" spans="1:2" ht="12.5">
      <c r="A733" s="81"/>
      <c r="B733" s="81"/>
    </row>
    <row r="734" spans="1:2" ht="12.5">
      <c r="A734" s="81"/>
      <c r="B734" s="81"/>
    </row>
    <row r="735" spans="1:2" ht="12.5">
      <c r="A735" s="81"/>
      <c r="B735" s="81"/>
    </row>
    <row r="736" spans="1:2" ht="12.5">
      <c r="A736" s="81"/>
      <c r="B736" s="81"/>
    </row>
    <row r="737" spans="1:2" ht="12.5">
      <c r="A737" s="81"/>
      <c r="B737" s="81"/>
    </row>
    <row r="738" spans="1:2" ht="12.5">
      <c r="A738" s="81"/>
      <c r="B738" s="81"/>
    </row>
    <row r="739" spans="1:2" ht="12.5">
      <c r="A739" s="81"/>
      <c r="B739" s="81"/>
    </row>
    <row r="740" spans="1:2" ht="12.5">
      <c r="A740" s="81"/>
      <c r="B740" s="81"/>
    </row>
    <row r="741" spans="1:2" ht="12.5">
      <c r="A741" s="81"/>
      <c r="B741" s="81"/>
    </row>
    <row r="742" spans="1:2" ht="12.5">
      <c r="A742" s="81"/>
      <c r="B742" s="81"/>
    </row>
    <row r="743" spans="1:2" ht="12.5">
      <c r="A743" s="81"/>
      <c r="B743" s="81"/>
    </row>
    <row r="744" spans="1:2" ht="12.5">
      <c r="A744" s="81"/>
      <c r="B744" s="81"/>
    </row>
    <row r="745" spans="1:2" ht="12.5">
      <c r="A745" s="81"/>
      <c r="B745" s="81"/>
    </row>
    <row r="746" spans="1:2" ht="12.5">
      <c r="A746" s="81"/>
      <c r="B746" s="81"/>
    </row>
    <row r="747" spans="1:2" ht="12.5">
      <c r="A747" s="81"/>
      <c r="B747" s="81"/>
    </row>
    <row r="748" spans="1:2" ht="12.5">
      <c r="A748" s="81"/>
      <c r="B748" s="81"/>
    </row>
    <row r="749" spans="1:2" ht="12.5">
      <c r="A749" s="81"/>
      <c r="B749" s="81"/>
    </row>
    <row r="750" spans="1:2" ht="12.5">
      <c r="A750" s="81"/>
      <c r="B750" s="81"/>
    </row>
    <row r="751" spans="1:2" ht="12.5">
      <c r="A751" s="81"/>
      <c r="B751" s="81"/>
    </row>
    <row r="752" spans="1:2" ht="12.5">
      <c r="A752" s="81"/>
      <c r="B752" s="81"/>
    </row>
    <row r="753" spans="1:2" ht="12.5">
      <c r="A753" s="81"/>
      <c r="B753" s="81"/>
    </row>
    <row r="754" spans="1:2" ht="12.5">
      <c r="A754" s="81"/>
      <c r="B754" s="81"/>
    </row>
    <row r="755" spans="1:2" ht="12.5">
      <c r="A755" s="81"/>
      <c r="B755" s="81"/>
    </row>
    <row r="756" spans="1:2" ht="12.5">
      <c r="A756" s="81"/>
      <c r="B756" s="81"/>
    </row>
    <row r="757" spans="1:2" ht="12.5">
      <c r="A757" s="81"/>
      <c r="B757" s="81"/>
    </row>
    <row r="758" spans="1:2" ht="12.5">
      <c r="A758" s="81"/>
      <c r="B758" s="81"/>
    </row>
    <row r="759" spans="1:2" ht="12.5">
      <c r="A759" s="81"/>
      <c r="B759" s="81"/>
    </row>
    <row r="760" spans="1:2" ht="12.5">
      <c r="A760" s="81"/>
      <c r="B760" s="81"/>
    </row>
    <row r="761" spans="1:2" ht="12.5">
      <c r="A761" s="81"/>
      <c r="B761" s="81"/>
    </row>
    <row r="762" spans="1:2" ht="12.5">
      <c r="A762" s="81"/>
      <c r="B762" s="81"/>
    </row>
    <row r="763" spans="1:2" ht="12.5">
      <c r="A763" s="81"/>
      <c r="B763" s="81"/>
    </row>
    <row r="764" spans="1:2" ht="12.5">
      <c r="A764" s="81"/>
      <c r="B764" s="81"/>
    </row>
    <row r="765" spans="1:2" ht="12.5">
      <c r="A765" s="81"/>
      <c r="B765" s="81"/>
    </row>
    <row r="766" spans="1:2" ht="12.5">
      <c r="A766" s="81"/>
      <c r="B766" s="81"/>
    </row>
    <row r="767" spans="1:2" ht="12.5">
      <c r="A767" s="81"/>
      <c r="B767" s="81"/>
    </row>
    <row r="768" spans="1:2" ht="12.5">
      <c r="A768" s="81"/>
      <c r="B768" s="81"/>
    </row>
    <row r="769" spans="1:2" ht="12.5">
      <c r="A769" s="81"/>
      <c r="B769" s="81"/>
    </row>
    <row r="770" spans="1:2" ht="12.5">
      <c r="A770" s="81"/>
      <c r="B770" s="81"/>
    </row>
    <row r="771" spans="1:2" ht="12.5">
      <c r="A771" s="81"/>
      <c r="B771" s="81"/>
    </row>
    <row r="772" spans="1:2" ht="12.5">
      <c r="A772" s="81"/>
      <c r="B772" s="81"/>
    </row>
    <row r="773" spans="1:2" ht="12.5">
      <c r="A773" s="81"/>
      <c r="B773" s="81"/>
    </row>
    <row r="774" spans="1:2" ht="12.5">
      <c r="A774" s="81"/>
      <c r="B774" s="81"/>
    </row>
    <row r="775" spans="1:2" ht="12.5">
      <c r="A775" s="81"/>
      <c r="B775" s="81"/>
    </row>
    <row r="776" spans="1:2" ht="12.5">
      <c r="A776" s="81"/>
      <c r="B776" s="81"/>
    </row>
    <row r="777" spans="1:2" ht="12.5">
      <c r="A777" s="81"/>
      <c r="B777" s="81"/>
    </row>
    <row r="778" spans="1:2" ht="12.5">
      <c r="A778" s="81"/>
      <c r="B778" s="81"/>
    </row>
    <row r="779" spans="1:2" ht="12.5">
      <c r="A779" s="81"/>
      <c r="B779" s="81"/>
    </row>
    <row r="780" spans="1:2" ht="12.5">
      <c r="A780" s="81"/>
      <c r="B780" s="81"/>
    </row>
    <row r="781" spans="1:2" ht="12.5">
      <c r="A781" s="81"/>
      <c r="B781" s="81"/>
    </row>
    <row r="782" spans="1:2" ht="12.5">
      <c r="A782" s="81"/>
      <c r="B782" s="81"/>
    </row>
    <row r="783" spans="1:2" ht="12.5">
      <c r="A783" s="81"/>
      <c r="B783" s="81"/>
    </row>
    <row r="784" spans="1:2" ht="12.5">
      <c r="A784" s="81"/>
      <c r="B784" s="81"/>
    </row>
    <row r="785" spans="1:2" ht="12.5">
      <c r="A785" s="81"/>
      <c r="B785" s="81"/>
    </row>
    <row r="786" spans="1:2" ht="12.5">
      <c r="A786" s="81"/>
      <c r="B786" s="81"/>
    </row>
    <row r="787" spans="1:2" ht="12.5">
      <c r="A787" s="81"/>
      <c r="B787" s="81"/>
    </row>
    <row r="788" spans="1:2" ht="12.5">
      <c r="A788" s="81"/>
      <c r="B788" s="81"/>
    </row>
    <row r="789" spans="1:2" ht="12.5">
      <c r="A789" s="81"/>
      <c r="B789" s="81"/>
    </row>
    <row r="790" spans="1:2" ht="12.5">
      <c r="A790" s="81"/>
      <c r="B790" s="81"/>
    </row>
    <row r="791" spans="1:2" ht="12.5">
      <c r="A791" s="81"/>
      <c r="B791" s="81"/>
    </row>
    <row r="792" spans="1:2" ht="12.5">
      <c r="A792" s="81"/>
      <c r="B792" s="81"/>
    </row>
    <row r="793" spans="1:2" ht="12.5">
      <c r="A793" s="81"/>
      <c r="B793" s="81"/>
    </row>
    <row r="794" spans="1:2" ht="12.5">
      <c r="A794" s="81"/>
      <c r="B794" s="81"/>
    </row>
    <row r="795" spans="1:2" ht="12.5">
      <c r="A795" s="81"/>
      <c r="B795" s="81"/>
    </row>
    <row r="796" spans="1:2" ht="12.5">
      <c r="A796" s="81"/>
      <c r="B796" s="81"/>
    </row>
    <row r="797" spans="1:2" ht="12.5">
      <c r="A797" s="81"/>
      <c r="B797" s="81"/>
    </row>
    <row r="798" spans="1:2" ht="12.5">
      <c r="A798" s="81"/>
      <c r="B798" s="81"/>
    </row>
    <row r="799" spans="1:2" ht="12.5">
      <c r="A799" s="81"/>
      <c r="B799" s="81"/>
    </row>
    <row r="800" spans="1:2" ht="12.5">
      <c r="A800" s="81"/>
      <c r="B800" s="81"/>
    </row>
    <row r="801" spans="1:2" ht="12.5">
      <c r="A801" s="81"/>
      <c r="B801" s="81"/>
    </row>
    <row r="802" spans="1:2" ht="12.5">
      <c r="A802" s="81"/>
      <c r="B802" s="81"/>
    </row>
    <row r="803" spans="1:2" ht="12.5">
      <c r="A803" s="81"/>
      <c r="B803" s="81"/>
    </row>
    <row r="804" spans="1:2" ht="12.5">
      <c r="A804" s="81"/>
      <c r="B804" s="81"/>
    </row>
    <row r="805" spans="1:2" ht="12.5">
      <c r="A805" s="81"/>
      <c r="B805" s="81"/>
    </row>
    <row r="806" spans="1:2" ht="12.5">
      <c r="A806" s="81"/>
      <c r="B806" s="81"/>
    </row>
    <row r="807" spans="1:2" ht="12.5">
      <c r="A807" s="81"/>
      <c r="B807" s="81"/>
    </row>
    <row r="808" spans="1:2" ht="12.5">
      <c r="A808" s="81"/>
      <c r="B808" s="81"/>
    </row>
    <row r="809" spans="1:2" ht="12.5">
      <c r="A809" s="81"/>
      <c r="B809" s="81"/>
    </row>
    <row r="810" spans="1:2" ht="12.5">
      <c r="A810" s="81"/>
      <c r="B810" s="81"/>
    </row>
    <row r="811" spans="1:2" ht="12.5">
      <c r="A811" s="81"/>
      <c r="B811" s="81"/>
    </row>
    <row r="812" spans="1:2" ht="12.5">
      <c r="A812" s="81"/>
      <c r="B812" s="81"/>
    </row>
    <row r="813" spans="1:2" ht="12.5">
      <c r="A813" s="81"/>
      <c r="B813" s="81"/>
    </row>
    <row r="814" spans="1:2" ht="12.5">
      <c r="A814" s="81"/>
      <c r="B814" s="81"/>
    </row>
    <row r="815" spans="1:2" ht="12.5">
      <c r="A815" s="81"/>
      <c r="B815" s="81"/>
    </row>
    <row r="816" spans="1:2" ht="12.5">
      <c r="A816" s="81"/>
      <c r="B816" s="81"/>
    </row>
    <row r="817" spans="1:2" ht="12.5">
      <c r="A817" s="81"/>
      <c r="B817" s="81"/>
    </row>
    <row r="818" spans="1:2" ht="12.5">
      <c r="A818" s="81"/>
      <c r="B818" s="81"/>
    </row>
    <row r="819" spans="1:2" ht="12.5">
      <c r="A819" s="81"/>
      <c r="B819" s="81"/>
    </row>
    <row r="820" spans="1:2" ht="12.5">
      <c r="A820" s="81"/>
      <c r="B820" s="81"/>
    </row>
    <row r="821" spans="1:2" ht="12.5">
      <c r="A821" s="81"/>
      <c r="B821" s="81"/>
    </row>
    <row r="822" spans="1:2" ht="12.5">
      <c r="A822" s="81"/>
      <c r="B822" s="81"/>
    </row>
    <row r="823" spans="1:2" ht="12.5">
      <c r="A823" s="81"/>
      <c r="B823" s="81"/>
    </row>
    <row r="824" spans="1:2" ht="12.5">
      <c r="A824" s="81"/>
      <c r="B824" s="81"/>
    </row>
    <row r="825" spans="1:2" ht="12.5">
      <c r="A825" s="81"/>
      <c r="B825" s="81"/>
    </row>
    <row r="826" spans="1:2" ht="12.5">
      <c r="A826" s="81"/>
      <c r="B826" s="81"/>
    </row>
    <row r="827" spans="1:2" ht="12.5">
      <c r="A827" s="81"/>
      <c r="B827" s="81"/>
    </row>
    <row r="828" spans="1:2" ht="12.5">
      <c r="A828" s="81"/>
      <c r="B828" s="81"/>
    </row>
    <row r="829" spans="1:2" ht="12.5">
      <c r="A829" s="81"/>
      <c r="B829" s="81"/>
    </row>
    <row r="830" spans="1:2" ht="12.5">
      <c r="A830" s="81"/>
      <c r="B830" s="81"/>
    </row>
    <row r="831" spans="1:2" ht="12.5">
      <c r="A831" s="81"/>
      <c r="B831" s="81"/>
    </row>
    <row r="832" spans="1:2" ht="12.5">
      <c r="A832" s="81"/>
      <c r="B832" s="81"/>
    </row>
    <row r="833" spans="1:2" ht="12.5">
      <c r="A833" s="81"/>
      <c r="B833" s="81"/>
    </row>
    <row r="834" spans="1:2" ht="12.5">
      <c r="A834" s="81"/>
      <c r="B834" s="81"/>
    </row>
    <row r="835" spans="1:2" ht="12.5">
      <c r="A835" s="81"/>
      <c r="B835" s="81"/>
    </row>
    <row r="836" spans="1:2" ht="12.5">
      <c r="A836" s="81"/>
      <c r="B836" s="81"/>
    </row>
    <row r="837" spans="1:2" ht="12.5">
      <c r="A837" s="81"/>
      <c r="B837" s="81"/>
    </row>
    <row r="838" spans="1:2" ht="12.5">
      <c r="A838" s="81"/>
      <c r="B838" s="81"/>
    </row>
    <row r="839" spans="1:2" ht="12.5">
      <c r="A839" s="81"/>
      <c r="B839" s="81"/>
    </row>
    <row r="840" spans="1:2" ht="12.5">
      <c r="A840" s="81"/>
      <c r="B840" s="81"/>
    </row>
    <row r="841" spans="1:2" ht="12.5">
      <c r="A841" s="81"/>
      <c r="B841" s="81"/>
    </row>
    <row r="842" spans="1:2" ht="12.5">
      <c r="A842" s="81"/>
      <c r="B842" s="81"/>
    </row>
    <row r="843" spans="1:2" ht="12.5">
      <c r="A843" s="81"/>
      <c r="B843" s="81"/>
    </row>
    <row r="844" spans="1:2" ht="12.5">
      <c r="A844" s="81"/>
      <c r="B844" s="81"/>
    </row>
    <row r="845" spans="1:2" ht="12.5">
      <c r="A845" s="81"/>
      <c r="B845" s="81"/>
    </row>
    <row r="846" spans="1:2" ht="12.5">
      <c r="A846" s="81"/>
      <c r="B846" s="81"/>
    </row>
    <row r="847" spans="1:2" ht="12.5">
      <c r="A847" s="81"/>
      <c r="B847" s="81"/>
    </row>
    <row r="848" spans="1:2" ht="12.5">
      <c r="A848" s="81"/>
      <c r="B848" s="81"/>
    </row>
    <row r="849" spans="1:2" ht="12.5">
      <c r="A849" s="81"/>
      <c r="B849" s="81"/>
    </row>
    <row r="850" spans="1:2" ht="12.5">
      <c r="A850" s="81"/>
      <c r="B850" s="81"/>
    </row>
    <row r="851" spans="1:2" ht="12.5">
      <c r="A851" s="81"/>
      <c r="B851" s="81"/>
    </row>
    <row r="852" spans="1:2" ht="12.5">
      <c r="A852" s="81"/>
      <c r="B852" s="81"/>
    </row>
    <row r="853" spans="1:2" ht="12.5">
      <c r="A853" s="81"/>
      <c r="B853" s="81"/>
    </row>
    <row r="854" spans="1:2" ht="12.5">
      <c r="A854" s="81"/>
      <c r="B854" s="81"/>
    </row>
    <row r="855" spans="1:2" ht="12.5">
      <c r="A855" s="81"/>
      <c r="B855" s="81"/>
    </row>
    <row r="856" spans="1:2" ht="12.5">
      <c r="A856" s="81"/>
      <c r="B856" s="81"/>
    </row>
    <row r="857" spans="1:2" ht="12.5">
      <c r="A857" s="81"/>
      <c r="B857" s="81"/>
    </row>
    <row r="858" spans="1:2" ht="12.5">
      <c r="A858" s="81"/>
      <c r="B858" s="81"/>
    </row>
    <row r="859" spans="1:2" ht="12.5">
      <c r="A859" s="81"/>
      <c r="B859" s="81"/>
    </row>
    <row r="860" spans="1:2" ht="12.5">
      <c r="A860" s="81"/>
      <c r="B860" s="81"/>
    </row>
    <row r="861" spans="1:2" ht="12.5">
      <c r="A861" s="81"/>
      <c r="B861" s="81"/>
    </row>
    <row r="862" spans="1:2" ht="12.5">
      <c r="A862" s="81"/>
      <c r="B862" s="81"/>
    </row>
    <row r="863" spans="1:2" ht="12.5">
      <c r="A863" s="81"/>
      <c r="B863" s="81"/>
    </row>
    <row r="864" spans="1:2" ht="12.5">
      <c r="A864" s="81"/>
      <c r="B864" s="81"/>
    </row>
    <row r="865" spans="1:2" ht="12.5">
      <c r="A865" s="81"/>
      <c r="B865" s="81"/>
    </row>
    <row r="866" spans="1:2" ht="12.5">
      <c r="A866" s="81"/>
      <c r="B866" s="81"/>
    </row>
    <row r="867" spans="1:2" ht="12.5">
      <c r="A867" s="81"/>
      <c r="B867" s="81"/>
    </row>
    <row r="868" spans="1:2" ht="12.5">
      <c r="A868" s="81"/>
      <c r="B868" s="81"/>
    </row>
    <row r="869" spans="1:2" ht="12.5">
      <c r="A869" s="81"/>
      <c r="B869" s="81"/>
    </row>
    <row r="870" spans="1:2" ht="12.5">
      <c r="A870" s="81"/>
      <c r="B870" s="81"/>
    </row>
    <row r="871" spans="1:2" ht="12.5">
      <c r="A871" s="81"/>
      <c r="B871" s="81"/>
    </row>
    <row r="872" spans="1:2" ht="12.5">
      <c r="A872" s="81"/>
      <c r="B872" s="81"/>
    </row>
    <row r="873" spans="1:2" ht="12.5">
      <c r="A873" s="81"/>
      <c r="B873" s="81"/>
    </row>
    <row r="874" spans="1:2" ht="12.5">
      <c r="A874" s="81"/>
      <c r="B874" s="81"/>
    </row>
    <row r="875" spans="1:2" ht="12.5">
      <c r="A875" s="81"/>
      <c r="B875" s="81"/>
    </row>
    <row r="876" spans="1:2" ht="12.5">
      <c r="A876" s="81"/>
      <c r="B876" s="81"/>
    </row>
    <row r="877" spans="1:2" ht="12.5">
      <c r="A877" s="81"/>
      <c r="B877" s="81"/>
    </row>
    <row r="878" spans="1:2" ht="12.5">
      <c r="A878" s="81"/>
      <c r="B878" s="81"/>
    </row>
    <row r="879" spans="1:2" ht="12.5">
      <c r="A879" s="81"/>
      <c r="B879" s="81"/>
    </row>
    <row r="880" spans="1:2" ht="12.5">
      <c r="A880" s="81"/>
      <c r="B880" s="81"/>
    </row>
    <row r="881" spans="1:2" ht="12.5">
      <c r="A881" s="81"/>
      <c r="B881" s="81"/>
    </row>
    <row r="882" spans="1:2" ht="12.5">
      <c r="A882" s="81"/>
      <c r="B882" s="81"/>
    </row>
    <row r="883" spans="1:2" ht="12.5">
      <c r="A883" s="81"/>
      <c r="B883" s="81"/>
    </row>
    <row r="884" spans="1:2" ht="12.5">
      <c r="A884" s="81"/>
      <c r="B884" s="81"/>
    </row>
    <row r="885" spans="1:2" ht="12.5">
      <c r="A885" s="81"/>
      <c r="B885" s="81"/>
    </row>
    <row r="886" spans="1:2" ht="12.5">
      <c r="A886" s="81"/>
      <c r="B886" s="81"/>
    </row>
    <row r="887" spans="1:2" ht="12.5">
      <c r="A887" s="81"/>
      <c r="B887" s="81"/>
    </row>
    <row r="888" spans="1:2" ht="12.5">
      <c r="A888" s="81"/>
      <c r="B888" s="81"/>
    </row>
    <row r="889" spans="1:2" ht="12.5">
      <c r="A889" s="81"/>
      <c r="B889" s="81"/>
    </row>
    <row r="890" spans="1:2" ht="12.5">
      <c r="A890" s="81"/>
      <c r="B890" s="81"/>
    </row>
    <row r="891" spans="1:2" ht="12.5">
      <c r="A891" s="81"/>
      <c r="B891" s="81"/>
    </row>
    <row r="892" spans="1:2" ht="12.5">
      <c r="A892" s="81"/>
      <c r="B892" s="81"/>
    </row>
    <row r="893" spans="1:2" ht="12.5">
      <c r="A893" s="81"/>
      <c r="B893" s="81"/>
    </row>
    <row r="894" spans="1:2" ht="12.5">
      <c r="A894" s="81"/>
      <c r="B894" s="81"/>
    </row>
    <row r="895" spans="1:2" ht="12.5">
      <c r="A895" s="81"/>
      <c r="B895" s="81"/>
    </row>
    <row r="896" spans="1:2" ht="12.5">
      <c r="A896" s="81"/>
      <c r="B896" s="81"/>
    </row>
    <row r="897" spans="1:2" ht="12.5">
      <c r="A897" s="81"/>
      <c r="B897" s="81"/>
    </row>
    <row r="898" spans="1:2" ht="12.5">
      <c r="A898" s="81"/>
      <c r="B898" s="81"/>
    </row>
    <row r="899" spans="1:2" ht="12.5">
      <c r="A899" s="81"/>
      <c r="B899" s="81"/>
    </row>
    <row r="900" spans="1:2" ht="12.5">
      <c r="A900" s="81"/>
      <c r="B900" s="81"/>
    </row>
    <row r="901" spans="1:2" ht="12.5">
      <c r="A901" s="81"/>
      <c r="B901" s="81"/>
    </row>
    <row r="902" spans="1:2" ht="12.5">
      <c r="A902" s="81"/>
      <c r="B902" s="81"/>
    </row>
    <row r="903" spans="1:2" ht="12.5">
      <c r="A903" s="81"/>
      <c r="B903" s="81"/>
    </row>
    <row r="904" spans="1:2" ht="12.5">
      <c r="A904" s="81"/>
      <c r="B904" s="81"/>
    </row>
    <row r="905" spans="1:2" ht="12.5">
      <c r="A905" s="81"/>
      <c r="B905" s="81"/>
    </row>
    <row r="906" spans="1:2" ht="12.5">
      <c r="A906" s="81"/>
      <c r="B906" s="81"/>
    </row>
    <row r="907" spans="1:2" ht="12.5">
      <c r="A907" s="81"/>
      <c r="B907" s="81"/>
    </row>
    <row r="908" spans="1:2" ht="12.5">
      <c r="A908" s="81"/>
      <c r="B908" s="81"/>
    </row>
    <row r="909" spans="1:2" ht="12.5">
      <c r="A909" s="81"/>
      <c r="B909" s="81"/>
    </row>
    <row r="910" spans="1:2" ht="12.5">
      <c r="A910" s="81"/>
      <c r="B910" s="81"/>
    </row>
    <row r="911" spans="1:2" ht="12.5">
      <c r="A911" s="81"/>
      <c r="B911" s="81"/>
    </row>
    <row r="912" spans="1:2" ht="12.5">
      <c r="A912" s="81"/>
      <c r="B912" s="81"/>
    </row>
    <row r="913" spans="1:2" ht="12.5">
      <c r="A913" s="81"/>
      <c r="B913" s="81"/>
    </row>
    <row r="914" spans="1:2" ht="12.5">
      <c r="A914" s="81"/>
      <c r="B914" s="81"/>
    </row>
    <row r="915" spans="1:2" ht="12.5">
      <c r="A915" s="81"/>
      <c r="B915" s="81"/>
    </row>
    <row r="916" spans="1:2" ht="12.5">
      <c r="A916" s="81"/>
      <c r="B916" s="81"/>
    </row>
    <row r="917" spans="1:2" ht="12.5">
      <c r="A917" s="81"/>
      <c r="B917" s="81"/>
    </row>
    <row r="918" spans="1:2" ht="12.5">
      <c r="A918" s="81"/>
      <c r="B918" s="81"/>
    </row>
    <row r="919" spans="1:2" ht="12.5">
      <c r="A919" s="81"/>
      <c r="B919" s="81"/>
    </row>
    <row r="920" spans="1:2" ht="12.5">
      <c r="A920" s="81"/>
      <c r="B920" s="81"/>
    </row>
    <row r="921" spans="1:2" ht="12.5">
      <c r="A921" s="81"/>
      <c r="B921" s="81"/>
    </row>
    <row r="922" spans="1:2" ht="12.5">
      <c r="A922" s="81"/>
      <c r="B922" s="81"/>
    </row>
    <row r="923" spans="1:2" ht="12.5">
      <c r="A923" s="81"/>
      <c r="B923" s="81"/>
    </row>
    <row r="924" spans="1:2" ht="12.5">
      <c r="A924" s="81"/>
      <c r="B924" s="81"/>
    </row>
    <row r="925" spans="1:2" ht="12.5">
      <c r="A925" s="81"/>
      <c r="B925" s="81"/>
    </row>
    <row r="926" spans="1:2" ht="12.5">
      <c r="A926" s="81"/>
      <c r="B926" s="81"/>
    </row>
    <row r="927" spans="1:2" ht="12.5">
      <c r="A927" s="81"/>
      <c r="B927" s="81"/>
    </row>
    <row r="928" spans="1:2" ht="12.5">
      <c r="A928" s="81"/>
      <c r="B928" s="81"/>
    </row>
    <row r="929" spans="1:2" ht="12.5">
      <c r="A929" s="81"/>
      <c r="B929" s="81"/>
    </row>
    <row r="930" spans="1:2" ht="12.5">
      <c r="A930" s="81"/>
      <c r="B930" s="81"/>
    </row>
    <row r="931" spans="1:2" ht="12.5">
      <c r="A931" s="81"/>
      <c r="B931" s="81"/>
    </row>
    <row r="932" spans="1:2" ht="12.5">
      <c r="A932" s="81"/>
      <c r="B932" s="81"/>
    </row>
    <row r="933" spans="1:2" ht="12.5">
      <c r="A933" s="81"/>
      <c r="B933" s="81"/>
    </row>
    <row r="934" spans="1:2" ht="12.5">
      <c r="A934" s="81"/>
      <c r="B934" s="81"/>
    </row>
    <row r="935" spans="1:2" ht="12.5">
      <c r="A935" s="81"/>
      <c r="B935" s="81"/>
    </row>
    <row r="936" spans="1:2" ht="12.5">
      <c r="A936" s="81"/>
      <c r="B936" s="81"/>
    </row>
    <row r="937" spans="1:2" ht="12.5">
      <c r="A937" s="81"/>
      <c r="B937" s="81"/>
    </row>
    <row r="938" spans="1:2" ht="12.5">
      <c r="A938" s="81"/>
      <c r="B938" s="81"/>
    </row>
    <row r="939" spans="1:2" ht="12.5">
      <c r="A939" s="81"/>
      <c r="B939" s="81"/>
    </row>
    <row r="940" spans="1:2" ht="12.5">
      <c r="A940" s="81"/>
      <c r="B940" s="81"/>
    </row>
    <row r="941" spans="1:2" ht="12.5">
      <c r="A941" s="81"/>
      <c r="B941" s="81"/>
    </row>
    <row r="942" spans="1:2" ht="12.5">
      <c r="A942" s="81"/>
      <c r="B942" s="81"/>
    </row>
    <row r="943" spans="1:2" ht="12.5">
      <c r="A943" s="81"/>
      <c r="B943" s="81"/>
    </row>
    <row r="944" spans="1:2" ht="12.5">
      <c r="A944" s="81"/>
      <c r="B944" s="81"/>
    </row>
    <row r="945" spans="1:2" ht="12.5">
      <c r="A945" s="81"/>
      <c r="B945" s="81"/>
    </row>
    <row r="946" spans="1:2" ht="12.5">
      <c r="A946" s="81"/>
      <c r="B946" s="81"/>
    </row>
    <row r="947" spans="1:2" ht="12.5">
      <c r="A947" s="81"/>
      <c r="B947" s="81"/>
    </row>
    <row r="948" spans="1:2" ht="12.5">
      <c r="A948" s="81"/>
      <c r="B948" s="81"/>
    </row>
    <row r="949" spans="1:2" ht="12.5">
      <c r="A949" s="81"/>
      <c r="B949" s="81"/>
    </row>
    <row r="950" spans="1:2" ht="12.5">
      <c r="A950" s="81"/>
      <c r="B950" s="81"/>
    </row>
    <row r="951" spans="1:2" ht="12.5">
      <c r="A951" s="81"/>
      <c r="B951" s="81"/>
    </row>
    <row r="952" spans="1:2" ht="12.5">
      <c r="A952" s="81"/>
      <c r="B952" s="81"/>
    </row>
    <row r="953" spans="1:2" ht="12.5">
      <c r="A953" s="81"/>
      <c r="B953" s="81"/>
    </row>
    <row r="954" spans="1:2" ht="12.5">
      <c r="A954" s="81"/>
      <c r="B954" s="81"/>
    </row>
    <row r="955" spans="1:2" ht="12.5">
      <c r="A955" s="81"/>
      <c r="B955" s="81"/>
    </row>
    <row r="956" spans="1:2" ht="12.5">
      <c r="A956" s="81"/>
      <c r="B956" s="81"/>
    </row>
    <row r="957" spans="1:2" ht="12.5">
      <c r="A957" s="81"/>
      <c r="B957" s="81"/>
    </row>
    <row r="958" spans="1:2" ht="12.5">
      <c r="A958" s="81"/>
      <c r="B958" s="81"/>
    </row>
    <row r="959" spans="1:2" ht="12.5">
      <c r="A959" s="81"/>
      <c r="B959" s="81"/>
    </row>
    <row r="960" spans="1:2" ht="12.5">
      <c r="A960" s="81"/>
      <c r="B960" s="81"/>
    </row>
    <row r="961" spans="1:2" ht="12.5">
      <c r="A961" s="81"/>
      <c r="B961" s="81"/>
    </row>
    <row r="962" spans="1:2" ht="12.5">
      <c r="A962" s="81"/>
      <c r="B962" s="81"/>
    </row>
    <row r="963" spans="1:2" ht="12.5">
      <c r="A963" s="81"/>
      <c r="B963" s="81"/>
    </row>
    <row r="964" spans="1:2" ht="12.5">
      <c r="A964" s="81"/>
      <c r="B964" s="81"/>
    </row>
    <row r="965" spans="1:2" ht="12.5">
      <c r="A965" s="81"/>
      <c r="B965" s="81"/>
    </row>
    <row r="966" spans="1:2" ht="12.5">
      <c r="A966" s="81"/>
      <c r="B966" s="81"/>
    </row>
    <row r="967" spans="1:2" ht="12.5">
      <c r="A967" s="81"/>
      <c r="B967" s="81"/>
    </row>
    <row r="968" spans="1:2" ht="12.5">
      <c r="A968" s="81"/>
      <c r="B968" s="81"/>
    </row>
    <row r="969" spans="1:2" ht="12.5">
      <c r="A969" s="81"/>
      <c r="B969" s="81"/>
    </row>
    <row r="970" spans="1:2" ht="12.5">
      <c r="A970" s="81"/>
      <c r="B970" s="81"/>
    </row>
    <row r="971" spans="1:2" ht="12.5">
      <c r="A971" s="81"/>
      <c r="B971" s="81"/>
    </row>
    <row r="972" spans="1:2" ht="12.5">
      <c r="A972" s="81"/>
      <c r="B972" s="81"/>
    </row>
    <row r="973" spans="1:2" ht="12.5">
      <c r="A973" s="81"/>
      <c r="B973" s="81"/>
    </row>
    <row r="974" spans="1:2" ht="12.5">
      <c r="A974" s="81"/>
      <c r="B974" s="81"/>
    </row>
    <row r="975" spans="1:2" ht="12.5">
      <c r="A975" s="81"/>
      <c r="B975" s="81"/>
    </row>
    <row r="976" spans="1:2" ht="12.5">
      <c r="A976" s="81"/>
      <c r="B976" s="81"/>
    </row>
    <row r="977" spans="1:2" ht="12.5">
      <c r="A977" s="81"/>
      <c r="B977" s="81"/>
    </row>
    <row r="978" spans="1:2" ht="12.5">
      <c r="A978" s="81"/>
      <c r="B978" s="81"/>
    </row>
    <row r="979" spans="1:2" ht="12.5">
      <c r="A979" s="81"/>
      <c r="B979" s="81"/>
    </row>
    <row r="980" spans="1:2" ht="12.5">
      <c r="A980" s="81"/>
      <c r="B980" s="81"/>
    </row>
    <row r="981" spans="1:2" ht="12.5">
      <c r="A981" s="81"/>
      <c r="B981" s="81"/>
    </row>
    <row r="982" spans="1:2" ht="12.5">
      <c r="A982" s="81"/>
      <c r="B982" s="81"/>
    </row>
    <row r="983" spans="1:2" ht="12.5">
      <c r="A983" s="81"/>
      <c r="B983" s="81"/>
    </row>
    <row r="984" spans="1:2" ht="12.5">
      <c r="A984" s="81"/>
      <c r="B984" s="81"/>
    </row>
    <row r="985" spans="1:2" ht="12.5">
      <c r="A985" s="81"/>
      <c r="B985" s="81"/>
    </row>
    <row r="986" spans="1:2" ht="12.5">
      <c r="A986" s="81"/>
      <c r="B986" s="81"/>
    </row>
    <row r="987" spans="1:2" ht="12.5">
      <c r="A987" s="81"/>
      <c r="B987" s="81"/>
    </row>
    <row r="988" spans="1:2" ht="12.5">
      <c r="A988" s="81"/>
      <c r="B988" s="81"/>
    </row>
    <row r="989" spans="1:2" ht="12.5">
      <c r="A989" s="81"/>
      <c r="B989" s="81"/>
    </row>
    <row r="990" spans="1:2" ht="12.5">
      <c r="A990" s="81"/>
      <c r="B990" s="81"/>
    </row>
    <row r="991" spans="1:2" ht="12.5">
      <c r="A991" s="81"/>
      <c r="B991" s="81"/>
    </row>
    <row r="992" spans="1:2" ht="12.5">
      <c r="A992" s="81"/>
      <c r="B992" s="81"/>
    </row>
    <row r="993" spans="1:2" ht="12.5">
      <c r="A993" s="81"/>
      <c r="B993" s="81"/>
    </row>
    <row r="994" spans="1:2" ht="12.5">
      <c r="A994" s="81"/>
      <c r="B994" s="81"/>
    </row>
    <row r="995" spans="1:2" ht="12.5">
      <c r="A995" s="81"/>
      <c r="B995" s="81"/>
    </row>
    <row r="996" spans="1:2" ht="12.5">
      <c r="A996" s="81"/>
      <c r="B996" s="81"/>
    </row>
    <row r="997" spans="1:2" ht="12.5">
      <c r="A997" s="81"/>
      <c r="B997" s="81"/>
    </row>
    <row r="998" spans="1:2" ht="12.5">
      <c r="A998" s="81"/>
      <c r="B998" s="81"/>
    </row>
    <row r="999" spans="1:2" ht="12.5">
      <c r="A999" s="81"/>
      <c r="B999" s="81"/>
    </row>
    <row r="1000" spans="1:2" ht="12.5">
      <c r="A1000" s="81"/>
      <c r="B1000" s="8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W1001"/>
  <sheetViews>
    <sheetView workbookViewId="0">
      <pane ySplit="1" topLeftCell="A2" activePane="bottomLeft" state="frozen"/>
      <selection pane="bottomLeft" activeCell="B3" sqref="B3"/>
    </sheetView>
  </sheetViews>
  <sheetFormatPr defaultColWidth="12.6328125" defaultRowHeight="15.75" customHeight="1"/>
  <cols>
    <col min="1" max="1" width="33.36328125" customWidth="1"/>
    <col min="2" max="2" width="33.08984375" customWidth="1"/>
    <col min="3" max="3" width="159.26953125" customWidth="1"/>
  </cols>
  <sheetData>
    <row r="1" spans="1:23" ht="26">
      <c r="A1" s="82" t="str">
        <f ca="1">IFERROR(__xludf.DUMMYFUNCTION("QUERY(Articles!$A:$AQ, ""select H, sum(AM) where AQ contains 'OA' and P contains 'No' and Q contains 'No' and H is not null group by H"")"),"Deal (leave blank if not made OA under deal)")</f>
        <v>Deal (leave blank if not made OA under deal)</v>
      </c>
      <c r="B1" s="83" t="str">
        <f ca="1">IFERROR(__xludf.DUMMYFUNCTION("""COMPUTED_VALUE"""),"sum APC price GBP inc VAT")</f>
        <v>sum APC price GBP inc VAT</v>
      </c>
      <c r="C1" s="82" t="s">
        <v>13563</v>
      </c>
      <c r="D1" s="82"/>
      <c r="E1" s="82"/>
      <c r="F1" s="82"/>
      <c r="G1" s="82"/>
      <c r="H1" s="82"/>
      <c r="I1" s="82"/>
      <c r="J1" s="82"/>
      <c r="K1" s="82"/>
      <c r="L1" s="82"/>
      <c r="M1" s="82"/>
      <c r="N1" s="82"/>
      <c r="O1" s="82"/>
      <c r="P1" s="82"/>
      <c r="Q1" s="82"/>
      <c r="R1" s="82"/>
      <c r="S1" s="82"/>
      <c r="T1" s="82"/>
      <c r="U1" s="82"/>
      <c r="V1" s="82"/>
      <c r="W1" s="82"/>
    </row>
    <row r="2" spans="1:23" ht="15.75" customHeight="1">
      <c r="A2" s="9" t="str">
        <f ca="1">IFERROR(__xludf.DUMMYFUNCTION("""COMPUTED_VALUE"""),"American Chemical Society TA 2022")</f>
        <v>American Chemical Society TA 2022</v>
      </c>
      <c r="B2" s="80">
        <f ca="1">IFERROR(__xludf.DUMMYFUNCTION("""COMPUTED_VALUE"""),7790.4)</f>
        <v>7790.4</v>
      </c>
    </row>
    <row r="3" spans="1:23" ht="15.75" customHeight="1">
      <c r="A3" s="9" t="str">
        <f ca="1">IFERROR(__xludf.DUMMYFUNCTION("""COMPUTED_VALUE"""),"Cambridge University Press TA 2022")</f>
        <v>Cambridge University Press TA 2022</v>
      </c>
      <c r="B3" s="80">
        <f ca="1">IFERROR(__xludf.DUMMYFUNCTION("""COMPUTED_VALUE"""),3084)</f>
        <v>3084</v>
      </c>
    </row>
    <row r="4" spans="1:23" ht="15.75" customHeight="1">
      <c r="A4" s="9" t="str">
        <f ca="1">IFERROR(__xludf.DUMMYFUNCTION("""COMPUTED_VALUE"""),"Cambridge University Press TA 2023")</f>
        <v>Cambridge University Press TA 2023</v>
      </c>
      <c r="B4" s="80">
        <f ca="1">IFERROR(__xludf.DUMMYFUNCTION("""COMPUTED_VALUE"""),12756)</f>
        <v>12756</v>
      </c>
    </row>
    <row r="5" spans="1:23" ht="15.75" customHeight="1">
      <c r="A5" s="9" t="str">
        <f ca="1">IFERROR(__xludf.DUMMYFUNCTION("""COMPUTED_VALUE"""),"Institute of Physics Publishing TA 2022")</f>
        <v>Institute of Physics Publishing TA 2022</v>
      </c>
      <c r="B5" s="80">
        <f ca="1">IFERROR(__xludf.DUMMYFUNCTION("""COMPUTED_VALUE"""),2022)</f>
        <v>2022</v>
      </c>
    </row>
    <row r="6" spans="1:23" ht="15.75" customHeight="1">
      <c r="A6" s="9" t="str">
        <f ca="1">IFERROR(__xludf.DUMMYFUNCTION("""COMPUTED_VALUE"""),"Institute of Physics Publishing TA 2023")</f>
        <v>Institute of Physics Publishing TA 2023</v>
      </c>
      <c r="B6" s="80">
        <f ca="1">IFERROR(__xludf.DUMMYFUNCTION("""COMPUTED_VALUE"""),2400)</f>
        <v>2400</v>
      </c>
    </row>
    <row r="7" spans="1:23" ht="15.75" customHeight="1">
      <c r="A7" s="9" t="str">
        <f ca="1">IFERROR(__xludf.DUMMYFUNCTION("""COMPUTED_VALUE"""),"Microbiology Society TA 2022")</f>
        <v>Microbiology Society TA 2022</v>
      </c>
      <c r="B7" s="80">
        <f ca="1">IFERROR(__xludf.DUMMYFUNCTION("""COMPUTED_VALUE"""),1800)</f>
        <v>1800</v>
      </c>
    </row>
    <row r="8" spans="1:23" ht="15.75" customHeight="1">
      <c r="A8" s="9" t="str">
        <f ca="1">IFERROR(__xludf.DUMMYFUNCTION("""COMPUTED_VALUE"""),"Oxford University Press TA 2022")</f>
        <v>Oxford University Press TA 2022</v>
      </c>
      <c r="B8" s="80">
        <f ca="1">IFERROR(__xludf.DUMMYFUNCTION("""COMPUTED_VALUE"""),6436.297044)</f>
        <v>6436.2970439999999</v>
      </c>
    </row>
    <row r="9" spans="1:23" ht="15.75" customHeight="1">
      <c r="A9" s="9" t="str">
        <f ca="1">IFERROR(__xludf.DUMMYFUNCTION("""COMPUTED_VALUE"""),"Oxford University Press TA 2023")</f>
        <v>Oxford University Press TA 2023</v>
      </c>
      <c r="B9" s="80">
        <f ca="1">IFERROR(__xludf.DUMMYFUNCTION("""COMPUTED_VALUE"""),12639.66684)</f>
        <v>12639.66684</v>
      </c>
    </row>
    <row r="10" spans="1:23" ht="15.75" customHeight="1">
      <c r="A10" s="9" t="str">
        <f ca="1">IFERROR(__xludf.DUMMYFUNCTION("""COMPUTED_VALUE"""),"PLOS CAP 2021")</f>
        <v>PLOS CAP 2021</v>
      </c>
      <c r="B10" s="80">
        <f ca="1">IFERROR(__xludf.DUMMYFUNCTION("""COMPUTED_VALUE"""),6070.99416)</f>
        <v>6070.9941600000002</v>
      </c>
    </row>
    <row r="11" spans="1:23" ht="15.75" customHeight="1">
      <c r="A11" s="9" t="str">
        <f ca="1">IFERROR(__xludf.DUMMYFUNCTION("""COMPUTED_VALUE"""),"PLOS CAP 2022")</f>
        <v>PLOS CAP 2022</v>
      </c>
      <c r="B11" s="80">
        <f ca="1">IFERROR(__xludf.DUMMYFUNCTION("""COMPUTED_VALUE"""),3895.2)</f>
        <v>3895.2</v>
      </c>
    </row>
    <row r="12" spans="1:23" ht="15.75" customHeight="1">
      <c r="A12" s="9" t="str">
        <f ca="1">IFERROR(__xludf.DUMMYFUNCTION("""COMPUTED_VALUE"""),"PLOS CAP 2023")</f>
        <v>PLOS CAP 2023</v>
      </c>
      <c r="B12" s="80">
        <f ca="1">IFERROR(__xludf.DUMMYFUNCTION("""COMPUTED_VALUE"""),6857.4618)</f>
        <v>6857.4618</v>
      </c>
    </row>
    <row r="13" spans="1:23" ht="15.75" customHeight="1">
      <c r="A13" s="9" t="str">
        <f ca="1">IFERROR(__xludf.DUMMYFUNCTION("""COMPUTED_VALUE"""),"PLOS TFF 2021")</f>
        <v>PLOS TFF 2021</v>
      </c>
      <c r="B13" s="80">
        <f ca="1">IFERROR(__xludf.DUMMYFUNCTION("""COMPUTED_VALUE"""),15859.7960399999)</f>
        <v>15859.796039999899</v>
      </c>
    </row>
    <row r="14" spans="1:23" ht="12.5">
      <c r="A14" s="9" t="str">
        <f ca="1">IFERROR(__xludf.DUMMYFUNCTION("""COMPUTED_VALUE"""),"PLOS TFF 2022")</f>
        <v>PLOS TFF 2022</v>
      </c>
      <c r="B14" s="80">
        <f ca="1">IFERROR(__xludf.DUMMYFUNCTION("""COMPUTED_VALUE"""),37781.4924)</f>
        <v>37781.492400000003</v>
      </c>
    </row>
    <row r="15" spans="1:23" ht="12.5">
      <c r="A15" s="9" t="str">
        <f ca="1">IFERROR(__xludf.DUMMYFUNCTION("""COMPUTED_VALUE"""),"PLOS TFF 2023")</f>
        <v>PLOS TFF 2023</v>
      </c>
      <c r="B15" s="80">
        <f ca="1">IFERROR(__xludf.DUMMYFUNCTION("""COMPUTED_VALUE"""),24875.0686799999)</f>
        <v>24875.068679999898</v>
      </c>
    </row>
    <row r="16" spans="1:23" ht="12.5">
      <c r="A16" s="9" t="str">
        <f ca="1">IFERROR(__xludf.DUMMYFUNCTION("""COMPUTED_VALUE"""),"Portland Press TA 2021")</f>
        <v>Portland Press TA 2021</v>
      </c>
      <c r="B16" s="80"/>
    </row>
    <row r="17" spans="1:2" ht="12.5">
      <c r="A17" s="9" t="str">
        <f ca="1">IFERROR(__xludf.DUMMYFUNCTION("""COMPUTED_VALUE"""),"Royal Society TA 2023")</f>
        <v>Royal Society TA 2023</v>
      </c>
      <c r="B17" s="80">
        <f ca="1">IFERROR(__xludf.DUMMYFUNCTION("""COMPUTED_VALUE"""),1440)</f>
        <v>1440</v>
      </c>
    </row>
    <row r="18" spans="1:2" ht="12.5">
      <c r="A18" s="9" t="str">
        <f ca="1">IFERROR(__xludf.DUMMYFUNCTION("""COMPUTED_VALUE"""),"Royal Society TA 2024")</f>
        <v>Royal Society TA 2024</v>
      </c>
      <c r="B18" s="80"/>
    </row>
    <row r="19" spans="1:2" ht="12.5">
      <c r="A19" s="9" t="str">
        <f ca="1">IFERROR(__xludf.DUMMYFUNCTION("""COMPUTED_VALUE"""),"Sage TA 2023")</f>
        <v>Sage TA 2023</v>
      </c>
      <c r="B19" s="80">
        <f ca="1">IFERROR(__xludf.DUMMYFUNCTION("""COMPUTED_VALUE"""),672)</f>
        <v>672</v>
      </c>
    </row>
    <row r="20" spans="1:2" ht="12.5">
      <c r="A20" s="9" t="str">
        <f ca="1">IFERROR(__xludf.DUMMYFUNCTION("""COMPUTED_VALUE"""),"Sage TA 2024")</f>
        <v>Sage TA 2024</v>
      </c>
      <c r="B20" s="80">
        <f ca="1">IFERROR(__xludf.DUMMYFUNCTION("""COMPUTED_VALUE"""),3333.156)</f>
        <v>3333.1559999999999</v>
      </c>
    </row>
    <row r="21" spans="1:2" ht="12.5">
      <c r="A21" s="9" t="str">
        <f ca="1">IFERROR(__xludf.DUMMYFUNCTION("""COMPUTED_VALUE"""),"Taylor &amp; Francis TA 2022")</f>
        <v>Taylor &amp; Francis TA 2022</v>
      </c>
      <c r="B21" s="80">
        <f ca="1">IFERROR(__xludf.DUMMYFUNCTION("""COMPUTED_VALUE"""),9549.59999999999)</f>
        <v>9549.5999999999894</v>
      </c>
    </row>
    <row r="22" spans="1:2" ht="12.5">
      <c r="A22" s="9" t="str">
        <f ca="1">IFERROR(__xludf.DUMMYFUNCTION("""COMPUTED_VALUE"""),"Wiley TA 2020")</f>
        <v>Wiley TA 2020</v>
      </c>
      <c r="B22" s="80">
        <f ca="1">IFERROR(__xludf.DUMMYFUNCTION("""COMPUTED_VALUE"""),5985.6)</f>
        <v>5985.6</v>
      </c>
    </row>
    <row r="23" spans="1:2" ht="12.5">
      <c r="A23" s="9" t="str">
        <f ca="1">IFERROR(__xludf.DUMMYFUNCTION("""COMPUTED_VALUE"""),"Wiley TA 2021")</f>
        <v>Wiley TA 2021</v>
      </c>
      <c r="B23" s="80">
        <f ca="1">IFERROR(__xludf.DUMMYFUNCTION("""COMPUTED_VALUE"""),1848)</f>
        <v>1848</v>
      </c>
    </row>
    <row r="24" spans="1:2" ht="12.5">
      <c r="A24" s="9" t="str">
        <f ca="1">IFERROR(__xludf.DUMMYFUNCTION("""COMPUTED_VALUE"""),"Wiley TA 2022")</f>
        <v>Wiley TA 2022</v>
      </c>
      <c r="B24" s="80">
        <f ca="1">IFERROR(__xludf.DUMMYFUNCTION("""COMPUTED_VALUE"""),25928.4)</f>
        <v>25928.400000000001</v>
      </c>
    </row>
    <row r="25" spans="1:2" ht="12.5">
      <c r="A25" s="9" t="str">
        <f ca="1">IFERROR(__xludf.DUMMYFUNCTION("""COMPUTED_VALUE"""),"Wiley TA 2023")</f>
        <v>Wiley TA 2023</v>
      </c>
      <c r="B25" s="80">
        <f ca="1">IFERROR(__xludf.DUMMYFUNCTION("""COMPUTED_VALUE"""),43804.5)</f>
        <v>43804.5</v>
      </c>
    </row>
    <row r="26" spans="1:2" ht="12.5">
      <c r="A26" s="9" t="str">
        <f ca="1">IFERROR(__xludf.DUMMYFUNCTION("""COMPUTED_VALUE"""),"Wiley TA 2024")</f>
        <v>Wiley TA 2024</v>
      </c>
      <c r="B26" s="80"/>
    </row>
    <row r="27" spans="1:2" ht="12.5">
      <c r="B27" s="80"/>
    </row>
    <row r="28" spans="1:2" ht="12.5">
      <c r="B28" s="80"/>
    </row>
    <row r="29" spans="1:2" ht="12.5">
      <c r="B29" s="80"/>
    </row>
    <row r="30" spans="1:2" ht="12.5">
      <c r="B30" s="80"/>
    </row>
    <row r="31" spans="1:2" ht="12.5">
      <c r="B31" s="80"/>
    </row>
    <row r="32" spans="1:2" ht="12.5">
      <c r="B32" s="80"/>
    </row>
    <row r="33" spans="2:2" ht="12.5">
      <c r="B33" s="80"/>
    </row>
    <row r="34" spans="2:2" ht="12.5">
      <c r="B34" s="80"/>
    </row>
    <row r="35" spans="2:2" ht="12.5">
      <c r="B35" s="80"/>
    </row>
    <row r="36" spans="2:2" ht="12.5">
      <c r="B36" s="80"/>
    </row>
    <row r="37" spans="2:2" ht="12.5">
      <c r="B37" s="80"/>
    </row>
    <row r="38" spans="2:2" ht="12.5">
      <c r="B38" s="80"/>
    </row>
    <row r="39" spans="2:2" ht="12.5">
      <c r="B39" s="80"/>
    </row>
    <row r="40" spans="2:2" ht="12.5">
      <c r="B40" s="80"/>
    </row>
    <row r="41" spans="2:2" ht="12.5">
      <c r="B41" s="80"/>
    </row>
    <row r="42" spans="2:2" ht="12.5">
      <c r="B42" s="80"/>
    </row>
    <row r="43" spans="2:2" ht="12.5">
      <c r="B43" s="80"/>
    </row>
    <row r="44" spans="2:2" ht="12.5">
      <c r="B44" s="80"/>
    </row>
    <row r="45" spans="2:2" ht="12.5">
      <c r="B45" s="80"/>
    </row>
    <row r="46" spans="2:2" ht="12.5">
      <c r="B46" s="80"/>
    </row>
    <row r="47" spans="2:2" ht="12.5">
      <c r="B47" s="80"/>
    </row>
    <row r="48" spans="2:2" ht="12.5">
      <c r="B48" s="80"/>
    </row>
    <row r="49" spans="2:2" ht="12.5">
      <c r="B49" s="80"/>
    </row>
    <row r="50" spans="2:2" ht="12.5">
      <c r="B50" s="80"/>
    </row>
    <row r="51" spans="2:2" ht="12.5">
      <c r="B51" s="80"/>
    </row>
    <row r="52" spans="2:2" ht="12.5">
      <c r="B52" s="80"/>
    </row>
    <row r="53" spans="2:2" ht="12.5">
      <c r="B53" s="80"/>
    </row>
    <row r="54" spans="2:2" ht="12.5">
      <c r="B54" s="80"/>
    </row>
    <row r="55" spans="2:2" ht="12.5">
      <c r="B55" s="80"/>
    </row>
    <row r="56" spans="2:2" ht="12.5">
      <c r="B56" s="80"/>
    </row>
    <row r="57" spans="2:2" ht="12.5">
      <c r="B57" s="80"/>
    </row>
    <row r="58" spans="2:2" ht="12.5">
      <c r="B58" s="80"/>
    </row>
    <row r="59" spans="2:2" ht="12.5">
      <c r="B59" s="80"/>
    </row>
    <row r="60" spans="2:2" ht="12.5">
      <c r="B60" s="80"/>
    </row>
    <row r="61" spans="2:2" ht="12.5">
      <c r="B61" s="80"/>
    </row>
    <row r="62" spans="2:2" ht="12.5">
      <c r="B62" s="80"/>
    </row>
    <row r="63" spans="2:2" ht="12.5">
      <c r="B63" s="80"/>
    </row>
    <row r="64" spans="2:2" ht="12.5">
      <c r="B64" s="80"/>
    </row>
    <row r="65" spans="2:2" ht="12.5">
      <c r="B65" s="80"/>
    </row>
    <row r="66" spans="2:2" ht="12.5">
      <c r="B66" s="80"/>
    </row>
    <row r="67" spans="2:2" ht="12.5">
      <c r="B67" s="80"/>
    </row>
    <row r="68" spans="2:2" ht="12.5">
      <c r="B68" s="80"/>
    </row>
    <row r="69" spans="2:2" ht="12.5">
      <c r="B69" s="80"/>
    </row>
    <row r="70" spans="2:2" ht="12.5">
      <c r="B70" s="80"/>
    </row>
    <row r="71" spans="2:2" ht="12.5">
      <c r="B71" s="80"/>
    </row>
    <row r="72" spans="2:2" ht="12.5">
      <c r="B72" s="80"/>
    </row>
    <row r="73" spans="2:2" ht="12.5">
      <c r="B73" s="80"/>
    </row>
    <row r="74" spans="2:2" ht="12.5">
      <c r="B74" s="80"/>
    </row>
    <row r="75" spans="2:2" ht="12.5">
      <c r="B75" s="80"/>
    </row>
    <row r="76" spans="2:2" ht="12.5">
      <c r="B76" s="80"/>
    </row>
    <row r="77" spans="2:2" ht="12.5">
      <c r="B77" s="80"/>
    </row>
    <row r="78" spans="2:2" ht="12.5">
      <c r="B78" s="80"/>
    </row>
    <row r="79" spans="2:2" ht="12.5">
      <c r="B79" s="80"/>
    </row>
    <row r="80" spans="2:2" ht="12.5">
      <c r="B80" s="80"/>
    </row>
    <row r="81" spans="2:2" ht="12.5">
      <c r="B81" s="80"/>
    </row>
    <row r="82" spans="2:2" ht="12.5">
      <c r="B82" s="80"/>
    </row>
    <row r="83" spans="2:2" ht="12.5">
      <c r="B83" s="80"/>
    </row>
    <row r="84" spans="2:2" ht="12.5">
      <c r="B84" s="80"/>
    </row>
    <row r="85" spans="2:2" ht="12.5">
      <c r="B85" s="80"/>
    </row>
    <row r="86" spans="2:2" ht="12.5">
      <c r="B86" s="80"/>
    </row>
    <row r="87" spans="2:2" ht="12.5">
      <c r="B87" s="80"/>
    </row>
    <row r="88" spans="2:2" ht="12.5">
      <c r="B88" s="80"/>
    </row>
    <row r="89" spans="2:2" ht="12.5">
      <c r="B89" s="80"/>
    </row>
    <row r="90" spans="2:2" ht="12.5">
      <c r="B90" s="80"/>
    </row>
    <row r="91" spans="2:2" ht="12.5">
      <c r="B91" s="80"/>
    </row>
    <row r="92" spans="2:2" ht="12.5">
      <c r="B92" s="80"/>
    </row>
    <row r="93" spans="2:2" ht="12.5">
      <c r="B93" s="80"/>
    </row>
    <row r="94" spans="2:2" ht="12.5">
      <c r="B94" s="80"/>
    </row>
    <row r="95" spans="2:2" ht="12.5">
      <c r="B95" s="80"/>
    </row>
    <row r="96" spans="2:2" ht="12.5">
      <c r="B96" s="80"/>
    </row>
    <row r="97" spans="2:2" ht="12.5">
      <c r="B97" s="80"/>
    </row>
    <row r="98" spans="2:2" ht="12.5">
      <c r="B98" s="80"/>
    </row>
    <row r="99" spans="2:2" ht="12.5">
      <c r="B99" s="80"/>
    </row>
    <row r="100" spans="2:2" ht="12.5">
      <c r="B100" s="80"/>
    </row>
    <row r="101" spans="2:2" ht="12.5">
      <c r="B101" s="80"/>
    </row>
    <row r="102" spans="2:2" ht="12.5">
      <c r="B102" s="80"/>
    </row>
    <row r="103" spans="2:2" ht="12.5">
      <c r="B103" s="80"/>
    </row>
    <row r="104" spans="2:2" ht="12.5">
      <c r="B104" s="80"/>
    </row>
    <row r="105" spans="2:2" ht="12.5">
      <c r="B105" s="80"/>
    </row>
    <row r="106" spans="2:2" ht="12.5">
      <c r="B106" s="80"/>
    </row>
    <row r="107" spans="2:2" ht="12.5">
      <c r="B107" s="80"/>
    </row>
    <row r="108" spans="2:2" ht="12.5">
      <c r="B108" s="80"/>
    </row>
    <row r="109" spans="2:2" ht="12.5">
      <c r="B109" s="80"/>
    </row>
    <row r="110" spans="2:2" ht="12.5">
      <c r="B110" s="80"/>
    </row>
    <row r="111" spans="2:2" ht="12.5">
      <c r="B111" s="80"/>
    </row>
    <row r="112" spans="2:2" ht="12.5">
      <c r="B112" s="80"/>
    </row>
    <row r="113" spans="2:2" ht="12.5">
      <c r="B113" s="80"/>
    </row>
    <row r="114" spans="2:2" ht="12.5">
      <c r="B114" s="80"/>
    </row>
    <row r="115" spans="2:2" ht="12.5">
      <c r="B115" s="80"/>
    </row>
    <row r="116" spans="2:2" ht="12.5">
      <c r="B116" s="80"/>
    </row>
    <row r="117" spans="2:2" ht="12.5">
      <c r="B117" s="80"/>
    </row>
    <row r="118" spans="2:2" ht="12.5">
      <c r="B118" s="80"/>
    </row>
    <row r="119" spans="2:2" ht="12.5">
      <c r="B119" s="80"/>
    </row>
    <row r="120" spans="2:2" ht="12.5">
      <c r="B120" s="80"/>
    </row>
    <row r="121" spans="2:2" ht="12.5">
      <c r="B121" s="80"/>
    </row>
    <row r="122" spans="2:2" ht="12.5">
      <c r="B122" s="80"/>
    </row>
    <row r="123" spans="2:2" ht="12.5">
      <c r="B123" s="80"/>
    </row>
    <row r="124" spans="2:2" ht="12.5">
      <c r="B124" s="80"/>
    </row>
    <row r="125" spans="2:2" ht="12.5">
      <c r="B125" s="80"/>
    </row>
    <row r="126" spans="2:2" ht="12.5">
      <c r="B126" s="80"/>
    </row>
    <row r="127" spans="2:2" ht="12.5">
      <c r="B127" s="80"/>
    </row>
    <row r="128" spans="2:2" ht="12.5">
      <c r="B128" s="80"/>
    </row>
    <row r="129" spans="2:2" ht="12.5">
      <c r="B129" s="80"/>
    </row>
    <row r="130" spans="2:2" ht="12.5">
      <c r="B130" s="80"/>
    </row>
    <row r="131" spans="2:2" ht="12.5">
      <c r="B131" s="80"/>
    </row>
    <row r="132" spans="2:2" ht="12.5">
      <c r="B132" s="80"/>
    </row>
    <row r="133" spans="2:2" ht="12.5">
      <c r="B133" s="80"/>
    </row>
    <row r="134" spans="2:2" ht="12.5">
      <c r="B134" s="80"/>
    </row>
    <row r="135" spans="2:2" ht="12.5">
      <c r="B135" s="80"/>
    </row>
    <row r="136" spans="2:2" ht="12.5">
      <c r="B136" s="80"/>
    </row>
    <row r="137" spans="2:2" ht="12.5">
      <c r="B137" s="80"/>
    </row>
    <row r="138" spans="2:2" ht="12.5">
      <c r="B138" s="80"/>
    </row>
    <row r="139" spans="2:2" ht="12.5">
      <c r="B139" s="80"/>
    </row>
    <row r="140" spans="2:2" ht="12.5">
      <c r="B140" s="80"/>
    </row>
    <row r="141" spans="2:2" ht="12.5">
      <c r="B141" s="80"/>
    </row>
    <row r="142" spans="2:2" ht="12.5">
      <c r="B142" s="80"/>
    </row>
    <row r="143" spans="2:2" ht="12.5">
      <c r="B143" s="80"/>
    </row>
    <row r="144" spans="2:2" ht="12.5">
      <c r="B144" s="80"/>
    </row>
    <row r="145" spans="2:2" ht="12.5">
      <c r="B145" s="80"/>
    </row>
    <row r="146" spans="2:2" ht="12.5">
      <c r="B146" s="80"/>
    </row>
    <row r="147" spans="2:2" ht="12.5">
      <c r="B147" s="80"/>
    </row>
    <row r="148" spans="2:2" ht="12.5">
      <c r="B148" s="80"/>
    </row>
    <row r="149" spans="2:2" ht="12.5">
      <c r="B149" s="80"/>
    </row>
    <row r="150" spans="2:2" ht="12.5">
      <c r="B150" s="80"/>
    </row>
    <row r="151" spans="2:2" ht="12.5">
      <c r="B151" s="80"/>
    </row>
    <row r="152" spans="2:2" ht="12.5">
      <c r="B152" s="80"/>
    </row>
    <row r="153" spans="2:2" ht="12.5">
      <c r="B153" s="80"/>
    </row>
    <row r="154" spans="2:2" ht="12.5">
      <c r="B154" s="80"/>
    </row>
    <row r="155" spans="2:2" ht="12.5">
      <c r="B155" s="80"/>
    </row>
    <row r="156" spans="2:2" ht="12.5">
      <c r="B156" s="80"/>
    </row>
    <row r="157" spans="2:2" ht="12.5">
      <c r="B157" s="80"/>
    </row>
    <row r="158" spans="2:2" ht="12.5">
      <c r="B158" s="80"/>
    </row>
    <row r="159" spans="2:2" ht="12.5">
      <c r="B159" s="80"/>
    </row>
    <row r="160" spans="2:2" ht="12.5">
      <c r="B160" s="80"/>
    </row>
    <row r="161" spans="2:2" ht="12.5">
      <c r="B161" s="80"/>
    </row>
    <row r="162" spans="2:2" ht="12.5">
      <c r="B162" s="80"/>
    </row>
    <row r="163" spans="2:2" ht="12.5">
      <c r="B163" s="80"/>
    </row>
    <row r="164" spans="2:2" ht="12.5">
      <c r="B164" s="80"/>
    </row>
    <row r="165" spans="2:2" ht="12.5">
      <c r="B165" s="80"/>
    </row>
    <row r="166" spans="2:2" ht="12.5">
      <c r="B166" s="80"/>
    </row>
    <row r="167" spans="2:2" ht="12.5">
      <c r="B167" s="80"/>
    </row>
    <row r="168" spans="2:2" ht="12.5">
      <c r="B168" s="80"/>
    </row>
    <row r="169" spans="2:2" ht="12.5">
      <c r="B169" s="80"/>
    </row>
    <row r="170" spans="2:2" ht="12.5">
      <c r="B170" s="80"/>
    </row>
    <row r="171" spans="2:2" ht="12.5">
      <c r="B171" s="80"/>
    </row>
    <row r="172" spans="2:2" ht="12.5">
      <c r="B172" s="80"/>
    </row>
    <row r="173" spans="2:2" ht="12.5">
      <c r="B173" s="80"/>
    </row>
    <row r="174" spans="2:2" ht="12.5">
      <c r="B174" s="80"/>
    </row>
    <row r="175" spans="2:2" ht="12.5">
      <c r="B175" s="80"/>
    </row>
    <row r="176" spans="2:2" ht="12.5">
      <c r="B176" s="80"/>
    </row>
    <row r="177" spans="2:2" ht="12.5">
      <c r="B177" s="80"/>
    </row>
    <row r="178" spans="2:2" ht="12.5">
      <c r="B178" s="80"/>
    </row>
    <row r="179" spans="2:2" ht="12.5">
      <c r="B179" s="80"/>
    </row>
    <row r="180" spans="2:2" ht="12.5">
      <c r="B180" s="80"/>
    </row>
    <row r="181" spans="2:2" ht="12.5">
      <c r="B181" s="80"/>
    </row>
    <row r="182" spans="2:2" ht="12.5">
      <c r="B182" s="80"/>
    </row>
    <row r="183" spans="2:2" ht="12.5">
      <c r="B183" s="80"/>
    </row>
    <row r="184" spans="2:2" ht="12.5">
      <c r="B184" s="80"/>
    </row>
    <row r="185" spans="2:2" ht="12.5">
      <c r="B185" s="80"/>
    </row>
    <row r="186" spans="2:2" ht="12.5">
      <c r="B186" s="80"/>
    </row>
    <row r="187" spans="2:2" ht="12.5">
      <c r="B187" s="80"/>
    </row>
    <row r="188" spans="2:2" ht="12.5">
      <c r="B188" s="80"/>
    </row>
    <row r="189" spans="2:2" ht="12.5">
      <c r="B189" s="80"/>
    </row>
    <row r="190" spans="2:2" ht="12.5">
      <c r="B190" s="80"/>
    </row>
    <row r="191" spans="2:2" ht="12.5">
      <c r="B191" s="80"/>
    </row>
    <row r="192" spans="2:2" ht="12.5">
      <c r="B192" s="80"/>
    </row>
    <row r="193" spans="2:2" ht="12.5">
      <c r="B193" s="80"/>
    </row>
    <row r="194" spans="2:2" ht="12.5">
      <c r="B194" s="80"/>
    </row>
    <row r="195" spans="2:2" ht="12.5">
      <c r="B195" s="80"/>
    </row>
    <row r="196" spans="2:2" ht="12.5">
      <c r="B196" s="80"/>
    </row>
    <row r="197" spans="2:2" ht="12.5">
      <c r="B197" s="80"/>
    </row>
    <row r="198" spans="2:2" ht="12.5">
      <c r="B198" s="80"/>
    </row>
    <row r="199" spans="2:2" ht="12.5">
      <c r="B199" s="80"/>
    </row>
    <row r="200" spans="2:2" ht="12.5">
      <c r="B200" s="80"/>
    </row>
    <row r="201" spans="2:2" ht="12.5">
      <c r="B201" s="80"/>
    </row>
    <row r="202" spans="2:2" ht="12.5">
      <c r="B202" s="80"/>
    </row>
    <row r="203" spans="2:2" ht="12.5">
      <c r="B203" s="80"/>
    </row>
    <row r="204" spans="2:2" ht="12.5">
      <c r="B204" s="80"/>
    </row>
    <row r="205" spans="2:2" ht="12.5">
      <c r="B205" s="80"/>
    </row>
    <row r="206" spans="2:2" ht="12.5">
      <c r="B206" s="80"/>
    </row>
    <row r="207" spans="2:2" ht="12.5">
      <c r="B207" s="80"/>
    </row>
    <row r="208" spans="2:2" ht="12.5">
      <c r="B208" s="80"/>
    </row>
    <row r="209" spans="2:2" ht="12.5">
      <c r="B209" s="80"/>
    </row>
    <row r="210" spans="2:2" ht="12.5">
      <c r="B210" s="80"/>
    </row>
    <row r="211" spans="2:2" ht="12.5">
      <c r="B211" s="80"/>
    </row>
    <row r="212" spans="2:2" ht="12.5">
      <c r="B212" s="80"/>
    </row>
    <row r="213" spans="2:2" ht="12.5">
      <c r="B213" s="80"/>
    </row>
    <row r="214" spans="2:2" ht="12.5">
      <c r="B214" s="80"/>
    </row>
    <row r="215" spans="2:2" ht="12.5">
      <c r="B215" s="80"/>
    </row>
    <row r="216" spans="2:2" ht="12.5">
      <c r="B216" s="80"/>
    </row>
    <row r="217" spans="2:2" ht="12.5">
      <c r="B217" s="80"/>
    </row>
    <row r="218" spans="2:2" ht="12.5">
      <c r="B218" s="80"/>
    </row>
    <row r="219" spans="2:2" ht="12.5">
      <c r="B219" s="80"/>
    </row>
    <row r="220" spans="2:2" ht="12.5">
      <c r="B220" s="80"/>
    </row>
    <row r="221" spans="2:2" ht="12.5">
      <c r="B221" s="80"/>
    </row>
    <row r="222" spans="2:2" ht="12.5">
      <c r="B222" s="80"/>
    </row>
    <row r="223" spans="2:2" ht="12.5">
      <c r="B223" s="80"/>
    </row>
    <row r="224" spans="2:2" ht="12.5">
      <c r="B224" s="80"/>
    </row>
    <row r="225" spans="2:2" ht="12.5">
      <c r="B225" s="80"/>
    </row>
    <row r="226" spans="2:2" ht="12.5">
      <c r="B226" s="80"/>
    </row>
    <row r="227" spans="2:2" ht="12.5">
      <c r="B227" s="80"/>
    </row>
    <row r="228" spans="2:2" ht="12.5">
      <c r="B228" s="80"/>
    </row>
    <row r="229" spans="2:2" ht="12.5">
      <c r="B229" s="80"/>
    </row>
    <row r="230" spans="2:2" ht="12.5">
      <c r="B230" s="80"/>
    </row>
    <row r="231" spans="2:2" ht="12.5">
      <c r="B231" s="80"/>
    </row>
    <row r="232" spans="2:2" ht="12.5">
      <c r="B232" s="80"/>
    </row>
    <row r="233" spans="2:2" ht="12.5">
      <c r="B233" s="80"/>
    </row>
    <row r="234" spans="2:2" ht="12.5">
      <c r="B234" s="80"/>
    </row>
    <row r="235" spans="2:2" ht="12.5">
      <c r="B235" s="80"/>
    </row>
    <row r="236" spans="2:2" ht="12.5">
      <c r="B236" s="80"/>
    </row>
    <row r="237" spans="2:2" ht="12.5">
      <c r="B237" s="80"/>
    </row>
    <row r="238" spans="2:2" ht="12.5">
      <c r="B238" s="80"/>
    </row>
    <row r="239" spans="2:2" ht="12.5">
      <c r="B239" s="80"/>
    </row>
    <row r="240" spans="2:2" ht="12.5">
      <c r="B240" s="80"/>
    </row>
    <row r="241" spans="2:2" ht="12.5">
      <c r="B241" s="80"/>
    </row>
    <row r="242" spans="2:2" ht="12.5">
      <c r="B242" s="80"/>
    </row>
    <row r="243" spans="2:2" ht="12.5">
      <c r="B243" s="80"/>
    </row>
    <row r="244" spans="2:2" ht="12.5">
      <c r="B244" s="80"/>
    </row>
    <row r="245" spans="2:2" ht="12.5">
      <c r="B245" s="80"/>
    </row>
    <row r="246" spans="2:2" ht="12.5">
      <c r="B246" s="80"/>
    </row>
    <row r="247" spans="2:2" ht="12.5">
      <c r="B247" s="80"/>
    </row>
    <row r="248" spans="2:2" ht="12.5">
      <c r="B248" s="80"/>
    </row>
    <row r="249" spans="2:2" ht="12.5">
      <c r="B249" s="80"/>
    </row>
    <row r="250" spans="2:2" ht="12.5">
      <c r="B250" s="80"/>
    </row>
    <row r="251" spans="2:2" ht="12.5">
      <c r="B251" s="80"/>
    </row>
    <row r="252" spans="2:2" ht="12.5">
      <c r="B252" s="80"/>
    </row>
    <row r="253" spans="2:2" ht="12.5">
      <c r="B253" s="80"/>
    </row>
    <row r="254" spans="2:2" ht="12.5">
      <c r="B254" s="80"/>
    </row>
    <row r="255" spans="2:2" ht="12.5">
      <c r="B255" s="80"/>
    </row>
    <row r="256" spans="2:2" ht="12.5">
      <c r="B256" s="80"/>
    </row>
    <row r="257" spans="2:2" ht="12.5">
      <c r="B257" s="80"/>
    </row>
    <row r="258" spans="2:2" ht="12.5">
      <c r="B258" s="80"/>
    </row>
    <row r="259" spans="2:2" ht="12.5">
      <c r="B259" s="80"/>
    </row>
    <row r="260" spans="2:2" ht="12.5">
      <c r="B260" s="80"/>
    </row>
    <row r="261" spans="2:2" ht="12.5">
      <c r="B261" s="80"/>
    </row>
    <row r="262" spans="2:2" ht="12.5">
      <c r="B262" s="80"/>
    </row>
    <row r="263" spans="2:2" ht="12.5">
      <c r="B263" s="80"/>
    </row>
    <row r="264" spans="2:2" ht="12.5">
      <c r="B264" s="80"/>
    </row>
    <row r="265" spans="2:2" ht="12.5">
      <c r="B265" s="80"/>
    </row>
    <row r="266" spans="2:2" ht="12.5">
      <c r="B266" s="80"/>
    </row>
    <row r="267" spans="2:2" ht="12.5">
      <c r="B267" s="80"/>
    </row>
    <row r="268" spans="2:2" ht="12.5">
      <c r="B268" s="80"/>
    </row>
    <row r="269" spans="2:2" ht="12.5">
      <c r="B269" s="80"/>
    </row>
    <row r="270" spans="2:2" ht="12.5">
      <c r="B270" s="80"/>
    </row>
    <row r="271" spans="2:2" ht="12.5">
      <c r="B271" s="80"/>
    </row>
    <row r="272" spans="2:2" ht="12.5">
      <c r="B272" s="80"/>
    </row>
    <row r="273" spans="2:2" ht="12.5">
      <c r="B273" s="80"/>
    </row>
    <row r="274" spans="2:2" ht="12.5">
      <c r="B274" s="80"/>
    </row>
    <row r="275" spans="2:2" ht="12.5">
      <c r="B275" s="80"/>
    </row>
    <row r="276" spans="2:2" ht="12.5">
      <c r="B276" s="80"/>
    </row>
    <row r="277" spans="2:2" ht="12.5">
      <c r="B277" s="80"/>
    </row>
    <row r="278" spans="2:2" ht="12.5">
      <c r="B278" s="80"/>
    </row>
    <row r="279" spans="2:2" ht="12.5">
      <c r="B279" s="80"/>
    </row>
    <row r="280" spans="2:2" ht="12.5">
      <c r="B280" s="80"/>
    </row>
    <row r="281" spans="2:2" ht="12.5">
      <c r="B281" s="80"/>
    </row>
    <row r="282" spans="2:2" ht="12.5">
      <c r="B282" s="80"/>
    </row>
    <row r="283" spans="2:2" ht="12.5">
      <c r="B283" s="80"/>
    </row>
    <row r="284" spans="2:2" ht="12.5">
      <c r="B284" s="80"/>
    </row>
    <row r="285" spans="2:2" ht="12.5">
      <c r="B285" s="80"/>
    </row>
    <row r="286" spans="2:2" ht="12.5">
      <c r="B286" s="80"/>
    </row>
    <row r="287" spans="2:2" ht="12.5">
      <c r="B287" s="80"/>
    </row>
    <row r="288" spans="2:2" ht="12.5">
      <c r="B288" s="80"/>
    </row>
    <row r="289" spans="2:2" ht="12.5">
      <c r="B289" s="80"/>
    </row>
    <row r="290" spans="2:2" ht="12.5">
      <c r="B290" s="80"/>
    </row>
    <row r="291" spans="2:2" ht="12.5">
      <c r="B291" s="80"/>
    </row>
    <row r="292" spans="2:2" ht="12.5">
      <c r="B292" s="80"/>
    </row>
    <row r="293" spans="2:2" ht="12.5">
      <c r="B293" s="80"/>
    </row>
    <row r="294" spans="2:2" ht="12.5">
      <c r="B294" s="80"/>
    </row>
    <row r="295" spans="2:2" ht="12.5">
      <c r="B295" s="80"/>
    </row>
    <row r="296" spans="2:2" ht="12.5">
      <c r="B296" s="80"/>
    </row>
    <row r="297" spans="2:2" ht="12.5">
      <c r="B297" s="80"/>
    </row>
    <row r="298" spans="2:2" ht="12.5">
      <c r="B298" s="80"/>
    </row>
    <row r="299" spans="2:2" ht="12.5">
      <c r="B299" s="80"/>
    </row>
    <row r="300" spans="2:2" ht="12.5">
      <c r="B300" s="80"/>
    </row>
    <row r="301" spans="2:2" ht="12.5">
      <c r="B301" s="80"/>
    </row>
    <row r="302" spans="2:2" ht="12.5">
      <c r="B302" s="80"/>
    </row>
    <row r="303" spans="2:2" ht="12.5">
      <c r="B303" s="80"/>
    </row>
    <row r="304" spans="2:2" ht="12.5">
      <c r="B304" s="80"/>
    </row>
    <row r="305" spans="2:2" ht="12.5">
      <c r="B305" s="80"/>
    </row>
    <row r="306" spans="2:2" ht="12.5">
      <c r="B306" s="80"/>
    </row>
    <row r="307" spans="2:2" ht="12.5">
      <c r="B307" s="80"/>
    </row>
    <row r="308" spans="2:2" ht="12.5">
      <c r="B308" s="80"/>
    </row>
    <row r="309" spans="2:2" ht="12.5">
      <c r="B309" s="80"/>
    </row>
    <row r="310" spans="2:2" ht="12.5">
      <c r="B310" s="80"/>
    </row>
    <row r="311" spans="2:2" ht="12.5">
      <c r="B311" s="80"/>
    </row>
    <row r="312" spans="2:2" ht="12.5">
      <c r="B312" s="80"/>
    </row>
    <row r="313" spans="2:2" ht="12.5">
      <c r="B313" s="80"/>
    </row>
    <row r="314" spans="2:2" ht="12.5">
      <c r="B314" s="80"/>
    </row>
    <row r="315" spans="2:2" ht="12.5">
      <c r="B315" s="80"/>
    </row>
    <row r="316" spans="2:2" ht="12.5">
      <c r="B316" s="80"/>
    </row>
    <row r="317" spans="2:2" ht="12.5">
      <c r="B317" s="80"/>
    </row>
    <row r="318" spans="2:2" ht="12.5">
      <c r="B318" s="80"/>
    </row>
    <row r="319" spans="2:2" ht="12.5">
      <c r="B319" s="80"/>
    </row>
    <row r="320" spans="2:2" ht="12.5">
      <c r="B320" s="80"/>
    </row>
    <row r="321" spans="2:2" ht="12.5">
      <c r="B321" s="80"/>
    </row>
    <row r="322" spans="2:2" ht="12.5">
      <c r="B322" s="80"/>
    </row>
    <row r="323" spans="2:2" ht="12.5">
      <c r="B323" s="80"/>
    </row>
    <row r="324" spans="2:2" ht="12.5">
      <c r="B324" s="80"/>
    </row>
    <row r="325" spans="2:2" ht="12.5">
      <c r="B325" s="80"/>
    </row>
    <row r="326" spans="2:2" ht="12.5">
      <c r="B326" s="80"/>
    </row>
    <row r="327" spans="2:2" ht="12.5">
      <c r="B327" s="80"/>
    </row>
    <row r="328" spans="2:2" ht="12.5">
      <c r="B328" s="80"/>
    </row>
    <row r="329" spans="2:2" ht="12.5">
      <c r="B329" s="80"/>
    </row>
    <row r="330" spans="2:2" ht="12.5">
      <c r="B330" s="80"/>
    </row>
    <row r="331" spans="2:2" ht="12.5">
      <c r="B331" s="80"/>
    </row>
    <row r="332" spans="2:2" ht="12.5">
      <c r="B332" s="80"/>
    </row>
    <row r="333" spans="2:2" ht="12.5">
      <c r="B333" s="80"/>
    </row>
    <row r="334" spans="2:2" ht="12.5">
      <c r="B334" s="80"/>
    </row>
    <row r="335" spans="2:2" ht="12.5">
      <c r="B335" s="80"/>
    </row>
    <row r="336" spans="2:2" ht="12.5">
      <c r="B336" s="80"/>
    </row>
    <row r="337" spans="2:2" ht="12.5">
      <c r="B337" s="80"/>
    </row>
    <row r="338" spans="2:2" ht="12.5">
      <c r="B338" s="80"/>
    </row>
    <row r="339" spans="2:2" ht="12.5">
      <c r="B339" s="80"/>
    </row>
    <row r="340" spans="2:2" ht="12.5">
      <c r="B340" s="80"/>
    </row>
    <row r="341" spans="2:2" ht="12.5">
      <c r="B341" s="80"/>
    </row>
    <row r="342" spans="2:2" ht="12.5">
      <c r="B342" s="80"/>
    </row>
    <row r="343" spans="2:2" ht="12.5">
      <c r="B343" s="80"/>
    </row>
    <row r="344" spans="2:2" ht="12.5">
      <c r="B344" s="80"/>
    </row>
    <row r="345" spans="2:2" ht="12.5">
      <c r="B345" s="80"/>
    </row>
    <row r="346" spans="2:2" ht="12.5">
      <c r="B346" s="80"/>
    </row>
    <row r="347" spans="2:2" ht="12.5">
      <c r="B347" s="80"/>
    </row>
    <row r="348" spans="2:2" ht="12.5">
      <c r="B348" s="80"/>
    </row>
    <row r="349" spans="2:2" ht="12.5">
      <c r="B349" s="80"/>
    </row>
    <row r="350" spans="2:2" ht="12.5">
      <c r="B350" s="80"/>
    </row>
    <row r="351" spans="2:2" ht="12.5">
      <c r="B351" s="80"/>
    </row>
    <row r="352" spans="2:2" ht="12.5">
      <c r="B352" s="80"/>
    </row>
    <row r="353" spans="2:2" ht="12.5">
      <c r="B353" s="80"/>
    </row>
    <row r="354" spans="2:2" ht="12.5">
      <c r="B354" s="80"/>
    </row>
    <row r="355" spans="2:2" ht="12.5">
      <c r="B355" s="80"/>
    </row>
    <row r="356" spans="2:2" ht="12.5">
      <c r="B356" s="80"/>
    </row>
    <row r="357" spans="2:2" ht="12.5">
      <c r="B357" s="80"/>
    </row>
    <row r="358" spans="2:2" ht="12.5">
      <c r="B358" s="80"/>
    </row>
    <row r="359" spans="2:2" ht="12.5">
      <c r="B359" s="80"/>
    </row>
    <row r="360" spans="2:2" ht="12.5">
      <c r="B360" s="80"/>
    </row>
    <row r="361" spans="2:2" ht="12.5">
      <c r="B361" s="80"/>
    </row>
    <row r="362" spans="2:2" ht="12.5">
      <c r="B362" s="80"/>
    </row>
    <row r="363" spans="2:2" ht="12.5">
      <c r="B363" s="80"/>
    </row>
    <row r="364" spans="2:2" ht="12.5">
      <c r="B364" s="80"/>
    </row>
    <row r="365" spans="2:2" ht="12.5">
      <c r="B365" s="80"/>
    </row>
    <row r="366" spans="2:2" ht="12.5">
      <c r="B366" s="80"/>
    </row>
    <row r="367" spans="2:2" ht="12.5">
      <c r="B367" s="80"/>
    </row>
    <row r="368" spans="2:2" ht="12.5">
      <c r="B368" s="80"/>
    </row>
    <row r="369" spans="2:2" ht="12.5">
      <c r="B369" s="80"/>
    </row>
    <row r="370" spans="2:2" ht="12.5">
      <c r="B370" s="80"/>
    </row>
    <row r="371" spans="2:2" ht="12.5">
      <c r="B371" s="80"/>
    </row>
    <row r="372" spans="2:2" ht="12.5">
      <c r="B372" s="80"/>
    </row>
    <row r="373" spans="2:2" ht="12.5">
      <c r="B373" s="80"/>
    </row>
    <row r="374" spans="2:2" ht="12.5">
      <c r="B374" s="80"/>
    </row>
    <row r="375" spans="2:2" ht="12.5">
      <c r="B375" s="80"/>
    </row>
    <row r="376" spans="2:2" ht="12.5">
      <c r="B376" s="80"/>
    </row>
    <row r="377" spans="2:2" ht="12.5">
      <c r="B377" s="80"/>
    </row>
    <row r="378" spans="2:2" ht="12.5">
      <c r="B378" s="80"/>
    </row>
    <row r="379" spans="2:2" ht="12.5">
      <c r="B379" s="80"/>
    </row>
    <row r="380" spans="2:2" ht="12.5">
      <c r="B380" s="80"/>
    </row>
    <row r="381" spans="2:2" ht="12.5">
      <c r="B381" s="80"/>
    </row>
    <row r="382" spans="2:2" ht="12.5">
      <c r="B382" s="80"/>
    </row>
    <row r="383" spans="2:2" ht="12.5">
      <c r="B383" s="80"/>
    </row>
    <row r="384" spans="2:2" ht="12.5">
      <c r="B384" s="80"/>
    </row>
    <row r="385" spans="2:2" ht="12.5">
      <c r="B385" s="80"/>
    </row>
    <row r="386" spans="2:2" ht="12.5">
      <c r="B386" s="80"/>
    </row>
    <row r="387" spans="2:2" ht="12.5">
      <c r="B387" s="80"/>
    </row>
    <row r="388" spans="2:2" ht="12.5">
      <c r="B388" s="80"/>
    </row>
    <row r="389" spans="2:2" ht="12.5">
      <c r="B389" s="80"/>
    </row>
    <row r="390" spans="2:2" ht="12.5">
      <c r="B390" s="80"/>
    </row>
    <row r="391" spans="2:2" ht="12.5">
      <c r="B391" s="80"/>
    </row>
    <row r="392" spans="2:2" ht="12.5">
      <c r="B392" s="80"/>
    </row>
    <row r="393" spans="2:2" ht="12.5">
      <c r="B393" s="80"/>
    </row>
    <row r="394" spans="2:2" ht="12.5">
      <c r="B394" s="80"/>
    </row>
    <row r="395" spans="2:2" ht="12.5">
      <c r="B395" s="80"/>
    </row>
    <row r="396" spans="2:2" ht="12.5">
      <c r="B396" s="80"/>
    </row>
    <row r="397" spans="2:2" ht="12.5">
      <c r="B397" s="80"/>
    </row>
    <row r="398" spans="2:2" ht="12.5">
      <c r="B398" s="80"/>
    </row>
    <row r="399" spans="2:2" ht="12.5">
      <c r="B399" s="80"/>
    </row>
    <row r="400" spans="2:2" ht="12.5">
      <c r="B400" s="80"/>
    </row>
    <row r="401" spans="2:2" ht="12.5">
      <c r="B401" s="80"/>
    </row>
    <row r="402" spans="2:2" ht="12.5">
      <c r="B402" s="80"/>
    </row>
    <row r="403" spans="2:2" ht="12.5">
      <c r="B403" s="80"/>
    </row>
    <row r="404" spans="2:2" ht="12.5">
      <c r="B404" s="80"/>
    </row>
    <row r="405" spans="2:2" ht="12.5">
      <c r="B405" s="80"/>
    </row>
    <row r="406" spans="2:2" ht="12.5">
      <c r="B406" s="80"/>
    </row>
    <row r="407" spans="2:2" ht="12.5">
      <c r="B407" s="80"/>
    </row>
    <row r="408" spans="2:2" ht="12.5">
      <c r="B408" s="80"/>
    </row>
    <row r="409" spans="2:2" ht="12.5">
      <c r="B409" s="80"/>
    </row>
    <row r="410" spans="2:2" ht="12.5">
      <c r="B410" s="80"/>
    </row>
    <row r="411" spans="2:2" ht="12.5">
      <c r="B411" s="80"/>
    </row>
    <row r="412" spans="2:2" ht="12.5">
      <c r="B412" s="80"/>
    </row>
    <row r="413" spans="2:2" ht="12.5">
      <c r="B413" s="80"/>
    </row>
    <row r="414" spans="2:2" ht="12.5">
      <c r="B414" s="80"/>
    </row>
    <row r="415" spans="2:2" ht="12.5">
      <c r="B415" s="80"/>
    </row>
    <row r="416" spans="2:2" ht="12.5">
      <c r="B416" s="80"/>
    </row>
    <row r="417" spans="2:2" ht="12.5">
      <c r="B417" s="80"/>
    </row>
    <row r="418" spans="2:2" ht="12.5">
      <c r="B418" s="80"/>
    </row>
    <row r="419" spans="2:2" ht="12.5">
      <c r="B419" s="80"/>
    </row>
    <row r="420" spans="2:2" ht="12.5">
      <c r="B420" s="80"/>
    </row>
    <row r="421" spans="2:2" ht="12.5">
      <c r="B421" s="80"/>
    </row>
    <row r="422" spans="2:2" ht="12.5">
      <c r="B422" s="80"/>
    </row>
    <row r="423" spans="2:2" ht="12.5">
      <c r="B423" s="80"/>
    </row>
    <row r="424" spans="2:2" ht="12.5">
      <c r="B424" s="80"/>
    </row>
    <row r="425" spans="2:2" ht="12.5">
      <c r="B425" s="80"/>
    </row>
    <row r="426" spans="2:2" ht="12.5">
      <c r="B426" s="80"/>
    </row>
    <row r="427" spans="2:2" ht="12.5">
      <c r="B427" s="80"/>
    </row>
    <row r="428" spans="2:2" ht="12.5">
      <c r="B428" s="80"/>
    </row>
    <row r="429" spans="2:2" ht="12.5">
      <c r="B429" s="80"/>
    </row>
    <row r="430" spans="2:2" ht="12.5">
      <c r="B430" s="80"/>
    </row>
    <row r="431" spans="2:2" ht="12.5">
      <c r="B431" s="80"/>
    </row>
    <row r="432" spans="2:2" ht="12.5">
      <c r="B432" s="80"/>
    </row>
    <row r="433" spans="2:2" ht="12.5">
      <c r="B433" s="80"/>
    </row>
    <row r="434" spans="2:2" ht="12.5">
      <c r="B434" s="80"/>
    </row>
    <row r="435" spans="2:2" ht="12.5">
      <c r="B435" s="80"/>
    </row>
    <row r="436" spans="2:2" ht="12.5">
      <c r="B436" s="80"/>
    </row>
    <row r="437" spans="2:2" ht="12.5">
      <c r="B437" s="80"/>
    </row>
    <row r="438" spans="2:2" ht="12.5">
      <c r="B438" s="80"/>
    </row>
    <row r="439" spans="2:2" ht="12.5">
      <c r="B439" s="80"/>
    </row>
    <row r="440" spans="2:2" ht="12.5">
      <c r="B440" s="80"/>
    </row>
    <row r="441" spans="2:2" ht="12.5">
      <c r="B441" s="80"/>
    </row>
    <row r="442" spans="2:2" ht="12.5">
      <c r="B442" s="80"/>
    </row>
    <row r="443" spans="2:2" ht="12.5">
      <c r="B443" s="80"/>
    </row>
    <row r="444" spans="2:2" ht="12.5">
      <c r="B444" s="80"/>
    </row>
    <row r="445" spans="2:2" ht="12.5">
      <c r="B445" s="80"/>
    </row>
    <row r="446" spans="2:2" ht="12.5">
      <c r="B446" s="80"/>
    </row>
    <row r="447" spans="2:2" ht="12.5">
      <c r="B447" s="80"/>
    </row>
    <row r="448" spans="2:2" ht="12.5">
      <c r="B448" s="80"/>
    </row>
    <row r="449" spans="2:2" ht="12.5">
      <c r="B449" s="80"/>
    </row>
    <row r="450" spans="2:2" ht="12.5">
      <c r="B450" s="80"/>
    </row>
    <row r="451" spans="2:2" ht="12.5">
      <c r="B451" s="80"/>
    </row>
    <row r="452" spans="2:2" ht="12.5">
      <c r="B452" s="80"/>
    </row>
    <row r="453" spans="2:2" ht="12.5">
      <c r="B453" s="80"/>
    </row>
    <row r="454" spans="2:2" ht="12.5">
      <c r="B454" s="80"/>
    </row>
    <row r="455" spans="2:2" ht="12.5">
      <c r="B455" s="80"/>
    </row>
    <row r="456" spans="2:2" ht="12.5">
      <c r="B456" s="80"/>
    </row>
    <row r="457" spans="2:2" ht="12.5">
      <c r="B457" s="80"/>
    </row>
    <row r="458" spans="2:2" ht="12.5">
      <c r="B458" s="80"/>
    </row>
    <row r="459" spans="2:2" ht="12.5">
      <c r="B459" s="80"/>
    </row>
    <row r="460" spans="2:2" ht="12.5">
      <c r="B460" s="80"/>
    </row>
    <row r="461" spans="2:2" ht="12.5">
      <c r="B461" s="80"/>
    </row>
    <row r="462" spans="2:2" ht="12.5">
      <c r="B462" s="80"/>
    </row>
    <row r="463" spans="2:2" ht="12.5">
      <c r="B463" s="80"/>
    </row>
    <row r="464" spans="2:2" ht="12.5">
      <c r="B464" s="80"/>
    </row>
    <row r="465" spans="2:2" ht="12.5">
      <c r="B465" s="80"/>
    </row>
    <row r="466" spans="2:2" ht="12.5">
      <c r="B466" s="80"/>
    </row>
    <row r="467" spans="2:2" ht="12.5">
      <c r="B467" s="80"/>
    </row>
    <row r="468" spans="2:2" ht="12.5">
      <c r="B468" s="80"/>
    </row>
    <row r="469" spans="2:2" ht="12.5">
      <c r="B469" s="80"/>
    </row>
    <row r="470" spans="2:2" ht="12.5">
      <c r="B470" s="80"/>
    </row>
    <row r="471" spans="2:2" ht="12.5">
      <c r="B471" s="80"/>
    </row>
    <row r="472" spans="2:2" ht="12.5">
      <c r="B472" s="80"/>
    </row>
    <row r="473" spans="2:2" ht="12.5">
      <c r="B473" s="80"/>
    </row>
    <row r="474" spans="2:2" ht="12.5">
      <c r="B474" s="80"/>
    </row>
    <row r="475" spans="2:2" ht="12.5">
      <c r="B475" s="80"/>
    </row>
    <row r="476" spans="2:2" ht="12.5">
      <c r="B476" s="80"/>
    </row>
    <row r="477" spans="2:2" ht="12.5">
      <c r="B477" s="80"/>
    </row>
    <row r="478" spans="2:2" ht="12.5">
      <c r="B478" s="80"/>
    </row>
    <row r="479" spans="2:2" ht="12.5">
      <c r="B479" s="80"/>
    </row>
    <row r="480" spans="2:2" ht="12.5">
      <c r="B480" s="80"/>
    </row>
    <row r="481" spans="2:2" ht="12.5">
      <c r="B481" s="80"/>
    </row>
    <row r="482" spans="2:2" ht="12.5">
      <c r="B482" s="80"/>
    </row>
    <row r="483" spans="2:2" ht="12.5">
      <c r="B483" s="80"/>
    </row>
    <row r="484" spans="2:2" ht="12.5">
      <c r="B484" s="80"/>
    </row>
    <row r="485" spans="2:2" ht="12.5">
      <c r="B485" s="80"/>
    </row>
    <row r="486" spans="2:2" ht="12.5">
      <c r="B486" s="80"/>
    </row>
    <row r="487" spans="2:2" ht="12.5">
      <c r="B487" s="80"/>
    </row>
    <row r="488" spans="2:2" ht="12.5">
      <c r="B488" s="80"/>
    </row>
    <row r="489" spans="2:2" ht="12.5">
      <c r="B489" s="80"/>
    </row>
    <row r="490" spans="2:2" ht="12.5">
      <c r="B490" s="80"/>
    </row>
    <row r="491" spans="2:2" ht="12.5">
      <c r="B491" s="80"/>
    </row>
    <row r="492" spans="2:2" ht="12.5">
      <c r="B492" s="80"/>
    </row>
    <row r="493" spans="2:2" ht="12.5">
      <c r="B493" s="80"/>
    </row>
    <row r="494" spans="2:2" ht="12.5">
      <c r="B494" s="80"/>
    </row>
    <row r="495" spans="2:2" ht="12.5">
      <c r="B495" s="80"/>
    </row>
    <row r="496" spans="2:2" ht="12.5">
      <c r="B496" s="80"/>
    </row>
    <row r="497" spans="2:2" ht="12.5">
      <c r="B497" s="80"/>
    </row>
    <row r="498" spans="2:2" ht="12.5">
      <c r="B498" s="80"/>
    </row>
    <row r="499" spans="2:2" ht="12.5">
      <c r="B499" s="80"/>
    </row>
    <row r="500" spans="2:2" ht="12.5">
      <c r="B500" s="80"/>
    </row>
    <row r="501" spans="2:2" ht="12.5">
      <c r="B501" s="80"/>
    </row>
    <row r="502" spans="2:2" ht="12.5">
      <c r="B502" s="80"/>
    </row>
    <row r="503" spans="2:2" ht="12.5">
      <c r="B503" s="80"/>
    </row>
    <row r="504" spans="2:2" ht="12.5">
      <c r="B504" s="80"/>
    </row>
    <row r="505" spans="2:2" ht="12.5">
      <c r="B505" s="80"/>
    </row>
    <row r="506" spans="2:2" ht="12.5">
      <c r="B506" s="80"/>
    </row>
    <row r="507" spans="2:2" ht="12.5">
      <c r="B507" s="80"/>
    </row>
    <row r="508" spans="2:2" ht="12.5">
      <c r="B508" s="80"/>
    </row>
    <row r="509" spans="2:2" ht="12.5">
      <c r="B509" s="80"/>
    </row>
    <row r="510" spans="2:2" ht="12.5">
      <c r="B510" s="80"/>
    </row>
    <row r="511" spans="2:2" ht="12.5">
      <c r="B511" s="80"/>
    </row>
    <row r="512" spans="2:2" ht="12.5">
      <c r="B512" s="80"/>
    </row>
    <row r="513" spans="2:2" ht="12.5">
      <c r="B513" s="80"/>
    </row>
    <row r="514" spans="2:2" ht="12.5">
      <c r="B514" s="80"/>
    </row>
    <row r="515" spans="2:2" ht="12.5">
      <c r="B515" s="80"/>
    </row>
    <row r="516" spans="2:2" ht="12.5">
      <c r="B516" s="80"/>
    </row>
    <row r="517" spans="2:2" ht="12.5">
      <c r="B517" s="80"/>
    </row>
    <row r="518" spans="2:2" ht="12.5">
      <c r="B518" s="80"/>
    </row>
    <row r="519" spans="2:2" ht="12.5">
      <c r="B519" s="80"/>
    </row>
    <row r="520" spans="2:2" ht="12.5">
      <c r="B520" s="80"/>
    </row>
    <row r="521" spans="2:2" ht="12.5">
      <c r="B521" s="80"/>
    </row>
    <row r="522" spans="2:2" ht="12.5">
      <c r="B522" s="80"/>
    </row>
    <row r="523" spans="2:2" ht="12.5">
      <c r="B523" s="80"/>
    </row>
    <row r="524" spans="2:2" ht="12.5">
      <c r="B524" s="80"/>
    </row>
    <row r="525" spans="2:2" ht="12.5">
      <c r="B525" s="80"/>
    </row>
    <row r="526" spans="2:2" ht="12.5">
      <c r="B526" s="80"/>
    </row>
    <row r="527" spans="2:2" ht="12.5">
      <c r="B527" s="80"/>
    </row>
    <row r="528" spans="2:2" ht="12.5">
      <c r="B528" s="80"/>
    </row>
    <row r="529" spans="2:2" ht="12.5">
      <c r="B529" s="80"/>
    </row>
    <row r="530" spans="2:2" ht="12.5">
      <c r="B530" s="80"/>
    </row>
    <row r="531" spans="2:2" ht="12.5">
      <c r="B531" s="80"/>
    </row>
    <row r="532" spans="2:2" ht="12.5">
      <c r="B532" s="80"/>
    </row>
    <row r="533" spans="2:2" ht="12.5">
      <c r="B533" s="80"/>
    </row>
    <row r="534" spans="2:2" ht="12.5">
      <c r="B534" s="80"/>
    </row>
    <row r="535" spans="2:2" ht="12.5">
      <c r="B535" s="80"/>
    </row>
    <row r="536" spans="2:2" ht="12.5">
      <c r="B536" s="80"/>
    </row>
    <row r="537" spans="2:2" ht="12.5">
      <c r="B537" s="80"/>
    </row>
    <row r="538" spans="2:2" ht="12.5">
      <c r="B538" s="80"/>
    </row>
    <row r="539" spans="2:2" ht="12.5">
      <c r="B539" s="80"/>
    </row>
    <row r="540" spans="2:2" ht="12.5">
      <c r="B540" s="80"/>
    </row>
    <row r="541" spans="2:2" ht="12.5">
      <c r="B541" s="80"/>
    </row>
    <row r="542" spans="2:2" ht="12.5">
      <c r="B542" s="80"/>
    </row>
    <row r="543" spans="2:2" ht="12.5">
      <c r="B543" s="80"/>
    </row>
    <row r="544" spans="2:2" ht="12.5">
      <c r="B544" s="80"/>
    </row>
    <row r="545" spans="2:2" ht="12.5">
      <c r="B545" s="80"/>
    </row>
    <row r="546" spans="2:2" ht="12.5">
      <c r="B546" s="80"/>
    </row>
    <row r="547" spans="2:2" ht="12.5">
      <c r="B547" s="80"/>
    </row>
    <row r="548" spans="2:2" ht="12.5">
      <c r="B548" s="80"/>
    </row>
    <row r="549" spans="2:2" ht="12.5">
      <c r="B549" s="80"/>
    </row>
    <row r="550" spans="2:2" ht="12.5">
      <c r="B550" s="80"/>
    </row>
    <row r="551" spans="2:2" ht="12.5">
      <c r="B551" s="80"/>
    </row>
    <row r="552" spans="2:2" ht="12.5">
      <c r="B552" s="80"/>
    </row>
    <row r="553" spans="2:2" ht="12.5">
      <c r="B553" s="80"/>
    </row>
    <row r="554" spans="2:2" ht="12.5">
      <c r="B554" s="80"/>
    </row>
    <row r="555" spans="2:2" ht="12.5">
      <c r="B555" s="80"/>
    </row>
    <row r="556" spans="2:2" ht="12.5">
      <c r="B556" s="80"/>
    </row>
    <row r="557" spans="2:2" ht="12.5">
      <c r="B557" s="80"/>
    </row>
    <row r="558" spans="2:2" ht="12.5">
      <c r="B558" s="80"/>
    </row>
    <row r="559" spans="2:2" ht="12.5">
      <c r="B559" s="80"/>
    </row>
    <row r="560" spans="2:2" ht="12.5">
      <c r="B560" s="80"/>
    </row>
    <row r="561" spans="2:2" ht="12.5">
      <c r="B561" s="80"/>
    </row>
    <row r="562" spans="2:2" ht="12.5">
      <c r="B562" s="80"/>
    </row>
    <row r="563" spans="2:2" ht="12.5">
      <c r="B563" s="80"/>
    </row>
    <row r="564" spans="2:2" ht="12.5">
      <c r="B564" s="80"/>
    </row>
    <row r="565" spans="2:2" ht="12.5">
      <c r="B565" s="80"/>
    </row>
    <row r="566" spans="2:2" ht="12.5">
      <c r="B566" s="80"/>
    </row>
    <row r="567" spans="2:2" ht="12.5">
      <c r="B567" s="80"/>
    </row>
    <row r="568" spans="2:2" ht="12.5">
      <c r="B568" s="80"/>
    </row>
    <row r="569" spans="2:2" ht="12.5">
      <c r="B569" s="80"/>
    </row>
    <row r="570" spans="2:2" ht="12.5">
      <c r="B570" s="80"/>
    </row>
    <row r="571" spans="2:2" ht="12.5">
      <c r="B571" s="80"/>
    </row>
    <row r="572" spans="2:2" ht="12.5">
      <c r="B572" s="80"/>
    </row>
    <row r="573" spans="2:2" ht="12.5">
      <c r="B573" s="80"/>
    </row>
    <row r="574" spans="2:2" ht="12.5">
      <c r="B574" s="80"/>
    </row>
    <row r="575" spans="2:2" ht="12.5">
      <c r="B575" s="80"/>
    </row>
    <row r="576" spans="2:2" ht="12.5">
      <c r="B576" s="80"/>
    </row>
    <row r="577" spans="2:2" ht="12.5">
      <c r="B577" s="80"/>
    </row>
    <row r="578" spans="2:2" ht="12.5">
      <c r="B578" s="80"/>
    </row>
    <row r="579" spans="2:2" ht="12.5">
      <c r="B579" s="80"/>
    </row>
    <row r="580" spans="2:2" ht="12.5">
      <c r="B580" s="80"/>
    </row>
    <row r="581" spans="2:2" ht="12.5">
      <c r="B581" s="80"/>
    </row>
    <row r="582" spans="2:2" ht="12.5">
      <c r="B582" s="80"/>
    </row>
    <row r="583" spans="2:2" ht="12.5">
      <c r="B583" s="80"/>
    </row>
    <row r="584" spans="2:2" ht="12.5">
      <c r="B584" s="80"/>
    </row>
    <row r="585" spans="2:2" ht="12.5">
      <c r="B585" s="80"/>
    </row>
    <row r="586" spans="2:2" ht="12.5">
      <c r="B586" s="80"/>
    </row>
    <row r="587" spans="2:2" ht="12.5">
      <c r="B587" s="80"/>
    </row>
    <row r="588" spans="2:2" ht="12.5">
      <c r="B588" s="80"/>
    </row>
    <row r="589" spans="2:2" ht="12.5">
      <c r="B589" s="80"/>
    </row>
    <row r="590" spans="2:2" ht="12.5">
      <c r="B590" s="80"/>
    </row>
    <row r="591" spans="2:2" ht="12.5">
      <c r="B591" s="80"/>
    </row>
    <row r="592" spans="2:2" ht="12.5">
      <c r="B592" s="80"/>
    </row>
    <row r="593" spans="2:2" ht="12.5">
      <c r="B593" s="80"/>
    </row>
    <row r="594" spans="2:2" ht="12.5">
      <c r="B594" s="80"/>
    </row>
    <row r="595" spans="2:2" ht="12.5">
      <c r="B595" s="80"/>
    </row>
    <row r="596" spans="2:2" ht="12.5">
      <c r="B596" s="80"/>
    </row>
    <row r="597" spans="2:2" ht="12.5">
      <c r="B597" s="80"/>
    </row>
    <row r="598" spans="2:2" ht="12.5">
      <c r="B598" s="80"/>
    </row>
    <row r="599" spans="2:2" ht="12.5">
      <c r="B599" s="80"/>
    </row>
    <row r="600" spans="2:2" ht="12.5">
      <c r="B600" s="80"/>
    </row>
    <row r="601" spans="2:2" ht="12.5">
      <c r="B601" s="80"/>
    </row>
    <row r="602" spans="2:2" ht="12.5">
      <c r="B602" s="80"/>
    </row>
    <row r="603" spans="2:2" ht="12.5">
      <c r="B603" s="80"/>
    </row>
    <row r="604" spans="2:2" ht="12.5">
      <c r="B604" s="80"/>
    </row>
    <row r="605" spans="2:2" ht="12.5">
      <c r="B605" s="80"/>
    </row>
    <row r="606" spans="2:2" ht="12.5">
      <c r="B606" s="80"/>
    </row>
    <row r="607" spans="2:2" ht="12.5">
      <c r="B607" s="80"/>
    </row>
    <row r="608" spans="2:2" ht="12.5">
      <c r="B608" s="80"/>
    </row>
    <row r="609" spans="2:2" ht="12.5">
      <c r="B609" s="80"/>
    </row>
    <row r="610" spans="2:2" ht="12.5">
      <c r="B610" s="80"/>
    </row>
    <row r="611" spans="2:2" ht="12.5">
      <c r="B611" s="80"/>
    </row>
    <row r="612" spans="2:2" ht="12.5">
      <c r="B612" s="80"/>
    </row>
    <row r="613" spans="2:2" ht="12.5">
      <c r="B613" s="80"/>
    </row>
    <row r="614" spans="2:2" ht="12.5">
      <c r="B614" s="80"/>
    </row>
    <row r="615" spans="2:2" ht="12.5">
      <c r="B615" s="80"/>
    </row>
    <row r="616" spans="2:2" ht="12.5">
      <c r="B616" s="80"/>
    </row>
    <row r="617" spans="2:2" ht="12.5">
      <c r="B617" s="80"/>
    </row>
    <row r="618" spans="2:2" ht="12.5">
      <c r="B618" s="80"/>
    </row>
    <row r="619" spans="2:2" ht="12.5">
      <c r="B619" s="80"/>
    </row>
    <row r="620" spans="2:2" ht="12.5">
      <c r="B620" s="80"/>
    </row>
    <row r="621" spans="2:2" ht="12.5">
      <c r="B621" s="80"/>
    </row>
    <row r="622" spans="2:2" ht="12.5">
      <c r="B622" s="80"/>
    </row>
    <row r="623" spans="2:2" ht="12.5">
      <c r="B623" s="80"/>
    </row>
    <row r="624" spans="2:2" ht="12.5">
      <c r="B624" s="80"/>
    </row>
    <row r="625" spans="2:2" ht="12.5">
      <c r="B625" s="80"/>
    </row>
    <row r="626" spans="2:2" ht="12.5">
      <c r="B626" s="80"/>
    </row>
    <row r="627" spans="2:2" ht="12.5">
      <c r="B627" s="80"/>
    </row>
    <row r="628" spans="2:2" ht="12.5">
      <c r="B628" s="80"/>
    </row>
    <row r="629" spans="2:2" ht="12.5">
      <c r="B629" s="80"/>
    </row>
    <row r="630" spans="2:2" ht="12.5">
      <c r="B630" s="80"/>
    </row>
    <row r="631" spans="2:2" ht="12.5">
      <c r="B631" s="80"/>
    </row>
    <row r="632" spans="2:2" ht="12.5">
      <c r="B632" s="80"/>
    </row>
    <row r="633" spans="2:2" ht="12.5">
      <c r="B633" s="80"/>
    </row>
    <row r="634" spans="2:2" ht="12.5">
      <c r="B634" s="80"/>
    </row>
    <row r="635" spans="2:2" ht="12.5">
      <c r="B635" s="80"/>
    </row>
    <row r="636" spans="2:2" ht="12.5">
      <c r="B636" s="80"/>
    </row>
    <row r="637" spans="2:2" ht="12.5">
      <c r="B637" s="80"/>
    </row>
    <row r="638" spans="2:2" ht="12.5">
      <c r="B638" s="80"/>
    </row>
    <row r="639" spans="2:2" ht="12.5">
      <c r="B639" s="80"/>
    </row>
    <row r="640" spans="2:2" ht="12.5">
      <c r="B640" s="80"/>
    </row>
    <row r="641" spans="2:2" ht="12.5">
      <c r="B641" s="80"/>
    </row>
    <row r="642" spans="2:2" ht="12.5">
      <c r="B642" s="80"/>
    </row>
    <row r="643" spans="2:2" ht="12.5">
      <c r="B643" s="80"/>
    </row>
    <row r="644" spans="2:2" ht="12.5">
      <c r="B644" s="80"/>
    </row>
    <row r="645" spans="2:2" ht="12.5">
      <c r="B645" s="80"/>
    </row>
    <row r="646" spans="2:2" ht="12.5">
      <c r="B646" s="80"/>
    </row>
    <row r="647" spans="2:2" ht="12.5">
      <c r="B647" s="80"/>
    </row>
    <row r="648" spans="2:2" ht="12.5">
      <c r="B648" s="80"/>
    </row>
    <row r="649" spans="2:2" ht="12.5">
      <c r="B649" s="80"/>
    </row>
    <row r="650" spans="2:2" ht="12.5">
      <c r="B650" s="80"/>
    </row>
    <row r="651" spans="2:2" ht="12.5">
      <c r="B651" s="80"/>
    </row>
    <row r="652" spans="2:2" ht="12.5">
      <c r="B652" s="80"/>
    </row>
    <row r="653" spans="2:2" ht="12.5">
      <c r="B653" s="80"/>
    </row>
    <row r="654" spans="2:2" ht="12.5">
      <c r="B654" s="80"/>
    </row>
    <row r="655" spans="2:2" ht="12.5">
      <c r="B655" s="80"/>
    </row>
    <row r="656" spans="2:2" ht="12.5">
      <c r="B656" s="80"/>
    </row>
    <row r="657" spans="2:2" ht="12.5">
      <c r="B657" s="80"/>
    </row>
    <row r="658" spans="2:2" ht="12.5">
      <c r="B658" s="80"/>
    </row>
    <row r="659" spans="2:2" ht="12.5">
      <c r="B659" s="80"/>
    </row>
    <row r="660" spans="2:2" ht="12.5">
      <c r="B660" s="80"/>
    </row>
    <row r="661" spans="2:2" ht="12.5">
      <c r="B661" s="80"/>
    </row>
    <row r="662" spans="2:2" ht="12.5">
      <c r="B662" s="80"/>
    </row>
    <row r="663" spans="2:2" ht="12.5">
      <c r="B663" s="80"/>
    </row>
    <row r="664" spans="2:2" ht="12.5">
      <c r="B664" s="80"/>
    </row>
    <row r="665" spans="2:2" ht="12.5">
      <c r="B665" s="80"/>
    </row>
    <row r="666" spans="2:2" ht="12.5">
      <c r="B666" s="80"/>
    </row>
    <row r="667" spans="2:2" ht="12.5">
      <c r="B667" s="80"/>
    </row>
    <row r="668" spans="2:2" ht="12.5">
      <c r="B668" s="80"/>
    </row>
    <row r="669" spans="2:2" ht="12.5">
      <c r="B669" s="80"/>
    </row>
    <row r="670" spans="2:2" ht="12.5">
      <c r="B670" s="80"/>
    </row>
    <row r="671" spans="2:2" ht="12.5">
      <c r="B671" s="80"/>
    </row>
    <row r="672" spans="2:2" ht="12.5">
      <c r="B672" s="80"/>
    </row>
    <row r="673" spans="2:2" ht="12.5">
      <c r="B673" s="80"/>
    </row>
    <row r="674" spans="2:2" ht="12.5">
      <c r="B674" s="80"/>
    </row>
    <row r="675" spans="2:2" ht="12.5">
      <c r="B675" s="80"/>
    </row>
    <row r="676" spans="2:2" ht="12.5">
      <c r="B676" s="80"/>
    </row>
    <row r="677" spans="2:2" ht="12.5">
      <c r="B677" s="80"/>
    </row>
    <row r="678" spans="2:2" ht="12.5">
      <c r="B678" s="80"/>
    </row>
    <row r="679" spans="2:2" ht="12.5">
      <c r="B679" s="80"/>
    </row>
    <row r="680" spans="2:2" ht="12.5">
      <c r="B680" s="80"/>
    </row>
    <row r="681" spans="2:2" ht="12.5">
      <c r="B681" s="80"/>
    </row>
    <row r="682" spans="2:2" ht="12.5">
      <c r="B682" s="80"/>
    </row>
    <row r="683" spans="2:2" ht="12.5">
      <c r="B683" s="80"/>
    </row>
    <row r="684" spans="2:2" ht="12.5">
      <c r="B684" s="80"/>
    </row>
    <row r="685" spans="2:2" ht="12.5">
      <c r="B685" s="80"/>
    </row>
    <row r="686" spans="2:2" ht="12.5">
      <c r="B686" s="80"/>
    </row>
    <row r="687" spans="2:2" ht="12.5">
      <c r="B687" s="80"/>
    </row>
    <row r="688" spans="2:2" ht="12.5">
      <c r="B688" s="80"/>
    </row>
    <row r="689" spans="2:2" ht="12.5">
      <c r="B689" s="80"/>
    </row>
    <row r="690" spans="2:2" ht="12.5">
      <c r="B690" s="80"/>
    </row>
    <row r="691" spans="2:2" ht="12.5">
      <c r="B691" s="80"/>
    </row>
    <row r="692" spans="2:2" ht="12.5">
      <c r="B692" s="80"/>
    </row>
    <row r="693" spans="2:2" ht="12.5">
      <c r="B693" s="80"/>
    </row>
    <row r="694" spans="2:2" ht="12.5">
      <c r="B694" s="80"/>
    </row>
    <row r="695" spans="2:2" ht="12.5">
      <c r="B695" s="80"/>
    </row>
    <row r="696" spans="2:2" ht="12.5">
      <c r="B696" s="80"/>
    </row>
    <row r="697" spans="2:2" ht="12.5">
      <c r="B697" s="80"/>
    </row>
    <row r="698" spans="2:2" ht="12.5">
      <c r="B698" s="80"/>
    </row>
    <row r="699" spans="2:2" ht="12.5">
      <c r="B699" s="80"/>
    </row>
    <row r="700" spans="2:2" ht="12.5">
      <c r="B700" s="80"/>
    </row>
    <row r="701" spans="2:2" ht="12.5">
      <c r="B701" s="80"/>
    </row>
    <row r="702" spans="2:2" ht="12.5">
      <c r="B702" s="80"/>
    </row>
    <row r="703" spans="2:2" ht="12.5">
      <c r="B703" s="80"/>
    </row>
    <row r="704" spans="2:2" ht="12.5">
      <c r="B704" s="80"/>
    </row>
    <row r="705" spans="2:2" ht="12.5">
      <c r="B705" s="80"/>
    </row>
    <row r="706" spans="2:2" ht="12.5">
      <c r="B706" s="80"/>
    </row>
    <row r="707" spans="2:2" ht="12.5">
      <c r="B707" s="80"/>
    </row>
    <row r="708" spans="2:2" ht="12.5">
      <c r="B708" s="80"/>
    </row>
    <row r="709" spans="2:2" ht="12.5">
      <c r="B709" s="80"/>
    </row>
    <row r="710" spans="2:2" ht="12.5">
      <c r="B710" s="80"/>
    </row>
    <row r="711" spans="2:2" ht="12.5">
      <c r="B711" s="80"/>
    </row>
    <row r="712" spans="2:2" ht="12.5">
      <c r="B712" s="80"/>
    </row>
    <row r="713" spans="2:2" ht="12.5">
      <c r="B713" s="80"/>
    </row>
    <row r="714" spans="2:2" ht="12.5">
      <c r="B714" s="80"/>
    </row>
    <row r="715" spans="2:2" ht="12.5">
      <c r="B715" s="80"/>
    </row>
    <row r="716" spans="2:2" ht="12.5">
      <c r="B716" s="80"/>
    </row>
    <row r="717" spans="2:2" ht="12.5">
      <c r="B717" s="80"/>
    </row>
    <row r="718" spans="2:2" ht="12.5">
      <c r="B718" s="80"/>
    </row>
    <row r="719" spans="2:2" ht="12.5">
      <c r="B719" s="80"/>
    </row>
    <row r="720" spans="2:2" ht="12.5">
      <c r="B720" s="80"/>
    </row>
    <row r="721" spans="2:2" ht="12.5">
      <c r="B721" s="80"/>
    </row>
    <row r="722" spans="2:2" ht="12.5">
      <c r="B722" s="80"/>
    </row>
    <row r="723" spans="2:2" ht="12.5">
      <c r="B723" s="80"/>
    </row>
    <row r="724" spans="2:2" ht="12.5">
      <c r="B724" s="80"/>
    </row>
    <row r="725" spans="2:2" ht="12.5">
      <c r="B725" s="80"/>
    </row>
    <row r="726" spans="2:2" ht="12.5">
      <c r="B726" s="80"/>
    </row>
    <row r="727" spans="2:2" ht="12.5">
      <c r="B727" s="80"/>
    </row>
    <row r="728" spans="2:2" ht="12.5">
      <c r="B728" s="80"/>
    </row>
    <row r="729" spans="2:2" ht="12.5">
      <c r="B729" s="80"/>
    </row>
    <row r="730" spans="2:2" ht="12.5">
      <c r="B730" s="80"/>
    </row>
    <row r="731" spans="2:2" ht="12.5">
      <c r="B731" s="80"/>
    </row>
    <row r="732" spans="2:2" ht="12.5">
      <c r="B732" s="80"/>
    </row>
    <row r="733" spans="2:2" ht="12.5">
      <c r="B733" s="80"/>
    </row>
    <row r="734" spans="2:2" ht="12.5">
      <c r="B734" s="80"/>
    </row>
    <row r="735" spans="2:2" ht="12.5">
      <c r="B735" s="80"/>
    </row>
    <row r="736" spans="2:2" ht="12.5">
      <c r="B736" s="80"/>
    </row>
    <row r="737" spans="2:2" ht="12.5">
      <c r="B737" s="80"/>
    </row>
    <row r="738" spans="2:2" ht="12.5">
      <c r="B738" s="80"/>
    </row>
    <row r="739" spans="2:2" ht="12.5">
      <c r="B739" s="80"/>
    </row>
    <row r="740" spans="2:2" ht="12.5">
      <c r="B740" s="80"/>
    </row>
    <row r="741" spans="2:2" ht="12.5">
      <c r="B741" s="80"/>
    </row>
    <row r="742" spans="2:2" ht="12.5">
      <c r="B742" s="80"/>
    </row>
    <row r="743" spans="2:2" ht="12.5">
      <c r="B743" s="80"/>
    </row>
    <row r="744" spans="2:2" ht="12.5">
      <c r="B744" s="80"/>
    </row>
    <row r="745" spans="2:2" ht="12.5">
      <c r="B745" s="80"/>
    </row>
    <row r="746" spans="2:2" ht="12.5">
      <c r="B746" s="80"/>
    </row>
    <row r="747" spans="2:2" ht="12.5">
      <c r="B747" s="80"/>
    </row>
    <row r="748" spans="2:2" ht="12.5">
      <c r="B748" s="80"/>
    </row>
    <row r="749" spans="2:2" ht="12.5">
      <c r="B749" s="80"/>
    </row>
    <row r="750" spans="2:2" ht="12.5">
      <c r="B750" s="80"/>
    </row>
    <row r="751" spans="2:2" ht="12.5">
      <c r="B751" s="80"/>
    </row>
    <row r="752" spans="2:2" ht="12.5">
      <c r="B752" s="80"/>
    </row>
    <row r="753" spans="2:2" ht="12.5">
      <c r="B753" s="80"/>
    </row>
    <row r="754" spans="2:2" ht="12.5">
      <c r="B754" s="80"/>
    </row>
    <row r="755" spans="2:2" ht="12.5">
      <c r="B755" s="80"/>
    </row>
    <row r="756" spans="2:2" ht="12.5">
      <c r="B756" s="80"/>
    </row>
    <row r="757" spans="2:2" ht="12.5">
      <c r="B757" s="80"/>
    </row>
    <row r="758" spans="2:2" ht="12.5">
      <c r="B758" s="80"/>
    </row>
    <row r="759" spans="2:2" ht="12.5">
      <c r="B759" s="80"/>
    </row>
    <row r="760" spans="2:2" ht="12.5">
      <c r="B760" s="80"/>
    </row>
    <row r="761" spans="2:2" ht="12.5">
      <c r="B761" s="80"/>
    </row>
    <row r="762" spans="2:2" ht="12.5">
      <c r="B762" s="80"/>
    </row>
    <row r="763" spans="2:2" ht="12.5">
      <c r="B763" s="80"/>
    </row>
    <row r="764" spans="2:2" ht="12.5">
      <c r="B764" s="80"/>
    </row>
    <row r="765" spans="2:2" ht="12.5">
      <c r="B765" s="80"/>
    </row>
    <row r="766" spans="2:2" ht="12.5">
      <c r="B766" s="80"/>
    </row>
    <row r="767" spans="2:2" ht="12.5">
      <c r="B767" s="80"/>
    </row>
    <row r="768" spans="2:2" ht="12.5">
      <c r="B768" s="80"/>
    </row>
    <row r="769" spans="2:2" ht="12.5">
      <c r="B769" s="80"/>
    </row>
    <row r="770" spans="2:2" ht="12.5">
      <c r="B770" s="80"/>
    </row>
    <row r="771" spans="2:2" ht="12.5">
      <c r="B771" s="80"/>
    </row>
    <row r="772" spans="2:2" ht="12.5">
      <c r="B772" s="80"/>
    </row>
    <row r="773" spans="2:2" ht="12.5">
      <c r="B773" s="80"/>
    </row>
    <row r="774" spans="2:2" ht="12.5">
      <c r="B774" s="80"/>
    </row>
    <row r="775" spans="2:2" ht="12.5">
      <c r="B775" s="80"/>
    </row>
    <row r="776" spans="2:2" ht="12.5">
      <c r="B776" s="80"/>
    </row>
    <row r="777" spans="2:2" ht="12.5">
      <c r="B777" s="80"/>
    </row>
    <row r="778" spans="2:2" ht="12.5">
      <c r="B778" s="80"/>
    </row>
    <row r="779" spans="2:2" ht="12.5">
      <c r="B779" s="80"/>
    </row>
    <row r="780" spans="2:2" ht="12.5">
      <c r="B780" s="80"/>
    </row>
    <row r="781" spans="2:2" ht="12.5">
      <c r="B781" s="80"/>
    </row>
    <row r="782" spans="2:2" ht="12.5">
      <c r="B782" s="80"/>
    </row>
    <row r="783" spans="2:2" ht="12.5">
      <c r="B783" s="80"/>
    </row>
    <row r="784" spans="2:2" ht="12.5">
      <c r="B784" s="80"/>
    </row>
    <row r="785" spans="2:2" ht="12.5">
      <c r="B785" s="80"/>
    </row>
    <row r="786" spans="2:2" ht="12.5">
      <c r="B786" s="80"/>
    </row>
    <row r="787" spans="2:2" ht="12.5">
      <c r="B787" s="80"/>
    </row>
    <row r="788" spans="2:2" ht="12.5">
      <c r="B788" s="80"/>
    </row>
    <row r="789" spans="2:2" ht="12.5">
      <c r="B789" s="80"/>
    </row>
    <row r="790" spans="2:2" ht="12.5">
      <c r="B790" s="80"/>
    </row>
    <row r="791" spans="2:2" ht="12.5">
      <c r="B791" s="80"/>
    </row>
    <row r="792" spans="2:2" ht="12.5">
      <c r="B792" s="80"/>
    </row>
    <row r="793" spans="2:2" ht="12.5">
      <c r="B793" s="80"/>
    </row>
    <row r="794" spans="2:2" ht="12.5">
      <c r="B794" s="80"/>
    </row>
    <row r="795" spans="2:2" ht="12.5">
      <c r="B795" s="80"/>
    </row>
    <row r="796" spans="2:2" ht="12.5">
      <c r="B796" s="80"/>
    </row>
    <row r="797" spans="2:2" ht="12.5">
      <c r="B797" s="80"/>
    </row>
    <row r="798" spans="2:2" ht="12.5">
      <c r="B798" s="80"/>
    </row>
    <row r="799" spans="2:2" ht="12.5">
      <c r="B799" s="80"/>
    </row>
    <row r="800" spans="2:2" ht="12.5">
      <c r="B800" s="80"/>
    </row>
    <row r="801" spans="2:2" ht="12.5">
      <c r="B801" s="80"/>
    </row>
    <row r="802" spans="2:2" ht="12.5">
      <c r="B802" s="80"/>
    </row>
    <row r="803" spans="2:2" ht="12.5">
      <c r="B803" s="80"/>
    </row>
    <row r="804" spans="2:2" ht="12.5">
      <c r="B804" s="80"/>
    </row>
    <row r="805" spans="2:2" ht="12.5">
      <c r="B805" s="80"/>
    </row>
    <row r="806" spans="2:2" ht="12.5">
      <c r="B806" s="80"/>
    </row>
    <row r="807" spans="2:2" ht="12.5">
      <c r="B807" s="80"/>
    </row>
    <row r="808" spans="2:2" ht="12.5">
      <c r="B808" s="80"/>
    </row>
    <row r="809" spans="2:2" ht="12.5">
      <c r="B809" s="80"/>
    </row>
    <row r="810" spans="2:2" ht="12.5">
      <c r="B810" s="80"/>
    </row>
    <row r="811" spans="2:2" ht="12.5">
      <c r="B811" s="80"/>
    </row>
    <row r="812" spans="2:2" ht="12.5">
      <c r="B812" s="80"/>
    </row>
    <row r="813" spans="2:2" ht="12.5">
      <c r="B813" s="80"/>
    </row>
    <row r="814" spans="2:2" ht="12.5">
      <c r="B814" s="80"/>
    </row>
    <row r="815" spans="2:2" ht="12.5">
      <c r="B815" s="80"/>
    </row>
    <row r="816" spans="2:2" ht="12.5">
      <c r="B816" s="80"/>
    </row>
    <row r="817" spans="2:2" ht="12.5">
      <c r="B817" s="80"/>
    </row>
    <row r="818" spans="2:2" ht="12.5">
      <c r="B818" s="80"/>
    </row>
    <row r="819" spans="2:2" ht="12.5">
      <c r="B819" s="80"/>
    </row>
    <row r="820" spans="2:2" ht="12.5">
      <c r="B820" s="80"/>
    </row>
    <row r="821" spans="2:2" ht="12.5">
      <c r="B821" s="80"/>
    </row>
    <row r="822" spans="2:2" ht="12.5">
      <c r="B822" s="80"/>
    </row>
    <row r="823" spans="2:2" ht="12.5">
      <c r="B823" s="80"/>
    </row>
    <row r="824" spans="2:2" ht="12.5">
      <c r="B824" s="80"/>
    </row>
    <row r="825" spans="2:2" ht="12.5">
      <c r="B825" s="80"/>
    </row>
    <row r="826" spans="2:2" ht="12.5">
      <c r="B826" s="80"/>
    </row>
    <row r="827" spans="2:2" ht="12.5">
      <c r="B827" s="80"/>
    </row>
    <row r="828" spans="2:2" ht="12.5">
      <c r="B828" s="80"/>
    </row>
    <row r="829" spans="2:2" ht="12.5">
      <c r="B829" s="80"/>
    </row>
    <row r="830" spans="2:2" ht="12.5">
      <c r="B830" s="80"/>
    </row>
    <row r="831" spans="2:2" ht="12.5">
      <c r="B831" s="80"/>
    </row>
    <row r="832" spans="2:2" ht="12.5">
      <c r="B832" s="80"/>
    </row>
    <row r="833" spans="2:2" ht="12.5">
      <c r="B833" s="80"/>
    </row>
    <row r="834" spans="2:2" ht="12.5">
      <c r="B834" s="80"/>
    </row>
    <row r="835" spans="2:2" ht="12.5">
      <c r="B835" s="80"/>
    </row>
    <row r="836" spans="2:2" ht="12.5">
      <c r="B836" s="80"/>
    </row>
    <row r="837" spans="2:2" ht="12.5">
      <c r="B837" s="80"/>
    </row>
    <row r="838" spans="2:2" ht="12.5">
      <c r="B838" s="80"/>
    </row>
    <row r="839" spans="2:2" ht="12.5">
      <c r="B839" s="80"/>
    </row>
    <row r="840" spans="2:2" ht="12.5">
      <c r="B840" s="80"/>
    </row>
    <row r="841" spans="2:2" ht="12.5">
      <c r="B841" s="80"/>
    </row>
    <row r="842" spans="2:2" ht="12.5">
      <c r="B842" s="80"/>
    </row>
    <row r="843" spans="2:2" ht="12.5">
      <c r="B843" s="80"/>
    </row>
    <row r="844" spans="2:2" ht="12.5">
      <c r="B844" s="80"/>
    </row>
    <row r="845" spans="2:2" ht="12.5">
      <c r="B845" s="80"/>
    </row>
    <row r="846" spans="2:2" ht="12.5">
      <c r="B846" s="80"/>
    </row>
    <row r="847" spans="2:2" ht="12.5">
      <c r="B847" s="80"/>
    </row>
    <row r="848" spans="2:2" ht="12.5">
      <c r="B848" s="80"/>
    </row>
    <row r="849" spans="2:2" ht="12.5">
      <c r="B849" s="80"/>
    </row>
    <row r="850" spans="2:2" ht="12.5">
      <c r="B850" s="80"/>
    </row>
    <row r="851" spans="2:2" ht="12.5">
      <c r="B851" s="80"/>
    </row>
    <row r="852" spans="2:2" ht="12.5">
      <c r="B852" s="80"/>
    </row>
    <row r="853" spans="2:2" ht="12.5">
      <c r="B853" s="80"/>
    </row>
    <row r="854" spans="2:2" ht="12.5">
      <c r="B854" s="80"/>
    </row>
    <row r="855" spans="2:2" ht="12.5">
      <c r="B855" s="80"/>
    </row>
    <row r="856" spans="2:2" ht="12.5">
      <c r="B856" s="80"/>
    </row>
    <row r="857" spans="2:2" ht="12.5">
      <c r="B857" s="80"/>
    </row>
    <row r="858" spans="2:2" ht="12.5">
      <c r="B858" s="80"/>
    </row>
    <row r="859" spans="2:2" ht="12.5">
      <c r="B859" s="80"/>
    </row>
    <row r="860" spans="2:2" ht="12.5">
      <c r="B860" s="80"/>
    </row>
    <row r="861" spans="2:2" ht="12.5">
      <c r="B861" s="80"/>
    </row>
    <row r="862" spans="2:2" ht="12.5">
      <c r="B862" s="80"/>
    </row>
    <row r="863" spans="2:2" ht="12.5">
      <c r="B863" s="80"/>
    </row>
    <row r="864" spans="2:2" ht="12.5">
      <c r="B864" s="80"/>
    </row>
    <row r="865" spans="2:2" ht="12.5">
      <c r="B865" s="80"/>
    </row>
    <row r="866" spans="2:2" ht="12.5">
      <c r="B866" s="80"/>
    </row>
    <row r="867" spans="2:2" ht="12.5">
      <c r="B867" s="80"/>
    </row>
    <row r="868" spans="2:2" ht="12.5">
      <c r="B868" s="80"/>
    </row>
    <row r="869" spans="2:2" ht="12.5">
      <c r="B869" s="80"/>
    </row>
    <row r="870" spans="2:2" ht="12.5">
      <c r="B870" s="80"/>
    </row>
    <row r="871" spans="2:2" ht="12.5">
      <c r="B871" s="80"/>
    </row>
    <row r="872" spans="2:2" ht="12.5">
      <c r="B872" s="80"/>
    </row>
    <row r="873" spans="2:2" ht="12.5">
      <c r="B873" s="80"/>
    </row>
    <row r="874" spans="2:2" ht="12.5">
      <c r="B874" s="80"/>
    </row>
    <row r="875" spans="2:2" ht="12.5">
      <c r="B875" s="80"/>
    </row>
    <row r="876" spans="2:2" ht="12.5">
      <c r="B876" s="80"/>
    </row>
    <row r="877" spans="2:2" ht="12.5">
      <c r="B877" s="80"/>
    </row>
    <row r="878" spans="2:2" ht="12.5">
      <c r="B878" s="80"/>
    </row>
    <row r="879" spans="2:2" ht="12.5">
      <c r="B879" s="80"/>
    </row>
    <row r="880" spans="2:2" ht="12.5">
      <c r="B880" s="80"/>
    </row>
    <row r="881" spans="2:2" ht="12.5">
      <c r="B881" s="80"/>
    </row>
    <row r="882" spans="2:2" ht="12.5">
      <c r="B882" s="80"/>
    </row>
    <row r="883" spans="2:2" ht="12.5">
      <c r="B883" s="80"/>
    </row>
    <row r="884" spans="2:2" ht="12.5">
      <c r="B884" s="80"/>
    </row>
    <row r="885" spans="2:2" ht="12.5">
      <c r="B885" s="80"/>
    </row>
    <row r="886" spans="2:2" ht="12.5">
      <c r="B886" s="80"/>
    </row>
    <row r="887" spans="2:2" ht="12.5">
      <c r="B887" s="80"/>
    </row>
    <row r="888" spans="2:2" ht="12.5">
      <c r="B888" s="80"/>
    </row>
    <row r="889" spans="2:2" ht="12.5">
      <c r="B889" s="80"/>
    </row>
    <row r="890" spans="2:2" ht="12.5">
      <c r="B890" s="80"/>
    </row>
    <row r="891" spans="2:2" ht="12.5">
      <c r="B891" s="80"/>
    </row>
    <row r="892" spans="2:2" ht="12.5">
      <c r="B892" s="80"/>
    </row>
    <row r="893" spans="2:2" ht="12.5">
      <c r="B893" s="80"/>
    </row>
    <row r="894" spans="2:2" ht="12.5">
      <c r="B894" s="80"/>
    </row>
    <row r="895" spans="2:2" ht="12.5">
      <c r="B895" s="80"/>
    </row>
    <row r="896" spans="2:2" ht="12.5">
      <c r="B896" s="80"/>
    </row>
    <row r="897" spans="2:2" ht="12.5">
      <c r="B897" s="80"/>
    </row>
    <row r="898" spans="2:2" ht="12.5">
      <c r="B898" s="80"/>
    </row>
    <row r="899" spans="2:2" ht="12.5">
      <c r="B899" s="80"/>
    </row>
    <row r="900" spans="2:2" ht="12.5">
      <c r="B900" s="80"/>
    </row>
    <row r="901" spans="2:2" ht="12.5">
      <c r="B901" s="80"/>
    </row>
    <row r="902" spans="2:2" ht="12.5">
      <c r="B902" s="80"/>
    </row>
    <row r="903" spans="2:2" ht="12.5">
      <c r="B903" s="80"/>
    </row>
    <row r="904" spans="2:2" ht="12.5">
      <c r="B904" s="80"/>
    </row>
    <row r="905" spans="2:2" ht="12.5">
      <c r="B905" s="80"/>
    </row>
    <row r="906" spans="2:2" ht="12.5">
      <c r="B906" s="80"/>
    </row>
    <row r="907" spans="2:2" ht="12.5">
      <c r="B907" s="80"/>
    </row>
    <row r="908" spans="2:2" ht="12.5">
      <c r="B908" s="80"/>
    </row>
    <row r="909" spans="2:2" ht="12.5">
      <c r="B909" s="80"/>
    </row>
    <row r="910" spans="2:2" ht="12.5">
      <c r="B910" s="80"/>
    </row>
    <row r="911" spans="2:2" ht="12.5">
      <c r="B911" s="80"/>
    </row>
    <row r="912" spans="2:2" ht="12.5">
      <c r="B912" s="80"/>
    </row>
    <row r="913" spans="2:2" ht="12.5">
      <c r="B913" s="80"/>
    </row>
    <row r="914" spans="2:2" ht="12.5">
      <c r="B914" s="80"/>
    </row>
    <row r="915" spans="2:2" ht="12.5">
      <c r="B915" s="80"/>
    </row>
    <row r="916" spans="2:2" ht="12.5">
      <c r="B916" s="80"/>
    </row>
    <row r="917" spans="2:2" ht="12.5">
      <c r="B917" s="80"/>
    </row>
    <row r="918" spans="2:2" ht="12.5">
      <c r="B918" s="80"/>
    </row>
    <row r="919" spans="2:2" ht="12.5">
      <c r="B919" s="80"/>
    </row>
    <row r="920" spans="2:2" ht="12.5">
      <c r="B920" s="80"/>
    </row>
    <row r="921" spans="2:2" ht="12.5">
      <c r="B921" s="80"/>
    </row>
    <row r="922" spans="2:2" ht="12.5">
      <c r="B922" s="80"/>
    </row>
    <row r="923" spans="2:2" ht="12.5">
      <c r="B923" s="80"/>
    </row>
    <row r="924" spans="2:2" ht="12.5">
      <c r="B924" s="80"/>
    </row>
    <row r="925" spans="2:2" ht="12.5">
      <c r="B925" s="80"/>
    </row>
    <row r="926" spans="2:2" ht="12.5">
      <c r="B926" s="80"/>
    </row>
    <row r="927" spans="2:2" ht="12.5">
      <c r="B927" s="80"/>
    </row>
    <row r="928" spans="2:2" ht="12.5">
      <c r="B928" s="80"/>
    </row>
    <row r="929" spans="2:2" ht="12.5">
      <c r="B929" s="80"/>
    </row>
    <row r="930" spans="2:2" ht="12.5">
      <c r="B930" s="80"/>
    </row>
    <row r="931" spans="2:2" ht="12.5">
      <c r="B931" s="80"/>
    </row>
    <row r="932" spans="2:2" ht="12.5">
      <c r="B932" s="80"/>
    </row>
    <row r="933" spans="2:2" ht="12.5">
      <c r="B933" s="80"/>
    </row>
    <row r="934" spans="2:2" ht="12.5">
      <c r="B934" s="80"/>
    </row>
    <row r="935" spans="2:2" ht="12.5">
      <c r="B935" s="80"/>
    </row>
    <row r="936" spans="2:2" ht="12.5">
      <c r="B936" s="80"/>
    </row>
    <row r="937" spans="2:2" ht="12.5">
      <c r="B937" s="80"/>
    </row>
    <row r="938" spans="2:2" ht="12.5">
      <c r="B938" s="80"/>
    </row>
    <row r="939" spans="2:2" ht="12.5">
      <c r="B939" s="80"/>
    </row>
    <row r="940" spans="2:2" ht="12.5">
      <c r="B940" s="80"/>
    </row>
    <row r="941" spans="2:2" ht="12.5">
      <c r="B941" s="80"/>
    </row>
    <row r="942" spans="2:2" ht="12.5">
      <c r="B942" s="80"/>
    </row>
    <row r="943" spans="2:2" ht="12.5">
      <c r="B943" s="80"/>
    </row>
    <row r="944" spans="2:2" ht="12.5">
      <c r="B944" s="80"/>
    </row>
    <row r="945" spans="2:2" ht="12.5">
      <c r="B945" s="80"/>
    </row>
    <row r="946" spans="2:2" ht="12.5">
      <c r="B946" s="80"/>
    </row>
    <row r="947" spans="2:2" ht="12.5">
      <c r="B947" s="80"/>
    </row>
    <row r="948" spans="2:2" ht="12.5">
      <c r="B948" s="80"/>
    </row>
    <row r="949" spans="2:2" ht="12.5">
      <c r="B949" s="80"/>
    </row>
    <row r="950" spans="2:2" ht="12.5">
      <c r="B950" s="80"/>
    </row>
    <row r="951" spans="2:2" ht="12.5">
      <c r="B951" s="80"/>
    </row>
    <row r="952" spans="2:2" ht="12.5">
      <c r="B952" s="80"/>
    </row>
    <row r="953" spans="2:2" ht="12.5">
      <c r="B953" s="80"/>
    </row>
    <row r="954" spans="2:2" ht="12.5">
      <c r="B954" s="80"/>
    </row>
    <row r="955" spans="2:2" ht="12.5">
      <c r="B955" s="80"/>
    </row>
    <row r="956" spans="2:2" ht="12.5">
      <c r="B956" s="80"/>
    </row>
    <row r="957" spans="2:2" ht="12.5">
      <c r="B957" s="80"/>
    </row>
    <row r="958" spans="2:2" ht="12.5">
      <c r="B958" s="80"/>
    </row>
    <row r="959" spans="2:2" ht="12.5">
      <c r="B959" s="80"/>
    </row>
    <row r="960" spans="2:2" ht="12.5">
      <c r="B960" s="80"/>
    </row>
    <row r="961" spans="2:2" ht="12.5">
      <c r="B961" s="80"/>
    </row>
    <row r="962" spans="2:2" ht="12.5">
      <c r="B962" s="80"/>
    </row>
    <row r="963" spans="2:2" ht="12.5">
      <c r="B963" s="80"/>
    </row>
    <row r="964" spans="2:2" ht="12.5">
      <c r="B964" s="80"/>
    </row>
    <row r="965" spans="2:2" ht="12.5">
      <c r="B965" s="80"/>
    </row>
    <row r="966" spans="2:2" ht="12.5">
      <c r="B966" s="80"/>
    </row>
    <row r="967" spans="2:2" ht="12.5">
      <c r="B967" s="80"/>
    </row>
    <row r="968" spans="2:2" ht="12.5">
      <c r="B968" s="80"/>
    </row>
    <row r="969" spans="2:2" ht="12.5">
      <c r="B969" s="80"/>
    </row>
    <row r="970" spans="2:2" ht="12.5">
      <c r="B970" s="80"/>
    </row>
    <row r="971" spans="2:2" ht="12.5">
      <c r="B971" s="80"/>
    </row>
    <row r="972" spans="2:2" ht="12.5">
      <c r="B972" s="80"/>
    </row>
    <row r="973" spans="2:2" ht="12.5">
      <c r="B973" s="80"/>
    </row>
    <row r="974" spans="2:2" ht="12.5">
      <c r="B974" s="80"/>
    </row>
    <row r="975" spans="2:2" ht="12.5">
      <c r="B975" s="80"/>
    </row>
    <row r="976" spans="2:2" ht="12.5">
      <c r="B976" s="80"/>
    </row>
    <row r="977" spans="2:2" ht="12.5">
      <c r="B977" s="80"/>
    </row>
    <row r="978" spans="2:2" ht="12.5">
      <c r="B978" s="80"/>
    </row>
    <row r="979" spans="2:2" ht="12.5">
      <c r="B979" s="80"/>
    </row>
    <row r="980" spans="2:2" ht="12.5">
      <c r="B980" s="80"/>
    </row>
    <row r="981" spans="2:2" ht="12.5">
      <c r="B981" s="80"/>
    </row>
    <row r="982" spans="2:2" ht="12.5">
      <c r="B982" s="80"/>
    </row>
    <row r="983" spans="2:2" ht="12.5">
      <c r="B983" s="80"/>
    </row>
    <row r="984" spans="2:2" ht="12.5">
      <c r="B984" s="80"/>
    </row>
    <row r="985" spans="2:2" ht="12.5">
      <c r="B985" s="80"/>
    </row>
    <row r="986" spans="2:2" ht="12.5">
      <c r="B986" s="80"/>
    </row>
    <row r="987" spans="2:2" ht="12.5">
      <c r="B987" s="80"/>
    </row>
    <row r="988" spans="2:2" ht="12.5">
      <c r="B988" s="80"/>
    </row>
    <row r="989" spans="2:2" ht="12.5">
      <c r="B989" s="80"/>
    </row>
    <row r="990" spans="2:2" ht="12.5">
      <c r="B990" s="80"/>
    </row>
    <row r="991" spans="2:2" ht="12.5">
      <c r="B991" s="80"/>
    </row>
    <row r="992" spans="2:2" ht="12.5">
      <c r="B992" s="80"/>
    </row>
    <row r="993" spans="2:2" ht="12.5">
      <c r="B993" s="80"/>
    </row>
    <row r="994" spans="2:2" ht="12.5">
      <c r="B994" s="80"/>
    </row>
    <row r="995" spans="2:2" ht="12.5">
      <c r="B995" s="80"/>
    </row>
    <row r="996" spans="2:2" ht="12.5">
      <c r="B996" s="80"/>
    </row>
    <row r="997" spans="2:2" ht="12.5">
      <c r="B997" s="80"/>
    </row>
    <row r="998" spans="2:2" ht="12.5">
      <c r="B998" s="80"/>
    </row>
    <row r="999" spans="2:2" ht="12.5">
      <c r="B999" s="80"/>
    </row>
    <row r="1000" spans="2:2" ht="12.5">
      <c r="B1000" s="80"/>
    </row>
    <row r="1001" spans="2:2" ht="12.5">
      <c r="B1001" s="8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T2001"/>
  <sheetViews>
    <sheetView workbookViewId="0">
      <pane ySplit="1" topLeftCell="A2" activePane="bottomLeft" state="frozen"/>
      <selection pane="bottomLeft" activeCell="B3" sqref="B3"/>
    </sheetView>
  </sheetViews>
  <sheetFormatPr defaultColWidth="12.6328125" defaultRowHeight="15.75" customHeight="1"/>
  <sheetData>
    <row r="1" spans="1:20" ht="15.75" customHeight="1">
      <c r="A1" s="84" t="s">
        <v>13564</v>
      </c>
      <c r="B1" s="84" t="s">
        <v>13565</v>
      </c>
      <c r="C1" s="84" t="s">
        <v>13566</v>
      </c>
      <c r="D1" s="84" t="s">
        <v>13567</v>
      </c>
      <c r="E1" s="84" t="s">
        <v>13568</v>
      </c>
      <c r="F1" s="84" t="s">
        <v>13569</v>
      </c>
      <c r="G1" s="84" t="s">
        <v>13570</v>
      </c>
      <c r="H1" s="84"/>
      <c r="I1" s="84"/>
      <c r="J1" s="84"/>
      <c r="K1" s="84"/>
      <c r="L1" s="84"/>
      <c r="M1" s="84"/>
      <c r="N1" s="84"/>
      <c r="O1" s="84"/>
      <c r="P1" s="84"/>
      <c r="Q1" s="84"/>
      <c r="R1" s="84"/>
      <c r="S1" s="84"/>
      <c r="T1" s="84"/>
    </row>
    <row r="2" spans="1:20" ht="15.75" customHeight="1">
      <c r="A2" s="85" t="s">
        <v>13571</v>
      </c>
      <c r="B2" s="86">
        <v>27</v>
      </c>
      <c r="C2" s="86">
        <v>3</v>
      </c>
      <c r="D2" s="86">
        <v>5</v>
      </c>
      <c r="E2" s="86">
        <v>33</v>
      </c>
      <c r="F2" s="85">
        <v>0</v>
      </c>
      <c r="G2" s="13">
        <v>44978</v>
      </c>
      <c r="H2" s="85"/>
      <c r="I2" s="85"/>
      <c r="J2" s="85"/>
      <c r="K2" s="85"/>
      <c r="L2" s="85"/>
      <c r="M2" s="85"/>
      <c r="N2" s="85"/>
      <c r="O2" s="85"/>
      <c r="P2" s="85"/>
      <c r="Q2" s="85"/>
      <c r="R2" s="85"/>
      <c r="S2" s="85"/>
      <c r="T2" s="85"/>
    </row>
    <row r="3" spans="1:20" ht="15.75" customHeight="1">
      <c r="A3" s="85" t="s">
        <v>13572</v>
      </c>
      <c r="B3" s="86">
        <v>59</v>
      </c>
      <c r="C3" s="86">
        <v>11</v>
      </c>
      <c r="D3" s="86">
        <v>34</v>
      </c>
      <c r="E3" s="86">
        <v>41</v>
      </c>
      <c r="F3" s="85">
        <v>0</v>
      </c>
      <c r="G3" s="13">
        <v>44978</v>
      </c>
      <c r="H3" s="85"/>
      <c r="I3" s="85"/>
      <c r="J3" s="85"/>
      <c r="K3" s="85"/>
      <c r="L3" s="85"/>
      <c r="M3" s="85"/>
      <c r="N3" s="85"/>
      <c r="O3" s="85"/>
      <c r="P3" s="85"/>
      <c r="Q3" s="85"/>
      <c r="R3" s="85"/>
      <c r="S3" s="85"/>
      <c r="T3" s="85"/>
    </row>
    <row r="4" spans="1:20" ht="15.75" customHeight="1">
      <c r="A4" s="85" t="s">
        <v>13573</v>
      </c>
      <c r="B4" s="86">
        <v>48</v>
      </c>
      <c r="C4" s="86">
        <v>16</v>
      </c>
      <c r="D4" s="86">
        <v>200</v>
      </c>
      <c r="E4" s="86">
        <v>36</v>
      </c>
      <c r="F4" s="85">
        <v>0</v>
      </c>
      <c r="G4" s="13">
        <v>44978</v>
      </c>
      <c r="H4" s="85"/>
      <c r="I4" s="85"/>
      <c r="J4" s="85"/>
      <c r="K4" s="85"/>
      <c r="L4" s="85"/>
      <c r="M4" s="85"/>
      <c r="N4" s="85"/>
      <c r="O4" s="85"/>
      <c r="P4" s="85"/>
      <c r="Q4" s="85"/>
      <c r="R4" s="85"/>
      <c r="S4" s="85"/>
      <c r="T4" s="85"/>
    </row>
    <row r="5" spans="1:20" ht="15.75" customHeight="1">
      <c r="A5" s="85" t="s">
        <v>13574</v>
      </c>
      <c r="B5" s="86">
        <v>53</v>
      </c>
      <c r="C5" s="86">
        <v>73</v>
      </c>
      <c r="D5" s="86">
        <v>17</v>
      </c>
      <c r="E5" s="86">
        <v>17</v>
      </c>
      <c r="F5" s="85">
        <v>0</v>
      </c>
      <c r="G5" s="13">
        <v>44978</v>
      </c>
      <c r="H5" s="85"/>
      <c r="I5" s="85"/>
      <c r="J5" s="85"/>
      <c r="K5" s="85"/>
      <c r="L5" s="85"/>
      <c r="M5" s="85"/>
      <c r="N5" s="85"/>
      <c r="O5" s="85"/>
      <c r="P5" s="85"/>
      <c r="Q5" s="85"/>
      <c r="R5" s="85"/>
      <c r="S5" s="85"/>
      <c r="T5" s="85"/>
    </row>
    <row r="6" spans="1:20" ht="15.75" customHeight="1">
      <c r="A6" s="85" t="s">
        <v>13575</v>
      </c>
      <c r="B6" s="86">
        <v>19</v>
      </c>
      <c r="C6" s="86">
        <v>17</v>
      </c>
      <c r="D6" s="86">
        <v>10</v>
      </c>
      <c r="E6" s="85">
        <v>0</v>
      </c>
      <c r="F6" s="85">
        <v>0</v>
      </c>
      <c r="G6" s="13">
        <v>44978</v>
      </c>
      <c r="H6" s="85"/>
      <c r="I6" s="85"/>
      <c r="J6" s="85"/>
      <c r="K6" s="85"/>
      <c r="L6" s="85"/>
      <c r="M6" s="85"/>
      <c r="N6" s="85"/>
      <c r="O6" s="85"/>
      <c r="P6" s="85"/>
      <c r="Q6" s="85"/>
      <c r="R6" s="85"/>
      <c r="S6" s="85"/>
      <c r="T6" s="85"/>
    </row>
    <row r="7" spans="1:20" ht="15.75" customHeight="1">
      <c r="A7" s="85" t="s">
        <v>13576</v>
      </c>
      <c r="B7" s="86">
        <v>42</v>
      </c>
      <c r="C7" s="86">
        <v>78</v>
      </c>
      <c r="D7" s="86">
        <v>2</v>
      </c>
      <c r="E7" s="85">
        <v>0</v>
      </c>
      <c r="F7" s="85">
        <v>0</v>
      </c>
      <c r="G7" s="13">
        <v>44978</v>
      </c>
      <c r="H7" s="85"/>
      <c r="I7" s="85"/>
      <c r="J7" s="85"/>
      <c r="K7" s="85"/>
      <c r="L7" s="85"/>
      <c r="M7" s="85"/>
      <c r="N7" s="85"/>
      <c r="O7" s="85"/>
      <c r="P7" s="85"/>
      <c r="Q7" s="85"/>
      <c r="R7" s="85"/>
      <c r="S7" s="85"/>
      <c r="T7" s="85"/>
    </row>
    <row r="8" spans="1:20" ht="15.75" customHeight="1">
      <c r="A8" s="85" t="s">
        <v>13577</v>
      </c>
      <c r="B8" s="86">
        <v>15</v>
      </c>
      <c r="C8" s="86">
        <v>21</v>
      </c>
      <c r="D8" s="86">
        <v>3</v>
      </c>
      <c r="E8" s="86">
        <v>5</v>
      </c>
      <c r="F8" s="85">
        <v>0</v>
      </c>
      <c r="G8" s="13">
        <v>44978</v>
      </c>
      <c r="H8" s="85"/>
      <c r="I8" s="85"/>
      <c r="J8" s="85"/>
      <c r="K8" s="85"/>
      <c r="L8" s="85"/>
      <c r="M8" s="85"/>
      <c r="N8" s="85"/>
      <c r="O8" s="85"/>
      <c r="P8" s="85"/>
      <c r="Q8" s="85"/>
      <c r="R8" s="85"/>
      <c r="S8" s="85"/>
      <c r="T8" s="85"/>
    </row>
    <row r="9" spans="1:20" ht="15.75" customHeight="1">
      <c r="A9" s="85" t="s">
        <v>13578</v>
      </c>
      <c r="B9" s="86">
        <v>32</v>
      </c>
      <c r="C9" s="86">
        <v>5</v>
      </c>
      <c r="D9" s="86">
        <v>11</v>
      </c>
      <c r="E9" s="85">
        <v>0</v>
      </c>
      <c r="F9" s="86">
        <v>1</v>
      </c>
      <c r="G9" s="13">
        <v>44978</v>
      </c>
      <c r="H9" s="85"/>
      <c r="I9" s="85"/>
      <c r="J9" s="85"/>
      <c r="K9" s="85"/>
      <c r="L9" s="85"/>
      <c r="M9" s="85"/>
      <c r="N9" s="85"/>
      <c r="O9" s="85"/>
      <c r="P9" s="85"/>
      <c r="Q9" s="85"/>
      <c r="R9" s="85"/>
      <c r="S9" s="85"/>
      <c r="T9" s="85"/>
    </row>
    <row r="10" spans="1:20" ht="15.75" customHeight="1">
      <c r="A10" s="85" t="s">
        <v>13579</v>
      </c>
      <c r="B10" s="86">
        <v>74</v>
      </c>
      <c r="C10" s="86">
        <v>23</v>
      </c>
      <c r="D10" s="86">
        <v>10</v>
      </c>
      <c r="E10" s="85">
        <v>0</v>
      </c>
      <c r="F10" s="85">
        <v>0</v>
      </c>
      <c r="G10" s="13">
        <v>44978</v>
      </c>
      <c r="H10" s="86"/>
      <c r="I10" s="86"/>
      <c r="J10" s="85"/>
      <c r="K10" s="85"/>
      <c r="L10" s="85"/>
      <c r="M10" s="85"/>
      <c r="N10" s="85"/>
      <c r="O10" s="85"/>
      <c r="P10" s="85"/>
      <c r="Q10" s="85"/>
      <c r="R10" s="85"/>
      <c r="S10" s="85"/>
      <c r="T10" s="85"/>
    </row>
    <row r="11" spans="1:20" ht="15.75" customHeight="1">
      <c r="A11" s="85" t="s">
        <v>13580</v>
      </c>
      <c r="B11" s="86">
        <v>105</v>
      </c>
      <c r="C11" s="86">
        <v>25</v>
      </c>
      <c r="D11" s="86">
        <v>2</v>
      </c>
      <c r="E11" s="85">
        <v>0</v>
      </c>
      <c r="F11" s="85">
        <v>0</v>
      </c>
      <c r="G11" s="13">
        <v>44978</v>
      </c>
      <c r="H11" s="85"/>
      <c r="I11" s="85"/>
      <c r="J11" s="85"/>
      <c r="K11" s="85"/>
      <c r="L11" s="85"/>
      <c r="M11" s="85"/>
      <c r="N11" s="85"/>
      <c r="O11" s="85"/>
      <c r="P11" s="85"/>
      <c r="Q11" s="85"/>
      <c r="R11" s="85"/>
      <c r="S11" s="85"/>
      <c r="T11" s="85"/>
    </row>
    <row r="12" spans="1:20" ht="15.75" customHeight="1">
      <c r="A12" s="85" t="s">
        <v>13581</v>
      </c>
      <c r="B12" s="86">
        <v>7</v>
      </c>
      <c r="C12" s="86">
        <v>18</v>
      </c>
      <c r="D12" s="86">
        <v>22</v>
      </c>
      <c r="E12" s="85">
        <v>0</v>
      </c>
      <c r="F12" s="85">
        <v>0</v>
      </c>
      <c r="G12" s="13">
        <v>44978</v>
      </c>
      <c r="H12" s="85"/>
      <c r="I12" s="85"/>
      <c r="J12" s="85"/>
      <c r="K12" s="85"/>
      <c r="L12" s="85"/>
      <c r="M12" s="85"/>
      <c r="N12" s="85"/>
      <c r="O12" s="85"/>
      <c r="P12" s="85"/>
      <c r="Q12" s="85"/>
      <c r="R12" s="85"/>
      <c r="S12" s="85"/>
      <c r="T12" s="85"/>
    </row>
    <row r="13" spans="1:20" ht="15.75" customHeight="1">
      <c r="A13" s="85" t="s">
        <v>13582</v>
      </c>
      <c r="B13" s="86">
        <v>38</v>
      </c>
      <c r="C13" s="86">
        <v>4</v>
      </c>
      <c r="D13" s="86">
        <v>1</v>
      </c>
      <c r="E13" s="86">
        <v>4</v>
      </c>
      <c r="F13" s="85">
        <v>0</v>
      </c>
      <c r="G13" s="13">
        <v>44978</v>
      </c>
      <c r="H13" s="85"/>
      <c r="I13" s="85"/>
      <c r="J13" s="85"/>
      <c r="K13" s="85"/>
      <c r="L13" s="85"/>
      <c r="M13" s="85"/>
      <c r="N13" s="85"/>
      <c r="O13" s="85"/>
      <c r="P13" s="85"/>
      <c r="Q13" s="85"/>
      <c r="R13" s="85"/>
      <c r="S13" s="85"/>
      <c r="T13" s="85"/>
    </row>
    <row r="14" spans="1:20" ht="14.5">
      <c r="A14" s="85" t="s">
        <v>13583</v>
      </c>
      <c r="B14" s="86">
        <v>4</v>
      </c>
      <c r="C14" s="86">
        <v>5</v>
      </c>
      <c r="D14" s="86">
        <v>2</v>
      </c>
      <c r="E14" s="86">
        <v>15</v>
      </c>
      <c r="F14" s="85">
        <v>0</v>
      </c>
      <c r="G14" s="13">
        <v>44978</v>
      </c>
      <c r="H14" s="85"/>
      <c r="I14" s="85"/>
      <c r="J14" s="85"/>
      <c r="K14" s="85"/>
      <c r="L14" s="85"/>
      <c r="M14" s="85"/>
      <c r="N14" s="85"/>
      <c r="O14" s="85"/>
      <c r="P14" s="85"/>
      <c r="Q14" s="85"/>
      <c r="R14" s="85"/>
      <c r="S14" s="85"/>
      <c r="T14" s="85"/>
    </row>
    <row r="15" spans="1:20" ht="14.5">
      <c r="A15" s="85" t="s">
        <v>13584</v>
      </c>
      <c r="B15" s="86">
        <v>16</v>
      </c>
      <c r="C15" s="86">
        <v>14</v>
      </c>
      <c r="D15" s="86">
        <v>2</v>
      </c>
      <c r="E15" s="86">
        <v>1</v>
      </c>
      <c r="F15" s="85">
        <v>0</v>
      </c>
      <c r="G15" s="13">
        <v>44978</v>
      </c>
      <c r="H15" s="85"/>
      <c r="I15" s="85"/>
      <c r="J15" s="85"/>
      <c r="K15" s="85"/>
      <c r="L15" s="85"/>
      <c r="M15" s="85"/>
      <c r="N15" s="85"/>
      <c r="O15" s="85"/>
      <c r="P15" s="85"/>
      <c r="Q15" s="85"/>
      <c r="R15" s="85"/>
      <c r="S15" s="85"/>
      <c r="T15" s="85"/>
    </row>
    <row r="16" spans="1:20" ht="14.5">
      <c r="A16" s="85" t="s">
        <v>13585</v>
      </c>
      <c r="B16" s="86">
        <v>329</v>
      </c>
      <c r="C16" s="86">
        <v>47</v>
      </c>
      <c r="D16" s="86">
        <v>656</v>
      </c>
      <c r="E16" s="85">
        <v>0</v>
      </c>
      <c r="F16" s="85">
        <v>0</v>
      </c>
      <c r="G16" s="13">
        <v>44978</v>
      </c>
      <c r="H16" s="85"/>
      <c r="I16" s="85"/>
      <c r="J16" s="85"/>
      <c r="K16" s="85"/>
      <c r="L16" s="85"/>
      <c r="M16" s="85"/>
      <c r="N16" s="85"/>
      <c r="O16" s="85"/>
      <c r="P16" s="85"/>
      <c r="Q16" s="85"/>
      <c r="R16" s="85"/>
      <c r="S16" s="85"/>
      <c r="T16" s="85"/>
    </row>
    <row r="17" spans="1:20" ht="14.5">
      <c r="A17" s="85" t="s">
        <v>13586</v>
      </c>
      <c r="B17" s="86">
        <v>5</v>
      </c>
      <c r="C17" s="86">
        <v>4</v>
      </c>
      <c r="D17" s="86">
        <v>164</v>
      </c>
      <c r="E17" s="85">
        <v>0</v>
      </c>
      <c r="F17" s="86">
        <v>8</v>
      </c>
      <c r="G17" s="13">
        <v>44978</v>
      </c>
      <c r="H17" s="85"/>
      <c r="I17" s="85"/>
      <c r="J17" s="86"/>
      <c r="K17" s="86"/>
      <c r="L17" s="85"/>
      <c r="M17" s="85"/>
      <c r="N17" s="85"/>
      <c r="O17" s="85"/>
      <c r="P17" s="85"/>
      <c r="Q17" s="85"/>
      <c r="R17" s="85"/>
      <c r="S17" s="85"/>
      <c r="T17" s="85"/>
    </row>
    <row r="18" spans="1:20" ht="14.5">
      <c r="A18" s="85" t="s">
        <v>13587</v>
      </c>
      <c r="B18" s="86">
        <v>138</v>
      </c>
      <c r="C18" s="86">
        <v>52</v>
      </c>
      <c r="D18" s="86">
        <v>32</v>
      </c>
      <c r="E18" s="85">
        <v>0</v>
      </c>
      <c r="F18" s="86">
        <v>1</v>
      </c>
      <c r="G18" s="13">
        <v>44978</v>
      </c>
      <c r="H18" s="85"/>
      <c r="I18" s="85"/>
      <c r="J18" s="85"/>
      <c r="K18" s="85"/>
      <c r="L18" s="85"/>
      <c r="M18" s="85"/>
      <c r="N18" s="85"/>
      <c r="O18" s="85"/>
      <c r="P18" s="85"/>
      <c r="Q18" s="85"/>
      <c r="R18" s="85"/>
      <c r="S18" s="85"/>
      <c r="T18" s="85"/>
    </row>
    <row r="19" spans="1:20" ht="14.5">
      <c r="A19" s="85" t="s">
        <v>13588</v>
      </c>
      <c r="B19" s="86">
        <v>11</v>
      </c>
      <c r="C19" s="86">
        <v>1</v>
      </c>
      <c r="D19" s="86">
        <v>4</v>
      </c>
      <c r="E19" s="85">
        <v>0</v>
      </c>
      <c r="F19" s="85">
        <v>0</v>
      </c>
      <c r="G19" s="13">
        <v>44978</v>
      </c>
      <c r="H19" s="85"/>
      <c r="I19" s="85"/>
      <c r="J19" s="85"/>
      <c r="K19" s="85"/>
      <c r="L19" s="85"/>
      <c r="M19" s="85"/>
      <c r="N19" s="85"/>
      <c r="O19" s="85"/>
      <c r="P19" s="85"/>
      <c r="Q19" s="85"/>
      <c r="R19" s="85"/>
      <c r="S19" s="85"/>
      <c r="T19" s="85"/>
    </row>
    <row r="20" spans="1:20" ht="14.5">
      <c r="A20" s="85" t="s">
        <v>13589</v>
      </c>
      <c r="B20" s="86">
        <v>94</v>
      </c>
      <c r="C20" s="86">
        <v>19</v>
      </c>
      <c r="D20" s="86">
        <v>43</v>
      </c>
      <c r="E20" s="85">
        <v>0</v>
      </c>
      <c r="F20" s="86">
        <v>8</v>
      </c>
      <c r="G20" s="13">
        <v>44978</v>
      </c>
      <c r="H20" s="86"/>
      <c r="I20" s="86"/>
      <c r="J20" s="86"/>
      <c r="K20" s="85"/>
      <c r="L20" s="85"/>
      <c r="M20" s="85"/>
      <c r="N20" s="85"/>
      <c r="O20" s="85"/>
      <c r="P20" s="85"/>
      <c r="Q20" s="85"/>
      <c r="R20" s="85"/>
      <c r="S20" s="85"/>
      <c r="T20" s="85"/>
    </row>
    <row r="21" spans="1:20" ht="14.5">
      <c r="A21" s="85" t="s">
        <v>13590</v>
      </c>
      <c r="B21" s="86">
        <v>35</v>
      </c>
      <c r="C21" s="86">
        <v>9</v>
      </c>
      <c r="D21" s="86">
        <v>13</v>
      </c>
      <c r="E21" s="85">
        <v>0</v>
      </c>
      <c r="F21" s="85">
        <v>0</v>
      </c>
      <c r="G21" s="13">
        <v>44978</v>
      </c>
      <c r="H21" s="85"/>
      <c r="I21" s="85"/>
      <c r="J21" s="85"/>
      <c r="K21" s="85"/>
      <c r="L21" s="85"/>
      <c r="M21" s="85"/>
      <c r="N21" s="85"/>
      <c r="O21" s="85"/>
      <c r="P21" s="85"/>
      <c r="Q21" s="85"/>
      <c r="R21" s="85"/>
      <c r="S21" s="85"/>
      <c r="T21" s="85"/>
    </row>
    <row r="22" spans="1:20" ht="14.5">
      <c r="A22" s="85" t="s">
        <v>13591</v>
      </c>
      <c r="B22" s="86">
        <v>26</v>
      </c>
      <c r="C22" s="86">
        <v>35</v>
      </c>
      <c r="D22" s="86">
        <v>3</v>
      </c>
      <c r="E22" s="85">
        <v>0</v>
      </c>
      <c r="F22" s="85">
        <v>0</v>
      </c>
      <c r="G22" s="13">
        <v>44978</v>
      </c>
      <c r="H22" s="85"/>
      <c r="I22" s="85"/>
      <c r="J22" s="85"/>
      <c r="K22" s="85"/>
      <c r="L22" s="85"/>
      <c r="M22" s="85"/>
      <c r="N22" s="85"/>
      <c r="O22" s="85"/>
      <c r="P22" s="85"/>
      <c r="Q22" s="85"/>
      <c r="R22" s="85"/>
      <c r="S22" s="85"/>
      <c r="T22" s="85"/>
    </row>
    <row r="23" spans="1:20" ht="14.5">
      <c r="A23" s="85" t="s">
        <v>13592</v>
      </c>
      <c r="B23" s="86">
        <v>8</v>
      </c>
      <c r="C23" s="85">
        <v>0</v>
      </c>
      <c r="D23" s="85">
        <v>0</v>
      </c>
      <c r="E23" s="85">
        <v>0</v>
      </c>
      <c r="F23" s="86">
        <v>1</v>
      </c>
      <c r="G23" s="13">
        <v>44978</v>
      </c>
      <c r="H23" s="85"/>
      <c r="I23" s="85"/>
      <c r="J23" s="85"/>
      <c r="K23" s="85"/>
      <c r="L23" s="85"/>
      <c r="M23" s="85"/>
      <c r="N23" s="85"/>
      <c r="O23" s="85"/>
      <c r="P23" s="85"/>
      <c r="Q23" s="85"/>
      <c r="R23" s="85"/>
      <c r="S23" s="85"/>
      <c r="T23" s="85"/>
    </row>
    <row r="24" spans="1:20" ht="14.5">
      <c r="A24" s="85" t="s">
        <v>13593</v>
      </c>
      <c r="B24" s="86">
        <v>94</v>
      </c>
      <c r="C24" s="86">
        <v>9</v>
      </c>
      <c r="D24" s="86">
        <v>11</v>
      </c>
      <c r="E24" s="85">
        <v>0</v>
      </c>
      <c r="F24" s="86">
        <v>2</v>
      </c>
      <c r="G24" s="13">
        <v>44978</v>
      </c>
      <c r="H24" s="86"/>
      <c r="I24" s="86"/>
      <c r="J24" s="86"/>
      <c r="K24" s="85"/>
      <c r="L24" s="85"/>
      <c r="M24" s="85"/>
      <c r="N24" s="85"/>
      <c r="O24" s="85"/>
      <c r="P24" s="85"/>
      <c r="Q24" s="85"/>
      <c r="R24" s="85"/>
      <c r="S24" s="85"/>
      <c r="T24" s="85"/>
    </row>
    <row r="25" spans="1:20" ht="14.5">
      <c r="A25" s="85" t="s">
        <v>13594</v>
      </c>
      <c r="B25" s="86">
        <v>79</v>
      </c>
      <c r="C25" s="86">
        <v>14</v>
      </c>
      <c r="D25" s="86">
        <v>87</v>
      </c>
      <c r="E25" s="85">
        <v>0</v>
      </c>
      <c r="F25" s="86">
        <v>1</v>
      </c>
      <c r="G25" s="13">
        <v>44978</v>
      </c>
      <c r="H25" s="86"/>
      <c r="I25" s="86"/>
      <c r="J25" s="85"/>
      <c r="K25" s="85"/>
      <c r="L25" s="86"/>
      <c r="M25" s="85"/>
      <c r="N25" s="85"/>
      <c r="O25" s="85"/>
      <c r="P25" s="85"/>
      <c r="Q25" s="85"/>
      <c r="R25" s="85"/>
      <c r="S25" s="85"/>
      <c r="T25" s="85"/>
    </row>
    <row r="26" spans="1:20" ht="14.5">
      <c r="A26" s="85" t="s">
        <v>13595</v>
      </c>
      <c r="B26" s="86">
        <v>22</v>
      </c>
      <c r="C26" s="86">
        <v>4</v>
      </c>
      <c r="D26" s="86">
        <v>2</v>
      </c>
      <c r="E26" s="85">
        <v>0</v>
      </c>
      <c r="F26" s="85">
        <v>0</v>
      </c>
      <c r="G26" s="13">
        <v>44978</v>
      </c>
      <c r="H26" s="85"/>
      <c r="I26" s="85"/>
      <c r="J26" s="85"/>
      <c r="K26" s="85"/>
      <c r="L26" s="85"/>
      <c r="M26" s="85"/>
      <c r="N26" s="85"/>
      <c r="O26" s="85"/>
      <c r="P26" s="85"/>
      <c r="Q26" s="85"/>
      <c r="R26" s="85"/>
      <c r="S26" s="85"/>
      <c r="T26" s="85"/>
    </row>
    <row r="27" spans="1:20" ht="14.5">
      <c r="A27" s="85" t="s">
        <v>13596</v>
      </c>
      <c r="B27" s="86">
        <v>46</v>
      </c>
      <c r="C27" s="86">
        <v>4</v>
      </c>
      <c r="D27" s="86">
        <v>24</v>
      </c>
      <c r="E27" s="85">
        <v>0</v>
      </c>
      <c r="F27" s="85">
        <v>0</v>
      </c>
      <c r="G27" s="13">
        <v>44978</v>
      </c>
      <c r="H27" s="85"/>
      <c r="I27" s="85"/>
      <c r="J27" s="85"/>
      <c r="K27" s="85"/>
      <c r="L27" s="85"/>
      <c r="M27" s="85"/>
      <c r="N27" s="85"/>
      <c r="O27" s="85"/>
      <c r="P27" s="85"/>
      <c r="Q27" s="85"/>
      <c r="R27" s="85"/>
      <c r="S27" s="85"/>
      <c r="T27" s="85"/>
    </row>
    <row r="28" spans="1:20" ht="14.5">
      <c r="A28" s="85" t="s">
        <v>13597</v>
      </c>
      <c r="B28" s="86">
        <v>22</v>
      </c>
      <c r="C28" s="86">
        <v>9</v>
      </c>
      <c r="D28" s="85">
        <v>0</v>
      </c>
      <c r="E28" s="85">
        <v>0</v>
      </c>
      <c r="F28" s="85">
        <v>0</v>
      </c>
      <c r="G28" s="13">
        <v>44978</v>
      </c>
      <c r="H28" s="85"/>
      <c r="I28" s="85"/>
      <c r="J28" s="85"/>
      <c r="K28" s="85"/>
      <c r="L28" s="85"/>
      <c r="M28" s="85"/>
      <c r="N28" s="85"/>
      <c r="O28" s="85"/>
      <c r="P28" s="85"/>
      <c r="Q28" s="85"/>
      <c r="R28" s="85"/>
      <c r="S28" s="85"/>
      <c r="T28" s="85"/>
    </row>
    <row r="29" spans="1:20" ht="14.5">
      <c r="A29" s="85" t="s">
        <v>13598</v>
      </c>
      <c r="B29" s="86">
        <v>16</v>
      </c>
      <c r="C29" s="86">
        <v>3</v>
      </c>
      <c r="D29" s="86">
        <v>4</v>
      </c>
      <c r="E29" s="85">
        <v>0</v>
      </c>
      <c r="F29" s="85">
        <v>0</v>
      </c>
      <c r="G29" s="13">
        <v>44978</v>
      </c>
      <c r="H29" s="85"/>
      <c r="I29" s="85"/>
      <c r="J29" s="85"/>
      <c r="K29" s="85"/>
      <c r="L29" s="85"/>
      <c r="M29" s="85"/>
      <c r="N29" s="85"/>
      <c r="O29" s="85"/>
      <c r="P29" s="85"/>
      <c r="Q29" s="85"/>
      <c r="R29" s="85"/>
      <c r="S29" s="85"/>
      <c r="T29" s="85"/>
    </row>
    <row r="30" spans="1:20" ht="14.5">
      <c r="A30" s="85" t="s">
        <v>13599</v>
      </c>
      <c r="B30" s="86">
        <v>9</v>
      </c>
      <c r="C30" s="86">
        <v>2</v>
      </c>
      <c r="D30" s="85">
        <v>0</v>
      </c>
      <c r="E30" s="85">
        <v>0</v>
      </c>
      <c r="F30" s="85">
        <v>0</v>
      </c>
      <c r="G30" s="13">
        <v>44978</v>
      </c>
      <c r="H30" s="85"/>
      <c r="I30" s="85"/>
      <c r="J30" s="85"/>
      <c r="K30" s="85"/>
      <c r="L30" s="85"/>
      <c r="M30" s="85"/>
      <c r="N30" s="85"/>
      <c r="O30" s="85"/>
      <c r="P30" s="85"/>
      <c r="Q30" s="85"/>
      <c r="R30" s="85"/>
      <c r="S30" s="85"/>
      <c r="T30" s="85"/>
    </row>
    <row r="31" spans="1:20" ht="14.5">
      <c r="A31" s="85" t="s">
        <v>13600</v>
      </c>
      <c r="B31" s="86">
        <v>23</v>
      </c>
      <c r="C31" s="86">
        <v>15</v>
      </c>
      <c r="D31" s="85">
        <v>0</v>
      </c>
      <c r="E31" s="85">
        <v>0</v>
      </c>
      <c r="F31" s="85">
        <v>0</v>
      </c>
      <c r="G31" s="13">
        <v>44978</v>
      </c>
      <c r="H31" s="85"/>
      <c r="I31" s="85"/>
      <c r="J31" s="85"/>
      <c r="K31" s="85"/>
      <c r="L31" s="85"/>
      <c r="M31" s="85"/>
      <c r="N31" s="85"/>
      <c r="O31" s="85"/>
      <c r="P31" s="85"/>
      <c r="Q31" s="85"/>
      <c r="R31" s="85"/>
      <c r="S31" s="85"/>
      <c r="T31" s="85"/>
    </row>
    <row r="32" spans="1:20" ht="14.5">
      <c r="A32" s="85" t="s">
        <v>13601</v>
      </c>
      <c r="B32" s="86">
        <v>6</v>
      </c>
      <c r="C32" s="86">
        <v>41</v>
      </c>
      <c r="D32" s="85">
        <v>0</v>
      </c>
      <c r="E32" s="85">
        <v>0</v>
      </c>
      <c r="F32" s="85">
        <v>0</v>
      </c>
      <c r="G32" s="13">
        <v>44978</v>
      </c>
      <c r="H32" s="85"/>
      <c r="I32" s="85"/>
      <c r="J32" s="85"/>
      <c r="K32" s="85"/>
      <c r="L32" s="85"/>
      <c r="M32" s="85"/>
      <c r="N32" s="85"/>
      <c r="O32" s="85"/>
      <c r="P32" s="85"/>
      <c r="Q32" s="85"/>
      <c r="R32" s="85"/>
      <c r="S32" s="85"/>
      <c r="T32" s="85"/>
    </row>
    <row r="33" spans="1:20" ht="14.5">
      <c r="A33" s="85" t="s">
        <v>13602</v>
      </c>
      <c r="B33" s="86">
        <v>11</v>
      </c>
      <c r="C33" s="86">
        <v>7</v>
      </c>
      <c r="D33" s="85">
        <v>0</v>
      </c>
      <c r="E33" s="85">
        <v>0</v>
      </c>
      <c r="F33" s="85">
        <v>0</v>
      </c>
      <c r="G33" s="13">
        <v>44978</v>
      </c>
      <c r="H33" s="85"/>
      <c r="I33" s="85"/>
      <c r="J33" s="85"/>
      <c r="K33" s="85"/>
      <c r="L33" s="85"/>
      <c r="M33" s="85"/>
      <c r="N33" s="85"/>
      <c r="O33" s="85"/>
      <c r="P33" s="85"/>
      <c r="Q33" s="85"/>
      <c r="R33" s="85"/>
      <c r="S33" s="85"/>
      <c r="T33" s="85"/>
    </row>
    <row r="34" spans="1:20" ht="14.5">
      <c r="A34" s="85" t="s">
        <v>13603</v>
      </c>
      <c r="B34" s="86">
        <v>37</v>
      </c>
      <c r="C34" s="86">
        <v>11</v>
      </c>
      <c r="D34" s="86">
        <v>8</v>
      </c>
      <c r="E34" s="85">
        <v>0</v>
      </c>
      <c r="F34" s="85">
        <v>0</v>
      </c>
      <c r="G34" s="13">
        <v>44978</v>
      </c>
      <c r="H34" s="85"/>
      <c r="I34" s="85"/>
      <c r="J34" s="85"/>
      <c r="K34" s="85"/>
      <c r="L34" s="85"/>
      <c r="M34" s="85"/>
      <c r="N34" s="85"/>
      <c r="O34" s="85"/>
      <c r="P34" s="85"/>
      <c r="Q34" s="85"/>
      <c r="R34" s="85"/>
      <c r="S34" s="85"/>
      <c r="T34" s="85"/>
    </row>
    <row r="35" spans="1:20" ht="14.5">
      <c r="A35" s="85" t="s">
        <v>13604</v>
      </c>
      <c r="B35" s="86">
        <v>35</v>
      </c>
      <c r="C35" s="86">
        <v>7</v>
      </c>
      <c r="D35" s="86">
        <v>28</v>
      </c>
      <c r="E35" s="85">
        <v>0</v>
      </c>
      <c r="F35" s="85">
        <v>0</v>
      </c>
      <c r="G35" s="13">
        <v>44978</v>
      </c>
      <c r="H35" s="85"/>
      <c r="I35" s="85"/>
      <c r="J35" s="85"/>
      <c r="K35" s="85"/>
      <c r="L35" s="85"/>
      <c r="M35" s="85"/>
      <c r="N35" s="85"/>
      <c r="O35" s="85"/>
      <c r="P35" s="85"/>
      <c r="Q35" s="85"/>
      <c r="R35" s="85"/>
      <c r="S35" s="85"/>
      <c r="T35" s="85"/>
    </row>
    <row r="36" spans="1:20" ht="14.5">
      <c r="A36" s="85" t="s">
        <v>13605</v>
      </c>
      <c r="B36" s="86">
        <v>131</v>
      </c>
      <c r="C36" s="86">
        <v>50</v>
      </c>
      <c r="D36" s="86">
        <v>17</v>
      </c>
      <c r="E36" s="85">
        <v>0</v>
      </c>
      <c r="F36" s="86">
        <v>1</v>
      </c>
      <c r="G36" s="13">
        <v>44978</v>
      </c>
      <c r="H36" s="85"/>
      <c r="I36" s="85"/>
      <c r="J36" s="85"/>
      <c r="K36" s="85"/>
      <c r="L36" s="85"/>
      <c r="M36" s="85"/>
      <c r="N36" s="85"/>
      <c r="O36" s="85"/>
      <c r="P36" s="85"/>
      <c r="Q36" s="85"/>
      <c r="R36" s="85"/>
      <c r="S36" s="85"/>
      <c r="T36" s="85"/>
    </row>
    <row r="37" spans="1:20" ht="14.5">
      <c r="A37" s="85" t="s">
        <v>13606</v>
      </c>
      <c r="B37" s="86">
        <v>138</v>
      </c>
      <c r="C37" s="86">
        <v>52</v>
      </c>
      <c r="D37" s="86">
        <v>12</v>
      </c>
      <c r="E37" s="85">
        <v>0</v>
      </c>
      <c r="F37" s="85">
        <v>0</v>
      </c>
      <c r="G37" s="13">
        <v>44978</v>
      </c>
      <c r="H37" s="85"/>
      <c r="I37" s="85"/>
      <c r="J37" s="85"/>
      <c r="K37" s="85"/>
      <c r="L37" s="85"/>
      <c r="M37" s="85"/>
      <c r="N37" s="85"/>
      <c r="O37" s="85"/>
      <c r="P37" s="85"/>
      <c r="Q37" s="85"/>
      <c r="R37" s="85"/>
      <c r="S37" s="85"/>
      <c r="T37" s="85"/>
    </row>
    <row r="38" spans="1:20" ht="14.5">
      <c r="A38" s="85" t="s">
        <v>13607</v>
      </c>
      <c r="B38" s="86">
        <v>2</v>
      </c>
      <c r="C38" s="86">
        <v>2</v>
      </c>
      <c r="D38" s="85">
        <v>0</v>
      </c>
      <c r="E38" s="85">
        <v>0</v>
      </c>
      <c r="F38" s="86">
        <v>1</v>
      </c>
      <c r="G38" s="13">
        <v>44978</v>
      </c>
      <c r="H38" s="85"/>
      <c r="I38" s="85"/>
      <c r="J38" s="85"/>
      <c r="K38" s="86"/>
      <c r="L38" s="85"/>
      <c r="M38" s="85"/>
      <c r="N38" s="85"/>
      <c r="O38" s="85"/>
      <c r="P38" s="85"/>
      <c r="Q38" s="85"/>
      <c r="R38" s="85"/>
      <c r="S38" s="85"/>
      <c r="T38" s="85"/>
    </row>
    <row r="39" spans="1:20" ht="14.5">
      <c r="A39" s="85" t="s">
        <v>13608</v>
      </c>
      <c r="B39" s="86">
        <v>1</v>
      </c>
      <c r="C39" s="85">
        <v>0</v>
      </c>
      <c r="D39" s="85">
        <v>0</v>
      </c>
      <c r="E39" s="85">
        <v>0</v>
      </c>
      <c r="F39" s="85">
        <v>0</v>
      </c>
      <c r="G39" s="13">
        <v>44978</v>
      </c>
      <c r="H39" s="85"/>
      <c r="I39" s="85"/>
      <c r="J39" s="85"/>
      <c r="K39" s="85"/>
      <c r="L39" s="85"/>
      <c r="M39" s="85"/>
      <c r="N39" s="85"/>
      <c r="O39" s="85"/>
      <c r="P39" s="85"/>
      <c r="Q39" s="85"/>
      <c r="R39" s="85"/>
      <c r="S39" s="85"/>
      <c r="T39" s="85"/>
    </row>
    <row r="40" spans="1:20" ht="14.5">
      <c r="A40" s="85" t="s">
        <v>13609</v>
      </c>
      <c r="B40" s="85">
        <v>0</v>
      </c>
      <c r="C40" s="86">
        <v>2</v>
      </c>
      <c r="D40" s="85">
        <v>0</v>
      </c>
      <c r="E40" s="85">
        <v>0</v>
      </c>
      <c r="F40" s="85">
        <v>0</v>
      </c>
      <c r="G40" s="13">
        <v>44978</v>
      </c>
      <c r="H40" s="85"/>
      <c r="I40" s="85"/>
      <c r="J40" s="85"/>
      <c r="K40" s="85"/>
      <c r="L40" s="85"/>
      <c r="M40" s="85"/>
      <c r="N40" s="85"/>
      <c r="O40" s="85"/>
      <c r="P40" s="85"/>
      <c r="Q40" s="85"/>
      <c r="R40" s="85"/>
      <c r="S40" s="85"/>
      <c r="T40" s="85"/>
    </row>
    <row r="41" spans="1:20" ht="14.5">
      <c r="A41" s="85" t="s">
        <v>13610</v>
      </c>
      <c r="B41" s="86">
        <v>16</v>
      </c>
      <c r="C41" s="86">
        <v>8</v>
      </c>
      <c r="D41" s="85">
        <v>0</v>
      </c>
      <c r="E41" s="85">
        <v>0</v>
      </c>
      <c r="F41" s="85">
        <v>0</v>
      </c>
      <c r="G41" s="13">
        <v>44978</v>
      </c>
      <c r="H41" s="85"/>
      <c r="I41" s="85"/>
      <c r="J41" s="85"/>
      <c r="K41" s="85"/>
      <c r="L41" s="85"/>
      <c r="M41" s="85"/>
      <c r="N41" s="85"/>
      <c r="O41" s="85"/>
      <c r="P41" s="85"/>
      <c r="Q41" s="85"/>
      <c r="R41" s="85"/>
      <c r="S41" s="85"/>
      <c r="T41" s="85"/>
    </row>
    <row r="42" spans="1:20" ht="14.5">
      <c r="A42" s="85" t="s">
        <v>13611</v>
      </c>
      <c r="B42" s="86">
        <v>79</v>
      </c>
      <c r="C42" s="86">
        <v>9</v>
      </c>
      <c r="D42" s="86">
        <v>37</v>
      </c>
      <c r="E42" s="85">
        <v>0</v>
      </c>
      <c r="F42" s="85">
        <v>0</v>
      </c>
      <c r="G42" s="13">
        <v>44978</v>
      </c>
      <c r="H42" s="85"/>
      <c r="I42" s="85"/>
      <c r="J42" s="85"/>
      <c r="K42" s="85"/>
      <c r="L42" s="85"/>
      <c r="M42" s="85"/>
      <c r="N42" s="85"/>
      <c r="O42" s="85"/>
      <c r="P42" s="85"/>
      <c r="Q42" s="85"/>
      <c r="R42" s="85"/>
      <c r="S42" s="85"/>
      <c r="T42" s="85"/>
    </row>
    <row r="43" spans="1:20" ht="14.5">
      <c r="A43" s="85" t="s">
        <v>13612</v>
      </c>
      <c r="B43" s="86">
        <v>16</v>
      </c>
      <c r="C43" s="86">
        <v>3</v>
      </c>
      <c r="D43" s="86">
        <v>2</v>
      </c>
      <c r="E43" s="85">
        <v>0</v>
      </c>
      <c r="F43" s="85">
        <v>0</v>
      </c>
      <c r="G43" s="13">
        <v>44978</v>
      </c>
      <c r="H43" s="85"/>
      <c r="I43" s="85"/>
      <c r="J43" s="85"/>
      <c r="K43" s="85"/>
      <c r="L43" s="85"/>
      <c r="M43" s="85"/>
      <c r="N43" s="85"/>
      <c r="O43" s="85"/>
      <c r="P43" s="85"/>
      <c r="Q43" s="85"/>
      <c r="R43" s="85"/>
      <c r="S43" s="85"/>
      <c r="T43" s="85"/>
    </row>
    <row r="44" spans="1:20" ht="14.5">
      <c r="A44" s="85" t="s">
        <v>13613</v>
      </c>
      <c r="B44" s="86">
        <v>22</v>
      </c>
      <c r="C44" s="86">
        <v>4</v>
      </c>
      <c r="D44" s="85">
        <v>0</v>
      </c>
      <c r="E44" s="85">
        <v>0</v>
      </c>
      <c r="F44" s="85">
        <v>0</v>
      </c>
      <c r="G44" s="13">
        <v>44978</v>
      </c>
      <c r="H44" s="85"/>
      <c r="I44" s="85"/>
      <c r="J44" s="85"/>
      <c r="K44" s="85"/>
      <c r="L44" s="85"/>
      <c r="M44" s="85"/>
      <c r="N44" s="85"/>
      <c r="O44" s="85"/>
      <c r="P44" s="85"/>
      <c r="Q44" s="85"/>
      <c r="R44" s="85"/>
      <c r="S44" s="85"/>
      <c r="T44" s="85"/>
    </row>
    <row r="45" spans="1:20" ht="14.5">
      <c r="A45" s="85" t="s">
        <v>13614</v>
      </c>
      <c r="B45" s="86">
        <v>28</v>
      </c>
      <c r="C45" s="85">
        <v>0</v>
      </c>
      <c r="D45" s="86">
        <v>71</v>
      </c>
      <c r="E45" s="85">
        <v>0</v>
      </c>
      <c r="F45" s="85">
        <v>0</v>
      </c>
      <c r="G45" s="13">
        <v>44978</v>
      </c>
      <c r="H45" s="85"/>
      <c r="I45" s="85"/>
      <c r="J45" s="85"/>
      <c r="K45" s="85"/>
      <c r="L45" s="85"/>
      <c r="M45" s="85"/>
      <c r="N45" s="85"/>
      <c r="O45" s="85"/>
      <c r="P45" s="85"/>
      <c r="Q45" s="85"/>
      <c r="R45" s="85"/>
      <c r="S45" s="85"/>
      <c r="T45" s="85"/>
    </row>
    <row r="46" spans="1:20" ht="14.5">
      <c r="A46" s="85" t="s">
        <v>13615</v>
      </c>
      <c r="B46" s="86">
        <v>23</v>
      </c>
      <c r="C46" s="86">
        <v>9</v>
      </c>
      <c r="D46" s="86">
        <v>1</v>
      </c>
      <c r="E46" s="85">
        <v>0</v>
      </c>
      <c r="F46" s="85">
        <v>0</v>
      </c>
      <c r="G46" s="13">
        <v>44978</v>
      </c>
      <c r="H46" s="85"/>
      <c r="I46" s="85"/>
      <c r="J46" s="85"/>
      <c r="K46" s="85"/>
      <c r="L46" s="85"/>
      <c r="M46" s="85"/>
      <c r="N46" s="85"/>
      <c r="O46" s="85"/>
      <c r="P46" s="85"/>
      <c r="Q46" s="85"/>
      <c r="R46" s="85"/>
      <c r="S46" s="85"/>
      <c r="T46" s="85"/>
    </row>
    <row r="47" spans="1:20" ht="14.5">
      <c r="A47" s="85" t="s">
        <v>13616</v>
      </c>
      <c r="B47" s="86">
        <v>122</v>
      </c>
      <c r="C47" s="86">
        <v>9</v>
      </c>
      <c r="D47" s="86">
        <v>53</v>
      </c>
      <c r="E47" s="85">
        <v>0</v>
      </c>
      <c r="F47" s="85">
        <v>0</v>
      </c>
      <c r="G47" s="13">
        <v>44978</v>
      </c>
      <c r="H47" s="85"/>
      <c r="I47" s="85"/>
      <c r="J47" s="85"/>
      <c r="K47" s="85"/>
      <c r="L47" s="85"/>
      <c r="M47" s="85"/>
      <c r="N47" s="85"/>
      <c r="O47" s="85"/>
      <c r="P47" s="85"/>
      <c r="Q47" s="85"/>
      <c r="R47" s="85"/>
      <c r="S47" s="85"/>
      <c r="T47" s="85"/>
    </row>
    <row r="48" spans="1:20" ht="14.5">
      <c r="A48" s="85" t="s">
        <v>13617</v>
      </c>
      <c r="B48" s="86">
        <v>52</v>
      </c>
      <c r="C48" s="86">
        <v>8</v>
      </c>
      <c r="D48" s="86">
        <v>9</v>
      </c>
      <c r="E48" s="85">
        <v>0</v>
      </c>
      <c r="F48" s="85">
        <v>0</v>
      </c>
      <c r="G48" s="13">
        <v>44978</v>
      </c>
      <c r="H48" s="85"/>
      <c r="I48" s="85"/>
      <c r="J48" s="85"/>
      <c r="K48" s="85"/>
      <c r="L48" s="85"/>
      <c r="M48" s="85"/>
      <c r="N48" s="85"/>
      <c r="O48" s="85"/>
      <c r="P48" s="85"/>
      <c r="Q48" s="85"/>
      <c r="R48" s="85"/>
      <c r="S48" s="85"/>
      <c r="T48" s="85"/>
    </row>
    <row r="49" spans="1:20" ht="14.5">
      <c r="A49" s="85" t="s">
        <v>13618</v>
      </c>
      <c r="B49" s="86">
        <v>13</v>
      </c>
      <c r="C49" s="86">
        <v>12</v>
      </c>
      <c r="D49" s="86">
        <v>24</v>
      </c>
      <c r="E49" s="85">
        <v>0</v>
      </c>
      <c r="F49" s="85">
        <v>0</v>
      </c>
      <c r="G49" s="13">
        <v>44978</v>
      </c>
      <c r="H49" s="85"/>
      <c r="I49" s="85"/>
      <c r="J49" s="85"/>
      <c r="K49" s="85"/>
      <c r="L49" s="85"/>
      <c r="M49" s="85"/>
      <c r="N49" s="85"/>
      <c r="O49" s="85"/>
      <c r="P49" s="85"/>
      <c r="Q49" s="85"/>
      <c r="R49" s="85"/>
      <c r="S49" s="85"/>
      <c r="T49" s="85"/>
    </row>
    <row r="50" spans="1:20" ht="14.5">
      <c r="A50" s="85" t="s">
        <v>13619</v>
      </c>
      <c r="B50" s="86">
        <v>8</v>
      </c>
      <c r="C50" s="86">
        <v>4</v>
      </c>
      <c r="D50" s="86">
        <v>11</v>
      </c>
      <c r="E50" s="85">
        <v>0</v>
      </c>
      <c r="F50" s="85">
        <v>0</v>
      </c>
      <c r="G50" s="13">
        <v>44978</v>
      </c>
      <c r="H50" s="85"/>
      <c r="I50" s="85"/>
      <c r="J50" s="85"/>
      <c r="K50" s="85"/>
      <c r="L50" s="85"/>
      <c r="M50" s="85"/>
      <c r="N50" s="85"/>
      <c r="O50" s="85"/>
      <c r="P50" s="85"/>
      <c r="Q50" s="85"/>
      <c r="R50" s="85"/>
      <c r="S50" s="85"/>
      <c r="T50" s="85"/>
    </row>
    <row r="51" spans="1:20" ht="14.5">
      <c r="A51" s="85" t="s">
        <v>13620</v>
      </c>
      <c r="B51" s="86">
        <v>3</v>
      </c>
      <c r="C51" s="86">
        <v>1</v>
      </c>
      <c r="D51" s="86">
        <v>4</v>
      </c>
      <c r="E51" s="85">
        <v>0</v>
      </c>
      <c r="F51" s="85">
        <v>0</v>
      </c>
      <c r="G51" s="13">
        <v>44978</v>
      </c>
      <c r="H51" s="85"/>
      <c r="I51" s="85"/>
      <c r="J51" s="85"/>
      <c r="K51" s="85"/>
      <c r="L51" s="85"/>
      <c r="M51" s="85"/>
      <c r="N51" s="85"/>
      <c r="O51" s="85"/>
      <c r="P51" s="85"/>
      <c r="Q51" s="85"/>
      <c r="R51" s="85"/>
      <c r="S51" s="85"/>
      <c r="T51" s="85"/>
    </row>
    <row r="52" spans="1:20" ht="14.5">
      <c r="A52" s="85" t="s">
        <v>13621</v>
      </c>
      <c r="B52" s="86">
        <v>7</v>
      </c>
      <c r="C52" s="86">
        <v>1</v>
      </c>
      <c r="D52" s="86">
        <v>4</v>
      </c>
      <c r="E52" s="85">
        <v>0</v>
      </c>
      <c r="F52" s="85">
        <v>0</v>
      </c>
      <c r="G52" s="13">
        <v>44978</v>
      </c>
      <c r="H52" s="85"/>
      <c r="I52" s="85"/>
      <c r="J52" s="85"/>
      <c r="K52" s="85"/>
      <c r="L52" s="85"/>
      <c r="M52" s="85"/>
      <c r="N52" s="85"/>
      <c r="O52" s="85"/>
      <c r="P52" s="85"/>
      <c r="Q52" s="85"/>
      <c r="R52" s="85"/>
      <c r="S52" s="85"/>
      <c r="T52" s="85"/>
    </row>
    <row r="53" spans="1:20" ht="14.5">
      <c r="A53" s="85" t="s">
        <v>13622</v>
      </c>
      <c r="B53" s="86">
        <v>22</v>
      </c>
      <c r="C53" s="86">
        <v>2</v>
      </c>
      <c r="D53" s="86">
        <v>51</v>
      </c>
      <c r="E53" s="85">
        <v>0</v>
      </c>
      <c r="F53" s="85">
        <v>0</v>
      </c>
      <c r="G53" s="13">
        <v>44978</v>
      </c>
      <c r="H53" s="85"/>
      <c r="I53" s="85"/>
      <c r="J53" s="85"/>
      <c r="K53" s="85"/>
      <c r="L53" s="85"/>
      <c r="M53" s="85"/>
      <c r="N53" s="85"/>
      <c r="O53" s="85"/>
      <c r="P53" s="85"/>
      <c r="Q53" s="85"/>
      <c r="R53" s="85"/>
      <c r="S53" s="85"/>
      <c r="T53" s="85"/>
    </row>
    <row r="54" spans="1:20" ht="14.5">
      <c r="A54" s="85" t="s">
        <v>13623</v>
      </c>
      <c r="B54" s="86">
        <v>42</v>
      </c>
      <c r="C54" s="86">
        <v>17</v>
      </c>
      <c r="D54" s="86">
        <v>155</v>
      </c>
      <c r="E54" s="85">
        <v>0</v>
      </c>
      <c r="F54" s="86">
        <v>1</v>
      </c>
      <c r="G54" s="13">
        <v>44978</v>
      </c>
      <c r="H54" s="85"/>
      <c r="I54" s="85"/>
      <c r="J54" s="85"/>
      <c r="K54" s="85"/>
      <c r="L54" s="85"/>
      <c r="M54" s="85"/>
      <c r="N54" s="85"/>
      <c r="O54" s="85"/>
      <c r="P54" s="85"/>
      <c r="Q54" s="85"/>
      <c r="R54" s="85"/>
      <c r="S54" s="85"/>
      <c r="T54" s="85"/>
    </row>
    <row r="55" spans="1:20" ht="14.5">
      <c r="A55" s="85" t="s">
        <v>13624</v>
      </c>
      <c r="B55" s="86">
        <v>73</v>
      </c>
      <c r="C55" s="86">
        <v>22</v>
      </c>
      <c r="D55" s="86">
        <v>6</v>
      </c>
      <c r="E55" s="85">
        <v>0</v>
      </c>
      <c r="F55" s="85">
        <v>0</v>
      </c>
      <c r="G55" s="13">
        <v>44978</v>
      </c>
      <c r="H55" s="86"/>
      <c r="I55" s="86"/>
      <c r="J55" s="85"/>
      <c r="K55" s="85"/>
      <c r="L55" s="85"/>
      <c r="M55" s="85"/>
      <c r="N55" s="85"/>
      <c r="O55" s="85"/>
      <c r="P55" s="85"/>
      <c r="Q55" s="85"/>
      <c r="R55" s="85"/>
      <c r="S55" s="85"/>
      <c r="T55" s="85"/>
    </row>
    <row r="56" spans="1:20" ht="14.5">
      <c r="A56" s="85" t="s">
        <v>13625</v>
      </c>
      <c r="B56" s="86">
        <v>40</v>
      </c>
      <c r="C56" s="86">
        <v>12</v>
      </c>
      <c r="D56" s="86">
        <v>213</v>
      </c>
      <c r="E56" s="85">
        <v>0</v>
      </c>
      <c r="F56" s="86">
        <v>1</v>
      </c>
      <c r="G56" s="13">
        <v>44978</v>
      </c>
      <c r="H56" s="85"/>
      <c r="I56" s="85"/>
      <c r="J56" s="85"/>
      <c r="K56" s="85"/>
      <c r="L56" s="85"/>
      <c r="M56" s="85"/>
      <c r="N56" s="85"/>
      <c r="O56" s="85"/>
      <c r="P56" s="85"/>
      <c r="Q56" s="85"/>
      <c r="R56" s="85"/>
      <c r="S56" s="85"/>
      <c r="T56" s="85"/>
    </row>
    <row r="57" spans="1:20" ht="14.5">
      <c r="A57" s="85" t="s">
        <v>13626</v>
      </c>
      <c r="B57" s="86">
        <v>33</v>
      </c>
      <c r="C57" s="86">
        <v>11</v>
      </c>
      <c r="D57" s="86">
        <v>19</v>
      </c>
      <c r="E57" s="85">
        <v>0</v>
      </c>
      <c r="F57" s="86">
        <v>3</v>
      </c>
      <c r="G57" s="13">
        <v>44978</v>
      </c>
      <c r="H57" s="85"/>
      <c r="I57" s="85"/>
      <c r="J57" s="86"/>
      <c r="K57" s="86"/>
      <c r="L57" s="85"/>
      <c r="M57" s="85"/>
      <c r="N57" s="85"/>
      <c r="O57" s="85"/>
      <c r="P57" s="85"/>
      <c r="Q57" s="85"/>
      <c r="R57" s="85"/>
      <c r="S57" s="85"/>
      <c r="T57" s="85"/>
    </row>
    <row r="58" spans="1:20" ht="14.5">
      <c r="A58" s="85" t="s">
        <v>13627</v>
      </c>
      <c r="B58" s="86">
        <v>67</v>
      </c>
      <c r="C58" s="86">
        <v>17</v>
      </c>
      <c r="D58" s="86">
        <v>38</v>
      </c>
      <c r="E58" s="85">
        <v>0</v>
      </c>
      <c r="F58" s="86">
        <v>9</v>
      </c>
      <c r="G58" s="13">
        <v>44978</v>
      </c>
      <c r="H58" s="85"/>
      <c r="I58" s="85"/>
      <c r="J58" s="86"/>
      <c r="K58" s="85"/>
      <c r="L58" s="85"/>
      <c r="M58" s="85"/>
      <c r="N58" s="85"/>
      <c r="O58" s="85"/>
      <c r="P58" s="85"/>
      <c r="Q58" s="85"/>
      <c r="R58" s="85"/>
      <c r="S58" s="85"/>
      <c r="T58" s="85"/>
    </row>
    <row r="59" spans="1:20" ht="14.5">
      <c r="A59" s="85" t="s">
        <v>13628</v>
      </c>
      <c r="B59" s="86">
        <v>68</v>
      </c>
      <c r="C59" s="86">
        <v>19</v>
      </c>
      <c r="D59" s="86">
        <v>15</v>
      </c>
      <c r="E59" s="85">
        <v>0</v>
      </c>
      <c r="F59" s="86">
        <v>1</v>
      </c>
      <c r="G59" s="13">
        <v>44978</v>
      </c>
      <c r="H59" s="86"/>
      <c r="I59" s="86"/>
      <c r="J59" s="86"/>
      <c r="K59" s="85"/>
      <c r="L59" s="85"/>
      <c r="M59" s="85"/>
      <c r="N59" s="85"/>
      <c r="O59" s="85"/>
      <c r="P59" s="85"/>
      <c r="Q59" s="85"/>
      <c r="R59" s="85"/>
      <c r="S59" s="85"/>
      <c r="T59" s="85"/>
    </row>
    <row r="60" spans="1:20" ht="14.5">
      <c r="A60" s="85" t="s">
        <v>13629</v>
      </c>
      <c r="B60" s="86">
        <v>31</v>
      </c>
      <c r="C60" s="86">
        <v>6</v>
      </c>
      <c r="D60" s="86">
        <v>7</v>
      </c>
      <c r="E60" s="85">
        <v>0</v>
      </c>
      <c r="F60" s="85">
        <v>0</v>
      </c>
      <c r="G60" s="13">
        <v>44978</v>
      </c>
      <c r="H60" s="85"/>
      <c r="I60" s="85"/>
      <c r="J60" s="85"/>
      <c r="K60" s="85"/>
      <c r="L60" s="85"/>
      <c r="M60" s="85"/>
      <c r="N60" s="85"/>
      <c r="O60" s="85"/>
      <c r="P60" s="85"/>
      <c r="Q60" s="85"/>
      <c r="R60" s="85"/>
      <c r="S60" s="85"/>
      <c r="T60" s="85"/>
    </row>
    <row r="61" spans="1:20" ht="14.5">
      <c r="A61" s="85" t="s">
        <v>13630</v>
      </c>
      <c r="B61" s="86">
        <v>49</v>
      </c>
      <c r="C61" s="86">
        <v>11</v>
      </c>
      <c r="D61" s="86">
        <v>121</v>
      </c>
      <c r="E61" s="85">
        <v>0</v>
      </c>
      <c r="F61" s="85">
        <v>0</v>
      </c>
      <c r="G61" s="13">
        <v>44978</v>
      </c>
      <c r="H61" s="85"/>
      <c r="I61" s="85"/>
      <c r="J61" s="85"/>
      <c r="K61" s="85"/>
      <c r="L61" s="85"/>
      <c r="M61" s="85"/>
      <c r="N61" s="85"/>
      <c r="O61" s="85"/>
      <c r="P61" s="85"/>
      <c r="Q61" s="85"/>
      <c r="R61" s="85"/>
      <c r="S61" s="85"/>
      <c r="T61" s="85"/>
    </row>
    <row r="62" spans="1:20" ht="14.5">
      <c r="A62" s="85" t="s">
        <v>13631</v>
      </c>
      <c r="B62" s="86">
        <v>25</v>
      </c>
      <c r="C62" s="86">
        <v>2</v>
      </c>
      <c r="D62" s="85">
        <v>0</v>
      </c>
      <c r="E62" s="86">
        <v>28</v>
      </c>
      <c r="F62" s="85">
        <v>0</v>
      </c>
      <c r="G62" s="13">
        <v>44978</v>
      </c>
      <c r="H62" s="85"/>
      <c r="I62" s="85"/>
      <c r="J62" s="85"/>
      <c r="K62" s="85"/>
      <c r="L62" s="85"/>
      <c r="M62" s="86"/>
      <c r="N62" s="86"/>
      <c r="O62" s="85"/>
      <c r="P62" s="85"/>
      <c r="Q62" s="85"/>
      <c r="R62" s="85"/>
      <c r="S62" s="85"/>
      <c r="T62" s="85"/>
    </row>
    <row r="63" spans="1:20" ht="14.5">
      <c r="A63" s="85" t="s">
        <v>13632</v>
      </c>
      <c r="B63" s="86">
        <v>69</v>
      </c>
      <c r="C63" s="86">
        <v>47</v>
      </c>
      <c r="D63" s="85">
        <v>0</v>
      </c>
      <c r="E63" s="85">
        <v>0</v>
      </c>
      <c r="F63" s="85">
        <v>0</v>
      </c>
      <c r="G63" s="13">
        <v>44978</v>
      </c>
      <c r="H63" s="85"/>
      <c r="I63" s="85"/>
      <c r="J63" s="85"/>
      <c r="K63" s="85"/>
      <c r="L63" s="85"/>
      <c r="M63" s="85"/>
      <c r="N63" s="85"/>
      <c r="O63" s="85"/>
      <c r="P63" s="85"/>
      <c r="Q63" s="85"/>
      <c r="R63" s="85"/>
      <c r="S63" s="85"/>
      <c r="T63" s="85"/>
    </row>
    <row r="64" spans="1:20" ht="14.5">
      <c r="A64" s="85" t="s">
        <v>13633</v>
      </c>
      <c r="B64" s="86">
        <v>69</v>
      </c>
      <c r="C64" s="86">
        <v>14</v>
      </c>
      <c r="D64" s="86">
        <v>1</v>
      </c>
      <c r="E64" s="85">
        <v>0</v>
      </c>
      <c r="F64" s="85">
        <v>0</v>
      </c>
      <c r="G64" s="13">
        <v>44978</v>
      </c>
      <c r="H64" s="86"/>
      <c r="I64" s="86"/>
      <c r="J64" s="85"/>
      <c r="K64" s="85"/>
      <c r="L64" s="85"/>
      <c r="M64" s="85"/>
      <c r="N64" s="85"/>
      <c r="O64" s="85"/>
      <c r="P64" s="85"/>
      <c r="Q64" s="85"/>
      <c r="R64" s="85"/>
      <c r="S64" s="85"/>
      <c r="T64" s="85"/>
    </row>
    <row r="65" spans="1:20" ht="14.5">
      <c r="A65" s="85" t="s">
        <v>13634</v>
      </c>
      <c r="B65" s="86">
        <v>80</v>
      </c>
      <c r="C65" s="86">
        <v>11</v>
      </c>
      <c r="D65" s="85">
        <v>0</v>
      </c>
      <c r="E65" s="85">
        <v>0</v>
      </c>
      <c r="F65" s="86">
        <v>1</v>
      </c>
      <c r="G65" s="13">
        <v>44978</v>
      </c>
      <c r="H65" s="85"/>
      <c r="I65" s="85"/>
      <c r="J65" s="85"/>
      <c r="K65" s="85"/>
      <c r="L65" s="85"/>
      <c r="M65" s="85"/>
      <c r="N65" s="85"/>
      <c r="O65" s="85"/>
      <c r="P65" s="85"/>
      <c r="Q65" s="85"/>
      <c r="R65" s="85"/>
      <c r="S65" s="85"/>
      <c r="T65" s="85"/>
    </row>
    <row r="66" spans="1:20" ht="14.5">
      <c r="A66" s="85" t="s">
        <v>13635</v>
      </c>
      <c r="B66" s="86">
        <v>143</v>
      </c>
      <c r="C66" s="86">
        <v>24</v>
      </c>
      <c r="D66" s="85">
        <v>0</v>
      </c>
      <c r="E66" s="86">
        <v>104</v>
      </c>
      <c r="F66" s="85">
        <v>0</v>
      </c>
      <c r="G66" s="13">
        <v>44978</v>
      </c>
      <c r="H66" s="85"/>
      <c r="I66" s="85"/>
      <c r="J66" s="85"/>
      <c r="K66" s="85"/>
      <c r="L66" s="85"/>
      <c r="M66" s="85"/>
      <c r="N66" s="85"/>
      <c r="O66" s="85"/>
      <c r="P66" s="85"/>
      <c r="Q66" s="85"/>
      <c r="R66" s="85"/>
      <c r="S66" s="85"/>
      <c r="T66" s="85"/>
    </row>
    <row r="67" spans="1:20" ht="14.5">
      <c r="A67" s="85" t="s">
        <v>13636</v>
      </c>
      <c r="B67" s="86">
        <v>60</v>
      </c>
      <c r="C67" s="86">
        <v>8</v>
      </c>
      <c r="D67" s="85">
        <v>0</v>
      </c>
      <c r="E67" s="85">
        <v>0</v>
      </c>
      <c r="F67" s="85">
        <v>0</v>
      </c>
      <c r="G67" s="13">
        <v>44978</v>
      </c>
      <c r="H67" s="85"/>
      <c r="I67" s="85"/>
      <c r="J67" s="85"/>
      <c r="K67" s="85"/>
      <c r="L67" s="85"/>
      <c r="M67" s="85"/>
      <c r="N67" s="85"/>
      <c r="O67" s="85"/>
      <c r="P67" s="85"/>
      <c r="Q67" s="85"/>
      <c r="R67" s="85"/>
      <c r="S67" s="85"/>
      <c r="T67" s="85"/>
    </row>
    <row r="68" spans="1:20" ht="14.5">
      <c r="A68" s="85" t="s">
        <v>13637</v>
      </c>
      <c r="B68" s="86">
        <v>48</v>
      </c>
      <c r="C68" s="86">
        <v>11</v>
      </c>
      <c r="D68" s="86">
        <v>8</v>
      </c>
      <c r="E68" s="85">
        <v>0</v>
      </c>
      <c r="F68" s="86">
        <v>1</v>
      </c>
      <c r="G68" s="13">
        <v>44978</v>
      </c>
      <c r="H68" s="86"/>
      <c r="I68" s="86"/>
      <c r="J68" s="85"/>
      <c r="K68" s="85"/>
      <c r="L68" s="85"/>
      <c r="M68" s="85"/>
      <c r="N68" s="85"/>
      <c r="O68" s="85"/>
      <c r="P68" s="85"/>
      <c r="Q68" s="85"/>
      <c r="R68" s="85"/>
      <c r="S68" s="85"/>
      <c r="T68" s="85"/>
    </row>
    <row r="69" spans="1:20" ht="14.5">
      <c r="A69" s="85" t="s">
        <v>13638</v>
      </c>
      <c r="B69" s="86">
        <v>64</v>
      </c>
      <c r="C69" s="86">
        <v>13</v>
      </c>
      <c r="D69" s="86">
        <v>2</v>
      </c>
      <c r="E69" s="86">
        <v>24</v>
      </c>
      <c r="F69" s="85">
        <v>0</v>
      </c>
      <c r="G69" s="13">
        <v>44978</v>
      </c>
      <c r="H69" s="85"/>
      <c r="I69" s="85"/>
      <c r="J69" s="85"/>
      <c r="K69" s="85"/>
      <c r="L69" s="85"/>
      <c r="M69" s="86"/>
      <c r="N69" s="86"/>
      <c r="O69" s="85"/>
      <c r="P69" s="85"/>
      <c r="Q69" s="85"/>
      <c r="R69" s="85"/>
      <c r="S69" s="85"/>
      <c r="T69" s="85"/>
    </row>
    <row r="70" spans="1:20" ht="14.5">
      <c r="A70" s="85" t="s">
        <v>13639</v>
      </c>
      <c r="B70" s="86">
        <v>17</v>
      </c>
      <c r="C70" s="86">
        <v>3</v>
      </c>
      <c r="D70" s="86">
        <v>32</v>
      </c>
      <c r="E70" s="85">
        <v>0</v>
      </c>
      <c r="F70" s="85">
        <v>0</v>
      </c>
      <c r="G70" s="13">
        <v>44978</v>
      </c>
      <c r="H70" s="85"/>
      <c r="I70" s="85"/>
      <c r="J70" s="85"/>
      <c r="K70" s="85"/>
      <c r="L70" s="85"/>
      <c r="M70" s="85"/>
      <c r="N70" s="85"/>
      <c r="O70" s="85"/>
      <c r="P70" s="85"/>
      <c r="Q70" s="85"/>
      <c r="R70" s="85"/>
      <c r="S70" s="85"/>
      <c r="T70" s="85"/>
    </row>
    <row r="71" spans="1:20" ht="14.5">
      <c r="A71" s="85" t="s">
        <v>13640</v>
      </c>
      <c r="B71" s="86">
        <v>30</v>
      </c>
      <c r="C71" s="86">
        <v>1</v>
      </c>
      <c r="D71" s="86">
        <v>5</v>
      </c>
      <c r="E71" s="85">
        <v>0</v>
      </c>
      <c r="F71" s="85">
        <v>0</v>
      </c>
      <c r="G71" s="13">
        <v>44978</v>
      </c>
      <c r="H71" s="85"/>
      <c r="I71" s="85"/>
      <c r="J71" s="85"/>
      <c r="K71" s="85"/>
      <c r="L71" s="85"/>
      <c r="M71" s="85"/>
      <c r="N71" s="85"/>
      <c r="O71" s="85"/>
      <c r="P71" s="85"/>
      <c r="Q71" s="85"/>
      <c r="R71" s="85"/>
      <c r="S71" s="85"/>
      <c r="T71" s="85"/>
    </row>
    <row r="72" spans="1:20" ht="14.5">
      <c r="A72" s="85" t="s">
        <v>13641</v>
      </c>
      <c r="B72" s="86">
        <v>285</v>
      </c>
      <c r="C72" s="86">
        <v>93</v>
      </c>
      <c r="D72" s="86">
        <v>144</v>
      </c>
      <c r="E72" s="85">
        <v>0</v>
      </c>
      <c r="F72" s="86">
        <v>2</v>
      </c>
      <c r="G72" s="13">
        <v>44978</v>
      </c>
      <c r="H72" s="86"/>
      <c r="I72" s="86"/>
      <c r="J72" s="86"/>
      <c r="K72" s="85"/>
      <c r="L72" s="85"/>
      <c r="M72" s="85"/>
      <c r="N72" s="85"/>
      <c r="O72" s="85"/>
      <c r="P72" s="85"/>
      <c r="Q72" s="85"/>
      <c r="R72" s="85"/>
      <c r="S72" s="85"/>
      <c r="T72" s="85"/>
    </row>
    <row r="73" spans="1:20" ht="14.5">
      <c r="A73" s="85" t="s">
        <v>13642</v>
      </c>
      <c r="B73" s="86">
        <v>101</v>
      </c>
      <c r="C73" s="86">
        <v>11</v>
      </c>
      <c r="D73" s="86">
        <v>13</v>
      </c>
      <c r="E73" s="86">
        <v>4</v>
      </c>
      <c r="F73" s="85">
        <v>0</v>
      </c>
      <c r="G73" s="13">
        <v>44978</v>
      </c>
      <c r="H73" s="85"/>
      <c r="I73" s="85"/>
      <c r="J73" s="85"/>
      <c r="K73" s="85"/>
      <c r="L73" s="85"/>
      <c r="M73" s="85"/>
      <c r="N73" s="85"/>
      <c r="O73" s="85"/>
      <c r="P73" s="85"/>
      <c r="Q73" s="85"/>
      <c r="R73" s="85"/>
      <c r="S73" s="85"/>
      <c r="T73" s="85"/>
    </row>
    <row r="74" spans="1:20" ht="14.5">
      <c r="A74" s="85" t="s">
        <v>13643</v>
      </c>
      <c r="B74" s="86">
        <v>20</v>
      </c>
      <c r="C74" s="86">
        <v>7</v>
      </c>
      <c r="D74" s="86">
        <v>2</v>
      </c>
      <c r="E74" s="86">
        <v>101</v>
      </c>
      <c r="F74" s="85">
        <v>0</v>
      </c>
      <c r="G74" s="13">
        <v>44978</v>
      </c>
      <c r="H74" s="86"/>
      <c r="I74" s="86"/>
      <c r="J74" s="85"/>
      <c r="K74" s="85"/>
      <c r="L74" s="85"/>
      <c r="M74" s="86"/>
      <c r="N74" s="86"/>
      <c r="O74" s="85"/>
      <c r="P74" s="85"/>
      <c r="Q74" s="85"/>
      <c r="R74" s="85"/>
      <c r="S74" s="85"/>
      <c r="T74" s="85"/>
    </row>
    <row r="75" spans="1:20" ht="14.5">
      <c r="A75" s="85" t="s">
        <v>13644</v>
      </c>
      <c r="B75" s="86">
        <v>63</v>
      </c>
      <c r="C75" s="86">
        <v>37</v>
      </c>
      <c r="D75" s="86">
        <v>17</v>
      </c>
      <c r="E75" s="86">
        <v>15</v>
      </c>
      <c r="F75" s="85">
        <v>0</v>
      </c>
      <c r="G75" s="13">
        <v>44978</v>
      </c>
      <c r="H75" s="86"/>
      <c r="I75" s="86"/>
      <c r="J75" s="85"/>
      <c r="K75" s="85"/>
      <c r="L75" s="85"/>
      <c r="M75" s="86"/>
      <c r="N75" s="86"/>
      <c r="O75" s="85"/>
      <c r="P75" s="85"/>
      <c r="Q75" s="85"/>
      <c r="R75" s="85"/>
      <c r="S75" s="85"/>
      <c r="T75" s="85"/>
    </row>
    <row r="76" spans="1:20" ht="14.5">
      <c r="A76" s="85" t="s">
        <v>13645</v>
      </c>
      <c r="B76" s="86">
        <v>5</v>
      </c>
      <c r="C76" s="86">
        <v>10</v>
      </c>
      <c r="D76" s="86">
        <v>5</v>
      </c>
      <c r="E76" s="85">
        <v>0</v>
      </c>
      <c r="F76" s="85">
        <v>0</v>
      </c>
      <c r="G76" s="13">
        <v>44978</v>
      </c>
      <c r="H76" s="85"/>
      <c r="I76" s="85"/>
      <c r="J76" s="85"/>
      <c r="K76" s="85"/>
      <c r="L76" s="85"/>
      <c r="M76" s="85"/>
      <c r="N76" s="85"/>
      <c r="O76" s="85"/>
      <c r="P76" s="85"/>
      <c r="Q76" s="85"/>
      <c r="R76" s="85"/>
      <c r="S76" s="85"/>
      <c r="T76" s="85"/>
    </row>
    <row r="77" spans="1:20" ht="14.5">
      <c r="A77" s="85" t="s">
        <v>13646</v>
      </c>
      <c r="B77" s="86">
        <v>10</v>
      </c>
      <c r="C77" s="86">
        <v>3</v>
      </c>
      <c r="D77" s="85">
        <v>0</v>
      </c>
      <c r="E77" s="85">
        <v>0</v>
      </c>
      <c r="F77" s="85">
        <v>0</v>
      </c>
      <c r="G77" s="13">
        <v>44978</v>
      </c>
      <c r="H77" s="85"/>
      <c r="I77" s="85"/>
      <c r="J77" s="85"/>
      <c r="K77" s="85"/>
      <c r="L77" s="85"/>
      <c r="M77" s="85"/>
      <c r="N77" s="85"/>
      <c r="O77" s="85"/>
      <c r="P77" s="85"/>
      <c r="Q77" s="85"/>
      <c r="R77" s="85"/>
      <c r="S77" s="85"/>
      <c r="T77" s="85"/>
    </row>
    <row r="78" spans="1:20" ht="14.5">
      <c r="A78" s="85" t="s">
        <v>13647</v>
      </c>
      <c r="B78" s="86">
        <v>4</v>
      </c>
      <c r="C78" s="86">
        <v>6</v>
      </c>
      <c r="D78" s="85">
        <v>0</v>
      </c>
      <c r="E78" s="85">
        <v>0</v>
      </c>
      <c r="F78" s="85">
        <v>0</v>
      </c>
      <c r="G78" s="13">
        <v>44978</v>
      </c>
      <c r="H78" s="85"/>
      <c r="I78" s="85"/>
      <c r="J78" s="85"/>
      <c r="K78" s="85"/>
      <c r="L78" s="85"/>
      <c r="M78" s="85"/>
      <c r="N78" s="85"/>
      <c r="O78" s="85"/>
      <c r="P78" s="85"/>
      <c r="Q78" s="85"/>
      <c r="R78" s="85"/>
      <c r="S78" s="85"/>
      <c r="T78" s="85"/>
    </row>
    <row r="79" spans="1:20" ht="14.5">
      <c r="A79" s="85" t="s">
        <v>13648</v>
      </c>
      <c r="B79" s="86">
        <v>9</v>
      </c>
      <c r="C79" s="86">
        <v>9</v>
      </c>
      <c r="D79" s="85">
        <v>0</v>
      </c>
      <c r="E79" s="85">
        <v>0</v>
      </c>
      <c r="F79" s="85">
        <v>0</v>
      </c>
      <c r="G79" s="13">
        <v>44978</v>
      </c>
      <c r="H79" s="85"/>
      <c r="I79" s="85"/>
      <c r="J79" s="85"/>
      <c r="K79" s="85"/>
      <c r="L79" s="85"/>
      <c r="M79" s="85"/>
      <c r="N79" s="85"/>
      <c r="O79" s="85"/>
      <c r="P79" s="85"/>
      <c r="Q79" s="85"/>
      <c r="R79" s="85"/>
      <c r="S79" s="85"/>
      <c r="T79" s="85"/>
    </row>
    <row r="80" spans="1:20" ht="14.5">
      <c r="A80" s="85" t="s">
        <v>13649</v>
      </c>
      <c r="B80" s="86">
        <v>10</v>
      </c>
      <c r="C80" s="86">
        <v>1</v>
      </c>
      <c r="D80" s="85">
        <v>0</v>
      </c>
      <c r="E80" s="85">
        <v>0</v>
      </c>
      <c r="F80" s="85">
        <v>0</v>
      </c>
      <c r="G80" s="13">
        <v>44978</v>
      </c>
      <c r="H80" s="85"/>
      <c r="I80" s="85"/>
      <c r="J80" s="85"/>
      <c r="K80" s="85"/>
      <c r="L80" s="85"/>
      <c r="M80" s="85"/>
      <c r="N80" s="85"/>
      <c r="O80" s="85"/>
      <c r="P80" s="85"/>
      <c r="Q80" s="85"/>
      <c r="R80" s="85"/>
      <c r="S80" s="85"/>
      <c r="T80" s="85"/>
    </row>
    <row r="81" spans="1:20" ht="14.5">
      <c r="A81" s="85" t="s">
        <v>13650</v>
      </c>
      <c r="B81" s="86">
        <v>91</v>
      </c>
      <c r="C81" s="86">
        <v>47</v>
      </c>
      <c r="D81" s="86">
        <v>3</v>
      </c>
      <c r="E81" s="85">
        <v>0</v>
      </c>
      <c r="F81" s="85">
        <v>0</v>
      </c>
      <c r="G81" s="13">
        <v>44978</v>
      </c>
      <c r="H81" s="86"/>
      <c r="I81" s="86"/>
      <c r="J81" s="85"/>
      <c r="K81" s="85"/>
      <c r="L81" s="85"/>
      <c r="M81" s="85"/>
      <c r="N81" s="85"/>
      <c r="O81" s="85"/>
      <c r="P81" s="85"/>
      <c r="Q81" s="85"/>
      <c r="R81" s="85"/>
      <c r="S81" s="85"/>
      <c r="T81" s="85"/>
    </row>
    <row r="82" spans="1:20" ht="14.5">
      <c r="A82" s="85" t="s">
        <v>13651</v>
      </c>
      <c r="B82" s="86">
        <v>1</v>
      </c>
      <c r="C82" s="85">
        <v>0</v>
      </c>
      <c r="D82" s="86">
        <v>1</v>
      </c>
      <c r="E82" s="85">
        <v>0</v>
      </c>
      <c r="F82" s="85">
        <v>0</v>
      </c>
      <c r="G82" s="13">
        <v>44978</v>
      </c>
      <c r="H82" s="85"/>
      <c r="I82" s="85"/>
      <c r="J82" s="85"/>
      <c r="K82" s="85"/>
      <c r="L82" s="85"/>
      <c r="M82" s="85"/>
      <c r="N82" s="85"/>
      <c r="O82" s="85"/>
      <c r="P82" s="85"/>
      <c r="Q82" s="85"/>
      <c r="R82" s="85"/>
      <c r="S82" s="85"/>
      <c r="T82" s="85"/>
    </row>
    <row r="83" spans="1:20" ht="14.5">
      <c r="A83" s="85" t="s">
        <v>13652</v>
      </c>
      <c r="B83" s="86">
        <v>32</v>
      </c>
      <c r="C83" s="86">
        <v>1</v>
      </c>
      <c r="D83" s="86">
        <v>42</v>
      </c>
      <c r="E83" s="85">
        <v>0</v>
      </c>
      <c r="F83" s="85">
        <v>0</v>
      </c>
      <c r="G83" s="13">
        <v>44978</v>
      </c>
      <c r="H83" s="85"/>
      <c r="I83" s="85"/>
      <c r="J83" s="85"/>
      <c r="K83" s="85"/>
      <c r="L83" s="85"/>
      <c r="M83" s="85"/>
      <c r="N83" s="85"/>
      <c r="O83" s="85"/>
      <c r="P83" s="85"/>
      <c r="Q83" s="85"/>
      <c r="R83" s="85"/>
      <c r="S83" s="85"/>
      <c r="T83" s="85"/>
    </row>
    <row r="84" spans="1:20" ht="14.5">
      <c r="A84" s="85" t="s">
        <v>13653</v>
      </c>
      <c r="B84" s="86">
        <v>11</v>
      </c>
      <c r="C84" s="86">
        <v>4</v>
      </c>
      <c r="D84" s="85">
        <v>0</v>
      </c>
      <c r="E84" s="85">
        <v>0</v>
      </c>
      <c r="F84" s="85">
        <v>0</v>
      </c>
      <c r="G84" s="13">
        <v>44978</v>
      </c>
      <c r="H84" s="85"/>
      <c r="I84" s="85"/>
      <c r="J84" s="85"/>
      <c r="K84" s="85"/>
      <c r="L84" s="85"/>
      <c r="M84" s="85"/>
      <c r="N84" s="85"/>
      <c r="O84" s="85"/>
      <c r="P84" s="85"/>
      <c r="Q84" s="85"/>
      <c r="R84" s="85"/>
      <c r="S84" s="85"/>
      <c r="T84" s="85"/>
    </row>
    <row r="85" spans="1:20" ht="14.5">
      <c r="A85" s="85" t="s">
        <v>13654</v>
      </c>
      <c r="B85" s="86">
        <v>1</v>
      </c>
      <c r="C85" s="85">
        <v>0</v>
      </c>
      <c r="D85" s="85">
        <v>0</v>
      </c>
      <c r="E85" s="85">
        <v>0</v>
      </c>
      <c r="F85" s="85">
        <v>0</v>
      </c>
      <c r="G85" s="13">
        <v>44978</v>
      </c>
      <c r="H85" s="85"/>
      <c r="I85" s="85"/>
      <c r="J85" s="85"/>
      <c r="K85" s="85"/>
      <c r="L85" s="85"/>
      <c r="M85" s="85"/>
      <c r="N85" s="85"/>
      <c r="O85" s="85"/>
      <c r="P85" s="85"/>
      <c r="Q85" s="85"/>
      <c r="R85" s="85"/>
      <c r="S85" s="85"/>
      <c r="T85" s="85"/>
    </row>
    <row r="86" spans="1:20" ht="14.5">
      <c r="A86" s="85" t="s">
        <v>13655</v>
      </c>
      <c r="B86" s="86">
        <v>10</v>
      </c>
      <c r="C86" s="86">
        <v>2</v>
      </c>
      <c r="D86" s="85">
        <v>0</v>
      </c>
      <c r="E86" s="86">
        <v>65</v>
      </c>
      <c r="F86" s="85">
        <v>0</v>
      </c>
      <c r="G86" s="13">
        <v>44978</v>
      </c>
      <c r="H86" s="85"/>
      <c r="I86" s="85"/>
      <c r="J86" s="85"/>
      <c r="K86" s="85"/>
      <c r="L86" s="85"/>
      <c r="M86" s="86"/>
      <c r="N86" s="86"/>
      <c r="O86" s="85"/>
      <c r="P86" s="85"/>
      <c r="Q86" s="85"/>
      <c r="R86" s="85"/>
      <c r="S86" s="85"/>
      <c r="T86" s="85"/>
    </row>
    <row r="87" spans="1:20" ht="14.5">
      <c r="A87" s="85" t="s">
        <v>13656</v>
      </c>
      <c r="B87" s="86">
        <v>184</v>
      </c>
      <c r="C87" s="86">
        <v>18</v>
      </c>
      <c r="D87" s="86">
        <v>29</v>
      </c>
      <c r="E87" s="86">
        <v>9</v>
      </c>
      <c r="F87" s="85">
        <v>0</v>
      </c>
      <c r="G87" s="13">
        <v>44978</v>
      </c>
      <c r="H87" s="86"/>
      <c r="I87" s="86"/>
      <c r="J87" s="85"/>
      <c r="K87" s="85"/>
      <c r="L87" s="85"/>
      <c r="M87" s="86"/>
      <c r="N87" s="86"/>
      <c r="O87" s="85"/>
      <c r="P87" s="85"/>
      <c r="Q87" s="85"/>
      <c r="R87" s="85"/>
      <c r="S87" s="85"/>
      <c r="T87" s="85"/>
    </row>
    <row r="88" spans="1:20" ht="14.5">
      <c r="A88" s="85" t="s">
        <v>13657</v>
      </c>
      <c r="B88" s="86">
        <v>10</v>
      </c>
      <c r="C88" s="85">
        <v>0</v>
      </c>
      <c r="D88" s="86">
        <v>1</v>
      </c>
      <c r="E88" s="85">
        <v>0</v>
      </c>
      <c r="F88" s="85">
        <v>0</v>
      </c>
      <c r="G88" s="13">
        <v>44978</v>
      </c>
      <c r="H88" s="85"/>
      <c r="I88" s="85"/>
      <c r="J88" s="85"/>
      <c r="K88" s="85"/>
      <c r="L88" s="85"/>
      <c r="M88" s="85"/>
      <c r="N88" s="85"/>
      <c r="O88" s="85"/>
      <c r="P88" s="85"/>
      <c r="Q88" s="85"/>
      <c r="R88" s="85"/>
      <c r="S88" s="85"/>
      <c r="T88" s="85"/>
    </row>
    <row r="89" spans="1:20" ht="14.5">
      <c r="A89" s="85" t="s">
        <v>13658</v>
      </c>
      <c r="B89" s="86">
        <v>43</v>
      </c>
      <c r="C89" s="86">
        <v>13</v>
      </c>
      <c r="D89" s="86">
        <v>84</v>
      </c>
      <c r="E89" s="86">
        <v>3</v>
      </c>
      <c r="F89" s="85">
        <v>0</v>
      </c>
      <c r="G89" s="13">
        <v>44978</v>
      </c>
      <c r="H89" s="85"/>
      <c r="I89" s="85"/>
      <c r="J89" s="85"/>
      <c r="K89" s="85"/>
      <c r="L89" s="85"/>
      <c r="M89" s="85"/>
      <c r="N89" s="85"/>
      <c r="O89" s="85"/>
      <c r="P89" s="85"/>
      <c r="Q89" s="85"/>
      <c r="R89" s="85"/>
      <c r="S89" s="85"/>
      <c r="T89" s="85"/>
    </row>
    <row r="90" spans="1:20" ht="14.5">
      <c r="A90" s="85" t="s">
        <v>13659</v>
      </c>
      <c r="B90" s="86">
        <v>3</v>
      </c>
      <c r="C90" s="86">
        <v>3</v>
      </c>
      <c r="D90" s="86">
        <v>8</v>
      </c>
      <c r="E90" s="85">
        <v>0</v>
      </c>
      <c r="F90" s="85">
        <v>0</v>
      </c>
      <c r="G90" s="13">
        <v>44978</v>
      </c>
      <c r="H90" s="85"/>
      <c r="I90" s="85"/>
      <c r="J90" s="85"/>
      <c r="K90" s="85"/>
      <c r="L90" s="85"/>
      <c r="M90" s="85"/>
      <c r="N90" s="85"/>
      <c r="O90" s="85"/>
      <c r="P90" s="85"/>
      <c r="Q90" s="85"/>
      <c r="R90" s="85"/>
      <c r="S90" s="85"/>
      <c r="T90" s="85"/>
    </row>
    <row r="91" spans="1:20" ht="14.5">
      <c r="A91" s="85" t="s">
        <v>13660</v>
      </c>
      <c r="B91" s="86">
        <v>17</v>
      </c>
      <c r="C91" s="86">
        <v>38</v>
      </c>
      <c r="D91" s="86">
        <v>39</v>
      </c>
      <c r="E91" s="86">
        <v>3</v>
      </c>
      <c r="F91" s="85">
        <v>0</v>
      </c>
      <c r="G91" s="13">
        <v>44978</v>
      </c>
      <c r="H91" s="85"/>
      <c r="I91" s="85"/>
      <c r="J91" s="85"/>
      <c r="K91" s="85"/>
      <c r="L91" s="85"/>
      <c r="M91" s="85"/>
      <c r="N91" s="85"/>
      <c r="O91" s="85"/>
      <c r="P91" s="85"/>
      <c r="Q91" s="85"/>
      <c r="R91" s="85"/>
      <c r="S91" s="85"/>
      <c r="T91" s="85"/>
    </row>
    <row r="92" spans="1:20" ht="14.5">
      <c r="A92" s="85" t="s">
        <v>13661</v>
      </c>
      <c r="B92" s="86">
        <v>71</v>
      </c>
      <c r="C92" s="86">
        <v>18</v>
      </c>
      <c r="D92" s="86">
        <v>9</v>
      </c>
      <c r="E92" s="86">
        <v>12</v>
      </c>
      <c r="F92" s="85">
        <v>0</v>
      </c>
      <c r="G92" s="13">
        <v>44978</v>
      </c>
      <c r="H92" s="85"/>
      <c r="I92" s="85"/>
      <c r="J92" s="85"/>
      <c r="K92" s="85"/>
      <c r="L92" s="85"/>
      <c r="M92" s="86"/>
      <c r="N92" s="86"/>
      <c r="O92" s="85"/>
      <c r="P92" s="85"/>
      <c r="Q92" s="85"/>
      <c r="R92" s="85"/>
      <c r="S92" s="85"/>
      <c r="T92" s="85"/>
    </row>
    <row r="93" spans="1:20" ht="14.5">
      <c r="A93" s="85" t="s">
        <v>13662</v>
      </c>
      <c r="B93" s="86">
        <v>41</v>
      </c>
      <c r="C93" s="86">
        <v>8</v>
      </c>
      <c r="D93" s="86">
        <v>22</v>
      </c>
      <c r="E93" s="86">
        <v>13</v>
      </c>
      <c r="F93" s="85">
        <v>0</v>
      </c>
      <c r="G93" s="13">
        <v>44978</v>
      </c>
      <c r="H93" s="85"/>
      <c r="I93" s="85"/>
      <c r="J93" s="85"/>
      <c r="K93" s="85"/>
      <c r="L93" s="85"/>
      <c r="M93" s="86"/>
      <c r="N93" s="86"/>
      <c r="O93" s="85"/>
      <c r="P93" s="85"/>
      <c r="Q93" s="85"/>
      <c r="R93" s="85"/>
      <c r="S93" s="85"/>
      <c r="T93" s="85"/>
    </row>
    <row r="94" spans="1:20" ht="14.5">
      <c r="A94" s="85" t="s">
        <v>13663</v>
      </c>
      <c r="B94" s="86">
        <v>28</v>
      </c>
      <c r="C94" s="86">
        <v>3</v>
      </c>
      <c r="D94" s="86">
        <v>16</v>
      </c>
      <c r="E94" s="86">
        <v>11</v>
      </c>
      <c r="F94" s="85">
        <v>0</v>
      </c>
      <c r="G94" s="13">
        <v>44978</v>
      </c>
      <c r="H94" s="85"/>
      <c r="I94" s="85"/>
      <c r="J94" s="85"/>
      <c r="K94" s="85"/>
      <c r="L94" s="85"/>
      <c r="M94" s="85"/>
      <c r="N94" s="86"/>
      <c r="O94" s="85"/>
      <c r="P94" s="85"/>
      <c r="Q94" s="85"/>
      <c r="R94" s="85"/>
      <c r="S94" s="85"/>
      <c r="T94" s="85"/>
    </row>
    <row r="95" spans="1:20" ht="14.5">
      <c r="A95" s="85" t="s">
        <v>13664</v>
      </c>
      <c r="B95" s="86">
        <v>68</v>
      </c>
      <c r="C95" s="86">
        <v>4</v>
      </c>
      <c r="D95" s="86">
        <v>25</v>
      </c>
      <c r="E95" s="86">
        <v>4</v>
      </c>
      <c r="F95" s="85">
        <v>0</v>
      </c>
      <c r="G95" s="13">
        <v>44978</v>
      </c>
      <c r="H95" s="85"/>
      <c r="I95" s="85"/>
      <c r="J95" s="85"/>
      <c r="K95" s="85"/>
      <c r="L95" s="85"/>
      <c r="M95" s="85"/>
      <c r="N95" s="85"/>
      <c r="O95" s="85"/>
      <c r="P95" s="85"/>
      <c r="Q95" s="85"/>
      <c r="R95" s="85"/>
      <c r="S95" s="85"/>
      <c r="T95" s="85"/>
    </row>
    <row r="96" spans="1:20" ht="14.5">
      <c r="A96" s="85" t="s">
        <v>13665</v>
      </c>
      <c r="B96" s="86">
        <v>18</v>
      </c>
      <c r="C96" s="86">
        <v>6</v>
      </c>
      <c r="D96" s="86">
        <v>166</v>
      </c>
      <c r="E96" s="85">
        <v>0</v>
      </c>
      <c r="F96" s="85">
        <v>0</v>
      </c>
      <c r="G96" s="13">
        <v>44978</v>
      </c>
      <c r="H96" s="85"/>
      <c r="I96" s="85"/>
      <c r="J96" s="85"/>
      <c r="K96" s="85"/>
      <c r="L96" s="85"/>
      <c r="M96" s="85"/>
      <c r="N96" s="85"/>
      <c r="O96" s="85"/>
      <c r="P96" s="85"/>
      <c r="Q96" s="85"/>
      <c r="R96" s="85"/>
      <c r="S96" s="85"/>
      <c r="T96" s="85"/>
    </row>
    <row r="97" spans="1:20" ht="14.5">
      <c r="A97" s="85" t="s">
        <v>13666</v>
      </c>
      <c r="B97" s="86">
        <v>111</v>
      </c>
      <c r="C97" s="86">
        <v>18</v>
      </c>
      <c r="D97" s="86">
        <v>192</v>
      </c>
      <c r="E97" s="86">
        <v>11</v>
      </c>
      <c r="F97" s="86">
        <v>2</v>
      </c>
      <c r="G97" s="13">
        <v>44978</v>
      </c>
      <c r="H97" s="85"/>
      <c r="I97" s="85"/>
      <c r="J97" s="85"/>
      <c r="K97" s="86"/>
      <c r="L97" s="85"/>
      <c r="M97" s="86"/>
      <c r="N97" s="85"/>
      <c r="O97" s="85"/>
      <c r="P97" s="85"/>
      <c r="Q97" s="85"/>
      <c r="R97" s="85"/>
      <c r="S97" s="85"/>
      <c r="T97" s="85"/>
    </row>
    <row r="98" spans="1:20" ht="14.5">
      <c r="A98" s="85" t="s">
        <v>13667</v>
      </c>
      <c r="B98" s="86">
        <v>74</v>
      </c>
      <c r="C98" s="86">
        <v>71</v>
      </c>
      <c r="D98" s="86">
        <v>13</v>
      </c>
      <c r="E98" s="85">
        <v>0</v>
      </c>
      <c r="F98" s="86">
        <v>1</v>
      </c>
      <c r="G98" s="13">
        <v>44978</v>
      </c>
      <c r="H98" s="85"/>
      <c r="I98" s="85"/>
      <c r="J98" s="86"/>
      <c r="K98" s="85"/>
      <c r="L98" s="85"/>
      <c r="M98" s="85"/>
      <c r="N98" s="85"/>
      <c r="O98" s="85"/>
      <c r="P98" s="85"/>
      <c r="Q98" s="85"/>
      <c r="R98" s="85"/>
      <c r="S98" s="85"/>
      <c r="T98" s="85"/>
    </row>
    <row r="99" spans="1:20" ht="14.5">
      <c r="A99" s="85" t="s">
        <v>13668</v>
      </c>
      <c r="B99" s="86">
        <v>36</v>
      </c>
      <c r="C99" s="86">
        <v>8</v>
      </c>
      <c r="D99" s="85">
        <v>0</v>
      </c>
      <c r="E99" s="85">
        <v>0</v>
      </c>
      <c r="F99" s="85">
        <v>0</v>
      </c>
      <c r="G99" s="13">
        <v>44978</v>
      </c>
      <c r="H99" s="85"/>
      <c r="I99" s="85"/>
      <c r="J99" s="85"/>
      <c r="K99" s="85"/>
      <c r="L99" s="85"/>
      <c r="M99" s="85"/>
      <c r="N99" s="85"/>
      <c r="O99" s="85"/>
      <c r="P99" s="85"/>
      <c r="Q99" s="85"/>
      <c r="R99" s="85"/>
      <c r="S99" s="85"/>
      <c r="T99" s="85"/>
    </row>
    <row r="100" spans="1:20" ht="14.5">
      <c r="A100" s="85" t="s">
        <v>13669</v>
      </c>
      <c r="B100" s="86">
        <v>11</v>
      </c>
      <c r="C100" s="86">
        <v>10</v>
      </c>
      <c r="D100" s="86">
        <v>20</v>
      </c>
      <c r="E100" s="85">
        <v>0</v>
      </c>
      <c r="F100" s="86">
        <v>3</v>
      </c>
      <c r="G100" s="13">
        <v>44978</v>
      </c>
      <c r="H100" s="85"/>
      <c r="I100" s="85"/>
      <c r="J100" s="86"/>
      <c r="K100" s="85"/>
      <c r="L100" s="85"/>
      <c r="M100" s="85"/>
      <c r="N100" s="85"/>
      <c r="O100" s="85"/>
      <c r="P100" s="85"/>
      <c r="Q100" s="85"/>
      <c r="R100" s="85"/>
      <c r="S100" s="85"/>
      <c r="T100" s="85"/>
    </row>
    <row r="101" spans="1:20" ht="14.5">
      <c r="A101" s="85" t="s">
        <v>13670</v>
      </c>
      <c r="B101" s="86">
        <v>26</v>
      </c>
      <c r="C101" s="86">
        <v>4</v>
      </c>
      <c r="D101" s="86">
        <v>6</v>
      </c>
      <c r="E101" s="86">
        <v>19</v>
      </c>
      <c r="F101" s="85">
        <v>0</v>
      </c>
      <c r="G101" s="13">
        <v>44978</v>
      </c>
      <c r="H101" s="85"/>
      <c r="I101" s="85"/>
      <c r="J101" s="85"/>
      <c r="K101" s="85"/>
      <c r="L101" s="85"/>
      <c r="M101" s="85"/>
      <c r="N101" s="86"/>
      <c r="O101" s="85"/>
      <c r="P101" s="85"/>
      <c r="Q101" s="85"/>
      <c r="R101" s="85"/>
      <c r="S101" s="85"/>
      <c r="T101" s="85"/>
    </row>
    <row r="102" spans="1:20" ht="14.5">
      <c r="A102" s="85" t="s">
        <v>13671</v>
      </c>
      <c r="B102" s="86">
        <v>59</v>
      </c>
      <c r="C102" s="86">
        <v>16</v>
      </c>
      <c r="D102" s="86">
        <v>84</v>
      </c>
      <c r="E102" s="85">
        <v>0</v>
      </c>
      <c r="F102" s="85">
        <v>0</v>
      </c>
      <c r="G102" s="13">
        <v>44978</v>
      </c>
      <c r="H102" s="86"/>
      <c r="I102" s="86"/>
      <c r="J102" s="85"/>
      <c r="K102" s="85"/>
      <c r="L102" s="85"/>
      <c r="M102" s="85"/>
      <c r="N102" s="85"/>
      <c r="O102" s="85"/>
      <c r="P102" s="85"/>
      <c r="Q102" s="85"/>
      <c r="R102" s="85"/>
      <c r="S102" s="85"/>
      <c r="T102" s="85"/>
    </row>
    <row r="103" spans="1:20" ht="14.5">
      <c r="A103" s="85" t="s">
        <v>13672</v>
      </c>
      <c r="B103" s="86">
        <v>78</v>
      </c>
      <c r="C103" s="86">
        <v>14</v>
      </c>
      <c r="D103" s="85">
        <v>0</v>
      </c>
      <c r="E103" s="85">
        <v>0</v>
      </c>
      <c r="F103" s="85">
        <v>0</v>
      </c>
      <c r="G103" s="13">
        <v>44978</v>
      </c>
      <c r="H103" s="85"/>
      <c r="I103" s="85"/>
      <c r="J103" s="85"/>
      <c r="K103" s="85"/>
      <c r="L103" s="85"/>
      <c r="M103" s="85"/>
      <c r="N103" s="85"/>
      <c r="O103" s="85"/>
      <c r="P103" s="85"/>
      <c r="Q103" s="85"/>
      <c r="R103" s="85"/>
      <c r="S103" s="85"/>
      <c r="T103" s="85"/>
    </row>
    <row r="104" spans="1:20" ht="14.5">
      <c r="A104" s="85" t="s">
        <v>13673</v>
      </c>
      <c r="B104" s="86">
        <v>41</v>
      </c>
      <c r="C104" s="86">
        <v>21</v>
      </c>
      <c r="D104" s="85">
        <v>0</v>
      </c>
      <c r="E104" s="85">
        <v>0</v>
      </c>
      <c r="F104" s="85">
        <v>0</v>
      </c>
      <c r="G104" s="13">
        <v>44978</v>
      </c>
      <c r="H104" s="85"/>
      <c r="I104" s="85"/>
      <c r="J104" s="85"/>
      <c r="K104" s="85"/>
      <c r="L104" s="85"/>
      <c r="M104" s="85"/>
      <c r="N104" s="85"/>
      <c r="O104" s="86"/>
      <c r="P104" s="86"/>
      <c r="Q104" s="85"/>
      <c r="R104" s="85"/>
      <c r="S104" s="85"/>
      <c r="T104" s="85"/>
    </row>
    <row r="105" spans="1:20" ht="14.5">
      <c r="A105" s="85" t="s">
        <v>13674</v>
      </c>
      <c r="B105" s="86">
        <v>810</v>
      </c>
      <c r="C105" s="86">
        <v>411</v>
      </c>
      <c r="D105" s="86">
        <v>96</v>
      </c>
      <c r="E105" s="85">
        <v>0</v>
      </c>
      <c r="F105" s="86">
        <v>4</v>
      </c>
      <c r="G105" s="13">
        <v>44978</v>
      </c>
      <c r="H105" s="85"/>
      <c r="I105" s="85"/>
      <c r="J105" s="86"/>
      <c r="K105" s="86"/>
      <c r="L105" s="85"/>
      <c r="M105" s="85"/>
      <c r="N105" s="85"/>
      <c r="O105" s="86"/>
      <c r="P105" s="86"/>
      <c r="Q105" s="85"/>
      <c r="R105" s="85"/>
      <c r="S105" s="85"/>
      <c r="T105" s="85"/>
    </row>
    <row r="106" spans="1:20" ht="14.5">
      <c r="A106" s="85" t="s">
        <v>13675</v>
      </c>
      <c r="B106" s="86">
        <v>51</v>
      </c>
      <c r="C106" s="86">
        <v>21</v>
      </c>
      <c r="D106" s="86">
        <v>827</v>
      </c>
      <c r="E106" s="85">
        <v>0</v>
      </c>
      <c r="F106" s="86">
        <v>1</v>
      </c>
      <c r="G106" s="13">
        <v>44978</v>
      </c>
      <c r="H106" s="85"/>
      <c r="I106" s="85"/>
      <c r="J106" s="86"/>
      <c r="K106" s="85"/>
      <c r="L106" s="85"/>
      <c r="M106" s="85"/>
      <c r="N106" s="85"/>
      <c r="O106" s="85"/>
      <c r="P106" s="85"/>
      <c r="Q106" s="85"/>
      <c r="R106" s="85"/>
      <c r="S106" s="85"/>
      <c r="T106" s="85"/>
    </row>
    <row r="107" spans="1:20" ht="14.5">
      <c r="A107" s="85" t="s">
        <v>13676</v>
      </c>
      <c r="B107" s="86">
        <v>33</v>
      </c>
      <c r="C107" s="86">
        <v>3</v>
      </c>
      <c r="D107" s="86">
        <v>13</v>
      </c>
      <c r="E107" s="85">
        <v>0</v>
      </c>
      <c r="F107" s="85">
        <v>0</v>
      </c>
      <c r="G107" s="13">
        <v>44978</v>
      </c>
      <c r="H107" s="85"/>
      <c r="I107" s="85"/>
      <c r="J107" s="85"/>
      <c r="K107" s="85"/>
      <c r="L107" s="85"/>
      <c r="M107" s="85"/>
      <c r="N107" s="85"/>
      <c r="O107" s="85"/>
      <c r="P107" s="85"/>
      <c r="Q107" s="85"/>
      <c r="R107" s="85"/>
      <c r="S107" s="85"/>
      <c r="T107" s="85"/>
    </row>
    <row r="108" spans="1:20" ht="14.5">
      <c r="A108" s="85" t="s">
        <v>13677</v>
      </c>
      <c r="B108" s="86">
        <v>31</v>
      </c>
      <c r="C108" s="86">
        <v>45</v>
      </c>
      <c r="D108" s="85">
        <v>0</v>
      </c>
      <c r="E108" s="86">
        <v>4</v>
      </c>
      <c r="F108" s="85">
        <v>0</v>
      </c>
      <c r="G108" s="13">
        <v>44978</v>
      </c>
      <c r="H108" s="85"/>
      <c r="I108" s="85"/>
      <c r="J108" s="85"/>
      <c r="K108" s="85"/>
      <c r="L108" s="85"/>
      <c r="M108" s="85"/>
      <c r="N108" s="85"/>
      <c r="O108" s="85"/>
      <c r="P108" s="85"/>
      <c r="Q108" s="85"/>
      <c r="R108" s="85"/>
      <c r="S108" s="85"/>
      <c r="T108" s="85"/>
    </row>
    <row r="109" spans="1:20" ht="14.5">
      <c r="A109" s="85" t="s">
        <v>13678</v>
      </c>
      <c r="B109" s="86">
        <v>28</v>
      </c>
      <c r="C109" s="86">
        <v>5</v>
      </c>
      <c r="D109" s="86">
        <v>1</v>
      </c>
      <c r="E109" s="85">
        <v>0</v>
      </c>
      <c r="F109" s="85">
        <v>0</v>
      </c>
      <c r="G109" s="13">
        <v>44978</v>
      </c>
      <c r="H109" s="85"/>
      <c r="I109" s="85"/>
      <c r="J109" s="85"/>
      <c r="K109" s="85"/>
      <c r="L109" s="85"/>
      <c r="M109" s="85"/>
      <c r="N109" s="85"/>
      <c r="O109" s="85"/>
      <c r="P109" s="85"/>
      <c r="Q109" s="85"/>
      <c r="R109" s="85"/>
      <c r="S109" s="85"/>
      <c r="T109" s="85"/>
    </row>
    <row r="110" spans="1:20" ht="14.5">
      <c r="A110" s="85" t="s">
        <v>13679</v>
      </c>
      <c r="B110" s="86">
        <v>93</v>
      </c>
      <c r="C110" s="86">
        <v>103</v>
      </c>
      <c r="D110" s="86">
        <v>12</v>
      </c>
      <c r="E110" s="85">
        <v>0</v>
      </c>
      <c r="F110" s="85">
        <v>0</v>
      </c>
      <c r="G110" s="13">
        <v>44978</v>
      </c>
      <c r="H110" s="85"/>
      <c r="I110" s="85"/>
      <c r="J110" s="85"/>
      <c r="K110" s="85"/>
      <c r="L110" s="85"/>
      <c r="M110" s="85"/>
      <c r="N110" s="85"/>
      <c r="O110" s="85"/>
      <c r="P110" s="85"/>
      <c r="Q110" s="85"/>
      <c r="R110" s="85"/>
      <c r="S110" s="85"/>
      <c r="T110" s="85"/>
    </row>
    <row r="111" spans="1:20" ht="14.5">
      <c r="A111" s="85" t="s">
        <v>13680</v>
      </c>
      <c r="B111" s="86">
        <v>40</v>
      </c>
      <c r="C111" s="86">
        <v>5</v>
      </c>
      <c r="D111" s="85">
        <v>0</v>
      </c>
      <c r="E111" s="85">
        <v>0</v>
      </c>
      <c r="F111" s="85">
        <v>0</v>
      </c>
      <c r="G111" s="13">
        <v>44978</v>
      </c>
      <c r="H111" s="85"/>
      <c r="I111" s="85"/>
      <c r="J111" s="85"/>
      <c r="K111" s="85"/>
      <c r="L111" s="85"/>
      <c r="M111" s="85"/>
      <c r="N111" s="85"/>
      <c r="O111" s="85"/>
      <c r="P111" s="85"/>
      <c r="Q111" s="85"/>
      <c r="R111" s="85"/>
      <c r="S111" s="85"/>
      <c r="T111" s="85"/>
    </row>
    <row r="112" spans="1:20" ht="14.5">
      <c r="A112" s="85" t="s">
        <v>13681</v>
      </c>
      <c r="B112" s="86">
        <v>15</v>
      </c>
      <c r="C112" s="86">
        <v>4</v>
      </c>
      <c r="D112" s="85">
        <v>0</v>
      </c>
      <c r="E112" s="85">
        <v>0</v>
      </c>
      <c r="F112" s="85">
        <v>0</v>
      </c>
      <c r="G112" s="13">
        <v>44978</v>
      </c>
      <c r="H112" s="85"/>
      <c r="I112" s="85"/>
      <c r="J112" s="85"/>
      <c r="K112" s="85"/>
      <c r="L112" s="85"/>
      <c r="M112" s="85"/>
      <c r="N112" s="85"/>
      <c r="O112" s="85"/>
      <c r="P112" s="85"/>
      <c r="Q112" s="85"/>
      <c r="R112" s="85"/>
      <c r="S112" s="85"/>
      <c r="T112" s="85"/>
    </row>
    <row r="113" spans="1:20" ht="14.5">
      <c r="A113" s="85" t="s">
        <v>13682</v>
      </c>
      <c r="B113" s="86">
        <v>46</v>
      </c>
      <c r="C113" s="86">
        <v>18</v>
      </c>
      <c r="D113" s="86">
        <v>70</v>
      </c>
      <c r="E113" s="85">
        <v>0</v>
      </c>
      <c r="F113" s="86">
        <v>2</v>
      </c>
      <c r="G113" s="13">
        <v>44978</v>
      </c>
      <c r="H113" s="85"/>
      <c r="I113" s="85"/>
      <c r="J113" s="85"/>
      <c r="K113" s="86"/>
      <c r="L113" s="85"/>
      <c r="M113" s="85"/>
      <c r="N113" s="85"/>
      <c r="O113" s="85"/>
      <c r="P113" s="85"/>
      <c r="Q113" s="85"/>
      <c r="R113" s="85"/>
      <c r="S113" s="85"/>
      <c r="T113" s="85"/>
    </row>
    <row r="114" spans="1:20" ht="14.5">
      <c r="A114" s="85" t="s">
        <v>13683</v>
      </c>
      <c r="B114" s="86">
        <v>17</v>
      </c>
      <c r="C114" s="86">
        <v>8</v>
      </c>
      <c r="D114" s="85">
        <v>0</v>
      </c>
      <c r="E114" s="86">
        <v>15</v>
      </c>
      <c r="F114" s="85">
        <v>0</v>
      </c>
      <c r="G114" s="13">
        <v>44978</v>
      </c>
      <c r="H114" s="85"/>
      <c r="I114" s="85"/>
      <c r="J114" s="85"/>
      <c r="K114" s="85"/>
      <c r="L114" s="85"/>
      <c r="M114" s="86"/>
      <c r="N114" s="86"/>
      <c r="O114" s="85"/>
      <c r="P114" s="85"/>
      <c r="Q114" s="85"/>
      <c r="R114" s="85"/>
      <c r="S114" s="85"/>
      <c r="T114" s="85"/>
    </row>
    <row r="115" spans="1:20" ht="14.5">
      <c r="A115" s="85" t="s">
        <v>13684</v>
      </c>
      <c r="B115" s="86">
        <v>32</v>
      </c>
      <c r="C115" s="86">
        <v>9</v>
      </c>
      <c r="D115" s="85">
        <v>0</v>
      </c>
      <c r="E115" s="85">
        <v>0</v>
      </c>
      <c r="F115" s="85">
        <v>0</v>
      </c>
      <c r="G115" s="13">
        <v>44978</v>
      </c>
      <c r="H115" s="85"/>
      <c r="I115" s="85"/>
      <c r="J115" s="85"/>
      <c r="K115" s="85"/>
      <c r="L115" s="85"/>
      <c r="M115" s="85"/>
      <c r="N115" s="85"/>
      <c r="O115" s="85"/>
      <c r="P115" s="85"/>
      <c r="Q115" s="85"/>
      <c r="R115" s="85"/>
      <c r="S115" s="85"/>
      <c r="T115" s="85"/>
    </row>
    <row r="116" spans="1:20" ht="14.5">
      <c r="A116" s="85" t="s">
        <v>13685</v>
      </c>
      <c r="B116" s="86">
        <v>20</v>
      </c>
      <c r="C116" s="86">
        <v>8</v>
      </c>
      <c r="D116" s="85">
        <v>0</v>
      </c>
      <c r="E116" s="85">
        <v>0</v>
      </c>
      <c r="F116" s="86">
        <v>7</v>
      </c>
      <c r="G116" s="13">
        <v>44978</v>
      </c>
      <c r="H116" s="85"/>
      <c r="I116" s="85"/>
      <c r="J116" s="86"/>
      <c r="K116" s="85"/>
      <c r="L116" s="85"/>
      <c r="M116" s="85"/>
      <c r="N116" s="85"/>
      <c r="O116" s="85"/>
      <c r="P116" s="85"/>
      <c r="Q116" s="85"/>
      <c r="R116" s="85"/>
      <c r="S116" s="85"/>
      <c r="T116" s="85"/>
    </row>
    <row r="117" spans="1:20" ht="14.5">
      <c r="A117" s="85" t="s">
        <v>13686</v>
      </c>
      <c r="B117" s="86">
        <v>25</v>
      </c>
      <c r="C117" s="86">
        <v>13</v>
      </c>
      <c r="D117" s="85">
        <v>0</v>
      </c>
      <c r="E117" s="85">
        <v>0</v>
      </c>
      <c r="F117" s="85">
        <v>0</v>
      </c>
      <c r="G117" s="13">
        <v>44978</v>
      </c>
      <c r="H117" s="85"/>
      <c r="I117" s="85"/>
      <c r="J117" s="85"/>
      <c r="K117" s="85"/>
      <c r="L117" s="85"/>
      <c r="M117" s="85"/>
      <c r="N117" s="85"/>
      <c r="O117" s="85"/>
      <c r="P117" s="85"/>
      <c r="Q117" s="85"/>
      <c r="R117" s="85"/>
      <c r="S117" s="85"/>
      <c r="T117" s="85"/>
    </row>
    <row r="118" spans="1:20" ht="14.5">
      <c r="A118" s="85" t="s">
        <v>13687</v>
      </c>
      <c r="B118" s="86">
        <v>20</v>
      </c>
      <c r="C118" s="86">
        <v>5</v>
      </c>
      <c r="D118" s="86">
        <v>9</v>
      </c>
      <c r="E118" s="85">
        <v>0</v>
      </c>
      <c r="F118" s="85">
        <v>0</v>
      </c>
      <c r="G118" s="13">
        <v>44978</v>
      </c>
      <c r="H118" s="85"/>
      <c r="I118" s="85"/>
      <c r="J118" s="85"/>
      <c r="K118" s="85"/>
      <c r="L118" s="85"/>
      <c r="M118" s="85"/>
      <c r="N118" s="85"/>
      <c r="O118" s="85"/>
      <c r="P118" s="85"/>
      <c r="Q118" s="85"/>
      <c r="R118" s="85"/>
      <c r="S118" s="85"/>
      <c r="T118" s="85"/>
    </row>
    <row r="119" spans="1:20" ht="14.5">
      <c r="A119" s="85" t="s">
        <v>13688</v>
      </c>
      <c r="B119" s="86">
        <v>27</v>
      </c>
      <c r="C119" s="86">
        <v>7</v>
      </c>
      <c r="D119" s="85">
        <v>0</v>
      </c>
      <c r="E119" s="85">
        <v>0</v>
      </c>
      <c r="F119" s="85">
        <v>0</v>
      </c>
      <c r="G119" s="13">
        <v>44978</v>
      </c>
      <c r="H119" s="85"/>
      <c r="I119" s="85"/>
      <c r="J119" s="85"/>
      <c r="K119" s="85"/>
      <c r="L119" s="85"/>
      <c r="M119" s="85"/>
      <c r="N119" s="85"/>
      <c r="O119" s="85"/>
      <c r="P119" s="85"/>
      <c r="Q119" s="85"/>
      <c r="R119" s="85"/>
      <c r="S119" s="85"/>
      <c r="T119" s="85"/>
    </row>
    <row r="120" spans="1:20" ht="14.5">
      <c r="A120" s="85" t="s">
        <v>13689</v>
      </c>
      <c r="B120" s="86">
        <v>28</v>
      </c>
      <c r="C120" s="86">
        <v>7</v>
      </c>
      <c r="D120" s="86">
        <v>2</v>
      </c>
      <c r="E120" s="85">
        <v>0</v>
      </c>
      <c r="F120" s="86">
        <v>1</v>
      </c>
      <c r="G120" s="13">
        <v>44978</v>
      </c>
      <c r="H120" s="85"/>
      <c r="I120" s="85"/>
      <c r="J120" s="85"/>
      <c r="K120" s="85"/>
      <c r="L120" s="86"/>
      <c r="M120" s="85"/>
      <c r="N120" s="85"/>
      <c r="O120" s="85"/>
      <c r="P120" s="85"/>
      <c r="Q120" s="85"/>
      <c r="R120" s="85"/>
      <c r="S120" s="85"/>
      <c r="T120" s="85"/>
    </row>
    <row r="121" spans="1:20" ht="14.5">
      <c r="A121" s="85" t="s">
        <v>13690</v>
      </c>
      <c r="B121" s="86">
        <v>26</v>
      </c>
      <c r="C121" s="86">
        <v>4</v>
      </c>
      <c r="D121" s="86">
        <v>14</v>
      </c>
      <c r="E121" s="85">
        <v>0</v>
      </c>
      <c r="F121" s="85">
        <v>0</v>
      </c>
      <c r="G121" s="13">
        <v>44978</v>
      </c>
      <c r="H121" s="85"/>
      <c r="I121" s="85"/>
      <c r="J121" s="85"/>
      <c r="K121" s="85"/>
      <c r="L121" s="85"/>
      <c r="M121" s="85"/>
      <c r="N121" s="85"/>
      <c r="O121" s="85"/>
      <c r="P121" s="85"/>
      <c r="Q121" s="85"/>
      <c r="R121" s="85"/>
      <c r="S121" s="85"/>
      <c r="T121" s="85"/>
    </row>
    <row r="122" spans="1:20" ht="14.5">
      <c r="A122" s="85" t="s">
        <v>13691</v>
      </c>
      <c r="B122" s="86">
        <v>86</v>
      </c>
      <c r="C122" s="86">
        <v>9</v>
      </c>
      <c r="D122" s="86">
        <v>63</v>
      </c>
      <c r="E122" s="86">
        <v>17</v>
      </c>
      <c r="F122" s="85">
        <v>0</v>
      </c>
      <c r="G122" s="13">
        <v>44978</v>
      </c>
      <c r="H122" s="85"/>
      <c r="I122" s="85"/>
      <c r="J122" s="85"/>
      <c r="K122" s="85"/>
      <c r="L122" s="85"/>
      <c r="M122" s="86"/>
      <c r="N122" s="86"/>
      <c r="O122" s="85"/>
      <c r="P122" s="85"/>
      <c r="Q122" s="85"/>
      <c r="R122" s="85"/>
      <c r="S122" s="85"/>
      <c r="T122" s="85"/>
    </row>
    <row r="123" spans="1:20" ht="14.5">
      <c r="A123" s="85" t="s">
        <v>13692</v>
      </c>
      <c r="B123" s="86">
        <v>17</v>
      </c>
      <c r="C123" s="86">
        <v>2</v>
      </c>
      <c r="D123" s="85">
        <v>0</v>
      </c>
      <c r="E123" s="85">
        <v>0</v>
      </c>
      <c r="F123" s="85">
        <v>0</v>
      </c>
      <c r="G123" s="13">
        <v>44978</v>
      </c>
      <c r="H123" s="85"/>
      <c r="I123" s="85"/>
      <c r="J123" s="85"/>
      <c r="K123" s="85"/>
      <c r="L123" s="85"/>
      <c r="M123" s="85"/>
      <c r="N123" s="85"/>
      <c r="O123" s="85"/>
      <c r="P123" s="85"/>
      <c r="Q123" s="85"/>
      <c r="R123" s="85"/>
      <c r="S123" s="85"/>
      <c r="T123" s="85"/>
    </row>
    <row r="124" spans="1:20" ht="14.5">
      <c r="A124" s="85" t="s">
        <v>13693</v>
      </c>
      <c r="B124" s="86">
        <v>148</v>
      </c>
      <c r="C124" s="86">
        <v>12</v>
      </c>
      <c r="D124" s="85">
        <v>0</v>
      </c>
      <c r="E124" s="86">
        <v>74</v>
      </c>
      <c r="F124" s="85">
        <v>0</v>
      </c>
      <c r="G124" s="13">
        <v>44978</v>
      </c>
      <c r="H124" s="85"/>
      <c r="I124" s="85"/>
      <c r="J124" s="85"/>
      <c r="K124" s="85"/>
      <c r="L124" s="85"/>
      <c r="M124" s="85"/>
      <c r="N124" s="85"/>
      <c r="O124" s="85"/>
      <c r="P124" s="85"/>
      <c r="Q124" s="85"/>
      <c r="R124" s="85"/>
      <c r="S124" s="85"/>
      <c r="T124" s="85"/>
    </row>
    <row r="125" spans="1:20" ht="14.5">
      <c r="A125" s="85" t="s">
        <v>13694</v>
      </c>
      <c r="B125" s="86">
        <v>90</v>
      </c>
      <c r="C125" s="86">
        <v>15</v>
      </c>
      <c r="D125" s="85">
        <v>0</v>
      </c>
      <c r="E125" s="86">
        <v>12</v>
      </c>
      <c r="F125" s="85">
        <v>0</v>
      </c>
      <c r="G125" s="13">
        <v>44978</v>
      </c>
      <c r="H125" s="85"/>
      <c r="I125" s="85"/>
      <c r="J125" s="85"/>
      <c r="K125" s="85"/>
      <c r="L125" s="85"/>
      <c r="M125" s="86"/>
      <c r="N125" s="85"/>
      <c r="O125" s="85"/>
      <c r="P125" s="85"/>
      <c r="Q125" s="85"/>
      <c r="R125" s="85"/>
      <c r="S125" s="85"/>
      <c r="T125" s="85"/>
    </row>
    <row r="126" spans="1:20" ht="14.5">
      <c r="A126" s="85" t="s">
        <v>13695</v>
      </c>
      <c r="B126" s="86">
        <v>12</v>
      </c>
      <c r="C126" s="86">
        <v>1</v>
      </c>
      <c r="D126" s="86">
        <v>8</v>
      </c>
      <c r="E126" s="85">
        <v>0</v>
      </c>
      <c r="F126" s="85">
        <v>0</v>
      </c>
      <c r="G126" s="13">
        <v>44978</v>
      </c>
      <c r="H126" s="85"/>
      <c r="I126" s="85"/>
      <c r="J126" s="85"/>
      <c r="K126" s="85"/>
      <c r="L126" s="85"/>
      <c r="M126" s="85"/>
      <c r="N126" s="85"/>
      <c r="O126" s="85"/>
      <c r="P126" s="85"/>
      <c r="Q126" s="85"/>
      <c r="R126" s="85"/>
      <c r="S126" s="85"/>
      <c r="T126" s="85"/>
    </row>
    <row r="127" spans="1:20" ht="14.5">
      <c r="A127" s="85" t="s">
        <v>13696</v>
      </c>
      <c r="B127" s="86">
        <v>45</v>
      </c>
      <c r="C127" s="86">
        <v>23</v>
      </c>
      <c r="D127" s="85">
        <v>0</v>
      </c>
      <c r="E127" s="85">
        <v>0</v>
      </c>
      <c r="F127" s="85">
        <v>0</v>
      </c>
      <c r="G127" s="13">
        <v>44978</v>
      </c>
      <c r="H127" s="85"/>
      <c r="I127" s="85"/>
      <c r="J127" s="85"/>
      <c r="K127" s="85"/>
      <c r="L127" s="85"/>
      <c r="M127" s="85"/>
      <c r="N127" s="85"/>
      <c r="O127" s="85"/>
      <c r="P127" s="85"/>
      <c r="Q127" s="85"/>
      <c r="R127" s="85"/>
      <c r="S127" s="85"/>
      <c r="T127" s="85"/>
    </row>
    <row r="128" spans="1:20" ht="14.5">
      <c r="A128" s="85" t="s">
        <v>13697</v>
      </c>
      <c r="B128" s="86">
        <v>45</v>
      </c>
      <c r="C128" s="86">
        <v>24</v>
      </c>
      <c r="D128" s="86">
        <v>36</v>
      </c>
      <c r="E128" s="85">
        <v>0</v>
      </c>
      <c r="F128" s="85">
        <v>0</v>
      </c>
      <c r="G128" s="13">
        <v>44978</v>
      </c>
      <c r="H128" s="85"/>
      <c r="I128" s="85"/>
      <c r="J128" s="85"/>
      <c r="K128" s="85"/>
      <c r="L128" s="85"/>
      <c r="M128" s="85"/>
      <c r="N128" s="85"/>
      <c r="O128" s="85"/>
      <c r="P128" s="85"/>
      <c r="Q128" s="85"/>
      <c r="R128" s="85"/>
      <c r="S128" s="85"/>
      <c r="T128" s="85"/>
    </row>
    <row r="129" spans="1:20" ht="14.5">
      <c r="A129" s="85" t="s">
        <v>13698</v>
      </c>
      <c r="B129" s="86">
        <v>47</v>
      </c>
      <c r="C129" s="86">
        <v>18</v>
      </c>
      <c r="D129" s="85">
        <v>0</v>
      </c>
      <c r="E129" s="85">
        <v>0</v>
      </c>
      <c r="F129" s="85">
        <v>0</v>
      </c>
      <c r="G129" s="13">
        <v>44978</v>
      </c>
      <c r="H129" s="85"/>
      <c r="I129" s="85"/>
      <c r="J129" s="85"/>
      <c r="K129" s="85"/>
      <c r="L129" s="85"/>
      <c r="M129" s="85"/>
      <c r="N129" s="85"/>
      <c r="O129" s="85"/>
      <c r="P129" s="85"/>
      <c r="Q129" s="85"/>
      <c r="R129" s="85"/>
      <c r="S129" s="85"/>
      <c r="T129" s="85"/>
    </row>
    <row r="130" spans="1:20" ht="14.5">
      <c r="A130" s="85" t="s">
        <v>13699</v>
      </c>
      <c r="B130" s="86">
        <v>61</v>
      </c>
      <c r="C130" s="86">
        <v>29</v>
      </c>
      <c r="D130" s="85">
        <v>0</v>
      </c>
      <c r="E130" s="85">
        <v>0</v>
      </c>
      <c r="F130" s="85">
        <v>0</v>
      </c>
      <c r="G130" s="13">
        <v>44978</v>
      </c>
      <c r="H130" s="85"/>
      <c r="I130" s="85"/>
      <c r="J130" s="85"/>
      <c r="K130" s="85"/>
      <c r="L130" s="85"/>
      <c r="M130" s="85"/>
      <c r="N130" s="85"/>
      <c r="O130" s="85"/>
      <c r="P130" s="85"/>
      <c r="Q130" s="85"/>
      <c r="R130" s="85"/>
      <c r="S130" s="85"/>
      <c r="T130" s="85"/>
    </row>
    <row r="131" spans="1:20" ht="14.5">
      <c r="A131" s="85" t="s">
        <v>13700</v>
      </c>
      <c r="B131" s="86">
        <v>60</v>
      </c>
      <c r="C131" s="86">
        <v>11</v>
      </c>
      <c r="D131" s="86">
        <v>15</v>
      </c>
      <c r="E131" s="85">
        <v>0</v>
      </c>
      <c r="F131" s="85">
        <v>0</v>
      </c>
      <c r="G131" s="13">
        <v>44978</v>
      </c>
      <c r="H131" s="85"/>
      <c r="I131" s="85"/>
      <c r="J131" s="85"/>
      <c r="K131" s="85"/>
      <c r="L131" s="85"/>
      <c r="M131" s="85"/>
      <c r="N131" s="85"/>
      <c r="O131" s="85"/>
      <c r="P131" s="85"/>
      <c r="Q131" s="85"/>
      <c r="R131" s="85"/>
      <c r="S131" s="85"/>
      <c r="T131" s="85"/>
    </row>
    <row r="132" spans="1:20" ht="14.5">
      <c r="A132" s="85" t="s">
        <v>13701</v>
      </c>
      <c r="B132" s="86">
        <v>103</v>
      </c>
      <c r="C132" s="86">
        <v>20</v>
      </c>
      <c r="D132" s="85">
        <v>0</v>
      </c>
      <c r="E132" s="85">
        <v>0</v>
      </c>
      <c r="F132" s="85">
        <v>0</v>
      </c>
      <c r="G132" s="13">
        <v>44978</v>
      </c>
      <c r="H132" s="85"/>
      <c r="I132" s="85"/>
      <c r="J132" s="85"/>
      <c r="K132" s="85"/>
      <c r="L132" s="85"/>
      <c r="M132" s="85"/>
      <c r="N132" s="85"/>
      <c r="O132" s="85"/>
      <c r="P132" s="85"/>
      <c r="Q132" s="85"/>
      <c r="R132" s="85"/>
      <c r="S132" s="85"/>
      <c r="T132" s="85"/>
    </row>
    <row r="133" spans="1:20" ht="14.5">
      <c r="A133" s="85" t="s">
        <v>13702</v>
      </c>
      <c r="B133" s="86">
        <v>24</v>
      </c>
      <c r="C133" s="86">
        <v>6</v>
      </c>
      <c r="D133" s="85">
        <v>0</v>
      </c>
      <c r="E133" s="85">
        <v>0</v>
      </c>
      <c r="F133" s="85">
        <v>0</v>
      </c>
      <c r="G133" s="13">
        <v>44978</v>
      </c>
      <c r="H133" s="85"/>
      <c r="I133" s="85"/>
      <c r="J133" s="85"/>
      <c r="K133" s="85"/>
      <c r="L133" s="85"/>
      <c r="M133" s="85"/>
      <c r="N133" s="85"/>
      <c r="O133" s="85"/>
      <c r="P133" s="85"/>
      <c r="Q133" s="85"/>
      <c r="R133" s="85"/>
      <c r="S133" s="85"/>
      <c r="T133" s="85"/>
    </row>
    <row r="134" spans="1:20" ht="14.5">
      <c r="A134" s="85" t="s">
        <v>13703</v>
      </c>
      <c r="B134" s="86">
        <v>47</v>
      </c>
      <c r="C134" s="86">
        <v>19</v>
      </c>
      <c r="D134" s="85">
        <v>0</v>
      </c>
      <c r="E134" s="85">
        <v>0</v>
      </c>
      <c r="F134" s="86">
        <v>1</v>
      </c>
      <c r="G134" s="13">
        <v>44978</v>
      </c>
      <c r="H134" s="85"/>
      <c r="I134" s="85"/>
      <c r="J134" s="86"/>
      <c r="K134" s="85"/>
      <c r="L134" s="85"/>
      <c r="M134" s="85"/>
      <c r="N134" s="85"/>
      <c r="O134" s="85"/>
      <c r="P134" s="85"/>
      <c r="Q134" s="85"/>
      <c r="R134" s="85"/>
      <c r="S134" s="85"/>
      <c r="T134" s="85"/>
    </row>
    <row r="135" spans="1:20" ht="14.5">
      <c r="A135" s="85" t="s">
        <v>13704</v>
      </c>
      <c r="B135" s="86">
        <v>31</v>
      </c>
      <c r="C135" s="86">
        <v>12</v>
      </c>
      <c r="D135" s="85">
        <v>0</v>
      </c>
      <c r="E135" s="85">
        <v>0</v>
      </c>
      <c r="F135" s="85">
        <v>0</v>
      </c>
      <c r="G135" s="13">
        <v>44978</v>
      </c>
      <c r="H135" s="85"/>
      <c r="I135" s="85"/>
      <c r="J135" s="85"/>
      <c r="K135" s="85"/>
      <c r="L135" s="85"/>
      <c r="M135" s="85"/>
      <c r="N135" s="85"/>
      <c r="O135" s="85"/>
      <c r="P135" s="85"/>
      <c r="Q135" s="85"/>
      <c r="R135" s="85"/>
      <c r="S135" s="85"/>
      <c r="T135" s="85"/>
    </row>
    <row r="136" spans="1:20" ht="14.5">
      <c r="A136" s="85" t="s">
        <v>13705</v>
      </c>
      <c r="B136" s="86">
        <v>580</v>
      </c>
      <c r="C136" s="86">
        <v>164</v>
      </c>
      <c r="D136" s="85">
        <v>0</v>
      </c>
      <c r="E136" s="85">
        <v>0</v>
      </c>
      <c r="F136" s="85">
        <v>0</v>
      </c>
      <c r="G136" s="13">
        <v>44978</v>
      </c>
      <c r="H136" s="86"/>
      <c r="I136" s="86"/>
      <c r="J136" s="85"/>
      <c r="K136" s="85"/>
      <c r="L136" s="85"/>
      <c r="M136" s="85"/>
      <c r="N136" s="85"/>
      <c r="O136" s="85"/>
      <c r="P136" s="85"/>
      <c r="Q136" s="85"/>
      <c r="R136" s="85"/>
      <c r="S136" s="85"/>
      <c r="T136" s="85"/>
    </row>
    <row r="137" spans="1:20" ht="14.5">
      <c r="A137" s="85" t="s">
        <v>13706</v>
      </c>
      <c r="B137" s="86">
        <v>115</v>
      </c>
      <c r="C137" s="86">
        <v>23</v>
      </c>
      <c r="D137" s="86">
        <v>171</v>
      </c>
      <c r="E137" s="85">
        <v>0</v>
      </c>
      <c r="F137" s="86">
        <v>7</v>
      </c>
      <c r="G137" s="13">
        <v>44978</v>
      </c>
      <c r="H137" s="86"/>
      <c r="I137" s="86"/>
      <c r="J137" s="86"/>
      <c r="K137" s="85"/>
      <c r="L137" s="85"/>
      <c r="M137" s="85"/>
      <c r="N137" s="85"/>
      <c r="O137" s="85"/>
      <c r="P137" s="85"/>
      <c r="Q137" s="85"/>
      <c r="R137" s="85"/>
      <c r="S137" s="85"/>
      <c r="T137" s="85"/>
    </row>
    <row r="138" spans="1:20" ht="14.5">
      <c r="A138" s="85" t="s">
        <v>13707</v>
      </c>
      <c r="B138" s="86">
        <v>45</v>
      </c>
      <c r="C138" s="86">
        <v>15</v>
      </c>
      <c r="D138" s="86">
        <v>1</v>
      </c>
      <c r="E138" s="85">
        <v>0</v>
      </c>
      <c r="F138" s="85">
        <v>0</v>
      </c>
      <c r="G138" s="13">
        <v>44978</v>
      </c>
      <c r="H138" s="85"/>
      <c r="I138" s="85"/>
      <c r="J138" s="85"/>
      <c r="K138" s="85"/>
      <c r="L138" s="85"/>
      <c r="M138" s="85"/>
      <c r="N138" s="85"/>
      <c r="O138" s="85"/>
      <c r="P138" s="85"/>
      <c r="Q138" s="85"/>
      <c r="R138" s="85"/>
      <c r="S138" s="85"/>
      <c r="T138" s="85"/>
    </row>
    <row r="139" spans="1:20" ht="14.5">
      <c r="A139" s="85" t="s">
        <v>13708</v>
      </c>
      <c r="B139" s="86">
        <v>25</v>
      </c>
      <c r="C139" s="86">
        <v>2</v>
      </c>
      <c r="D139" s="85">
        <v>0</v>
      </c>
      <c r="E139" s="85">
        <v>0</v>
      </c>
      <c r="F139" s="85">
        <v>0</v>
      </c>
      <c r="G139" s="13">
        <v>44978</v>
      </c>
      <c r="H139" s="85"/>
      <c r="I139" s="85"/>
      <c r="J139" s="85"/>
      <c r="K139" s="85"/>
      <c r="L139" s="85"/>
      <c r="M139" s="85"/>
      <c r="N139" s="85"/>
      <c r="O139" s="85"/>
      <c r="P139" s="85"/>
      <c r="Q139" s="85"/>
      <c r="R139" s="85"/>
      <c r="S139" s="85"/>
      <c r="T139" s="85"/>
    </row>
    <row r="140" spans="1:20" ht="14.5">
      <c r="A140" s="85" t="s">
        <v>13709</v>
      </c>
      <c r="B140" s="86">
        <v>7</v>
      </c>
      <c r="C140" s="86">
        <v>5</v>
      </c>
      <c r="D140" s="85">
        <v>0</v>
      </c>
      <c r="E140" s="85">
        <v>0</v>
      </c>
      <c r="F140" s="85">
        <v>0</v>
      </c>
      <c r="G140" s="13">
        <v>44978</v>
      </c>
      <c r="H140" s="85"/>
      <c r="I140" s="85"/>
      <c r="J140" s="85"/>
      <c r="K140" s="85"/>
      <c r="L140" s="85"/>
      <c r="M140" s="85"/>
      <c r="N140" s="85"/>
      <c r="O140" s="85"/>
      <c r="P140" s="85"/>
      <c r="Q140" s="85"/>
      <c r="R140" s="85"/>
      <c r="S140" s="85"/>
      <c r="T140" s="85"/>
    </row>
    <row r="141" spans="1:20" ht="14.5">
      <c r="A141" s="85" t="s">
        <v>13710</v>
      </c>
      <c r="B141" s="86">
        <v>26</v>
      </c>
      <c r="C141" s="86">
        <v>15</v>
      </c>
      <c r="D141" s="86">
        <v>121</v>
      </c>
      <c r="E141" s="85">
        <v>0</v>
      </c>
      <c r="F141" s="85">
        <v>0</v>
      </c>
      <c r="G141" s="13">
        <v>44978</v>
      </c>
      <c r="H141" s="85"/>
      <c r="I141" s="85"/>
      <c r="J141" s="85"/>
      <c r="K141" s="85"/>
      <c r="L141" s="85"/>
      <c r="M141" s="85"/>
      <c r="N141" s="85"/>
      <c r="O141" s="85"/>
      <c r="P141" s="85"/>
      <c r="Q141" s="85"/>
      <c r="R141" s="85"/>
      <c r="S141" s="85"/>
      <c r="T141" s="85"/>
    </row>
    <row r="142" spans="1:20" ht="14.5">
      <c r="A142" s="85" t="s">
        <v>13711</v>
      </c>
      <c r="B142" s="86">
        <v>75</v>
      </c>
      <c r="C142" s="86">
        <v>10</v>
      </c>
      <c r="D142" s="85">
        <v>0</v>
      </c>
      <c r="E142" s="86">
        <v>39</v>
      </c>
      <c r="F142" s="85">
        <v>0</v>
      </c>
      <c r="G142" s="13">
        <v>44978</v>
      </c>
      <c r="H142" s="85"/>
      <c r="I142" s="85"/>
      <c r="J142" s="85"/>
      <c r="K142" s="85"/>
      <c r="L142" s="85"/>
      <c r="M142" s="85"/>
      <c r="N142" s="86"/>
      <c r="O142" s="85"/>
      <c r="P142" s="85"/>
      <c r="Q142" s="85"/>
      <c r="R142" s="85"/>
      <c r="S142" s="85"/>
      <c r="T142" s="85"/>
    </row>
    <row r="143" spans="1:20" ht="14.5">
      <c r="A143" s="85" t="s">
        <v>13712</v>
      </c>
      <c r="B143" s="86">
        <v>44</v>
      </c>
      <c r="C143" s="86">
        <v>60</v>
      </c>
      <c r="D143" s="86">
        <v>5</v>
      </c>
      <c r="E143" s="85">
        <v>0</v>
      </c>
      <c r="F143" s="85">
        <v>0</v>
      </c>
      <c r="G143" s="13">
        <v>44978</v>
      </c>
      <c r="H143" s="85"/>
      <c r="I143" s="85"/>
      <c r="J143" s="85"/>
      <c r="K143" s="85"/>
      <c r="L143" s="85"/>
      <c r="M143" s="85"/>
      <c r="N143" s="85"/>
      <c r="O143" s="85"/>
      <c r="P143" s="85"/>
      <c r="Q143" s="85"/>
      <c r="R143" s="85"/>
      <c r="S143" s="85"/>
      <c r="T143" s="85"/>
    </row>
    <row r="144" spans="1:20" ht="14.5">
      <c r="A144" s="85" t="s">
        <v>13713</v>
      </c>
      <c r="B144" s="86">
        <v>35</v>
      </c>
      <c r="C144" s="86">
        <v>5</v>
      </c>
      <c r="D144" s="86">
        <v>2</v>
      </c>
      <c r="E144" s="85">
        <v>0</v>
      </c>
      <c r="F144" s="85">
        <v>0</v>
      </c>
      <c r="G144" s="13">
        <v>44978</v>
      </c>
      <c r="H144" s="85"/>
      <c r="I144" s="85"/>
      <c r="J144" s="85"/>
      <c r="K144" s="85"/>
      <c r="L144" s="85"/>
      <c r="M144" s="85"/>
      <c r="N144" s="85"/>
      <c r="O144" s="85"/>
      <c r="P144" s="85"/>
      <c r="Q144" s="85"/>
      <c r="R144" s="85"/>
      <c r="S144" s="85"/>
      <c r="T144" s="85"/>
    </row>
    <row r="145" spans="1:20" ht="14.5">
      <c r="A145" s="85" t="s">
        <v>13714</v>
      </c>
      <c r="B145" s="86">
        <v>38</v>
      </c>
      <c r="C145" s="86">
        <v>84</v>
      </c>
      <c r="D145" s="86">
        <v>27</v>
      </c>
      <c r="E145" s="85">
        <v>0</v>
      </c>
      <c r="F145" s="85">
        <v>0</v>
      </c>
      <c r="G145" s="13">
        <v>44978</v>
      </c>
      <c r="H145" s="85"/>
      <c r="I145" s="85"/>
      <c r="J145" s="85"/>
      <c r="K145" s="85"/>
      <c r="L145" s="85"/>
      <c r="M145" s="85"/>
      <c r="N145" s="85"/>
      <c r="O145" s="85"/>
      <c r="P145" s="85"/>
      <c r="Q145" s="85"/>
      <c r="R145" s="85"/>
      <c r="S145" s="85"/>
      <c r="T145" s="85"/>
    </row>
    <row r="146" spans="1:20" ht="14.5">
      <c r="A146" s="85" t="s">
        <v>13715</v>
      </c>
      <c r="B146" s="86">
        <v>72</v>
      </c>
      <c r="C146" s="86">
        <v>51</v>
      </c>
      <c r="D146" s="86">
        <v>4</v>
      </c>
      <c r="E146" s="85">
        <v>0</v>
      </c>
      <c r="F146" s="86">
        <v>1</v>
      </c>
      <c r="G146" s="13">
        <v>44978</v>
      </c>
      <c r="H146" s="85"/>
      <c r="I146" s="85"/>
      <c r="J146" s="85"/>
      <c r="K146" s="85"/>
      <c r="L146" s="85"/>
      <c r="M146" s="85"/>
      <c r="N146" s="85"/>
      <c r="O146" s="85"/>
      <c r="P146" s="85"/>
      <c r="Q146" s="85"/>
      <c r="R146" s="85"/>
      <c r="S146" s="85"/>
      <c r="T146" s="85"/>
    </row>
    <row r="147" spans="1:20" ht="14.5">
      <c r="A147" s="85" t="s">
        <v>13716</v>
      </c>
      <c r="B147" s="86">
        <v>54</v>
      </c>
      <c r="C147" s="86">
        <v>6</v>
      </c>
      <c r="D147" s="86">
        <v>2</v>
      </c>
      <c r="E147" s="85">
        <v>0</v>
      </c>
      <c r="F147" s="86">
        <v>1</v>
      </c>
      <c r="G147" s="13">
        <v>44978</v>
      </c>
      <c r="H147" s="86"/>
      <c r="I147" s="86"/>
      <c r="J147" s="85"/>
      <c r="K147" s="85"/>
      <c r="L147" s="85"/>
      <c r="M147" s="85"/>
      <c r="N147" s="85"/>
      <c r="O147" s="85"/>
      <c r="P147" s="85"/>
      <c r="Q147" s="85"/>
      <c r="R147" s="85"/>
      <c r="S147" s="85"/>
      <c r="T147" s="85"/>
    </row>
    <row r="148" spans="1:20" ht="14.5">
      <c r="A148" s="85" t="s">
        <v>13717</v>
      </c>
      <c r="B148" s="86">
        <v>57</v>
      </c>
      <c r="C148" s="86">
        <v>20</v>
      </c>
      <c r="D148" s="86">
        <v>68</v>
      </c>
      <c r="E148" s="85">
        <v>0</v>
      </c>
      <c r="F148" s="86">
        <v>1</v>
      </c>
      <c r="G148" s="13">
        <v>44978</v>
      </c>
      <c r="H148" s="85"/>
      <c r="I148" s="85"/>
      <c r="J148" s="85"/>
      <c r="K148" s="85"/>
      <c r="L148" s="85"/>
      <c r="M148" s="85"/>
      <c r="N148" s="85"/>
      <c r="O148" s="85"/>
      <c r="P148" s="85"/>
      <c r="Q148" s="85"/>
      <c r="R148" s="85"/>
      <c r="S148" s="85"/>
      <c r="T148" s="85"/>
    </row>
    <row r="149" spans="1:20" ht="14.5">
      <c r="A149" s="85" t="s">
        <v>13718</v>
      </c>
      <c r="B149" s="86">
        <v>31</v>
      </c>
      <c r="C149" s="86">
        <v>2</v>
      </c>
      <c r="D149" s="85">
        <v>0</v>
      </c>
      <c r="E149" s="85">
        <v>0</v>
      </c>
      <c r="F149" s="85">
        <v>0</v>
      </c>
      <c r="G149" s="13">
        <v>44978</v>
      </c>
      <c r="H149" s="85"/>
      <c r="I149" s="85"/>
      <c r="J149" s="85"/>
      <c r="K149" s="85"/>
      <c r="L149" s="85"/>
      <c r="M149" s="85"/>
      <c r="N149" s="85"/>
      <c r="O149" s="85"/>
      <c r="P149" s="85"/>
      <c r="Q149" s="85"/>
      <c r="R149" s="85"/>
      <c r="S149" s="85"/>
      <c r="T149" s="85"/>
    </row>
    <row r="150" spans="1:20" ht="14.5">
      <c r="A150" s="85" t="s">
        <v>13719</v>
      </c>
      <c r="B150" s="86">
        <v>29</v>
      </c>
      <c r="C150" s="86">
        <v>5</v>
      </c>
      <c r="D150" s="86">
        <v>4</v>
      </c>
      <c r="E150" s="85">
        <v>0</v>
      </c>
      <c r="F150" s="85">
        <v>0</v>
      </c>
      <c r="G150" s="13">
        <v>44978</v>
      </c>
      <c r="H150" s="86"/>
      <c r="I150" s="86"/>
      <c r="J150" s="85"/>
      <c r="K150" s="85"/>
      <c r="L150" s="85"/>
      <c r="M150" s="85"/>
      <c r="N150" s="85"/>
      <c r="O150" s="85"/>
      <c r="P150" s="85"/>
      <c r="Q150" s="85"/>
      <c r="R150" s="85"/>
      <c r="S150" s="85"/>
      <c r="T150" s="85"/>
    </row>
    <row r="151" spans="1:20" ht="14.5">
      <c r="A151" s="85" t="s">
        <v>13720</v>
      </c>
      <c r="B151" s="86">
        <v>42</v>
      </c>
      <c r="C151" s="86">
        <v>58</v>
      </c>
      <c r="D151" s="85">
        <v>0</v>
      </c>
      <c r="E151" s="85">
        <v>0</v>
      </c>
      <c r="F151" s="85">
        <v>0</v>
      </c>
      <c r="G151" s="13">
        <v>44978</v>
      </c>
      <c r="H151" s="86"/>
      <c r="I151" s="86"/>
      <c r="J151" s="85"/>
      <c r="K151" s="85"/>
      <c r="L151" s="85"/>
      <c r="M151" s="85"/>
      <c r="N151" s="85"/>
      <c r="O151" s="85"/>
      <c r="P151" s="85"/>
      <c r="Q151" s="85"/>
      <c r="R151" s="85"/>
      <c r="S151" s="85"/>
      <c r="T151" s="85"/>
    </row>
    <row r="152" spans="1:20" ht="14.5">
      <c r="A152" s="85" t="s">
        <v>13721</v>
      </c>
      <c r="B152" s="86">
        <v>30</v>
      </c>
      <c r="C152" s="86">
        <v>7</v>
      </c>
      <c r="D152" s="85">
        <v>0</v>
      </c>
      <c r="E152" s="85">
        <v>0</v>
      </c>
      <c r="F152" s="85">
        <v>0</v>
      </c>
      <c r="G152" s="13">
        <v>44978</v>
      </c>
      <c r="H152" s="85"/>
      <c r="I152" s="85"/>
      <c r="J152" s="85"/>
      <c r="K152" s="85"/>
      <c r="L152" s="85"/>
      <c r="M152" s="85"/>
      <c r="N152" s="85"/>
      <c r="O152" s="85"/>
      <c r="P152" s="85"/>
      <c r="Q152" s="85"/>
      <c r="R152" s="85"/>
      <c r="S152" s="85"/>
      <c r="T152" s="85"/>
    </row>
    <row r="153" spans="1:20" ht="14.5">
      <c r="A153" s="85" t="s">
        <v>13722</v>
      </c>
      <c r="B153" s="86">
        <v>25</v>
      </c>
      <c r="C153" s="86">
        <v>20</v>
      </c>
      <c r="D153" s="85">
        <v>0</v>
      </c>
      <c r="E153" s="85">
        <v>0</v>
      </c>
      <c r="F153" s="85">
        <v>0</v>
      </c>
      <c r="G153" s="13">
        <v>44978</v>
      </c>
      <c r="H153" s="85"/>
      <c r="I153" s="85"/>
      <c r="J153" s="85"/>
      <c r="K153" s="85"/>
      <c r="L153" s="85"/>
      <c r="M153" s="85"/>
      <c r="N153" s="85"/>
      <c r="O153" s="85"/>
      <c r="P153" s="85"/>
      <c r="Q153" s="85"/>
      <c r="R153" s="85"/>
      <c r="S153" s="85"/>
      <c r="T153" s="85"/>
    </row>
    <row r="154" spans="1:20" ht="14.5">
      <c r="A154" s="85" t="s">
        <v>13723</v>
      </c>
      <c r="B154" s="86">
        <v>132</v>
      </c>
      <c r="C154" s="86">
        <v>31</v>
      </c>
      <c r="D154" s="86">
        <v>64</v>
      </c>
      <c r="E154" s="85">
        <v>0</v>
      </c>
      <c r="F154" s="85">
        <v>0</v>
      </c>
      <c r="G154" s="13">
        <v>44978</v>
      </c>
      <c r="H154" s="86"/>
      <c r="I154" s="86"/>
      <c r="J154" s="85"/>
      <c r="K154" s="85"/>
      <c r="L154" s="85"/>
      <c r="M154" s="85"/>
      <c r="N154" s="85"/>
      <c r="O154" s="85"/>
      <c r="P154" s="85"/>
      <c r="Q154" s="85"/>
      <c r="R154" s="85"/>
      <c r="S154" s="85"/>
      <c r="T154" s="85"/>
    </row>
    <row r="155" spans="1:20" ht="14.5">
      <c r="A155" s="85" t="s">
        <v>13724</v>
      </c>
      <c r="B155" s="86">
        <v>15</v>
      </c>
      <c r="C155" s="86">
        <v>12</v>
      </c>
      <c r="D155" s="85">
        <v>0</v>
      </c>
      <c r="E155" s="85">
        <v>0</v>
      </c>
      <c r="F155" s="85">
        <v>0</v>
      </c>
      <c r="G155" s="13">
        <v>44978</v>
      </c>
      <c r="H155" s="85"/>
      <c r="I155" s="85"/>
      <c r="J155" s="85"/>
      <c r="K155" s="85"/>
      <c r="L155" s="85"/>
      <c r="M155" s="85"/>
      <c r="N155" s="85"/>
      <c r="O155" s="85"/>
      <c r="P155" s="85"/>
      <c r="Q155" s="85"/>
      <c r="R155" s="85"/>
      <c r="S155" s="85"/>
      <c r="T155" s="85"/>
    </row>
    <row r="156" spans="1:20" ht="14.5">
      <c r="A156" s="85" t="s">
        <v>13725</v>
      </c>
      <c r="B156" s="86">
        <v>10</v>
      </c>
      <c r="C156" s="86">
        <v>4</v>
      </c>
      <c r="D156" s="86">
        <v>2</v>
      </c>
      <c r="E156" s="85">
        <v>0</v>
      </c>
      <c r="F156" s="85">
        <v>0</v>
      </c>
      <c r="G156" s="13">
        <v>44978</v>
      </c>
      <c r="H156" s="85"/>
      <c r="I156" s="85"/>
      <c r="J156" s="85"/>
      <c r="K156" s="85"/>
      <c r="L156" s="85"/>
      <c r="M156" s="85"/>
      <c r="N156" s="85"/>
      <c r="O156" s="85"/>
      <c r="P156" s="85"/>
      <c r="Q156" s="85"/>
      <c r="R156" s="85"/>
      <c r="S156" s="85"/>
      <c r="T156" s="85"/>
    </row>
    <row r="157" spans="1:20" ht="14.5">
      <c r="A157" s="85" t="s">
        <v>13726</v>
      </c>
      <c r="B157" s="86">
        <v>78</v>
      </c>
      <c r="C157" s="86">
        <v>72</v>
      </c>
      <c r="D157" s="86">
        <v>3</v>
      </c>
      <c r="E157" s="85">
        <v>0</v>
      </c>
      <c r="F157" s="85">
        <v>0</v>
      </c>
      <c r="G157" s="13">
        <v>44978</v>
      </c>
      <c r="H157" s="85"/>
      <c r="I157" s="85"/>
      <c r="J157" s="85"/>
      <c r="K157" s="85"/>
      <c r="L157" s="85"/>
      <c r="M157" s="85"/>
      <c r="N157" s="85"/>
      <c r="O157" s="85"/>
      <c r="P157" s="85"/>
      <c r="Q157" s="85"/>
      <c r="R157" s="85"/>
      <c r="S157" s="85"/>
      <c r="T157" s="85"/>
    </row>
    <row r="158" spans="1:20" ht="14.5">
      <c r="A158" s="85" t="s">
        <v>13727</v>
      </c>
      <c r="B158" s="86">
        <v>109</v>
      </c>
      <c r="C158" s="86">
        <v>18</v>
      </c>
      <c r="D158" s="86">
        <v>31</v>
      </c>
      <c r="E158" s="85">
        <v>0</v>
      </c>
      <c r="F158" s="85">
        <v>0</v>
      </c>
      <c r="G158" s="13">
        <v>44978</v>
      </c>
      <c r="H158" s="85"/>
      <c r="I158" s="85"/>
      <c r="J158" s="85"/>
      <c r="K158" s="85"/>
      <c r="L158" s="85"/>
      <c r="M158" s="85"/>
      <c r="N158" s="85"/>
      <c r="O158" s="85"/>
      <c r="P158" s="85"/>
      <c r="Q158" s="85"/>
      <c r="R158" s="85"/>
      <c r="S158" s="85"/>
      <c r="T158" s="85"/>
    </row>
    <row r="159" spans="1:20" ht="14.5">
      <c r="A159" s="85" t="s">
        <v>13728</v>
      </c>
      <c r="B159" s="86">
        <v>75</v>
      </c>
      <c r="C159" s="86">
        <v>29</v>
      </c>
      <c r="D159" s="86">
        <v>41</v>
      </c>
      <c r="E159" s="85">
        <v>0</v>
      </c>
      <c r="F159" s="85">
        <v>0</v>
      </c>
      <c r="G159" s="13">
        <v>44978</v>
      </c>
      <c r="H159" s="86"/>
      <c r="I159" s="86"/>
      <c r="J159" s="85"/>
      <c r="K159" s="85"/>
      <c r="L159" s="85"/>
      <c r="M159" s="85"/>
      <c r="N159" s="85"/>
      <c r="O159" s="85"/>
      <c r="P159" s="85"/>
      <c r="Q159" s="85"/>
      <c r="R159" s="85"/>
      <c r="S159" s="85"/>
      <c r="T159" s="85"/>
    </row>
    <row r="160" spans="1:20" ht="14.5">
      <c r="A160" s="85" t="s">
        <v>13729</v>
      </c>
      <c r="B160" s="86">
        <v>33</v>
      </c>
      <c r="C160" s="86">
        <v>48</v>
      </c>
      <c r="D160" s="86">
        <v>10</v>
      </c>
      <c r="E160" s="85">
        <v>0</v>
      </c>
      <c r="F160" s="85">
        <v>0</v>
      </c>
      <c r="G160" s="13">
        <v>44978</v>
      </c>
      <c r="H160" s="85"/>
      <c r="I160" s="85"/>
      <c r="J160" s="85"/>
      <c r="K160" s="85"/>
      <c r="L160" s="85"/>
      <c r="M160" s="85"/>
      <c r="N160" s="85"/>
      <c r="O160" s="85"/>
      <c r="P160" s="85"/>
      <c r="Q160" s="85"/>
      <c r="R160" s="85"/>
      <c r="S160" s="85"/>
      <c r="T160" s="85"/>
    </row>
    <row r="161" spans="1:20" ht="14.5">
      <c r="A161" s="85" t="s">
        <v>13730</v>
      </c>
      <c r="B161" s="86">
        <v>61</v>
      </c>
      <c r="C161" s="86">
        <v>21</v>
      </c>
      <c r="D161" s="86">
        <v>1</v>
      </c>
      <c r="E161" s="85">
        <v>0</v>
      </c>
      <c r="F161" s="85">
        <v>0</v>
      </c>
      <c r="G161" s="13">
        <v>44978</v>
      </c>
      <c r="H161" s="85"/>
      <c r="I161" s="85"/>
      <c r="J161" s="85"/>
      <c r="K161" s="85"/>
      <c r="L161" s="85"/>
      <c r="M161" s="85"/>
      <c r="N161" s="85"/>
      <c r="O161" s="85"/>
      <c r="P161" s="85"/>
      <c r="Q161" s="85"/>
      <c r="R161" s="85"/>
      <c r="S161" s="85"/>
      <c r="T161" s="85"/>
    </row>
    <row r="162" spans="1:20" ht="14.5">
      <c r="A162" s="85" t="s">
        <v>13731</v>
      </c>
      <c r="B162" s="86">
        <v>62</v>
      </c>
      <c r="C162" s="86">
        <v>14</v>
      </c>
      <c r="D162" s="86">
        <v>2</v>
      </c>
      <c r="E162" s="85">
        <v>0</v>
      </c>
      <c r="F162" s="85">
        <v>0</v>
      </c>
      <c r="G162" s="13">
        <v>44978</v>
      </c>
      <c r="H162" s="85"/>
      <c r="I162" s="85"/>
      <c r="J162" s="85"/>
      <c r="K162" s="85"/>
      <c r="L162" s="85"/>
      <c r="M162" s="85"/>
      <c r="N162" s="85"/>
      <c r="O162" s="85"/>
      <c r="P162" s="85"/>
      <c r="Q162" s="85"/>
      <c r="R162" s="85"/>
      <c r="S162" s="85"/>
      <c r="T162" s="85"/>
    </row>
    <row r="163" spans="1:20" ht="14.5">
      <c r="A163" s="85" t="s">
        <v>13732</v>
      </c>
      <c r="B163" s="86">
        <v>243</v>
      </c>
      <c r="C163" s="86">
        <v>39</v>
      </c>
      <c r="D163" s="86">
        <v>65</v>
      </c>
      <c r="E163" s="85">
        <v>0</v>
      </c>
      <c r="F163" s="85">
        <v>0</v>
      </c>
      <c r="G163" s="13">
        <v>44978</v>
      </c>
      <c r="H163" s="85"/>
      <c r="I163" s="85"/>
      <c r="J163" s="85"/>
      <c r="K163" s="85"/>
      <c r="L163" s="85"/>
      <c r="M163" s="85"/>
      <c r="N163" s="85"/>
      <c r="O163" s="85"/>
      <c r="P163" s="85"/>
      <c r="Q163" s="85"/>
      <c r="R163" s="85"/>
      <c r="S163" s="85"/>
      <c r="T163" s="85"/>
    </row>
    <row r="164" spans="1:20" ht="14.5">
      <c r="A164" s="85" t="s">
        <v>13733</v>
      </c>
      <c r="B164" s="86">
        <v>42</v>
      </c>
      <c r="C164" s="86">
        <v>9</v>
      </c>
      <c r="D164" s="86">
        <v>4</v>
      </c>
      <c r="E164" s="85">
        <v>0</v>
      </c>
      <c r="F164" s="85">
        <v>0</v>
      </c>
      <c r="G164" s="13">
        <v>44978</v>
      </c>
      <c r="H164" s="85"/>
      <c r="I164" s="85"/>
      <c r="J164" s="85"/>
      <c r="K164" s="85"/>
      <c r="L164" s="85"/>
      <c r="M164" s="85"/>
      <c r="N164" s="85"/>
      <c r="O164" s="85"/>
      <c r="P164" s="85"/>
      <c r="Q164" s="85"/>
      <c r="R164" s="85"/>
      <c r="S164" s="85"/>
      <c r="T164" s="85"/>
    </row>
    <row r="165" spans="1:20" ht="14.5">
      <c r="A165" s="85" t="s">
        <v>13734</v>
      </c>
      <c r="B165" s="86">
        <v>8</v>
      </c>
      <c r="C165" s="86">
        <v>2</v>
      </c>
      <c r="D165" s="86">
        <v>6</v>
      </c>
      <c r="E165" s="85">
        <v>0</v>
      </c>
      <c r="F165" s="85">
        <v>0</v>
      </c>
      <c r="G165" s="13">
        <v>44978</v>
      </c>
      <c r="H165" s="85"/>
      <c r="I165" s="85"/>
      <c r="J165" s="85"/>
      <c r="K165" s="85"/>
      <c r="L165" s="85"/>
      <c r="M165" s="85"/>
      <c r="N165" s="85"/>
      <c r="O165" s="85"/>
      <c r="P165" s="85"/>
      <c r="Q165" s="85"/>
      <c r="R165" s="85"/>
      <c r="S165" s="85"/>
      <c r="T165" s="85"/>
    </row>
    <row r="166" spans="1:20" ht="14.5">
      <c r="A166" s="85" t="s">
        <v>13735</v>
      </c>
      <c r="B166" s="86">
        <v>29</v>
      </c>
      <c r="C166" s="86">
        <v>2</v>
      </c>
      <c r="D166" s="86">
        <v>8</v>
      </c>
      <c r="E166" s="85">
        <v>0</v>
      </c>
      <c r="F166" s="85">
        <v>0</v>
      </c>
      <c r="G166" s="13">
        <v>44978</v>
      </c>
      <c r="H166" s="85"/>
      <c r="I166" s="85"/>
      <c r="J166" s="85"/>
      <c r="K166" s="85"/>
      <c r="L166" s="85"/>
      <c r="M166" s="85"/>
      <c r="N166" s="85"/>
      <c r="O166" s="85"/>
      <c r="P166" s="85"/>
      <c r="Q166" s="85"/>
      <c r="R166" s="85"/>
      <c r="S166" s="85"/>
      <c r="T166" s="85"/>
    </row>
    <row r="167" spans="1:20" ht="14.5">
      <c r="A167" s="85" t="s">
        <v>13736</v>
      </c>
      <c r="B167" s="86">
        <v>39</v>
      </c>
      <c r="C167" s="86">
        <v>3</v>
      </c>
      <c r="D167" s="86">
        <v>5</v>
      </c>
      <c r="E167" s="85">
        <v>0</v>
      </c>
      <c r="F167" s="85">
        <v>0</v>
      </c>
      <c r="G167" s="13">
        <v>44978</v>
      </c>
      <c r="H167" s="85"/>
      <c r="I167" s="85"/>
      <c r="J167" s="85"/>
      <c r="K167" s="85"/>
      <c r="L167" s="85"/>
      <c r="M167" s="85"/>
      <c r="N167" s="85"/>
      <c r="O167" s="85"/>
      <c r="P167" s="85"/>
      <c r="Q167" s="85"/>
      <c r="R167" s="85"/>
      <c r="S167" s="85"/>
      <c r="T167" s="85"/>
    </row>
    <row r="168" spans="1:20" ht="14.5">
      <c r="A168" s="85" t="s">
        <v>13737</v>
      </c>
      <c r="B168" s="86">
        <v>32</v>
      </c>
      <c r="C168" s="86">
        <v>12</v>
      </c>
      <c r="D168" s="85">
        <v>0</v>
      </c>
      <c r="E168" s="85">
        <v>0</v>
      </c>
      <c r="F168" s="85">
        <v>0</v>
      </c>
      <c r="G168" s="13">
        <v>44978</v>
      </c>
      <c r="H168" s="85"/>
      <c r="I168" s="85"/>
      <c r="J168" s="85"/>
      <c r="K168" s="85"/>
      <c r="L168" s="85"/>
      <c r="M168" s="85"/>
      <c r="N168" s="85"/>
      <c r="O168" s="85"/>
      <c r="P168" s="85"/>
      <c r="Q168" s="85"/>
      <c r="R168" s="85"/>
      <c r="S168" s="85"/>
      <c r="T168" s="85"/>
    </row>
    <row r="169" spans="1:20" ht="14.5">
      <c r="A169" s="85" t="s">
        <v>13738</v>
      </c>
      <c r="B169" s="86">
        <v>98</v>
      </c>
      <c r="C169" s="86">
        <v>17</v>
      </c>
      <c r="D169" s="85">
        <v>0</v>
      </c>
      <c r="E169" s="85">
        <v>0</v>
      </c>
      <c r="F169" s="85">
        <v>0</v>
      </c>
      <c r="G169" s="13">
        <v>44978</v>
      </c>
      <c r="H169" s="85"/>
      <c r="I169" s="85"/>
      <c r="J169" s="85"/>
      <c r="K169" s="85"/>
      <c r="L169" s="85"/>
      <c r="M169" s="85"/>
      <c r="N169" s="85"/>
      <c r="O169" s="85"/>
      <c r="P169" s="85"/>
      <c r="Q169" s="85"/>
      <c r="R169" s="85"/>
      <c r="S169" s="85"/>
      <c r="T169" s="85"/>
    </row>
    <row r="170" spans="1:20" ht="14.5">
      <c r="A170" s="85" t="s">
        <v>13739</v>
      </c>
      <c r="B170" s="86">
        <v>10</v>
      </c>
      <c r="C170" s="86">
        <v>7</v>
      </c>
      <c r="D170" s="85">
        <v>0</v>
      </c>
      <c r="E170" s="85">
        <v>0</v>
      </c>
      <c r="F170" s="85">
        <v>0</v>
      </c>
      <c r="G170" s="13">
        <v>44978</v>
      </c>
      <c r="H170" s="85"/>
      <c r="I170" s="85"/>
      <c r="J170" s="85"/>
      <c r="K170" s="85"/>
      <c r="L170" s="85"/>
      <c r="M170" s="85"/>
      <c r="N170" s="85"/>
      <c r="O170" s="85"/>
      <c r="P170" s="85"/>
      <c r="Q170" s="85"/>
      <c r="R170" s="85"/>
      <c r="S170" s="85"/>
      <c r="T170" s="85"/>
    </row>
    <row r="171" spans="1:20" ht="14.5">
      <c r="A171" s="85" t="s">
        <v>13740</v>
      </c>
      <c r="B171" s="86">
        <v>83</v>
      </c>
      <c r="C171" s="86">
        <v>14</v>
      </c>
      <c r="D171" s="86">
        <v>15</v>
      </c>
      <c r="E171" s="86">
        <v>23</v>
      </c>
      <c r="F171" s="85">
        <v>0</v>
      </c>
      <c r="G171" s="13">
        <v>44978</v>
      </c>
      <c r="H171" s="85"/>
      <c r="I171" s="85"/>
      <c r="J171" s="85"/>
      <c r="K171" s="85"/>
      <c r="L171" s="85"/>
      <c r="M171" s="86"/>
      <c r="N171" s="86"/>
      <c r="O171" s="85"/>
      <c r="P171" s="85"/>
      <c r="Q171" s="85"/>
      <c r="R171" s="85"/>
      <c r="S171" s="85"/>
      <c r="T171" s="85"/>
    </row>
    <row r="172" spans="1:20" ht="14.5">
      <c r="A172" s="85" t="s">
        <v>13741</v>
      </c>
      <c r="B172" s="86">
        <v>375</v>
      </c>
      <c r="C172" s="86">
        <v>81</v>
      </c>
      <c r="D172" s="86">
        <v>644</v>
      </c>
      <c r="E172" s="85">
        <v>0</v>
      </c>
      <c r="F172" s="86">
        <v>3</v>
      </c>
      <c r="G172" s="13">
        <v>44978</v>
      </c>
      <c r="H172" s="86"/>
      <c r="I172" s="86"/>
      <c r="J172" s="85"/>
      <c r="K172" s="85"/>
      <c r="L172" s="85"/>
      <c r="M172" s="85"/>
      <c r="N172" s="85"/>
      <c r="O172" s="85"/>
      <c r="P172" s="85"/>
      <c r="Q172" s="85"/>
      <c r="R172" s="85"/>
      <c r="S172" s="85"/>
      <c r="T172" s="85"/>
    </row>
    <row r="173" spans="1:20" ht="14.5">
      <c r="A173" s="85" t="s">
        <v>13742</v>
      </c>
      <c r="B173" s="86">
        <v>87</v>
      </c>
      <c r="C173" s="86">
        <v>21</v>
      </c>
      <c r="D173" s="86">
        <v>27</v>
      </c>
      <c r="E173" s="86">
        <v>55</v>
      </c>
      <c r="F173" s="85">
        <v>0</v>
      </c>
      <c r="G173" s="13">
        <v>44978</v>
      </c>
      <c r="H173" s="85"/>
      <c r="I173" s="85"/>
      <c r="J173" s="85"/>
      <c r="K173" s="85"/>
      <c r="L173" s="85"/>
      <c r="M173" s="86"/>
      <c r="N173" s="86"/>
      <c r="O173" s="85"/>
      <c r="P173" s="85"/>
      <c r="Q173" s="85"/>
      <c r="R173" s="85"/>
      <c r="S173" s="85"/>
      <c r="T173" s="85"/>
    </row>
    <row r="174" spans="1:20" ht="14.5">
      <c r="A174" s="85" t="s">
        <v>13743</v>
      </c>
      <c r="B174" s="86">
        <v>7</v>
      </c>
      <c r="C174" s="85">
        <v>0</v>
      </c>
      <c r="D174" s="85">
        <v>0</v>
      </c>
      <c r="E174" s="86">
        <v>11</v>
      </c>
      <c r="F174" s="85">
        <v>0</v>
      </c>
      <c r="G174" s="13">
        <v>44978</v>
      </c>
      <c r="H174" s="85"/>
      <c r="I174" s="85"/>
      <c r="J174" s="85"/>
      <c r="K174" s="85"/>
      <c r="L174" s="85"/>
      <c r="M174" s="85"/>
      <c r="N174" s="85"/>
      <c r="O174" s="85"/>
      <c r="P174" s="85"/>
      <c r="Q174" s="85"/>
      <c r="R174" s="85"/>
      <c r="S174" s="85"/>
      <c r="T174" s="85"/>
    </row>
    <row r="175" spans="1:20" ht="14.5">
      <c r="A175" s="85" t="s">
        <v>13744</v>
      </c>
      <c r="B175" s="86">
        <v>25</v>
      </c>
      <c r="C175" s="86">
        <v>10</v>
      </c>
      <c r="D175" s="86">
        <v>115</v>
      </c>
      <c r="E175" s="85">
        <v>0</v>
      </c>
      <c r="F175" s="85">
        <v>0</v>
      </c>
      <c r="G175" s="13">
        <v>44978</v>
      </c>
      <c r="H175" s="85"/>
      <c r="I175" s="85"/>
      <c r="J175" s="85"/>
      <c r="K175" s="85"/>
      <c r="L175" s="85"/>
      <c r="M175" s="85"/>
      <c r="N175" s="85"/>
      <c r="O175" s="85"/>
      <c r="P175" s="85"/>
      <c r="Q175" s="85"/>
      <c r="R175" s="85"/>
      <c r="S175" s="85"/>
      <c r="T175" s="85"/>
    </row>
    <row r="176" spans="1:20" ht="14.5">
      <c r="A176" s="85" t="s">
        <v>13745</v>
      </c>
      <c r="B176" s="86">
        <v>31</v>
      </c>
      <c r="C176" s="86">
        <v>4</v>
      </c>
      <c r="D176" s="86">
        <v>45</v>
      </c>
      <c r="E176" s="85">
        <v>0</v>
      </c>
      <c r="F176" s="86">
        <v>3</v>
      </c>
      <c r="G176" s="13">
        <v>44978</v>
      </c>
      <c r="H176" s="85"/>
      <c r="I176" s="85"/>
      <c r="J176" s="86"/>
      <c r="K176" s="85"/>
      <c r="L176" s="85"/>
      <c r="M176" s="85"/>
      <c r="N176" s="85"/>
      <c r="O176" s="85"/>
      <c r="P176" s="85"/>
      <c r="Q176" s="85"/>
      <c r="R176" s="85"/>
      <c r="S176" s="85"/>
      <c r="T176" s="85"/>
    </row>
    <row r="177" spans="1:20" ht="14.5">
      <c r="A177" s="85" t="s">
        <v>13746</v>
      </c>
      <c r="B177" s="86">
        <v>20</v>
      </c>
      <c r="C177" s="86">
        <v>10</v>
      </c>
      <c r="D177" s="86">
        <v>28</v>
      </c>
      <c r="E177" s="85">
        <v>0</v>
      </c>
      <c r="F177" s="85">
        <v>0</v>
      </c>
      <c r="G177" s="13">
        <v>44978</v>
      </c>
      <c r="H177" s="85"/>
      <c r="I177" s="85"/>
      <c r="J177" s="85"/>
      <c r="K177" s="85"/>
      <c r="L177" s="85"/>
      <c r="M177" s="85"/>
      <c r="N177" s="85"/>
      <c r="O177" s="85"/>
      <c r="P177" s="85"/>
      <c r="Q177" s="85"/>
      <c r="R177" s="85"/>
      <c r="S177" s="85"/>
      <c r="T177" s="85"/>
    </row>
    <row r="178" spans="1:20" ht="14.5">
      <c r="A178" s="85" t="s">
        <v>13747</v>
      </c>
      <c r="B178" s="86">
        <v>101</v>
      </c>
      <c r="C178" s="86">
        <v>22</v>
      </c>
      <c r="D178" s="86">
        <v>2</v>
      </c>
      <c r="E178" s="85">
        <v>0</v>
      </c>
      <c r="F178" s="86">
        <v>2</v>
      </c>
      <c r="G178" s="13">
        <v>44978</v>
      </c>
      <c r="H178" s="85"/>
      <c r="I178" s="85"/>
      <c r="J178" s="85"/>
      <c r="K178" s="86"/>
      <c r="L178" s="85"/>
      <c r="M178" s="85"/>
      <c r="N178" s="85"/>
      <c r="O178" s="85"/>
      <c r="P178" s="85"/>
      <c r="Q178" s="85"/>
      <c r="R178" s="85"/>
      <c r="S178" s="85"/>
      <c r="T178" s="85"/>
    </row>
    <row r="179" spans="1:20" ht="14.5">
      <c r="A179" s="85" t="s">
        <v>13748</v>
      </c>
      <c r="B179" s="86">
        <v>15</v>
      </c>
      <c r="C179" s="86">
        <v>9</v>
      </c>
      <c r="D179" s="86">
        <v>14</v>
      </c>
      <c r="E179" s="85">
        <v>0</v>
      </c>
      <c r="F179" s="85">
        <v>0</v>
      </c>
      <c r="G179" s="13">
        <v>44978</v>
      </c>
      <c r="H179" s="85"/>
      <c r="I179" s="85"/>
      <c r="J179" s="85"/>
      <c r="K179" s="85"/>
      <c r="L179" s="85"/>
      <c r="M179" s="85"/>
      <c r="N179" s="85"/>
      <c r="O179" s="85"/>
      <c r="P179" s="85"/>
      <c r="Q179" s="85"/>
      <c r="R179" s="85"/>
      <c r="S179" s="85"/>
      <c r="T179" s="85"/>
    </row>
    <row r="180" spans="1:20" ht="14.5">
      <c r="A180" s="85" t="s">
        <v>13749</v>
      </c>
      <c r="B180" s="86">
        <v>79</v>
      </c>
      <c r="C180" s="86">
        <v>24</v>
      </c>
      <c r="D180" s="86">
        <v>26</v>
      </c>
      <c r="E180" s="85">
        <v>0</v>
      </c>
      <c r="F180" s="85">
        <v>0</v>
      </c>
      <c r="G180" s="13">
        <v>44978</v>
      </c>
      <c r="H180" s="85"/>
      <c r="I180" s="85"/>
      <c r="J180" s="85"/>
      <c r="K180" s="85"/>
      <c r="L180" s="85"/>
      <c r="M180" s="85"/>
      <c r="N180" s="85"/>
      <c r="O180" s="85"/>
      <c r="P180" s="85"/>
      <c r="Q180" s="85"/>
      <c r="R180" s="85"/>
      <c r="S180" s="85"/>
      <c r="T180" s="85"/>
    </row>
    <row r="181" spans="1:20" ht="14.5">
      <c r="A181" s="85" t="s">
        <v>13750</v>
      </c>
      <c r="B181" s="86">
        <v>70</v>
      </c>
      <c r="C181" s="86">
        <v>50</v>
      </c>
      <c r="D181" s="86">
        <v>7</v>
      </c>
      <c r="E181" s="85">
        <v>0</v>
      </c>
      <c r="F181" s="85">
        <v>0</v>
      </c>
      <c r="G181" s="13">
        <v>44978</v>
      </c>
      <c r="H181" s="85"/>
      <c r="I181" s="85"/>
      <c r="J181" s="85"/>
      <c r="K181" s="85"/>
      <c r="L181" s="85"/>
      <c r="M181" s="85"/>
      <c r="N181" s="85"/>
      <c r="O181" s="85"/>
      <c r="P181" s="85"/>
      <c r="Q181" s="85"/>
      <c r="R181" s="85"/>
      <c r="S181" s="85"/>
      <c r="T181" s="85"/>
    </row>
    <row r="182" spans="1:20" ht="14.5">
      <c r="A182" s="85" t="s">
        <v>13751</v>
      </c>
      <c r="B182" s="86">
        <v>9</v>
      </c>
      <c r="C182" s="86">
        <v>33</v>
      </c>
      <c r="D182" s="86">
        <v>3</v>
      </c>
      <c r="E182" s="85">
        <v>0</v>
      </c>
      <c r="F182" s="85">
        <v>0</v>
      </c>
      <c r="G182" s="13">
        <v>44978</v>
      </c>
      <c r="H182" s="85"/>
      <c r="I182" s="85"/>
      <c r="J182" s="85"/>
      <c r="K182" s="85"/>
      <c r="L182" s="85"/>
      <c r="M182" s="85"/>
      <c r="N182" s="85"/>
      <c r="O182" s="85"/>
      <c r="P182" s="85"/>
      <c r="Q182" s="85"/>
      <c r="R182" s="85"/>
      <c r="S182" s="85"/>
      <c r="T182" s="85"/>
    </row>
    <row r="183" spans="1:20" ht="14.5">
      <c r="A183" s="85" t="s">
        <v>13752</v>
      </c>
      <c r="B183" s="86">
        <v>110</v>
      </c>
      <c r="C183" s="86">
        <v>17</v>
      </c>
      <c r="D183" s="86">
        <v>5</v>
      </c>
      <c r="E183" s="86">
        <v>10</v>
      </c>
      <c r="F183" s="85">
        <v>0</v>
      </c>
      <c r="G183" s="13">
        <v>44978</v>
      </c>
      <c r="H183" s="85"/>
      <c r="I183" s="85"/>
      <c r="J183" s="85"/>
      <c r="K183" s="85"/>
      <c r="L183" s="85"/>
      <c r="M183" s="85"/>
      <c r="N183" s="85"/>
      <c r="O183" s="85"/>
      <c r="P183" s="85"/>
      <c r="Q183" s="85"/>
      <c r="R183" s="85"/>
      <c r="S183" s="85"/>
      <c r="T183" s="85"/>
    </row>
    <row r="184" spans="1:20" ht="14.5">
      <c r="A184" s="85" t="s">
        <v>13753</v>
      </c>
      <c r="B184" s="86">
        <v>28</v>
      </c>
      <c r="C184" s="86">
        <v>96</v>
      </c>
      <c r="D184" s="86">
        <v>13</v>
      </c>
      <c r="E184" s="85">
        <v>0</v>
      </c>
      <c r="F184" s="86">
        <v>3</v>
      </c>
      <c r="G184" s="13">
        <v>44978</v>
      </c>
      <c r="H184" s="85"/>
      <c r="I184" s="85"/>
      <c r="J184" s="86"/>
      <c r="K184" s="85"/>
      <c r="L184" s="85"/>
      <c r="M184" s="85"/>
      <c r="N184" s="85"/>
      <c r="O184" s="85"/>
      <c r="P184" s="85"/>
      <c r="Q184" s="85"/>
      <c r="R184" s="85"/>
      <c r="S184" s="85"/>
      <c r="T184" s="85"/>
    </row>
    <row r="185" spans="1:20" ht="14.5">
      <c r="A185" s="85" t="s">
        <v>13754</v>
      </c>
      <c r="B185" s="86">
        <v>34</v>
      </c>
      <c r="C185" s="86">
        <v>12</v>
      </c>
      <c r="D185" s="86">
        <v>40</v>
      </c>
      <c r="E185" s="85">
        <v>0</v>
      </c>
      <c r="F185" s="86">
        <v>1</v>
      </c>
      <c r="G185" s="13">
        <v>44978</v>
      </c>
      <c r="H185" s="85"/>
      <c r="I185" s="85"/>
      <c r="J185" s="86"/>
      <c r="K185" s="85"/>
      <c r="L185" s="85"/>
      <c r="M185" s="85"/>
      <c r="N185" s="85"/>
      <c r="O185" s="85"/>
      <c r="P185" s="85"/>
      <c r="Q185" s="85"/>
      <c r="R185" s="85"/>
      <c r="S185" s="85"/>
      <c r="T185" s="85"/>
    </row>
    <row r="186" spans="1:20" ht="14.5">
      <c r="A186" s="85" t="s">
        <v>13755</v>
      </c>
      <c r="B186" s="86">
        <v>287</v>
      </c>
      <c r="C186" s="86">
        <v>68</v>
      </c>
      <c r="D186" s="86">
        <v>191</v>
      </c>
      <c r="E186" s="85">
        <v>0</v>
      </c>
      <c r="F186" s="85">
        <v>0</v>
      </c>
      <c r="G186" s="13">
        <v>44978</v>
      </c>
      <c r="H186" s="85"/>
      <c r="I186" s="85"/>
      <c r="J186" s="85"/>
      <c r="K186" s="85"/>
      <c r="L186" s="85"/>
      <c r="M186" s="85"/>
      <c r="N186" s="85"/>
      <c r="O186" s="85"/>
      <c r="P186" s="85"/>
      <c r="Q186" s="85"/>
      <c r="R186" s="85"/>
      <c r="S186" s="85"/>
      <c r="T186" s="85"/>
    </row>
    <row r="187" spans="1:20" ht="14.5">
      <c r="A187" s="85" t="s">
        <v>13756</v>
      </c>
      <c r="B187" s="86">
        <v>34</v>
      </c>
      <c r="C187" s="86">
        <v>74</v>
      </c>
      <c r="D187" s="86">
        <v>99</v>
      </c>
      <c r="E187" s="85">
        <v>0</v>
      </c>
      <c r="F187" s="86">
        <v>4</v>
      </c>
      <c r="G187" s="13">
        <v>44978</v>
      </c>
      <c r="H187" s="85"/>
      <c r="I187" s="85"/>
      <c r="J187" s="86"/>
      <c r="K187" s="85"/>
      <c r="L187" s="85"/>
      <c r="M187" s="85"/>
      <c r="N187" s="85"/>
      <c r="O187" s="85"/>
      <c r="P187" s="85"/>
      <c r="Q187" s="85"/>
      <c r="R187" s="85"/>
      <c r="S187" s="85"/>
      <c r="T187" s="85"/>
    </row>
    <row r="188" spans="1:20" ht="14.5">
      <c r="A188" s="85" t="s">
        <v>13757</v>
      </c>
      <c r="B188" s="86">
        <v>60</v>
      </c>
      <c r="C188" s="86">
        <v>48</v>
      </c>
      <c r="D188" s="86">
        <v>19</v>
      </c>
      <c r="E188" s="85">
        <v>0</v>
      </c>
      <c r="F188" s="85">
        <v>0</v>
      </c>
      <c r="G188" s="13">
        <v>44978</v>
      </c>
      <c r="H188" s="85"/>
      <c r="I188" s="85"/>
      <c r="J188" s="85"/>
      <c r="K188" s="85"/>
      <c r="L188" s="85"/>
      <c r="M188" s="85"/>
      <c r="N188" s="85"/>
      <c r="O188" s="85"/>
      <c r="P188" s="85"/>
      <c r="Q188" s="85"/>
      <c r="R188" s="85"/>
      <c r="S188" s="85"/>
      <c r="T188" s="85"/>
    </row>
    <row r="189" spans="1:20" ht="14.5">
      <c r="A189" s="85" t="s">
        <v>13758</v>
      </c>
      <c r="B189" s="86">
        <v>73</v>
      </c>
      <c r="C189" s="86">
        <v>92</v>
      </c>
      <c r="D189" s="86">
        <v>1</v>
      </c>
      <c r="E189" s="85">
        <v>0</v>
      </c>
      <c r="F189" s="86">
        <v>1</v>
      </c>
      <c r="G189" s="13">
        <v>44978</v>
      </c>
      <c r="H189" s="85"/>
      <c r="I189" s="85"/>
      <c r="J189" s="85"/>
      <c r="K189" s="85"/>
      <c r="L189" s="85"/>
      <c r="M189" s="85"/>
      <c r="N189" s="85"/>
      <c r="O189" s="85"/>
      <c r="P189" s="85"/>
      <c r="Q189" s="85"/>
      <c r="R189" s="85"/>
      <c r="S189" s="85"/>
      <c r="T189" s="85"/>
    </row>
    <row r="190" spans="1:20" ht="14.5">
      <c r="A190" s="85" t="s">
        <v>13759</v>
      </c>
      <c r="B190" s="86">
        <v>23</v>
      </c>
      <c r="C190" s="86">
        <v>4</v>
      </c>
      <c r="D190" s="86">
        <v>1</v>
      </c>
      <c r="E190" s="85">
        <v>0</v>
      </c>
      <c r="F190" s="85">
        <v>0</v>
      </c>
      <c r="G190" s="13">
        <v>44978</v>
      </c>
      <c r="H190" s="85"/>
      <c r="I190" s="85"/>
      <c r="J190" s="85"/>
      <c r="K190" s="85"/>
      <c r="L190" s="85"/>
      <c r="M190" s="85"/>
      <c r="N190" s="85"/>
      <c r="O190" s="85"/>
      <c r="P190" s="85"/>
      <c r="Q190" s="85"/>
      <c r="R190" s="85"/>
      <c r="S190" s="85"/>
      <c r="T190" s="85"/>
    </row>
    <row r="191" spans="1:20" ht="14.5">
      <c r="A191" s="85" t="s">
        <v>13760</v>
      </c>
      <c r="B191" s="86">
        <v>76</v>
      </c>
      <c r="C191" s="86">
        <v>53</v>
      </c>
      <c r="D191" s="86">
        <v>104</v>
      </c>
      <c r="E191" s="85">
        <v>0</v>
      </c>
      <c r="F191" s="85">
        <v>0</v>
      </c>
      <c r="G191" s="13">
        <v>44978</v>
      </c>
      <c r="H191" s="85"/>
      <c r="I191" s="85"/>
      <c r="J191" s="85"/>
      <c r="K191" s="85"/>
      <c r="L191" s="85"/>
      <c r="M191" s="85"/>
      <c r="N191" s="85"/>
      <c r="O191" s="85"/>
      <c r="P191" s="85"/>
      <c r="Q191" s="85"/>
      <c r="R191" s="85"/>
      <c r="S191" s="85"/>
      <c r="T191" s="85"/>
    </row>
    <row r="192" spans="1:20" ht="14.5">
      <c r="A192" s="85" t="s">
        <v>13761</v>
      </c>
      <c r="B192" s="86">
        <v>72</v>
      </c>
      <c r="C192" s="86">
        <v>61</v>
      </c>
      <c r="D192" s="86">
        <v>20</v>
      </c>
      <c r="E192" s="85">
        <v>0</v>
      </c>
      <c r="F192" s="85">
        <v>0</v>
      </c>
      <c r="G192" s="13">
        <v>44978</v>
      </c>
      <c r="H192" s="85"/>
      <c r="I192" s="85"/>
      <c r="J192" s="85"/>
      <c r="K192" s="85"/>
      <c r="L192" s="85"/>
      <c r="M192" s="85"/>
      <c r="N192" s="85"/>
      <c r="O192" s="85"/>
      <c r="P192" s="85"/>
      <c r="Q192" s="85"/>
      <c r="R192" s="85"/>
      <c r="S192" s="85"/>
      <c r="T192" s="85"/>
    </row>
    <row r="193" spans="1:20" ht="14.5">
      <c r="A193" s="85" t="s">
        <v>13762</v>
      </c>
      <c r="B193" s="86">
        <v>51</v>
      </c>
      <c r="C193" s="86">
        <v>133</v>
      </c>
      <c r="D193" s="86">
        <v>6</v>
      </c>
      <c r="E193" s="85">
        <v>0</v>
      </c>
      <c r="F193" s="85">
        <v>0</v>
      </c>
      <c r="G193" s="13">
        <v>44978</v>
      </c>
      <c r="H193" s="85"/>
      <c r="I193" s="85"/>
      <c r="J193" s="85"/>
      <c r="K193" s="85"/>
      <c r="L193" s="85"/>
      <c r="M193" s="85"/>
      <c r="N193" s="85"/>
      <c r="O193" s="85"/>
      <c r="P193" s="85"/>
      <c r="Q193" s="85"/>
      <c r="R193" s="85"/>
      <c r="S193" s="85"/>
      <c r="T193" s="85"/>
    </row>
    <row r="194" spans="1:20" ht="14.5">
      <c r="A194" s="85" t="s">
        <v>13763</v>
      </c>
      <c r="B194" s="86">
        <v>30</v>
      </c>
      <c r="C194" s="86">
        <v>40</v>
      </c>
      <c r="D194" s="86">
        <v>11</v>
      </c>
      <c r="E194" s="85">
        <v>0</v>
      </c>
      <c r="F194" s="85">
        <v>0</v>
      </c>
      <c r="G194" s="13">
        <v>44978</v>
      </c>
      <c r="H194" s="85"/>
      <c r="I194" s="85"/>
      <c r="J194" s="85"/>
      <c r="K194" s="85"/>
      <c r="L194" s="85"/>
      <c r="M194" s="85"/>
      <c r="N194" s="85"/>
      <c r="O194" s="85"/>
      <c r="P194" s="85"/>
      <c r="Q194" s="85"/>
      <c r="R194" s="85"/>
      <c r="S194" s="85"/>
      <c r="T194" s="85"/>
    </row>
    <row r="195" spans="1:20" ht="14.5">
      <c r="A195" s="85" t="s">
        <v>13764</v>
      </c>
      <c r="B195" s="86">
        <v>16</v>
      </c>
      <c r="C195" s="86">
        <v>63</v>
      </c>
      <c r="D195" s="86">
        <v>7</v>
      </c>
      <c r="E195" s="85">
        <v>0</v>
      </c>
      <c r="F195" s="85">
        <v>0</v>
      </c>
      <c r="G195" s="13">
        <v>44978</v>
      </c>
      <c r="H195" s="85"/>
      <c r="I195" s="85"/>
      <c r="J195" s="85"/>
      <c r="K195" s="85"/>
      <c r="L195" s="85"/>
      <c r="M195" s="85"/>
      <c r="N195" s="85"/>
      <c r="O195" s="85"/>
      <c r="P195" s="85"/>
      <c r="Q195" s="85"/>
      <c r="R195" s="85"/>
      <c r="S195" s="85"/>
      <c r="T195" s="85"/>
    </row>
    <row r="196" spans="1:20" ht="14.5">
      <c r="A196" s="85" t="s">
        <v>13765</v>
      </c>
      <c r="B196" s="86">
        <v>105</v>
      </c>
      <c r="C196" s="86">
        <v>9</v>
      </c>
      <c r="D196" s="86">
        <v>36</v>
      </c>
      <c r="E196" s="85">
        <v>0</v>
      </c>
      <c r="F196" s="85">
        <v>0</v>
      </c>
      <c r="G196" s="13">
        <v>44978</v>
      </c>
      <c r="H196" s="85"/>
      <c r="I196" s="85"/>
      <c r="J196" s="85"/>
      <c r="K196" s="85"/>
      <c r="L196" s="85"/>
      <c r="M196" s="85"/>
      <c r="N196" s="85"/>
      <c r="O196" s="85"/>
      <c r="P196" s="85"/>
      <c r="Q196" s="85"/>
      <c r="R196" s="85"/>
      <c r="S196" s="85"/>
      <c r="T196" s="85"/>
    </row>
    <row r="197" spans="1:20" ht="14.5">
      <c r="A197" s="85" t="s">
        <v>13766</v>
      </c>
      <c r="B197" s="86">
        <v>46</v>
      </c>
      <c r="C197" s="86">
        <v>7</v>
      </c>
      <c r="D197" s="86">
        <v>15</v>
      </c>
      <c r="E197" s="85">
        <v>0</v>
      </c>
      <c r="F197" s="85">
        <v>0</v>
      </c>
      <c r="G197" s="13">
        <v>44978</v>
      </c>
      <c r="H197" s="85"/>
      <c r="I197" s="85"/>
      <c r="J197" s="85"/>
      <c r="K197" s="85"/>
      <c r="L197" s="85"/>
      <c r="M197" s="85"/>
      <c r="N197" s="85"/>
      <c r="O197" s="85"/>
      <c r="P197" s="85"/>
      <c r="Q197" s="85"/>
      <c r="R197" s="85"/>
      <c r="S197" s="85"/>
      <c r="T197" s="85"/>
    </row>
    <row r="198" spans="1:20" ht="14.5">
      <c r="A198" s="85" t="s">
        <v>13767</v>
      </c>
      <c r="B198" s="86">
        <v>4</v>
      </c>
      <c r="C198" s="86">
        <v>2</v>
      </c>
      <c r="D198" s="85">
        <v>0</v>
      </c>
      <c r="E198" s="85">
        <v>0</v>
      </c>
      <c r="F198" s="85">
        <v>0</v>
      </c>
      <c r="G198" s="13">
        <v>44978</v>
      </c>
      <c r="H198" s="85"/>
      <c r="I198" s="85"/>
      <c r="J198" s="85"/>
      <c r="K198" s="85"/>
      <c r="L198" s="85"/>
      <c r="M198" s="85"/>
      <c r="N198" s="85"/>
      <c r="O198" s="85"/>
      <c r="P198" s="85"/>
      <c r="Q198" s="85"/>
      <c r="R198" s="85"/>
      <c r="S198" s="85"/>
      <c r="T198" s="85"/>
    </row>
    <row r="199" spans="1:20" ht="14.5">
      <c r="A199" s="85" t="s">
        <v>13768</v>
      </c>
      <c r="B199" s="86">
        <v>21</v>
      </c>
      <c r="C199" s="86">
        <v>18</v>
      </c>
      <c r="D199" s="86">
        <v>6</v>
      </c>
      <c r="E199" s="85">
        <v>0</v>
      </c>
      <c r="F199" s="85">
        <v>0</v>
      </c>
      <c r="G199" s="13">
        <v>44978</v>
      </c>
      <c r="H199" s="85"/>
      <c r="I199" s="85"/>
      <c r="J199" s="85"/>
      <c r="K199" s="85"/>
      <c r="L199" s="85"/>
      <c r="M199" s="85"/>
      <c r="N199" s="85"/>
      <c r="O199" s="85"/>
      <c r="P199" s="85"/>
      <c r="Q199" s="85"/>
      <c r="R199" s="85"/>
      <c r="S199" s="85"/>
      <c r="T199" s="85"/>
    </row>
    <row r="200" spans="1:20" ht="14.5">
      <c r="A200" s="85" t="s">
        <v>13769</v>
      </c>
      <c r="B200" s="86">
        <v>12</v>
      </c>
      <c r="C200" s="86">
        <v>8</v>
      </c>
      <c r="D200" s="86">
        <v>1</v>
      </c>
      <c r="E200" s="85">
        <v>0</v>
      </c>
      <c r="F200" s="85">
        <v>0</v>
      </c>
      <c r="G200" s="13">
        <v>44978</v>
      </c>
      <c r="H200" s="85"/>
      <c r="I200" s="85"/>
      <c r="J200" s="85"/>
      <c r="K200" s="85"/>
      <c r="L200" s="85"/>
      <c r="M200" s="85"/>
      <c r="N200" s="85"/>
      <c r="O200" s="85"/>
      <c r="P200" s="85"/>
      <c r="Q200" s="85"/>
      <c r="R200" s="85"/>
      <c r="S200" s="85"/>
      <c r="T200" s="85"/>
    </row>
    <row r="201" spans="1:20" ht="14.5">
      <c r="A201" s="85" t="s">
        <v>13770</v>
      </c>
      <c r="B201" s="86">
        <v>38</v>
      </c>
      <c r="C201" s="86">
        <v>86</v>
      </c>
      <c r="D201" s="86">
        <v>9</v>
      </c>
      <c r="E201" s="85">
        <v>0</v>
      </c>
      <c r="F201" s="85">
        <v>0</v>
      </c>
      <c r="G201" s="13">
        <v>44978</v>
      </c>
      <c r="H201" s="85"/>
      <c r="I201" s="85"/>
      <c r="J201" s="85"/>
      <c r="K201" s="85"/>
      <c r="L201" s="85"/>
      <c r="M201" s="85"/>
      <c r="N201" s="85"/>
      <c r="O201" s="85"/>
      <c r="P201" s="85"/>
      <c r="Q201" s="85"/>
      <c r="R201" s="85"/>
      <c r="S201" s="85"/>
      <c r="T201" s="85"/>
    </row>
    <row r="202" spans="1:20" ht="14.5">
      <c r="A202" s="85" t="s">
        <v>13771</v>
      </c>
      <c r="B202" s="86">
        <v>289</v>
      </c>
      <c r="C202" s="86">
        <v>88</v>
      </c>
      <c r="D202" s="86">
        <v>406</v>
      </c>
      <c r="E202" s="85">
        <v>0</v>
      </c>
      <c r="F202" s="86">
        <v>3</v>
      </c>
      <c r="G202" s="13">
        <v>44978</v>
      </c>
      <c r="H202" s="86"/>
      <c r="I202" s="86"/>
      <c r="J202" s="86"/>
      <c r="K202" s="85"/>
      <c r="L202" s="85"/>
      <c r="M202" s="85"/>
      <c r="N202" s="85"/>
      <c r="O202" s="85"/>
      <c r="P202" s="85"/>
      <c r="Q202" s="85"/>
      <c r="R202" s="85"/>
      <c r="S202" s="85"/>
      <c r="T202" s="85"/>
    </row>
    <row r="203" spans="1:20" ht="14.5">
      <c r="A203" s="85" t="s">
        <v>13772</v>
      </c>
      <c r="B203" s="86">
        <v>30</v>
      </c>
      <c r="C203" s="86">
        <v>7</v>
      </c>
      <c r="D203" s="86">
        <v>2</v>
      </c>
      <c r="E203" s="85">
        <v>0</v>
      </c>
      <c r="F203" s="85">
        <v>0</v>
      </c>
      <c r="G203" s="13">
        <v>44978</v>
      </c>
      <c r="H203" s="85"/>
      <c r="I203" s="85"/>
      <c r="J203" s="85"/>
      <c r="K203" s="85"/>
      <c r="L203" s="85"/>
      <c r="M203" s="85"/>
      <c r="N203" s="85"/>
      <c r="O203" s="85"/>
      <c r="P203" s="85"/>
      <c r="Q203" s="85"/>
      <c r="R203" s="85"/>
      <c r="S203" s="85"/>
      <c r="T203" s="85"/>
    </row>
    <row r="204" spans="1:20" ht="14.5">
      <c r="A204" s="85" t="s">
        <v>13773</v>
      </c>
      <c r="B204" s="86">
        <v>22</v>
      </c>
      <c r="C204" s="86">
        <v>6</v>
      </c>
      <c r="D204" s="86">
        <v>22</v>
      </c>
      <c r="E204" s="86">
        <v>46</v>
      </c>
      <c r="F204" s="86">
        <v>2</v>
      </c>
      <c r="G204" s="13">
        <v>44978</v>
      </c>
      <c r="H204" s="85"/>
      <c r="I204" s="85"/>
      <c r="J204" s="85"/>
      <c r="K204" s="85"/>
      <c r="L204" s="85"/>
      <c r="M204" s="86"/>
      <c r="N204" s="86"/>
      <c r="O204" s="85"/>
      <c r="P204" s="85"/>
      <c r="Q204" s="85"/>
      <c r="R204" s="85"/>
      <c r="S204" s="85"/>
      <c r="T204" s="85"/>
    </row>
    <row r="205" spans="1:20" ht="14.5">
      <c r="A205" s="85" t="s">
        <v>13774</v>
      </c>
      <c r="B205" s="86">
        <v>9</v>
      </c>
      <c r="C205" s="85">
        <v>0</v>
      </c>
      <c r="D205" s="85">
        <v>0</v>
      </c>
      <c r="E205" s="86">
        <v>38</v>
      </c>
      <c r="F205" s="85">
        <v>0</v>
      </c>
      <c r="G205" s="13">
        <v>44978</v>
      </c>
      <c r="H205" s="85"/>
      <c r="I205" s="85"/>
      <c r="J205" s="85"/>
      <c r="K205" s="85"/>
      <c r="L205" s="85"/>
      <c r="M205" s="85"/>
      <c r="N205" s="86"/>
      <c r="O205" s="85"/>
      <c r="P205" s="85"/>
      <c r="Q205" s="85"/>
      <c r="R205" s="85"/>
      <c r="S205" s="85"/>
      <c r="T205" s="85"/>
    </row>
    <row r="206" spans="1:20" ht="14.5">
      <c r="A206" s="85" t="s">
        <v>13775</v>
      </c>
      <c r="B206" s="86">
        <v>2</v>
      </c>
      <c r="C206" s="86">
        <v>4</v>
      </c>
      <c r="D206" s="86">
        <v>1</v>
      </c>
      <c r="E206" s="85">
        <v>0</v>
      </c>
      <c r="F206" s="85">
        <v>0</v>
      </c>
      <c r="G206" s="13">
        <v>44978</v>
      </c>
      <c r="H206" s="85"/>
      <c r="I206" s="85"/>
      <c r="J206" s="85"/>
      <c r="K206" s="85"/>
      <c r="L206" s="85"/>
      <c r="M206" s="85"/>
      <c r="N206" s="85"/>
      <c r="O206" s="85"/>
      <c r="P206" s="85"/>
      <c r="Q206" s="85"/>
      <c r="R206" s="85"/>
      <c r="S206" s="85"/>
      <c r="T206" s="85"/>
    </row>
    <row r="207" spans="1:20" ht="14.5">
      <c r="A207" s="85" t="s">
        <v>13776</v>
      </c>
      <c r="B207" s="86">
        <v>2</v>
      </c>
      <c r="C207" s="86">
        <v>3</v>
      </c>
      <c r="D207" s="86">
        <v>7</v>
      </c>
      <c r="E207" s="86">
        <v>47</v>
      </c>
      <c r="F207" s="85">
        <v>0</v>
      </c>
      <c r="G207" s="13">
        <v>44978</v>
      </c>
      <c r="H207" s="85"/>
      <c r="I207" s="85"/>
      <c r="J207" s="85"/>
      <c r="K207" s="85"/>
      <c r="L207" s="85"/>
      <c r="M207" s="85"/>
      <c r="N207" s="86"/>
      <c r="O207" s="85"/>
      <c r="P207" s="85"/>
      <c r="Q207" s="85"/>
      <c r="R207" s="85"/>
      <c r="S207" s="85"/>
      <c r="T207" s="85"/>
    </row>
    <row r="208" spans="1:20" ht="14.5">
      <c r="A208" s="85" t="s">
        <v>13777</v>
      </c>
      <c r="B208" s="86">
        <v>15</v>
      </c>
      <c r="C208" s="86">
        <v>6</v>
      </c>
      <c r="D208" s="86">
        <v>22</v>
      </c>
      <c r="E208" s="85">
        <v>0</v>
      </c>
      <c r="F208" s="85">
        <v>0</v>
      </c>
      <c r="G208" s="13">
        <v>44978</v>
      </c>
      <c r="H208" s="85"/>
      <c r="I208" s="85"/>
      <c r="J208" s="85"/>
      <c r="K208" s="85"/>
      <c r="L208" s="85"/>
      <c r="M208" s="85"/>
      <c r="N208" s="85"/>
      <c r="O208" s="85"/>
      <c r="P208" s="85"/>
      <c r="Q208" s="85"/>
      <c r="R208" s="85"/>
      <c r="S208" s="85"/>
      <c r="T208" s="85"/>
    </row>
    <row r="209" spans="1:20" ht="14.5">
      <c r="A209" s="85" t="s">
        <v>13778</v>
      </c>
      <c r="B209" s="86">
        <v>15</v>
      </c>
      <c r="C209" s="86">
        <v>2</v>
      </c>
      <c r="D209" s="86">
        <v>5</v>
      </c>
      <c r="E209" s="85">
        <v>0</v>
      </c>
      <c r="F209" s="85">
        <v>0</v>
      </c>
      <c r="G209" s="13">
        <v>44978</v>
      </c>
      <c r="H209" s="85"/>
      <c r="I209" s="85"/>
      <c r="J209" s="85"/>
      <c r="K209" s="85"/>
      <c r="L209" s="85"/>
      <c r="M209" s="85"/>
      <c r="N209" s="85"/>
      <c r="O209" s="85"/>
      <c r="P209" s="85"/>
      <c r="Q209" s="85"/>
      <c r="R209" s="85"/>
      <c r="S209" s="85"/>
      <c r="T209" s="85"/>
    </row>
    <row r="210" spans="1:20" ht="14.5">
      <c r="A210" s="85" t="s">
        <v>13779</v>
      </c>
      <c r="B210" s="86">
        <v>6</v>
      </c>
      <c r="C210" s="86">
        <v>5</v>
      </c>
      <c r="D210" s="86">
        <v>1</v>
      </c>
      <c r="E210" s="85">
        <v>0</v>
      </c>
      <c r="F210" s="85">
        <v>0</v>
      </c>
      <c r="G210" s="13">
        <v>44978</v>
      </c>
      <c r="H210" s="85"/>
      <c r="I210" s="85"/>
      <c r="J210" s="85"/>
      <c r="K210" s="85"/>
      <c r="L210" s="85"/>
      <c r="M210" s="85"/>
      <c r="N210" s="85"/>
      <c r="O210" s="85"/>
      <c r="P210" s="85"/>
      <c r="Q210" s="85"/>
      <c r="R210" s="85"/>
      <c r="S210" s="85"/>
      <c r="T210" s="85"/>
    </row>
    <row r="211" spans="1:20" ht="14.5">
      <c r="A211" s="85" t="s">
        <v>13780</v>
      </c>
      <c r="B211" s="86">
        <v>8</v>
      </c>
      <c r="C211" s="86">
        <v>4</v>
      </c>
      <c r="D211" s="86">
        <v>3</v>
      </c>
      <c r="E211" s="85">
        <v>0</v>
      </c>
      <c r="F211" s="85">
        <v>0</v>
      </c>
      <c r="G211" s="13">
        <v>44978</v>
      </c>
      <c r="H211" s="85"/>
      <c r="I211" s="85"/>
      <c r="J211" s="85"/>
      <c r="K211" s="85"/>
      <c r="L211" s="85"/>
      <c r="M211" s="85"/>
      <c r="N211" s="85"/>
      <c r="O211" s="85"/>
      <c r="P211" s="85"/>
      <c r="Q211" s="85"/>
      <c r="R211" s="85"/>
      <c r="S211" s="85"/>
      <c r="T211" s="85"/>
    </row>
    <row r="212" spans="1:20" ht="14.5">
      <c r="A212" s="85" t="s">
        <v>13781</v>
      </c>
      <c r="B212" s="86">
        <v>18</v>
      </c>
      <c r="C212" s="86">
        <v>77</v>
      </c>
      <c r="D212" s="86">
        <v>15</v>
      </c>
      <c r="E212" s="85">
        <v>0</v>
      </c>
      <c r="F212" s="85">
        <v>0</v>
      </c>
      <c r="G212" s="13">
        <v>44978</v>
      </c>
      <c r="H212" s="85"/>
      <c r="I212" s="85"/>
      <c r="J212" s="85"/>
      <c r="K212" s="85"/>
      <c r="L212" s="85"/>
      <c r="M212" s="85"/>
      <c r="N212" s="85"/>
      <c r="O212" s="85"/>
      <c r="P212" s="85"/>
      <c r="Q212" s="85"/>
      <c r="R212" s="85"/>
      <c r="S212" s="85"/>
      <c r="T212" s="85"/>
    </row>
    <row r="213" spans="1:20" ht="14.5">
      <c r="A213" s="85" t="s">
        <v>13782</v>
      </c>
      <c r="B213" s="86">
        <v>17</v>
      </c>
      <c r="C213" s="86">
        <v>31</v>
      </c>
      <c r="D213" s="85">
        <v>0</v>
      </c>
      <c r="E213" s="85">
        <v>0</v>
      </c>
      <c r="F213" s="85">
        <v>0</v>
      </c>
      <c r="G213" s="13">
        <v>44978</v>
      </c>
      <c r="H213" s="85"/>
      <c r="I213" s="85"/>
      <c r="J213" s="85"/>
      <c r="K213" s="85"/>
      <c r="L213" s="85"/>
      <c r="M213" s="85"/>
      <c r="N213" s="85"/>
      <c r="O213" s="85"/>
      <c r="P213" s="85"/>
      <c r="Q213" s="85"/>
      <c r="R213" s="85"/>
      <c r="S213" s="85"/>
      <c r="T213" s="85"/>
    </row>
    <row r="214" spans="1:20" ht="14.5">
      <c r="A214" s="85" t="s">
        <v>13783</v>
      </c>
      <c r="B214" s="86">
        <v>7</v>
      </c>
      <c r="C214" s="86">
        <v>1</v>
      </c>
      <c r="D214" s="85">
        <v>0</v>
      </c>
      <c r="E214" s="85">
        <v>0</v>
      </c>
      <c r="F214" s="85">
        <v>0</v>
      </c>
      <c r="G214" s="13">
        <v>44978</v>
      </c>
      <c r="H214" s="85"/>
      <c r="I214" s="85"/>
      <c r="J214" s="85"/>
      <c r="K214" s="85"/>
      <c r="L214" s="85"/>
      <c r="M214" s="85"/>
      <c r="N214" s="85"/>
      <c r="O214" s="85"/>
      <c r="P214" s="85"/>
      <c r="Q214" s="85"/>
      <c r="R214" s="85"/>
      <c r="S214" s="85"/>
      <c r="T214" s="85"/>
    </row>
    <row r="215" spans="1:20" ht="14.5">
      <c r="A215" s="85" t="s">
        <v>868</v>
      </c>
      <c r="B215" s="86">
        <v>5</v>
      </c>
      <c r="C215" s="86">
        <v>2</v>
      </c>
      <c r="D215" s="85">
        <v>0</v>
      </c>
      <c r="E215" s="85">
        <v>0</v>
      </c>
      <c r="F215" s="85">
        <v>0</v>
      </c>
      <c r="G215" s="13">
        <v>44978</v>
      </c>
      <c r="H215" s="85"/>
      <c r="I215" s="85"/>
      <c r="J215" s="85"/>
      <c r="K215" s="85"/>
      <c r="L215" s="85"/>
      <c r="M215" s="85"/>
      <c r="N215" s="85"/>
      <c r="O215" s="85"/>
      <c r="P215" s="85"/>
      <c r="Q215" s="85"/>
      <c r="R215" s="85"/>
      <c r="S215" s="85"/>
      <c r="T215" s="85"/>
    </row>
    <row r="216" spans="1:20" ht="14.5">
      <c r="A216" s="85" t="s">
        <v>878</v>
      </c>
      <c r="B216" s="86">
        <v>18</v>
      </c>
      <c r="C216" s="86">
        <v>2</v>
      </c>
      <c r="D216" s="85">
        <v>0</v>
      </c>
      <c r="E216" s="85">
        <v>0</v>
      </c>
      <c r="F216" s="85">
        <v>0</v>
      </c>
      <c r="G216" s="13">
        <v>44978</v>
      </c>
      <c r="H216" s="85"/>
      <c r="I216" s="85"/>
      <c r="J216" s="85"/>
      <c r="K216" s="85"/>
      <c r="L216" s="85"/>
      <c r="M216" s="85"/>
      <c r="N216" s="85"/>
      <c r="O216" s="85"/>
      <c r="P216" s="85"/>
      <c r="Q216" s="85"/>
      <c r="R216" s="85"/>
      <c r="S216" s="85"/>
      <c r="T216" s="85"/>
    </row>
    <row r="217" spans="1:20" ht="14.5">
      <c r="A217" s="85" t="s">
        <v>883</v>
      </c>
      <c r="B217" s="86">
        <v>40</v>
      </c>
      <c r="C217" s="86">
        <v>18</v>
      </c>
      <c r="D217" s="86">
        <v>1</v>
      </c>
      <c r="E217" s="85">
        <v>0</v>
      </c>
      <c r="F217" s="85">
        <v>0</v>
      </c>
      <c r="G217" s="13">
        <v>44978</v>
      </c>
      <c r="H217" s="85"/>
      <c r="I217" s="85"/>
      <c r="J217" s="85"/>
      <c r="K217" s="85"/>
      <c r="L217" s="85"/>
      <c r="M217" s="85"/>
      <c r="N217" s="85"/>
      <c r="O217" s="85"/>
      <c r="P217" s="85"/>
      <c r="Q217" s="85"/>
      <c r="R217" s="85"/>
      <c r="S217" s="85"/>
      <c r="T217" s="85"/>
    </row>
    <row r="218" spans="1:20" ht="14.5">
      <c r="A218" s="85" t="s">
        <v>889</v>
      </c>
      <c r="B218" s="86">
        <v>60</v>
      </c>
      <c r="C218" s="86">
        <v>6</v>
      </c>
      <c r="D218" s="85">
        <v>0</v>
      </c>
      <c r="E218" s="85">
        <v>0</v>
      </c>
      <c r="F218" s="86">
        <v>1</v>
      </c>
      <c r="G218" s="13">
        <v>44978</v>
      </c>
      <c r="H218" s="85"/>
      <c r="I218" s="85"/>
      <c r="J218" s="86"/>
      <c r="K218" s="85"/>
      <c r="L218" s="85"/>
      <c r="M218" s="85"/>
      <c r="N218" s="85"/>
      <c r="O218" s="85"/>
      <c r="P218" s="85"/>
      <c r="Q218" s="85"/>
      <c r="R218" s="85"/>
      <c r="S218" s="85"/>
      <c r="T218" s="85"/>
    </row>
    <row r="219" spans="1:20" ht="14.5">
      <c r="A219" s="85" t="s">
        <v>894</v>
      </c>
      <c r="B219" s="86">
        <v>3</v>
      </c>
      <c r="C219" s="86">
        <v>1</v>
      </c>
      <c r="D219" s="86">
        <v>13</v>
      </c>
      <c r="E219" s="85">
        <v>0</v>
      </c>
      <c r="F219" s="85">
        <v>0</v>
      </c>
      <c r="G219" s="13">
        <v>44978</v>
      </c>
      <c r="H219" s="85"/>
      <c r="I219" s="85"/>
      <c r="J219" s="85"/>
      <c r="K219" s="85"/>
      <c r="L219" s="85"/>
      <c r="M219" s="85"/>
      <c r="N219" s="85"/>
      <c r="O219" s="85"/>
      <c r="P219" s="85"/>
      <c r="Q219" s="85"/>
      <c r="R219" s="85"/>
      <c r="S219" s="85"/>
      <c r="T219" s="85"/>
    </row>
    <row r="220" spans="1:20" ht="14.5">
      <c r="A220" s="85" t="s">
        <v>900</v>
      </c>
      <c r="B220" s="86">
        <v>8</v>
      </c>
      <c r="C220" s="85">
        <v>0</v>
      </c>
      <c r="D220" s="86">
        <v>8</v>
      </c>
      <c r="E220" s="85">
        <v>0</v>
      </c>
      <c r="F220" s="85">
        <v>0</v>
      </c>
      <c r="G220" s="13">
        <v>44978</v>
      </c>
      <c r="H220" s="85"/>
      <c r="I220" s="85"/>
      <c r="J220" s="85"/>
      <c r="K220" s="85"/>
      <c r="L220" s="85"/>
      <c r="M220" s="85"/>
      <c r="N220" s="85"/>
      <c r="O220" s="85"/>
      <c r="P220" s="85"/>
      <c r="Q220" s="85"/>
      <c r="R220" s="85"/>
      <c r="S220" s="85"/>
      <c r="T220" s="85"/>
    </row>
    <row r="221" spans="1:20" ht="14.5">
      <c r="A221" s="85" t="s">
        <v>906</v>
      </c>
      <c r="B221" s="86">
        <v>10</v>
      </c>
      <c r="C221" s="86">
        <v>3</v>
      </c>
      <c r="D221" s="86">
        <v>33</v>
      </c>
      <c r="E221" s="85">
        <v>0</v>
      </c>
      <c r="F221" s="85">
        <v>0</v>
      </c>
      <c r="G221" s="13">
        <v>44978</v>
      </c>
      <c r="H221" s="85"/>
      <c r="I221" s="85"/>
      <c r="J221" s="85"/>
      <c r="K221" s="85"/>
      <c r="L221" s="85"/>
      <c r="M221" s="85"/>
      <c r="N221" s="85"/>
      <c r="O221" s="85"/>
      <c r="P221" s="85"/>
      <c r="Q221" s="85"/>
      <c r="R221" s="85"/>
      <c r="S221" s="85"/>
      <c r="T221" s="85"/>
    </row>
    <row r="222" spans="1:20" ht="14.5">
      <c r="A222" s="85" t="s">
        <v>912</v>
      </c>
      <c r="B222" s="86">
        <v>39</v>
      </c>
      <c r="C222" s="85">
        <v>0</v>
      </c>
      <c r="D222" s="86">
        <v>15</v>
      </c>
      <c r="E222" s="85">
        <v>0</v>
      </c>
      <c r="F222" s="85">
        <v>0</v>
      </c>
      <c r="G222" s="13">
        <v>44978</v>
      </c>
      <c r="H222" s="85"/>
      <c r="I222" s="85"/>
      <c r="J222" s="85"/>
      <c r="K222" s="85"/>
      <c r="L222" s="85"/>
      <c r="M222" s="85"/>
      <c r="N222" s="85"/>
      <c r="O222" s="85"/>
      <c r="P222" s="85"/>
      <c r="Q222" s="85"/>
      <c r="R222" s="85"/>
      <c r="S222" s="85"/>
      <c r="T222" s="85"/>
    </row>
    <row r="223" spans="1:20" ht="14.5">
      <c r="A223" s="85" t="s">
        <v>918</v>
      </c>
      <c r="B223" s="86">
        <v>10</v>
      </c>
      <c r="C223" s="86">
        <v>1</v>
      </c>
      <c r="D223" s="86">
        <v>20</v>
      </c>
      <c r="E223" s="85">
        <v>0</v>
      </c>
      <c r="F223" s="85">
        <v>0</v>
      </c>
      <c r="G223" s="13">
        <v>44978</v>
      </c>
      <c r="H223" s="85"/>
      <c r="I223" s="85"/>
      <c r="J223" s="85"/>
      <c r="K223" s="85"/>
      <c r="L223" s="85"/>
      <c r="M223" s="85"/>
      <c r="N223" s="85"/>
      <c r="O223" s="85"/>
      <c r="P223" s="85"/>
      <c r="Q223" s="85"/>
      <c r="R223" s="85"/>
      <c r="S223" s="85"/>
      <c r="T223" s="85"/>
    </row>
    <row r="224" spans="1:20" ht="14.5">
      <c r="A224" s="85" t="s">
        <v>924</v>
      </c>
      <c r="B224" s="86">
        <v>61</v>
      </c>
      <c r="C224" s="85">
        <v>0</v>
      </c>
      <c r="D224" s="86">
        <v>21</v>
      </c>
      <c r="E224" s="85">
        <v>0</v>
      </c>
      <c r="F224" s="85">
        <v>0</v>
      </c>
      <c r="G224" s="13">
        <v>44978</v>
      </c>
      <c r="H224" s="85"/>
      <c r="I224" s="85"/>
      <c r="J224" s="85"/>
      <c r="K224" s="85"/>
      <c r="L224" s="85"/>
      <c r="M224" s="85"/>
      <c r="N224" s="85"/>
      <c r="O224" s="85"/>
      <c r="P224" s="85"/>
      <c r="Q224" s="85"/>
      <c r="R224" s="85"/>
      <c r="S224" s="85"/>
      <c r="T224" s="85"/>
    </row>
    <row r="225" spans="1:20" ht="14.5">
      <c r="A225" s="85" t="s">
        <v>927</v>
      </c>
      <c r="B225" s="86">
        <v>3</v>
      </c>
      <c r="C225" s="86">
        <v>1</v>
      </c>
      <c r="D225" s="85">
        <v>0</v>
      </c>
      <c r="E225" s="85">
        <v>0</v>
      </c>
      <c r="F225" s="85">
        <v>0</v>
      </c>
      <c r="G225" s="13">
        <v>44978</v>
      </c>
      <c r="H225" s="85"/>
      <c r="I225" s="85"/>
      <c r="J225" s="85"/>
      <c r="K225" s="85"/>
      <c r="L225" s="85"/>
      <c r="M225" s="85"/>
      <c r="N225" s="85"/>
      <c r="O225" s="85"/>
      <c r="P225" s="85"/>
      <c r="Q225" s="85"/>
      <c r="R225" s="85"/>
      <c r="S225" s="85"/>
      <c r="T225" s="85"/>
    </row>
    <row r="226" spans="1:20" ht="14.5">
      <c r="A226" s="85" t="s">
        <v>933</v>
      </c>
      <c r="B226" s="86">
        <v>15</v>
      </c>
      <c r="C226" s="85">
        <v>0</v>
      </c>
      <c r="D226" s="86">
        <v>34</v>
      </c>
      <c r="E226" s="85">
        <v>0</v>
      </c>
      <c r="F226" s="85">
        <v>0</v>
      </c>
      <c r="G226" s="13">
        <v>44978</v>
      </c>
      <c r="H226" s="85"/>
      <c r="I226" s="85"/>
      <c r="J226" s="85"/>
      <c r="K226" s="85"/>
      <c r="L226" s="85"/>
      <c r="M226" s="85"/>
      <c r="N226" s="85"/>
      <c r="O226" s="85"/>
      <c r="P226" s="85"/>
      <c r="Q226" s="85"/>
      <c r="R226" s="85"/>
      <c r="S226" s="85"/>
      <c r="T226" s="85"/>
    </row>
    <row r="227" spans="1:20" ht="14.5">
      <c r="A227" s="85" t="s">
        <v>939</v>
      </c>
      <c r="B227" s="86">
        <v>39</v>
      </c>
      <c r="C227" s="85">
        <v>0</v>
      </c>
      <c r="D227" s="86">
        <v>21</v>
      </c>
      <c r="E227" s="85">
        <v>0</v>
      </c>
      <c r="F227" s="85">
        <v>0</v>
      </c>
      <c r="G227" s="13">
        <v>44978</v>
      </c>
      <c r="H227" s="85"/>
      <c r="I227" s="85"/>
      <c r="J227" s="85"/>
      <c r="K227" s="85"/>
      <c r="L227" s="85"/>
      <c r="M227" s="85"/>
      <c r="N227" s="85"/>
      <c r="O227" s="85"/>
      <c r="P227" s="85"/>
      <c r="Q227" s="85"/>
      <c r="R227" s="85"/>
      <c r="S227" s="85"/>
      <c r="T227" s="85"/>
    </row>
    <row r="228" spans="1:20" ht="14.5">
      <c r="A228" s="85" t="s">
        <v>945</v>
      </c>
      <c r="B228" s="86">
        <v>1</v>
      </c>
      <c r="C228" s="86">
        <v>3</v>
      </c>
      <c r="D228" s="86">
        <v>10</v>
      </c>
      <c r="E228" s="86">
        <v>5</v>
      </c>
      <c r="F228" s="85">
        <v>0</v>
      </c>
      <c r="G228" s="13">
        <v>44978</v>
      </c>
      <c r="H228" s="85"/>
      <c r="I228" s="85"/>
      <c r="J228" s="85"/>
      <c r="K228" s="85"/>
      <c r="L228" s="85"/>
      <c r="M228" s="85"/>
      <c r="N228" s="85"/>
      <c r="O228" s="85"/>
      <c r="P228" s="85"/>
      <c r="Q228" s="85"/>
      <c r="R228" s="85"/>
      <c r="S228" s="85"/>
      <c r="T228" s="85"/>
    </row>
    <row r="229" spans="1:20" ht="14.5">
      <c r="A229" s="85" t="s">
        <v>952</v>
      </c>
      <c r="B229" s="86">
        <v>6</v>
      </c>
      <c r="C229" s="85">
        <v>0</v>
      </c>
      <c r="D229" s="85">
        <v>0</v>
      </c>
      <c r="E229" s="85">
        <v>0</v>
      </c>
      <c r="F229" s="85">
        <v>0</v>
      </c>
      <c r="G229" s="13">
        <v>44978</v>
      </c>
      <c r="H229" s="85"/>
      <c r="I229" s="85"/>
      <c r="J229" s="85"/>
      <c r="K229" s="85"/>
      <c r="L229" s="85"/>
      <c r="M229" s="85"/>
      <c r="N229" s="85"/>
      <c r="O229" s="85"/>
      <c r="P229" s="85"/>
      <c r="Q229" s="85"/>
      <c r="R229" s="85"/>
      <c r="S229" s="85"/>
      <c r="T229" s="85"/>
    </row>
    <row r="230" spans="1:20" ht="14.5">
      <c r="A230" s="85" t="s">
        <v>958</v>
      </c>
      <c r="B230" s="86">
        <v>1</v>
      </c>
      <c r="C230" s="86">
        <v>2</v>
      </c>
      <c r="D230" s="85">
        <v>0</v>
      </c>
      <c r="E230" s="85">
        <v>0</v>
      </c>
      <c r="F230" s="85">
        <v>0</v>
      </c>
      <c r="G230" s="13">
        <v>44978</v>
      </c>
      <c r="H230" s="85"/>
      <c r="I230" s="85"/>
      <c r="J230" s="85"/>
      <c r="K230" s="85"/>
      <c r="L230" s="85"/>
      <c r="M230" s="85"/>
      <c r="N230" s="85"/>
      <c r="O230" s="85"/>
      <c r="P230" s="85"/>
      <c r="Q230" s="85"/>
      <c r="R230" s="85"/>
      <c r="S230" s="85"/>
      <c r="T230" s="85"/>
    </row>
    <row r="231" spans="1:20" ht="14.5">
      <c r="A231" s="85" t="s">
        <v>963</v>
      </c>
      <c r="B231" s="86">
        <v>3</v>
      </c>
      <c r="C231" s="86">
        <v>1</v>
      </c>
      <c r="D231" s="86">
        <v>10</v>
      </c>
      <c r="E231" s="85">
        <v>0</v>
      </c>
      <c r="F231" s="85">
        <v>0</v>
      </c>
      <c r="G231" s="13">
        <v>44978</v>
      </c>
      <c r="H231" s="85"/>
      <c r="I231" s="85"/>
      <c r="J231" s="85"/>
      <c r="K231" s="85"/>
      <c r="L231" s="85"/>
      <c r="M231" s="85"/>
      <c r="N231" s="85"/>
      <c r="O231" s="85"/>
      <c r="P231" s="85"/>
      <c r="Q231" s="85"/>
      <c r="R231" s="85"/>
      <c r="S231" s="85"/>
      <c r="T231" s="85"/>
    </row>
    <row r="232" spans="1:20" ht="14.5">
      <c r="A232" s="85" t="s">
        <v>969</v>
      </c>
      <c r="B232" s="86">
        <v>24</v>
      </c>
      <c r="C232" s="85">
        <v>0</v>
      </c>
      <c r="D232" s="86">
        <v>5</v>
      </c>
      <c r="E232" s="85">
        <v>0</v>
      </c>
      <c r="F232" s="85">
        <v>0</v>
      </c>
      <c r="G232" s="13">
        <v>44978</v>
      </c>
      <c r="H232" s="85"/>
      <c r="I232" s="85"/>
      <c r="J232" s="85"/>
      <c r="K232" s="85"/>
      <c r="L232" s="85"/>
      <c r="M232" s="85"/>
      <c r="N232" s="85"/>
      <c r="O232" s="85"/>
      <c r="P232" s="85"/>
      <c r="Q232" s="85"/>
      <c r="R232" s="85"/>
      <c r="S232" s="85"/>
      <c r="T232" s="85"/>
    </row>
    <row r="233" spans="1:20" ht="14.5">
      <c r="A233" s="85" t="s">
        <v>974</v>
      </c>
      <c r="B233" s="86">
        <v>2</v>
      </c>
      <c r="C233" s="86">
        <v>1</v>
      </c>
      <c r="D233" s="85">
        <v>0</v>
      </c>
      <c r="E233" s="85">
        <v>0</v>
      </c>
      <c r="F233" s="85">
        <v>0</v>
      </c>
      <c r="G233" s="13">
        <v>44978</v>
      </c>
      <c r="H233" s="85"/>
      <c r="I233" s="85"/>
      <c r="J233" s="85"/>
      <c r="K233" s="85"/>
      <c r="L233" s="85"/>
      <c r="M233" s="85"/>
      <c r="N233" s="85"/>
      <c r="O233" s="85"/>
      <c r="P233" s="85"/>
      <c r="Q233" s="85"/>
      <c r="R233" s="85"/>
      <c r="S233" s="85"/>
      <c r="T233" s="85"/>
    </row>
    <row r="234" spans="1:20" ht="14.5">
      <c r="A234" s="85" t="s">
        <v>980</v>
      </c>
      <c r="B234" s="86">
        <v>2</v>
      </c>
      <c r="C234" s="85">
        <v>0</v>
      </c>
      <c r="D234" s="85">
        <v>0</v>
      </c>
      <c r="E234" s="85">
        <v>0</v>
      </c>
      <c r="F234" s="85">
        <v>0</v>
      </c>
      <c r="G234" s="13">
        <v>44978</v>
      </c>
      <c r="H234" s="85"/>
      <c r="I234" s="85"/>
      <c r="J234" s="85"/>
      <c r="K234" s="85"/>
      <c r="L234" s="85"/>
      <c r="M234" s="85"/>
      <c r="N234" s="85"/>
      <c r="O234" s="85"/>
      <c r="P234" s="85"/>
      <c r="Q234" s="85"/>
      <c r="R234" s="85"/>
      <c r="S234" s="85"/>
      <c r="T234" s="85"/>
    </row>
    <row r="235" spans="1:20" ht="14.5">
      <c r="A235" s="85" t="s">
        <v>985</v>
      </c>
      <c r="B235" s="86">
        <v>8</v>
      </c>
      <c r="C235" s="85">
        <v>0</v>
      </c>
      <c r="D235" s="86">
        <v>266</v>
      </c>
      <c r="E235" s="85">
        <v>0</v>
      </c>
      <c r="F235" s="85">
        <v>0</v>
      </c>
      <c r="G235" s="13">
        <v>44978</v>
      </c>
      <c r="H235" s="85"/>
      <c r="I235" s="85"/>
      <c r="J235" s="85"/>
      <c r="K235" s="85"/>
      <c r="L235" s="85"/>
      <c r="M235" s="85"/>
      <c r="N235" s="85"/>
      <c r="O235" s="85"/>
      <c r="P235" s="85"/>
      <c r="Q235" s="85"/>
      <c r="R235" s="85"/>
      <c r="S235" s="85"/>
      <c r="T235" s="85"/>
    </row>
    <row r="236" spans="1:20" ht="14.5">
      <c r="A236" s="85" t="s">
        <v>990</v>
      </c>
      <c r="B236" s="86">
        <v>11</v>
      </c>
      <c r="C236" s="86">
        <v>1</v>
      </c>
      <c r="D236" s="86">
        <v>10</v>
      </c>
      <c r="E236" s="85">
        <v>0</v>
      </c>
      <c r="F236" s="85">
        <v>0</v>
      </c>
      <c r="G236" s="13">
        <v>44978</v>
      </c>
      <c r="H236" s="85"/>
      <c r="I236" s="85"/>
      <c r="J236" s="85"/>
      <c r="K236" s="85"/>
      <c r="L236" s="85"/>
      <c r="M236" s="85"/>
      <c r="N236" s="85"/>
      <c r="O236" s="85"/>
      <c r="P236" s="85"/>
      <c r="Q236" s="85"/>
      <c r="R236" s="85"/>
      <c r="S236" s="85"/>
      <c r="T236" s="85"/>
    </row>
    <row r="237" spans="1:20" ht="14.5">
      <c r="A237" s="85" t="s">
        <v>997</v>
      </c>
      <c r="B237" s="86">
        <v>12</v>
      </c>
      <c r="C237" s="85">
        <v>0</v>
      </c>
      <c r="D237" s="86">
        <v>1</v>
      </c>
      <c r="E237" s="85">
        <v>0</v>
      </c>
      <c r="F237" s="85">
        <v>0</v>
      </c>
      <c r="G237" s="13">
        <v>44978</v>
      </c>
      <c r="H237" s="85"/>
      <c r="I237" s="85"/>
      <c r="J237" s="85"/>
      <c r="K237" s="85"/>
      <c r="L237" s="85"/>
      <c r="M237" s="85"/>
      <c r="N237" s="85"/>
      <c r="O237" s="85"/>
      <c r="P237" s="85"/>
      <c r="Q237" s="85"/>
      <c r="R237" s="85"/>
      <c r="S237" s="85"/>
      <c r="T237" s="85"/>
    </row>
    <row r="238" spans="1:20" ht="14.5">
      <c r="A238" s="85" t="s">
        <v>1002</v>
      </c>
      <c r="B238" s="86">
        <v>17</v>
      </c>
      <c r="C238" s="85">
        <v>0</v>
      </c>
      <c r="D238" s="86">
        <v>2</v>
      </c>
      <c r="E238" s="85">
        <v>0</v>
      </c>
      <c r="F238" s="85">
        <v>0</v>
      </c>
      <c r="G238" s="13">
        <v>44978</v>
      </c>
      <c r="H238" s="85"/>
      <c r="I238" s="85"/>
      <c r="J238" s="85"/>
      <c r="K238" s="85"/>
      <c r="L238" s="85"/>
      <c r="M238" s="85"/>
      <c r="N238" s="85"/>
      <c r="O238" s="85"/>
      <c r="P238" s="85"/>
      <c r="Q238" s="85"/>
      <c r="R238" s="85"/>
      <c r="S238" s="85"/>
      <c r="T238" s="85"/>
    </row>
    <row r="239" spans="1:20" ht="14.5">
      <c r="A239" s="85" t="s">
        <v>1007</v>
      </c>
      <c r="B239" s="86">
        <v>3</v>
      </c>
      <c r="C239" s="85">
        <v>0</v>
      </c>
      <c r="D239" s="85">
        <v>0</v>
      </c>
      <c r="E239" s="85">
        <v>0</v>
      </c>
      <c r="F239" s="85">
        <v>0</v>
      </c>
      <c r="G239" s="13">
        <v>44978</v>
      </c>
      <c r="H239" s="85"/>
      <c r="I239" s="85"/>
      <c r="J239" s="85"/>
      <c r="K239" s="85"/>
      <c r="L239" s="85"/>
      <c r="M239" s="85"/>
      <c r="N239" s="85"/>
      <c r="O239" s="85"/>
      <c r="P239" s="85"/>
      <c r="Q239" s="85"/>
      <c r="R239" s="85"/>
      <c r="S239" s="85"/>
      <c r="T239" s="85"/>
    </row>
    <row r="240" spans="1:20" ht="14.5">
      <c r="A240" s="85" t="s">
        <v>1012</v>
      </c>
      <c r="B240" s="86">
        <v>17</v>
      </c>
      <c r="C240" s="85">
        <v>0</v>
      </c>
      <c r="D240" s="86">
        <v>206</v>
      </c>
      <c r="E240" s="85">
        <v>0</v>
      </c>
      <c r="F240" s="85">
        <v>0</v>
      </c>
      <c r="G240" s="13">
        <v>44978</v>
      </c>
      <c r="H240" s="85"/>
      <c r="I240" s="85"/>
      <c r="J240" s="85"/>
      <c r="K240" s="85"/>
      <c r="L240" s="85"/>
      <c r="M240" s="85"/>
      <c r="N240" s="85"/>
      <c r="O240" s="85"/>
      <c r="P240" s="85"/>
      <c r="Q240" s="85"/>
      <c r="R240" s="85"/>
      <c r="S240" s="85"/>
      <c r="T240" s="85"/>
    </row>
    <row r="241" spans="1:20" ht="14.5">
      <c r="A241" s="85" t="s">
        <v>1018</v>
      </c>
      <c r="B241" s="86">
        <v>16</v>
      </c>
      <c r="C241" s="85">
        <v>0</v>
      </c>
      <c r="D241" s="86">
        <v>3</v>
      </c>
      <c r="E241" s="85">
        <v>0</v>
      </c>
      <c r="F241" s="85">
        <v>0</v>
      </c>
      <c r="G241" s="13">
        <v>44978</v>
      </c>
      <c r="H241" s="85"/>
      <c r="I241" s="85"/>
      <c r="J241" s="85"/>
      <c r="K241" s="85"/>
      <c r="L241" s="85"/>
      <c r="M241" s="85"/>
      <c r="N241" s="85"/>
      <c r="O241" s="85"/>
      <c r="P241" s="85"/>
      <c r="Q241" s="85"/>
      <c r="R241" s="85"/>
      <c r="S241" s="85"/>
      <c r="T241" s="85"/>
    </row>
    <row r="242" spans="1:20" ht="14.5">
      <c r="A242" s="85" t="s">
        <v>1023</v>
      </c>
      <c r="B242" s="86">
        <v>36</v>
      </c>
      <c r="C242" s="85">
        <v>0</v>
      </c>
      <c r="D242" s="86">
        <v>1</v>
      </c>
      <c r="E242" s="85">
        <v>0</v>
      </c>
      <c r="F242" s="85">
        <v>0</v>
      </c>
      <c r="G242" s="13">
        <v>44978</v>
      </c>
      <c r="H242" s="85"/>
      <c r="I242" s="85"/>
      <c r="J242" s="85"/>
      <c r="K242" s="85"/>
      <c r="L242" s="85"/>
      <c r="M242" s="85"/>
      <c r="N242" s="85"/>
      <c r="O242" s="85"/>
      <c r="P242" s="85"/>
      <c r="Q242" s="85"/>
      <c r="R242" s="85"/>
      <c r="S242" s="85"/>
      <c r="T242" s="85"/>
    </row>
    <row r="243" spans="1:20" ht="14.5">
      <c r="A243" s="85" t="s">
        <v>1032</v>
      </c>
      <c r="B243" s="86">
        <v>10</v>
      </c>
      <c r="C243" s="85">
        <v>0</v>
      </c>
      <c r="D243" s="86">
        <v>31</v>
      </c>
      <c r="E243" s="85">
        <v>0</v>
      </c>
      <c r="F243" s="85">
        <v>0</v>
      </c>
      <c r="G243" s="13">
        <v>44978</v>
      </c>
      <c r="H243" s="85"/>
      <c r="I243" s="85"/>
      <c r="J243" s="85"/>
      <c r="K243" s="85"/>
      <c r="L243" s="85"/>
      <c r="M243" s="85"/>
      <c r="N243" s="85"/>
      <c r="O243" s="85"/>
      <c r="P243" s="85"/>
      <c r="Q243" s="85"/>
      <c r="R243" s="85"/>
      <c r="S243" s="85"/>
      <c r="T243" s="85"/>
    </row>
    <row r="244" spans="1:20" ht="14.5">
      <c r="A244" s="85" t="s">
        <v>1038</v>
      </c>
      <c r="B244" s="86">
        <v>21</v>
      </c>
      <c r="C244" s="86">
        <v>1</v>
      </c>
      <c r="D244" s="85">
        <v>0</v>
      </c>
      <c r="E244" s="85">
        <v>0</v>
      </c>
      <c r="F244" s="85">
        <v>0</v>
      </c>
      <c r="G244" s="13">
        <v>44978</v>
      </c>
      <c r="H244" s="85"/>
      <c r="I244" s="85"/>
      <c r="J244" s="85"/>
      <c r="K244" s="85"/>
      <c r="L244" s="85"/>
      <c r="M244" s="85"/>
      <c r="N244" s="85"/>
      <c r="O244" s="85"/>
      <c r="P244" s="85"/>
      <c r="Q244" s="85"/>
      <c r="R244" s="85"/>
      <c r="S244" s="85"/>
      <c r="T244" s="85"/>
    </row>
    <row r="245" spans="1:20" ht="14.5">
      <c r="A245" s="85" t="s">
        <v>1043</v>
      </c>
      <c r="B245" s="86">
        <v>20</v>
      </c>
      <c r="C245" s="85">
        <v>0</v>
      </c>
      <c r="D245" s="86">
        <v>3</v>
      </c>
      <c r="E245" s="85">
        <v>0</v>
      </c>
      <c r="F245" s="85">
        <v>0</v>
      </c>
      <c r="G245" s="13">
        <v>44978</v>
      </c>
      <c r="H245" s="85"/>
      <c r="I245" s="85"/>
      <c r="J245" s="85"/>
      <c r="K245" s="85"/>
      <c r="L245" s="85"/>
      <c r="M245" s="85"/>
      <c r="N245" s="85"/>
      <c r="O245" s="85"/>
      <c r="P245" s="85"/>
      <c r="Q245" s="85"/>
      <c r="R245" s="85"/>
      <c r="S245" s="85"/>
      <c r="T245" s="85"/>
    </row>
    <row r="246" spans="1:20" ht="14.5">
      <c r="A246" s="85" t="s">
        <v>1046</v>
      </c>
      <c r="B246" s="86">
        <v>1</v>
      </c>
      <c r="C246" s="86">
        <v>3</v>
      </c>
      <c r="D246" s="85">
        <v>0</v>
      </c>
      <c r="E246" s="85">
        <v>0</v>
      </c>
      <c r="F246" s="85">
        <v>0</v>
      </c>
      <c r="G246" s="13">
        <v>44978</v>
      </c>
      <c r="H246" s="85"/>
      <c r="I246" s="85"/>
      <c r="J246" s="85"/>
      <c r="K246" s="85"/>
      <c r="L246" s="85"/>
      <c r="M246" s="85"/>
      <c r="N246" s="85"/>
      <c r="O246" s="85"/>
      <c r="P246" s="85"/>
      <c r="Q246" s="85"/>
      <c r="R246" s="85"/>
      <c r="S246" s="85"/>
      <c r="T246" s="85"/>
    </row>
    <row r="247" spans="1:20" ht="14.5">
      <c r="A247" s="85" t="s">
        <v>1053</v>
      </c>
      <c r="B247" s="86">
        <v>19</v>
      </c>
      <c r="C247" s="86">
        <v>1</v>
      </c>
      <c r="D247" s="86">
        <v>19</v>
      </c>
      <c r="E247" s="85">
        <v>0</v>
      </c>
      <c r="F247" s="85">
        <v>0</v>
      </c>
      <c r="G247" s="13">
        <v>44978</v>
      </c>
      <c r="H247" s="85"/>
      <c r="I247" s="85"/>
      <c r="J247" s="85"/>
      <c r="K247" s="85"/>
      <c r="L247" s="85"/>
      <c r="M247" s="85"/>
      <c r="N247" s="85"/>
      <c r="O247" s="85"/>
      <c r="P247" s="85"/>
      <c r="Q247" s="85"/>
      <c r="R247" s="85"/>
      <c r="S247" s="85"/>
      <c r="T247" s="85"/>
    </row>
    <row r="248" spans="1:20" ht="14.5">
      <c r="A248" s="85" t="s">
        <v>1057</v>
      </c>
      <c r="B248" s="86">
        <v>5</v>
      </c>
      <c r="C248" s="86">
        <v>93</v>
      </c>
      <c r="D248" s="85">
        <v>0</v>
      </c>
      <c r="E248" s="85">
        <v>0</v>
      </c>
      <c r="F248" s="85">
        <v>0</v>
      </c>
      <c r="G248" s="13">
        <v>44978</v>
      </c>
      <c r="H248" s="85"/>
      <c r="I248" s="85"/>
      <c r="J248" s="85"/>
      <c r="K248" s="85"/>
      <c r="L248" s="85"/>
      <c r="M248" s="85"/>
      <c r="N248" s="85"/>
      <c r="O248" s="85"/>
      <c r="P248" s="85"/>
      <c r="Q248" s="85"/>
      <c r="R248" s="85"/>
      <c r="S248" s="85"/>
      <c r="T248" s="85"/>
    </row>
    <row r="249" spans="1:20" ht="14.5">
      <c r="A249" s="85" t="s">
        <v>1062</v>
      </c>
      <c r="B249" s="86">
        <v>19</v>
      </c>
      <c r="C249" s="86">
        <v>1</v>
      </c>
      <c r="D249" s="85">
        <v>0</v>
      </c>
      <c r="E249" s="85">
        <v>0</v>
      </c>
      <c r="F249" s="85">
        <v>0</v>
      </c>
      <c r="G249" s="13">
        <v>44978</v>
      </c>
      <c r="H249" s="85"/>
      <c r="I249" s="85"/>
      <c r="J249" s="85"/>
      <c r="K249" s="85"/>
      <c r="L249" s="85"/>
      <c r="M249" s="85"/>
      <c r="N249" s="85"/>
      <c r="O249" s="85"/>
      <c r="P249" s="85"/>
      <c r="Q249" s="85"/>
      <c r="R249" s="85"/>
      <c r="S249" s="85"/>
      <c r="T249" s="85"/>
    </row>
    <row r="250" spans="1:20" ht="14.5">
      <c r="A250" s="85" t="s">
        <v>1068</v>
      </c>
      <c r="B250" s="86">
        <v>1</v>
      </c>
      <c r="C250" s="85">
        <v>0</v>
      </c>
      <c r="D250" s="85">
        <v>0</v>
      </c>
      <c r="E250" s="85">
        <v>0</v>
      </c>
      <c r="F250" s="85">
        <v>0</v>
      </c>
      <c r="G250" s="13">
        <v>44978</v>
      </c>
      <c r="H250" s="85"/>
      <c r="I250" s="85"/>
      <c r="J250" s="85"/>
      <c r="K250" s="85"/>
      <c r="L250" s="85"/>
      <c r="M250" s="85"/>
      <c r="N250" s="85"/>
      <c r="O250" s="85"/>
      <c r="P250" s="85"/>
      <c r="Q250" s="85"/>
      <c r="R250" s="85"/>
      <c r="S250" s="85"/>
      <c r="T250" s="85"/>
    </row>
    <row r="251" spans="1:20" ht="14.5">
      <c r="A251" s="85" t="s">
        <v>1074</v>
      </c>
      <c r="B251" s="85">
        <v>0</v>
      </c>
      <c r="C251" s="85">
        <v>0</v>
      </c>
      <c r="D251" s="85">
        <v>0</v>
      </c>
      <c r="E251" s="85">
        <v>0</v>
      </c>
      <c r="F251" s="85">
        <v>0</v>
      </c>
      <c r="G251" s="13">
        <v>44978</v>
      </c>
      <c r="H251" s="85"/>
      <c r="I251" s="85"/>
      <c r="J251" s="85"/>
      <c r="K251" s="85"/>
      <c r="L251" s="85"/>
      <c r="M251" s="85"/>
      <c r="N251" s="85"/>
      <c r="O251" s="85"/>
      <c r="P251" s="85"/>
      <c r="Q251" s="85"/>
      <c r="R251" s="85"/>
      <c r="S251" s="85"/>
      <c r="T251" s="85"/>
    </row>
    <row r="252" spans="1:20" ht="14.5">
      <c r="A252" s="85" t="s">
        <v>1080</v>
      </c>
      <c r="B252" s="86">
        <v>3</v>
      </c>
      <c r="C252" s="85">
        <v>0</v>
      </c>
      <c r="D252" s="86">
        <v>7</v>
      </c>
      <c r="E252" s="85">
        <v>0</v>
      </c>
      <c r="F252" s="85">
        <v>0</v>
      </c>
      <c r="G252" s="13">
        <v>44978</v>
      </c>
      <c r="H252" s="85"/>
      <c r="I252" s="85"/>
      <c r="J252" s="85"/>
      <c r="K252" s="85"/>
      <c r="L252" s="85"/>
      <c r="M252" s="85"/>
      <c r="N252" s="85"/>
      <c r="O252" s="85"/>
      <c r="P252" s="85"/>
      <c r="Q252" s="85"/>
      <c r="R252" s="85"/>
      <c r="S252" s="85"/>
      <c r="T252" s="85"/>
    </row>
    <row r="253" spans="1:20" ht="14.5">
      <c r="A253" s="85" t="s">
        <v>1084</v>
      </c>
      <c r="B253" s="86">
        <v>11</v>
      </c>
      <c r="C253" s="85">
        <v>0</v>
      </c>
      <c r="D253" s="86">
        <v>20</v>
      </c>
      <c r="E253" s="85">
        <v>0</v>
      </c>
      <c r="F253" s="85">
        <v>0</v>
      </c>
      <c r="G253" s="13">
        <v>44978</v>
      </c>
      <c r="H253" s="85"/>
      <c r="I253" s="85"/>
      <c r="J253" s="85"/>
      <c r="K253" s="85"/>
      <c r="L253" s="85"/>
      <c r="M253" s="85"/>
      <c r="N253" s="85"/>
      <c r="O253" s="85"/>
      <c r="P253" s="85"/>
      <c r="Q253" s="85"/>
      <c r="R253" s="85"/>
      <c r="S253" s="85"/>
      <c r="T253" s="85"/>
    </row>
    <row r="254" spans="1:20" ht="14.5">
      <c r="A254" s="85" t="s">
        <v>1090</v>
      </c>
      <c r="B254" s="86">
        <v>6</v>
      </c>
      <c r="C254" s="85">
        <v>0</v>
      </c>
      <c r="D254" s="86">
        <v>10</v>
      </c>
      <c r="E254" s="85">
        <v>0</v>
      </c>
      <c r="F254" s="85">
        <v>0</v>
      </c>
      <c r="G254" s="13">
        <v>44978</v>
      </c>
      <c r="H254" s="85"/>
      <c r="I254" s="85"/>
      <c r="J254" s="85"/>
      <c r="K254" s="85"/>
      <c r="L254" s="85"/>
      <c r="M254" s="85"/>
      <c r="N254" s="85"/>
      <c r="O254" s="85"/>
      <c r="P254" s="85"/>
      <c r="Q254" s="85"/>
      <c r="R254" s="85"/>
      <c r="S254" s="85"/>
      <c r="T254" s="85"/>
    </row>
    <row r="255" spans="1:20" ht="14.5">
      <c r="A255" s="85" t="s">
        <v>1096</v>
      </c>
      <c r="B255" s="86">
        <v>17</v>
      </c>
      <c r="C255" s="85">
        <v>0</v>
      </c>
      <c r="D255" s="86">
        <v>7</v>
      </c>
      <c r="E255" s="85">
        <v>0</v>
      </c>
      <c r="F255" s="85">
        <v>0</v>
      </c>
      <c r="G255" s="13">
        <v>44978</v>
      </c>
      <c r="H255" s="85"/>
      <c r="I255" s="85"/>
      <c r="J255" s="85"/>
      <c r="K255" s="85"/>
      <c r="L255" s="85"/>
      <c r="M255" s="85"/>
      <c r="N255" s="85"/>
      <c r="O255" s="85"/>
      <c r="P255" s="85"/>
      <c r="Q255" s="85"/>
      <c r="R255" s="85"/>
      <c r="S255" s="85"/>
      <c r="T255" s="85"/>
    </row>
    <row r="256" spans="1:20" ht="14.5">
      <c r="A256" s="85" t="s">
        <v>1102</v>
      </c>
      <c r="B256" s="86">
        <v>4</v>
      </c>
      <c r="C256" s="86">
        <v>1</v>
      </c>
      <c r="D256" s="86">
        <v>2</v>
      </c>
      <c r="E256" s="85">
        <v>0</v>
      </c>
      <c r="F256" s="85">
        <v>0</v>
      </c>
      <c r="G256" s="13">
        <v>44978</v>
      </c>
      <c r="H256" s="85"/>
      <c r="I256" s="85"/>
      <c r="J256" s="85"/>
      <c r="K256" s="85"/>
      <c r="L256" s="85"/>
      <c r="M256" s="85"/>
      <c r="N256" s="85"/>
      <c r="O256" s="85"/>
      <c r="P256" s="85"/>
      <c r="Q256" s="85"/>
      <c r="R256" s="85"/>
      <c r="S256" s="85"/>
      <c r="T256" s="85"/>
    </row>
    <row r="257" spans="1:20" ht="14.5">
      <c r="A257" s="85" t="s">
        <v>1108</v>
      </c>
      <c r="B257" s="86">
        <v>17</v>
      </c>
      <c r="C257" s="86">
        <v>2</v>
      </c>
      <c r="D257" s="86">
        <v>2</v>
      </c>
      <c r="E257" s="85">
        <v>0</v>
      </c>
      <c r="F257" s="85">
        <v>0</v>
      </c>
      <c r="G257" s="13">
        <v>44978</v>
      </c>
      <c r="H257" s="85"/>
      <c r="I257" s="85"/>
      <c r="J257" s="85"/>
      <c r="K257" s="85"/>
      <c r="L257" s="85"/>
      <c r="M257" s="85"/>
      <c r="N257" s="85"/>
      <c r="O257" s="85"/>
      <c r="P257" s="85"/>
      <c r="Q257" s="85"/>
      <c r="R257" s="85"/>
      <c r="S257" s="85"/>
      <c r="T257" s="85"/>
    </row>
    <row r="258" spans="1:20" ht="14.5">
      <c r="A258" s="85" t="s">
        <v>1114</v>
      </c>
      <c r="B258" s="86">
        <v>9</v>
      </c>
      <c r="C258" s="85">
        <v>0</v>
      </c>
      <c r="D258" s="86">
        <v>7</v>
      </c>
      <c r="E258" s="85">
        <v>0</v>
      </c>
      <c r="F258" s="85">
        <v>0</v>
      </c>
      <c r="G258" s="13">
        <v>44978</v>
      </c>
      <c r="H258" s="85"/>
      <c r="I258" s="85"/>
      <c r="J258" s="85"/>
      <c r="K258" s="85"/>
      <c r="L258" s="85"/>
      <c r="M258" s="85"/>
      <c r="N258" s="85"/>
      <c r="O258" s="85"/>
      <c r="P258" s="85"/>
      <c r="Q258" s="85"/>
      <c r="R258" s="85"/>
      <c r="S258" s="85"/>
      <c r="T258" s="85"/>
    </row>
    <row r="259" spans="1:20" ht="14.5">
      <c r="A259" s="85" t="s">
        <v>1118</v>
      </c>
      <c r="B259" s="86">
        <v>8</v>
      </c>
      <c r="C259" s="85">
        <v>0</v>
      </c>
      <c r="D259" s="85">
        <v>0</v>
      </c>
      <c r="E259" s="85">
        <v>0</v>
      </c>
      <c r="F259" s="85">
        <v>0</v>
      </c>
      <c r="G259" s="13">
        <v>44978</v>
      </c>
      <c r="H259" s="85"/>
      <c r="I259" s="85"/>
      <c r="J259" s="85"/>
      <c r="K259" s="85"/>
      <c r="L259" s="85"/>
      <c r="M259" s="85"/>
      <c r="N259" s="85"/>
      <c r="O259" s="85"/>
      <c r="P259" s="85"/>
      <c r="Q259" s="85"/>
      <c r="R259" s="85"/>
      <c r="S259" s="85"/>
      <c r="T259" s="85"/>
    </row>
    <row r="260" spans="1:20" ht="14.5">
      <c r="A260" s="85" t="s">
        <v>1123</v>
      </c>
      <c r="B260" s="86">
        <v>7</v>
      </c>
      <c r="C260" s="85">
        <v>0</v>
      </c>
      <c r="D260" s="86">
        <v>3</v>
      </c>
      <c r="E260" s="85">
        <v>0</v>
      </c>
      <c r="F260" s="85">
        <v>0</v>
      </c>
      <c r="G260" s="13">
        <v>44978</v>
      </c>
      <c r="H260" s="85"/>
      <c r="I260" s="85"/>
      <c r="J260" s="85"/>
      <c r="K260" s="85"/>
      <c r="L260" s="85"/>
      <c r="M260" s="85"/>
      <c r="N260" s="85"/>
      <c r="O260" s="85"/>
      <c r="P260" s="85"/>
      <c r="Q260" s="85"/>
      <c r="R260" s="85"/>
      <c r="S260" s="85"/>
      <c r="T260" s="85"/>
    </row>
    <row r="261" spans="1:20" ht="14.5">
      <c r="A261" s="85" t="s">
        <v>1129</v>
      </c>
      <c r="B261" s="86">
        <v>13</v>
      </c>
      <c r="C261" s="86">
        <v>3</v>
      </c>
      <c r="D261" s="85">
        <v>0</v>
      </c>
      <c r="E261" s="85">
        <v>0</v>
      </c>
      <c r="F261" s="85">
        <v>0</v>
      </c>
      <c r="G261" s="13">
        <v>44978</v>
      </c>
      <c r="H261" s="85"/>
      <c r="I261" s="85"/>
      <c r="J261" s="85"/>
      <c r="K261" s="85"/>
      <c r="L261" s="85"/>
      <c r="M261" s="85"/>
      <c r="N261" s="85"/>
      <c r="O261" s="85"/>
      <c r="P261" s="85"/>
      <c r="Q261" s="85"/>
      <c r="R261" s="85"/>
      <c r="S261" s="85"/>
      <c r="T261" s="85"/>
    </row>
    <row r="262" spans="1:20" ht="14.5">
      <c r="A262" s="85" t="s">
        <v>1134</v>
      </c>
      <c r="B262" s="86">
        <v>28</v>
      </c>
      <c r="C262" s="85">
        <v>0</v>
      </c>
      <c r="D262" s="86">
        <v>7</v>
      </c>
      <c r="E262" s="85">
        <v>0</v>
      </c>
      <c r="F262" s="85">
        <v>0</v>
      </c>
      <c r="G262" s="13">
        <v>44978</v>
      </c>
      <c r="H262" s="85"/>
      <c r="I262" s="85"/>
      <c r="J262" s="85"/>
      <c r="K262" s="85"/>
      <c r="L262" s="85"/>
      <c r="M262" s="85"/>
      <c r="N262" s="85"/>
      <c r="O262" s="85"/>
      <c r="P262" s="85"/>
      <c r="Q262" s="85"/>
      <c r="R262" s="85"/>
      <c r="S262" s="85"/>
      <c r="T262" s="85"/>
    </row>
    <row r="263" spans="1:20" ht="14.5">
      <c r="A263" s="85" t="s">
        <v>1139</v>
      </c>
      <c r="B263" s="86">
        <v>21</v>
      </c>
      <c r="C263" s="86">
        <v>1</v>
      </c>
      <c r="D263" s="86">
        <v>10</v>
      </c>
      <c r="E263" s="85">
        <v>0</v>
      </c>
      <c r="F263" s="85">
        <v>0</v>
      </c>
      <c r="G263" s="13">
        <v>44978</v>
      </c>
      <c r="H263" s="85"/>
      <c r="I263" s="85"/>
      <c r="J263" s="85"/>
      <c r="K263" s="85"/>
      <c r="L263" s="85"/>
      <c r="M263" s="85"/>
      <c r="N263" s="85"/>
      <c r="O263" s="85"/>
      <c r="P263" s="85"/>
      <c r="Q263" s="85"/>
      <c r="R263" s="85"/>
      <c r="S263" s="85"/>
      <c r="T263" s="85"/>
    </row>
    <row r="264" spans="1:20" ht="14.5">
      <c r="A264" s="85" t="s">
        <v>1144</v>
      </c>
      <c r="B264" s="86">
        <v>2</v>
      </c>
      <c r="C264" s="85">
        <v>0</v>
      </c>
      <c r="D264" s="86">
        <v>1</v>
      </c>
      <c r="E264" s="85">
        <v>0</v>
      </c>
      <c r="F264" s="85">
        <v>0</v>
      </c>
      <c r="G264" s="13">
        <v>44978</v>
      </c>
      <c r="H264" s="85"/>
      <c r="I264" s="85"/>
      <c r="J264" s="85"/>
      <c r="K264" s="85"/>
      <c r="L264" s="85"/>
      <c r="M264" s="85"/>
      <c r="N264" s="85"/>
      <c r="O264" s="85"/>
      <c r="P264" s="85"/>
      <c r="Q264" s="85"/>
      <c r="R264" s="85"/>
      <c r="S264" s="85"/>
      <c r="T264" s="85"/>
    </row>
    <row r="265" spans="1:20" ht="14.5">
      <c r="A265" s="85" t="s">
        <v>1146</v>
      </c>
      <c r="B265" s="86">
        <v>17</v>
      </c>
      <c r="C265" s="86">
        <v>1</v>
      </c>
      <c r="D265" s="85">
        <v>0</v>
      </c>
      <c r="E265" s="85">
        <v>0</v>
      </c>
      <c r="F265" s="86">
        <v>4</v>
      </c>
      <c r="G265" s="13">
        <v>44978</v>
      </c>
      <c r="H265" s="85"/>
      <c r="I265" s="85"/>
      <c r="J265" s="86"/>
      <c r="K265" s="85"/>
      <c r="L265" s="85"/>
      <c r="M265" s="85"/>
      <c r="N265" s="85"/>
      <c r="O265" s="85"/>
      <c r="P265" s="85"/>
      <c r="Q265" s="85"/>
      <c r="R265" s="85"/>
      <c r="S265" s="85"/>
      <c r="T265" s="85"/>
    </row>
    <row r="266" spans="1:20" ht="14.5">
      <c r="A266" s="85" t="s">
        <v>1150</v>
      </c>
      <c r="B266" s="86">
        <v>6</v>
      </c>
      <c r="C266" s="86">
        <v>82</v>
      </c>
      <c r="D266" s="86">
        <v>19</v>
      </c>
      <c r="E266" s="85">
        <v>0</v>
      </c>
      <c r="F266" s="85">
        <v>0</v>
      </c>
      <c r="G266" s="13">
        <v>44978</v>
      </c>
      <c r="H266" s="85"/>
      <c r="I266" s="85"/>
      <c r="J266" s="85"/>
      <c r="K266" s="85"/>
      <c r="L266" s="85"/>
      <c r="M266" s="85"/>
      <c r="N266" s="85"/>
      <c r="O266" s="85"/>
      <c r="P266" s="85"/>
      <c r="Q266" s="85"/>
      <c r="R266" s="85"/>
      <c r="S266" s="85"/>
      <c r="T266" s="85"/>
    </row>
    <row r="267" spans="1:20" ht="14.5">
      <c r="A267" s="85" t="s">
        <v>1156</v>
      </c>
      <c r="B267" s="86">
        <v>15</v>
      </c>
      <c r="C267" s="85">
        <v>0</v>
      </c>
      <c r="D267" s="85">
        <v>0</v>
      </c>
      <c r="E267" s="85">
        <v>0</v>
      </c>
      <c r="F267" s="85">
        <v>0</v>
      </c>
      <c r="G267" s="13">
        <v>44978</v>
      </c>
      <c r="H267" s="85"/>
      <c r="I267" s="85"/>
      <c r="J267" s="85"/>
      <c r="K267" s="85"/>
      <c r="L267" s="85"/>
      <c r="M267" s="85"/>
      <c r="N267" s="85"/>
      <c r="O267" s="85"/>
      <c r="P267" s="85"/>
      <c r="Q267" s="85"/>
      <c r="R267" s="85"/>
      <c r="S267" s="85"/>
      <c r="T267" s="85"/>
    </row>
    <row r="268" spans="1:20" ht="14.5">
      <c r="A268" s="85" t="s">
        <v>1162</v>
      </c>
      <c r="B268" s="86">
        <v>13</v>
      </c>
      <c r="C268" s="86">
        <v>1</v>
      </c>
      <c r="D268" s="86">
        <v>9</v>
      </c>
      <c r="E268" s="85">
        <v>0</v>
      </c>
      <c r="F268" s="85">
        <v>0</v>
      </c>
      <c r="G268" s="13">
        <v>44978</v>
      </c>
      <c r="H268" s="85"/>
      <c r="I268" s="85"/>
      <c r="J268" s="85"/>
      <c r="K268" s="85"/>
      <c r="L268" s="85"/>
      <c r="M268" s="85"/>
      <c r="N268" s="85"/>
      <c r="O268" s="85"/>
      <c r="P268" s="85"/>
      <c r="Q268" s="85"/>
      <c r="R268" s="85"/>
      <c r="S268" s="85"/>
      <c r="T268" s="85"/>
    </row>
    <row r="269" spans="1:20" ht="14.5">
      <c r="A269" s="85" t="s">
        <v>1168</v>
      </c>
      <c r="B269" s="86">
        <v>62</v>
      </c>
      <c r="C269" s="86">
        <v>1</v>
      </c>
      <c r="D269" s="86">
        <v>14</v>
      </c>
      <c r="E269" s="85">
        <v>0</v>
      </c>
      <c r="F269" s="85">
        <v>0</v>
      </c>
      <c r="G269" s="13">
        <v>44978</v>
      </c>
      <c r="H269" s="85"/>
      <c r="I269" s="85"/>
      <c r="J269" s="85"/>
      <c r="K269" s="85"/>
      <c r="L269" s="85"/>
      <c r="M269" s="85"/>
      <c r="N269" s="85"/>
      <c r="O269" s="85"/>
      <c r="P269" s="85"/>
      <c r="Q269" s="85"/>
      <c r="R269" s="85"/>
      <c r="S269" s="85"/>
      <c r="T269" s="85"/>
    </row>
    <row r="270" spans="1:20" ht="14.5">
      <c r="A270" s="85" t="s">
        <v>1172</v>
      </c>
      <c r="B270" s="86">
        <v>5</v>
      </c>
      <c r="C270" s="86">
        <v>1</v>
      </c>
      <c r="D270" s="86">
        <v>20</v>
      </c>
      <c r="E270" s="85">
        <v>0</v>
      </c>
      <c r="F270" s="85">
        <v>0</v>
      </c>
      <c r="G270" s="13">
        <v>44978</v>
      </c>
      <c r="H270" s="85"/>
      <c r="I270" s="85"/>
      <c r="J270" s="85"/>
      <c r="K270" s="85"/>
      <c r="L270" s="85"/>
      <c r="M270" s="85"/>
      <c r="N270" s="85"/>
      <c r="O270" s="85"/>
      <c r="P270" s="85"/>
      <c r="Q270" s="85"/>
      <c r="R270" s="85"/>
      <c r="S270" s="85"/>
      <c r="T270" s="85"/>
    </row>
    <row r="271" spans="1:20" ht="14.5">
      <c r="A271" s="85" t="s">
        <v>1178</v>
      </c>
      <c r="B271" s="86">
        <v>12</v>
      </c>
      <c r="C271" s="86">
        <v>60</v>
      </c>
      <c r="D271" s="86">
        <v>3</v>
      </c>
      <c r="E271" s="85">
        <v>0</v>
      </c>
      <c r="F271" s="85">
        <v>0</v>
      </c>
      <c r="G271" s="13">
        <v>44978</v>
      </c>
      <c r="H271" s="85"/>
      <c r="I271" s="85"/>
      <c r="J271" s="85"/>
      <c r="K271" s="85"/>
      <c r="L271" s="85"/>
      <c r="M271" s="85"/>
      <c r="N271" s="85"/>
      <c r="O271" s="85"/>
      <c r="P271" s="85"/>
      <c r="Q271" s="85"/>
      <c r="R271" s="85"/>
      <c r="S271" s="85"/>
      <c r="T271" s="85"/>
    </row>
    <row r="272" spans="1:20" ht="14.5">
      <c r="A272" s="85" t="s">
        <v>1185</v>
      </c>
      <c r="B272" s="86">
        <v>2</v>
      </c>
      <c r="C272" s="85">
        <v>0</v>
      </c>
      <c r="D272" s="85">
        <v>0</v>
      </c>
      <c r="E272" s="85">
        <v>0</v>
      </c>
      <c r="F272" s="85">
        <v>0</v>
      </c>
      <c r="G272" s="13">
        <v>44978</v>
      </c>
      <c r="H272" s="85"/>
      <c r="I272" s="85"/>
      <c r="J272" s="85"/>
      <c r="K272" s="85"/>
      <c r="L272" s="85"/>
      <c r="M272" s="85"/>
      <c r="N272" s="85"/>
      <c r="O272" s="85"/>
      <c r="P272" s="85"/>
      <c r="Q272" s="85"/>
      <c r="R272" s="85"/>
      <c r="S272" s="85"/>
      <c r="T272" s="85"/>
    </row>
    <row r="273" spans="1:20" ht="14.5">
      <c r="A273" s="85" t="s">
        <v>1191</v>
      </c>
      <c r="B273" s="85">
        <v>0</v>
      </c>
      <c r="C273" s="85">
        <v>0</v>
      </c>
      <c r="D273" s="85">
        <v>0</v>
      </c>
      <c r="E273" s="85">
        <v>0</v>
      </c>
      <c r="F273" s="85">
        <v>0</v>
      </c>
      <c r="G273" s="13">
        <v>44978</v>
      </c>
      <c r="H273" s="85"/>
      <c r="I273" s="85"/>
      <c r="J273" s="85"/>
      <c r="K273" s="85"/>
      <c r="L273" s="85"/>
      <c r="M273" s="85"/>
      <c r="N273" s="85"/>
      <c r="O273" s="85"/>
      <c r="P273" s="85"/>
      <c r="Q273" s="85"/>
      <c r="R273" s="85"/>
      <c r="S273" s="85"/>
      <c r="T273" s="85"/>
    </row>
    <row r="274" spans="1:20" ht="14.5">
      <c r="A274" s="85" t="s">
        <v>1195</v>
      </c>
      <c r="B274" s="86">
        <v>1</v>
      </c>
      <c r="C274" s="86">
        <v>1</v>
      </c>
      <c r="D274" s="85">
        <v>0</v>
      </c>
      <c r="E274" s="85">
        <v>0</v>
      </c>
      <c r="F274" s="85">
        <v>0</v>
      </c>
      <c r="G274" s="13">
        <v>44978</v>
      </c>
      <c r="H274" s="85"/>
      <c r="I274" s="85"/>
      <c r="J274" s="85"/>
      <c r="K274" s="85"/>
      <c r="L274" s="85"/>
      <c r="M274" s="85"/>
      <c r="N274" s="85"/>
      <c r="O274" s="85"/>
      <c r="P274" s="85"/>
      <c r="Q274" s="85"/>
      <c r="R274" s="85"/>
      <c r="S274" s="85"/>
      <c r="T274" s="85"/>
    </row>
    <row r="275" spans="1:20" ht="14.5">
      <c r="A275" s="85" t="s">
        <v>1201</v>
      </c>
      <c r="B275" s="86">
        <v>9</v>
      </c>
      <c r="C275" s="86">
        <v>3</v>
      </c>
      <c r="D275" s="86">
        <v>41</v>
      </c>
      <c r="E275" s="85">
        <v>0</v>
      </c>
      <c r="F275" s="85">
        <v>0</v>
      </c>
      <c r="G275" s="13">
        <v>44978</v>
      </c>
      <c r="H275" s="85"/>
      <c r="I275" s="85"/>
      <c r="J275" s="85"/>
      <c r="K275" s="85"/>
      <c r="L275" s="85"/>
      <c r="M275" s="85"/>
      <c r="N275" s="85"/>
      <c r="O275" s="85"/>
      <c r="P275" s="85"/>
      <c r="Q275" s="85"/>
      <c r="R275" s="85"/>
      <c r="S275" s="85"/>
      <c r="T275" s="85"/>
    </row>
    <row r="276" spans="1:20" ht="14.5">
      <c r="A276" s="85" t="s">
        <v>1207</v>
      </c>
      <c r="B276" s="86">
        <v>3</v>
      </c>
      <c r="C276" s="85">
        <v>0</v>
      </c>
      <c r="D276" s="86">
        <v>9</v>
      </c>
      <c r="E276" s="85">
        <v>0</v>
      </c>
      <c r="F276" s="85">
        <v>0</v>
      </c>
      <c r="G276" s="13">
        <v>44978</v>
      </c>
      <c r="H276" s="85"/>
      <c r="I276" s="85"/>
      <c r="J276" s="85"/>
      <c r="K276" s="85"/>
      <c r="L276" s="85"/>
      <c r="M276" s="85"/>
      <c r="N276" s="85"/>
      <c r="O276" s="85"/>
      <c r="P276" s="85"/>
      <c r="Q276" s="85"/>
      <c r="R276" s="85"/>
      <c r="S276" s="85"/>
      <c r="T276" s="85"/>
    </row>
    <row r="277" spans="1:20" ht="14.5">
      <c r="A277" s="85" t="s">
        <v>1212</v>
      </c>
      <c r="B277" s="86">
        <v>2</v>
      </c>
      <c r="C277" s="85">
        <v>0</v>
      </c>
      <c r="D277" s="86">
        <v>1</v>
      </c>
      <c r="E277" s="85">
        <v>0</v>
      </c>
      <c r="F277" s="85">
        <v>0</v>
      </c>
      <c r="G277" s="13">
        <v>44978</v>
      </c>
      <c r="H277" s="85"/>
      <c r="I277" s="85"/>
      <c r="J277" s="85"/>
      <c r="K277" s="85"/>
      <c r="L277" s="85"/>
      <c r="M277" s="85"/>
      <c r="N277" s="85"/>
      <c r="O277" s="85"/>
      <c r="P277" s="85"/>
      <c r="Q277" s="85"/>
      <c r="R277" s="85"/>
      <c r="S277" s="85"/>
      <c r="T277" s="85"/>
    </row>
    <row r="278" spans="1:20" ht="14.5">
      <c r="A278" s="85" t="s">
        <v>1217</v>
      </c>
      <c r="B278" s="86">
        <v>7</v>
      </c>
      <c r="C278" s="86">
        <v>61</v>
      </c>
      <c r="D278" s="86">
        <v>3</v>
      </c>
      <c r="E278" s="85">
        <v>0</v>
      </c>
      <c r="F278" s="85">
        <v>0</v>
      </c>
      <c r="G278" s="13">
        <v>44978</v>
      </c>
      <c r="H278" s="85"/>
      <c r="I278" s="85"/>
      <c r="J278" s="85"/>
      <c r="K278" s="85"/>
      <c r="L278" s="85"/>
      <c r="M278" s="85"/>
      <c r="N278" s="85"/>
      <c r="O278" s="85"/>
      <c r="P278" s="85"/>
      <c r="Q278" s="85"/>
      <c r="R278" s="85"/>
      <c r="S278" s="85"/>
      <c r="T278" s="85"/>
    </row>
    <row r="279" spans="1:20" ht="14.5">
      <c r="A279" s="85" t="s">
        <v>1221</v>
      </c>
      <c r="B279" s="86">
        <v>22</v>
      </c>
      <c r="C279" s="86">
        <v>1</v>
      </c>
      <c r="D279" s="86">
        <v>159</v>
      </c>
      <c r="E279" s="85">
        <v>0</v>
      </c>
      <c r="F279" s="86">
        <v>1</v>
      </c>
      <c r="G279" s="13">
        <v>44978</v>
      </c>
      <c r="H279" s="85"/>
      <c r="I279" s="85"/>
      <c r="J279" s="85"/>
      <c r="K279" s="85"/>
      <c r="L279" s="85"/>
      <c r="M279" s="85"/>
      <c r="N279" s="85"/>
      <c r="O279" s="85"/>
      <c r="P279" s="85"/>
      <c r="Q279" s="85"/>
      <c r="R279" s="85"/>
      <c r="S279" s="85"/>
      <c r="T279" s="85"/>
    </row>
    <row r="280" spans="1:20" ht="14.5">
      <c r="A280" s="85" t="s">
        <v>1226</v>
      </c>
      <c r="B280" s="86">
        <v>46</v>
      </c>
      <c r="C280" s="86">
        <v>1</v>
      </c>
      <c r="D280" s="86">
        <v>72</v>
      </c>
      <c r="E280" s="85">
        <v>0</v>
      </c>
      <c r="F280" s="85">
        <v>0</v>
      </c>
      <c r="G280" s="13">
        <v>44978</v>
      </c>
      <c r="H280" s="85"/>
      <c r="I280" s="85"/>
      <c r="J280" s="85"/>
      <c r="K280" s="85"/>
      <c r="L280" s="85"/>
      <c r="M280" s="85"/>
      <c r="N280" s="85"/>
      <c r="O280" s="85"/>
      <c r="P280" s="85"/>
      <c r="Q280" s="85"/>
      <c r="R280" s="85"/>
      <c r="S280" s="85"/>
      <c r="T280" s="85"/>
    </row>
    <row r="281" spans="1:20" ht="14.5">
      <c r="A281" s="85" t="s">
        <v>1232</v>
      </c>
      <c r="B281" s="86">
        <v>8</v>
      </c>
      <c r="C281" s="86">
        <v>2</v>
      </c>
      <c r="D281" s="86">
        <v>18</v>
      </c>
      <c r="E281" s="85">
        <v>0</v>
      </c>
      <c r="F281" s="85">
        <v>0</v>
      </c>
      <c r="G281" s="13">
        <v>44978</v>
      </c>
      <c r="H281" s="85"/>
      <c r="I281" s="85"/>
      <c r="J281" s="85"/>
      <c r="K281" s="85"/>
      <c r="L281" s="85"/>
      <c r="M281" s="85"/>
      <c r="N281" s="85"/>
      <c r="O281" s="85"/>
      <c r="P281" s="85"/>
      <c r="Q281" s="85"/>
      <c r="R281" s="85"/>
      <c r="S281" s="85"/>
      <c r="T281" s="85"/>
    </row>
    <row r="282" spans="1:20" ht="14.5">
      <c r="A282" s="85" t="s">
        <v>1238</v>
      </c>
      <c r="B282" s="85">
        <v>0</v>
      </c>
      <c r="C282" s="85">
        <v>0</v>
      </c>
      <c r="D282" s="86">
        <v>2</v>
      </c>
      <c r="E282" s="85">
        <v>0</v>
      </c>
      <c r="F282" s="85">
        <v>0</v>
      </c>
      <c r="G282" s="13">
        <v>44978</v>
      </c>
      <c r="H282" s="85"/>
      <c r="I282" s="85"/>
      <c r="J282" s="85"/>
      <c r="K282" s="85"/>
      <c r="L282" s="85"/>
      <c r="M282" s="85"/>
      <c r="N282" s="85"/>
      <c r="O282" s="85"/>
      <c r="P282" s="85"/>
      <c r="Q282" s="85"/>
      <c r="R282" s="85"/>
      <c r="S282" s="85"/>
      <c r="T282" s="85"/>
    </row>
    <row r="283" spans="1:20" ht="14.5">
      <c r="A283" s="85" t="s">
        <v>1246</v>
      </c>
      <c r="B283" s="86">
        <v>10</v>
      </c>
      <c r="C283" s="86">
        <v>2</v>
      </c>
      <c r="D283" s="85">
        <v>0</v>
      </c>
      <c r="E283" s="85">
        <v>0</v>
      </c>
      <c r="F283" s="85">
        <v>0</v>
      </c>
      <c r="G283" s="13">
        <v>44978</v>
      </c>
      <c r="H283" s="85"/>
      <c r="I283" s="85"/>
      <c r="J283" s="85"/>
      <c r="K283" s="85"/>
      <c r="L283" s="85"/>
      <c r="M283" s="85"/>
      <c r="N283" s="85"/>
      <c r="O283" s="85"/>
      <c r="P283" s="85"/>
      <c r="Q283" s="85"/>
      <c r="R283" s="85"/>
      <c r="S283" s="85"/>
      <c r="T283" s="85"/>
    </row>
    <row r="284" spans="1:20" ht="14.5">
      <c r="A284" s="85" t="s">
        <v>1252</v>
      </c>
      <c r="B284" s="86">
        <v>4</v>
      </c>
      <c r="C284" s="85">
        <v>0</v>
      </c>
      <c r="D284" s="86">
        <v>6</v>
      </c>
      <c r="E284" s="85">
        <v>0</v>
      </c>
      <c r="F284" s="85">
        <v>0</v>
      </c>
      <c r="G284" s="13">
        <v>44978</v>
      </c>
      <c r="H284" s="85"/>
      <c r="I284" s="85"/>
      <c r="J284" s="85"/>
      <c r="K284" s="85"/>
      <c r="L284" s="85"/>
      <c r="M284" s="85"/>
      <c r="N284" s="85"/>
      <c r="O284" s="85"/>
      <c r="P284" s="85"/>
      <c r="Q284" s="85"/>
      <c r="R284" s="85"/>
      <c r="S284" s="85"/>
      <c r="T284" s="85"/>
    </row>
    <row r="285" spans="1:20" ht="14.5">
      <c r="A285" s="85" t="s">
        <v>1256</v>
      </c>
      <c r="B285" s="86">
        <v>15</v>
      </c>
      <c r="C285" s="86">
        <v>9</v>
      </c>
      <c r="D285" s="86">
        <v>5</v>
      </c>
      <c r="E285" s="85">
        <v>0</v>
      </c>
      <c r="F285" s="85">
        <v>0</v>
      </c>
      <c r="G285" s="13">
        <v>44978</v>
      </c>
      <c r="H285" s="85"/>
      <c r="I285" s="85"/>
      <c r="J285" s="85"/>
      <c r="K285" s="85"/>
      <c r="L285" s="85"/>
      <c r="M285" s="85"/>
      <c r="N285" s="85"/>
      <c r="O285" s="85"/>
      <c r="P285" s="85"/>
      <c r="Q285" s="85"/>
      <c r="R285" s="85"/>
      <c r="S285" s="85"/>
      <c r="T285" s="85"/>
    </row>
    <row r="286" spans="1:20" ht="14.5">
      <c r="A286" s="85" t="s">
        <v>1262</v>
      </c>
      <c r="B286" s="86">
        <v>17</v>
      </c>
      <c r="C286" s="86">
        <v>6</v>
      </c>
      <c r="D286" s="86">
        <v>5</v>
      </c>
      <c r="E286" s="85">
        <v>0</v>
      </c>
      <c r="F286" s="85">
        <v>0</v>
      </c>
      <c r="G286" s="13">
        <v>44978</v>
      </c>
      <c r="H286" s="85"/>
      <c r="I286" s="85"/>
      <c r="J286" s="85"/>
      <c r="K286" s="85"/>
      <c r="L286" s="85"/>
      <c r="M286" s="85"/>
      <c r="N286" s="85"/>
      <c r="O286" s="85"/>
      <c r="P286" s="85"/>
      <c r="Q286" s="85"/>
      <c r="R286" s="85"/>
      <c r="S286" s="85"/>
      <c r="T286" s="85"/>
    </row>
    <row r="287" spans="1:20" ht="14.5">
      <c r="A287" s="85" t="s">
        <v>1264</v>
      </c>
      <c r="B287" s="86">
        <v>7</v>
      </c>
      <c r="C287" s="86">
        <v>5</v>
      </c>
      <c r="D287" s="86">
        <v>6</v>
      </c>
      <c r="E287" s="85">
        <v>0</v>
      </c>
      <c r="F287" s="85">
        <v>0</v>
      </c>
      <c r="G287" s="13">
        <v>44978</v>
      </c>
      <c r="H287" s="85"/>
      <c r="I287" s="85"/>
      <c r="J287" s="85"/>
      <c r="K287" s="85"/>
      <c r="L287" s="85"/>
      <c r="M287" s="85"/>
      <c r="N287" s="85"/>
      <c r="O287" s="85"/>
      <c r="P287" s="85"/>
      <c r="Q287" s="85"/>
      <c r="R287" s="85"/>
      <c r="S287" s="85"/>
      <c r="T287" s="85"/>
    </row>
    <row r="288" spans="1:20" ht="14.5">
      <c r="A288" s="85" t="s">
        <v>1267</v>
      </c>
      <c r="B288" s="86">
        <v>38</v>
      </c>
      <c r="C288" s="86">
        <v>67</v>
      </c>
      <c r="D288" s="86">
        <v>37</v>
      </c>
      <c r="E288" s="85">
        <v>0</v>
      </c>
      <c r="F288" s="86">
        <v>1</v>
      </c>
      <c r="G288" s="13">
        <v>44978</v>
      </c>
      <c r="H288" s="85"/>
      <c r="I288" s="85"/>
      <c r="J288" s="85"/>
      <c r="K288" s="85"/>
      <c r="L288" s="85"/>
      <c r="M288" s="85"/>
      <c r="N288" s="85"/>
      <c r="O288" s="85"/>
      <c r="P288" s="85"/>
      <c r="Q288" s="85"/>
      <c r="R288" s="85"/>
      <c r="S288" s="85"/>
      <c r="T288" s="85"/>
    </row>
    <row r="289" spans="1:20" ht="14.5">
      <c r="A289" s="85" t="s">
        <v>1269</v>
      </c>
      <c r="B289" s="86">
        <v>35</v>
      </c>
      <c r="C289" s="86">
        <v>15</v>
      </c>
      <c r="D289" s="86">
        <v>8</v>
      </c>
      <c r="E289" s="86">
        <v>2</v>
      </c>
      <c r="F289" s="85">
        <v>0</v>
      </c>
      <c r="G289" s="13">
        <v>44978</v>
      </c>
      <c r="H289" s="85"/>
      <c r="I289" s="85"/>
      <c r="J289" s="85"/>
      <c r="K289" s="85"/>
      <c r="L289" s="85"/>
      <c r="M289" s="85"/>
      <c r="N289" s="85"/>
      <c r="O289" s="85"/>
      <c r="P289" s="85"/>
      <c r="Q289" s="85"/>
      <c r="R289" s="85"/>
      <c r="S289" s="85"/>
      <c r="T289" s="85"/>
    </row>
    <row r="290" spans="1:20" ht="14.5">
      <c r="A290" s="85" t="s">
        <v>1275</v>
      </c>
      <c r="B290" s="86">
        <v>7</v>
      </c>
      <c r="C290" s="86">
        <v>3</v>
      </c>
      <c r="D290" s="86">
        <v>2</v>
      </c>
      <c r="E290" s="85">
        <v>0</v>
      </c>
      <c r="F290" s="85">
        <v>0</v>
      </c>
      <c r="G290" s="13">
        <v>44978</v>
      </c>
      <c r="H290" s="85"/>
      <c r="I290" s="85"/>
      <c r="J290" s="85"/>
      <c r="K290" s="85"/>
      <c r="L290" s="85"/>
      <c r="M290" s="85"/>
      <c r="N290" s="85"/>
      <c r="O290" s="85"/>
      <c r="P290" s="85"/>
      <c r="Q290" s="85"/>
      <c r="R290" s="85"/>
      <c r="S290" s="85"/>
      <c r="T290" s="85"/>
    </row>
    <row r="291" spans="1:20" ht="14.5">
      <c r="A291" s="85" t="s">
        <v>1281</v>
      </c>
      <c r="B291" s="86">
        <v>22</v>
      </c>
      <c r="C291" s="86">
        <v>16</v>
      </c>
      <c r="D291" s="86">
        <v>1</v>
      </c>
      <c r="E291" s="85">
        <v>0</v>
      </c>
      <c r="F291" s="85">
        <v>0</v>
      </c>
      <c r="G291" s="13">
        <v>44978</v>
      </c>
      <c r="H291" s="85"/>
      <c r="I291" s="85"/>
      <c r="J291" s="85"/>
      <c r="K291" s="85"/>
      <c r="L291" s="85"/>
      <c r="M291" s="85"/>
      <c r="N291" s="85"/>
      <c r="O291" s="85"/>
      <c r="P291" s="85"/>
      <c r="Q291" s="85"/>
      <c r="R291" s="85"/>
      <c r="S291" s="85"/>
      <c r="T291" s="85"/>
    </row>
    <row r="292" spans="1:20" ht="14.5">
      <c r="A292" s="85" t="s">
        <v>1286</v>
      </c>
      <c r="B292" s="86">
        <v>10</v>
      </c>
      <c r="C292" s="86">
        <v>2</v>
      </c>
      <c r="D292" s="86">
        <v>3</v>
      </c>
      <c r="E292" s="85">
        <v>0</v>
      </c>
      <c r="F292" s="85">
        <v>0</v>
      </c>
      <c r="G292" s="13">
        <v>44978</v>
      </c>
      <c r="H292" s="85"/>
      <c r="I292" s="85"/>
      <c r="J292" s="85"/>
      <c r="K292" s="85"/>
      <c r="L292" s="85"/>
      <c r="M292" s="85"/>
      <c r="N292" s="85"/>
      <c r="O292" s="85"/>
      <c r="P292" s="85"/>
      <c r="Q292" s="85"/>
      <c r="R292" s="85"/>
      <c r="S292" s="85"/>
      <c r="T292" s="85"/>
    </row>
    <row r="293" spans="1:20" ht="14.5">
      <c r="A293" s="85" t="s">
        <v>1289</v>
      </c>
      <c r="B293" s="86">
        <v>11</v>
      </c>
      <c r="C293" s="86">
        <v>1</v>
      </c>
      <c r="D293" s="86">
        <v>1</v>
      </c>
      <c r="E293" s="85">
        <v>0</v>
      </c>
      <c r="F293" s="85">
        <v>0</v>
      </c>
      <c r="G293" s="13">
        <v>44978</v>
      </c>
      <c r="H293" s="85"/>
      <c r="I293" s="85"/>
      <c r="J293" s="85"/>
      <c r="K293" s="85"/>
      <c r="L293" s="85"/>
      <c r="M293" s="85"/>
      <c r="N293" s="85"/>
      <c r="O293" s="85"/>
      <c r="P293" s="85"/>
      <c r="Q293" s="85"/>
      <c r="R293" s="85"/>
      <c r="S293" s="85"/>
      <c r="T293" s="85"/>
    </row>
    <row r="294" spans="1:20" ht="14.5">
      <c r="A294" s="85" t="s">
        <v>1292</v>
      </c>
      <c r="B294" s="86">
        <v>17</v>
      </c>
      <c r="C294" s="86">
        <v>5</v>
      </c>
      <c r="D294" s="86">
        <v>6</v>
      </c>
      <c r="E294" s="85">
        <v>0</v>
      </c>
      <c r="F294" s="85">
        <v>0</v>
      </c>
      <c r="G294" s="13">
        <v>44978</v>
      </c>
      <c r="H294" s="85"/>
      <c r="I294" s="85"/>
      <c r="J294" s="85"/>
      <c r="K294" s="85"/>
      <c r="L294" s="85"/>
      <c r="M294" s="85"/>
      <c r="N294" s="85"/>
      <c r="O294" s="85"/>
      <c r="P294" s="85"/>
      <c r="Q294" s="85"/>
      <c r="R294" s="85"/>
      <c r="S294" s="85"/>
      <c r="T294" s="85"/>
    </row>
    <row r="295" spans="1:20" ht="14.5">
      <c r="A295" s="85" t="s">
        <v>1295</v>
      </c>
      <c r="B295" s="86">
        <v>5</v>
      </c>
      <c r="C295" s="86">
        <v>4</v>
      </c>
      <c r="D295" s="86">
        <v>1</v>
      </c>
      <c r="E295" s="85">
        <v>0</v>
      </c>
      <c r="F295" s="85">
        <v>0</v>
      </c>
      <c r="G295" s="13">
        <v>44978</v>
      </c>
      <c r="H295" s="85"/>
      <c r="I295" s="85"/>
      <c r="J295" s="85"/>
      <c r="K295" s="85"/>
      <c r="L295" s="85"/>
      <c r="M295" s="85"/>
      <c r="N295" s="85"/>
      <c r="O295" s="85"/>
      <c r="P295" s="85"/>
      <c r="Q295" s="85"/>
      <c r="R295" s="85"/>
      <c r="S295" s="85"/>
      <c r="T295" s="85"/>
    </row>
    <row r="296" spans="1:20" ht="14.5">
      <c r="A296" s="85" t="s">
        <v>1298</v>
      </c>
      <c r="B296" s="86">
        <v>23</v>
      </c>
      <c r="C296" s="86">
        <v>14</v>
      </c>
      <c r="D296" s="85">
        <v>0</v>
      </c>
      <c r="E296" s="85">
        <v>0</v>
      </c>
      <c r="F296" s="85">
        <v>0</v>
      </c>
      <c r="G296" s="13">
        <v>44978</v>
      </c>
      <c r="H296" s="85"/>
      <c r="I296" s="85"/>
      <c r="J296" s="85"/>
      <c r="K296" s="85"/>
      <c r="L296" s="85"/>
      <c r="M296" s="85"/>
      <c r="N296" s="85"/>
      <c r="O296" s="85"/>
      <c r="P296" s="85"/>
      <c r="Q296" s="85"/>
      <c r="R296" s="85"/>
      <c r="S296" s="85"/>
      <c r="T296" s="85"/>
    </row>
    <row r="297" spans="1:20" ht="14.5">
      <c r="A297" s="85" t="s">
        <v>1304</v>
      </c>
      <c r="B297" s="86">
        <v>15</v>
      </c>
      <c r="C297" s="86">
        <v>122</v>
      </c>
      <c r="D297" s="86">
        <v>1</v>
      </c>
      <c r="E297" s="85">
        <v>0</v>
      </c>
      <c r="F297" s="85">
        <v>0</v>
      </c>
      <c r="G297" s="13">
        <v>44978</v>
      </c>
      <c r="H297" s="85"/>
      <c r="I297" s="85"/>
      <c r="J297" s="85"/>
      <c r="K297" s="85"/>
      <c r="L297" s="85"/>
      <c r="M297" s="85"/>
      <c r="N297" s="85"/>
      <c r="O297" s="85"/>
      <c r="P297" s="85"/>
      <c r="Q297" s="85"/>
      <c r="R297" s="85"/>
      <c r="S297" s="85"/>
      <c r="T297" s="85"/>
    </row>
    <row r="298" spans="1:20" ht="14.5">
      <c r="A298" s="85" t="s">
        <v>1307</v>
      </c>
      <c r="B298" s="86">
        <v>5</v>
      </c>
      <c r="C298" s="86">
        <v>8</v>
      </c>
      <c r="D298" s="85">
        <v>0</v>
      </c>
      <c r="E298" s="85">
        <v>0</v>
      </c>
      <c r="F298" s="85">
        <v>0</v>
      </c>
      <c r="G298" s="13">
        <v>44978</v>
      </c>
      <c r="H298" s="85"/>
      <c r="I298" s="85"/>
      <c r="J298" s="85"/>
      <c r="K298" s="85"/>
      <c r="L298" s="85"/>
      <c r="M298" s="85"/>
      <c r="N298" s="85"/>
      <c r="O298" s="85"/>
      <c r="P298" s="85"/>
      <c r="Q298" s="85"/>
      <c r="R298" s="85"/>
      <c r="S298" s="85"/>
      <c r="T298" s="85"/>
    </row>
    <row r="299" spans="1:20" ht="14.5">
      <c r="A299" s="85" t="s">
        <v>1313</v>
      </c>
      <c r="B299" s="85">
        <v>0</v>
      </c>
      <c r="C299" s="86">
        <v>2</v>
      </c>
      <c r="D299" s="86">
        <v>2</v>
      </c>
      <c r="E299" s="85">
        <v>0</v>
      </c>
      <c r="F299" s="85">
        <v>0</v>
      </c>
      <c r="G299" s="13">
        <v>44978</v>
      </c>
      <c r="H299" s="85"/>
      <c r="I299" s="85"/>
      <c r="J299" s="85"/>
      <c r="K299" s="85"/>
      <c r="L299" s="85"/>
      <c r="M299" s="85"/>
      <c r="N299" s="85"/>
      <c r="O299" s="85"/>
      <c r="P299" s="85"/>
      <c r="Q299" s="85"/>
      <c r="R299" s="85"/>
      <c r="S299" s="85"/>
      <c r="T299" s="85"/>
    </row>
    <row r="300" spans="1:20" ht="14.5">
      <c r="A300" s="85" t="s">
        <v>1318</v>
      </c>
      <c r="B300" s="86">
        <v>17</v>
      </c>
      <c r="C300" s="86">
        <v>3</v>
      </c>
      <c r="D300" s="85">
        <v>0</v>
      </c>
      <c r="E300" s="85">
        <v>0</v>
      </c>
      <c r="F300" s="85">
        <v>0</v>
      </c>
      <c r="G300" s="13">
        <v>44978</v>
      </c>
      <c r="H300" s="85"/>
      <c r="I300" s="85"/>
      <c r="J300" s="85"/>
      <c r="K300" s="85"/>
      <c r="L300" s="85"/>
      <c r="M300" s="85"/>
      <c r="N300" s="85"/>
      <c r="O300" s="85"/>
      <c r="P300" s="85"/>
      <c r="Q300" s="85"/>
      <c r="R300" s="85"/>
      <c r="S300" s="85"/>
      <c r="T300" s="85"/>
    </row>
    <row r="301" spans="1:20" ht="14.5">
      <c r="A301" s="85" t="s">
        <v>1324</v>
      </c>
      <c r="B301" s="86">
        <v>2</v>
      </c>
      <c r="C301" s="86">
        <v>1</v>
      </c>
      <c r="D301" s="86">
        <v>1</v>
      </c>
      <c r="E301" s="85">
        <v>0</v>
      </c>
      <c r="F301" s="85">
        <v>0</v>
      </c>
      <c r="G301" s="13">
        <v>44978</v>
      </c>
      <c r="H301" s="85"/>
      <c r="I301" s="85"/>
      <c r="J301" s="85"/>
      <c r="K301" s="85"/>
      <c r="L301" s="85"/>
      <c r="M301" s="85"/>
      <c r="N301" s="85"/>
      <c r="O301" s="85"/>
      <c r="P301" s="85"/>
      <c r="Q301" s="85"/>
      <c r="R301" s="85"/>
      <c r="S301" s="85"/>
      <c r="T301" s="85"/>
    </row>
    <row r="302" spans="1:20" ht="14.5">
      <c r="A302" s="85" t="s">
        <v>13784</v>
      </c>
      <c r="B302" s="86">
        <v>5</v>
      </c>
      <c r="C302" s="86">
        <v>1</v>
      </c>
      <c r="D302" s="86">
        <v>1</v>
      </c>
      <c r="E302" s="85">
        <v>0</v>
      </c>
      <c r="F302" s="85">
        <v>0</v>
      </c>
      <c r="G302" s="13">
        <v>44978</v>
      </c>
      <c r="H302" s="85"/>
      <c r="I302" s="85"/>
      <c r="J302" s="85"/>
      <c r="K302" s="85"/>
      <c r="L302" s="85"/>
      <c r="M302" s="85"/>
      <c r="N302" s="85"/>
      <c r="O302" s="85"/>
      <c r="P302" s="85"/>
      <c r="Q302" s="85"/>
      <c r="R302" s="85"/>
      <c r="S302" s="85"/>
      <c r="T302" s="85"/>
    </row>
    <row r="303" spans="1:20" ht="14.5">
      <c r="A303" s="85" t="s">
        <v>1330</v>
      </c>
      <c r="B303" s="86">
        <v>2</v>
      </c>
      <c r="C303" s="85">
        <v>0</v>
      </c>
      <c r="D303" s="86">
        <v>1</v>
      </c>
      <c r="E303" s="85">
        <v>0</v>
      </c>
      <c r="F303" s="85">
        <v>0</v>
      </c>
      <c r="G303" s="13">
        <v>44978</v>
      </c>
      <c r="H303" s="85"/>
      <c r="I303" s="85"/>
      <c r="J303" s="85"/>
      <c r="K303" s="85"/>
      <c r="L303" s="85"/>
      <c r="M303" s="85"/>
      <c r="N303" s="85"/>
      <c r="O303" s="85"/>
      <c r="P303" s="85"/>
      <c r="Q303" s="85"/>
      <c r="R303" s="85"/>
      <c r="S303" s="85"/>
      <c r="T303" s="85"/>
    </row>
    <row r="304" spans="1:20" ht="14.5">
      <c r="A304" s="85" t="s">
        <v>1339</v>
      </c>
      <c r="B304" s="86">
        <v>1</v>
      </c>
      <c r="C304" s="86">
        <v>6</v>
      </c>
      <c r="D304" s="86">
        <v>1</v>
      </c>
      <c r="E304" s="85">
        <v>0</v>
      </c>
      <c r="F304" s="85">
        <v>0</v>
      </c>
      <c r="G304" s="13">
        <v>44978</v>
      </c>
      <c r="H304" s="85"/>
      <c r="I304" s="85"/>
      <c r="J304" s="85"/>
      <c r="K304" s="85"/>
      <c r="L304" s="85"/>
      <c r="M304" s="85"/>
      <c r="N304" s="85"/>
      <c r="O304" s="85"/>
      <c r="P304" s="85"/>
      <c r="Q304" s="85"/>
      <c r="R304" s="85"/>
      <c r="S304" s="85"/>
      <c r="T304" s="85"/>
    </row>
    <row r="305" spans="1:20" ht="14.5">
      <c r="A305" s="85" t="s">
        <v>1342</v>
      </c>
      <c r="B305" s="86">
        <v>35</v>
      </c>
      <c r="C305" s="86">
        <v>36</v>
      </c>
      <c r="D305" s="86">
        <v>1</v>
      </c>
      <c r="E305" s="85">
        <v>0</v>
      </c>
      <c r="F305" s="85">
        <v>0</v>
      </c>
      <c r="G305" s="13">
        <v>44978</v>
      </c>
      <c r="H305" s="85"/>
      <c r="I305" s="85"/>
      <c r="J305" s="85"/>
      <c r="K305" s="85"/>
      <c r="L305" s="85"/>
      <c r="M305" s="85"/>
      <c r="N305" s="85"/>
      <c r="O305" s="85"/>
      <c r="P305" s="85"/>
      <c r="Q305" s="85"/>
      <c r="R305" s="85"/>
      <c r="S305" s="85"/>
      <c r="T305" s="85"/>
    </row>
    <row r="306" spans="1:20" ht="14.5">
      <c r="A306" s="85" t="s">
        <v>13785</v>
      </c>
      <c r="B306" s="86">
        <v>7</v>
      </c>
      <c r="C306" s="86">
        <v>1</v>
      </c>
      <c r="D306" s="86">
        <v>1</v>
      </c>
      <c r="E306" s="85">
        <v>0</v>
      </c>
      <c r="F306" s="85">
        <v>0</v>
      </c>
      <c r="G306" s="13">
        <v>44978</v>
      </c>
      <c r="H306" s="85"/>
      <c r="I306" s="85"/>
      <c r="J306" s="85"/>
      <c r="K306" s="85"/>
      <c r="L306" s="85"/>
      <c r="M306" s="85"/>
      <c r="N306" s="85"/>
      <c r="O306" s="85"/>
      <c r="P306" s="85"/>
      <c r="Q306" s="85"/>
      <c r="R306" s="85"/>
      <c r="S306" s="85"/>
      <c r="T306" s="85"/>
    </row>
    <row r="307" spans="1:20" ht="14.5">
      <c r="A307" s="85" t="s">
        <v>1345</v>
      </c>
      <c r="B307" s="86">
        <v>12</v>
      </c>
      <c r="C307" s="86">
        <v>1</v>
      </c>
      <c r="D307" s="86">
        <v>1</v>
      </c>
      <c r="E307" s="85">
        <v>0</v>
      </c>
      <c r="F307" s="85">
        <v>0</v>
      </c>
      <c r="G307" s="13">
        <v>44978</v>
      </c>
      <c r="H307" s="85"/>
      <c r="I307" s="85"/>
      <c r="J307" s="85"/>
      <c r="K307" s="85"/>
      <c r="L307" s="85"/>
      <c r="M307" s="85"/>
      <c r="N307" s="85"/>
      <c r="O307" s="85"/>
      <c r="P307" s="85"/>
      <c r="Q307" s="85"/>
      <c r="R307" s="85"/>
      <c r="S307" s="85"/>
      <c r="T307" s="85"/>
    </row>
    <row r="308" spans="1:20" ht="14.5">
      <c r="A308" s="85" t="s">
        <v>1348</v>
      </c>
      <c r="B308" s="86">
        <v>4</v>
      </c>
      <c r="C308" s="86">
        <v>4</v>
      </c>
      <c r="D308" s="86">
        <v>1</v>
      </c>
      <c r="E308" s="85">
        <v>0</v>
      </c>
      <c r="F308" s="85">
        <v>0</v>
      </c>
      <c r="G308" s="13">
        <v>44978</v>
      </c>
      <c r="H308" s="85"/>
      <c r="I308" s="85"/>
      <c r="J308" s="85"/>
      <c r="K308" s="85"/>
      <c r="L308" s="85"/>
      <c r="M308" s="85"/>
      <c r="N308" s="85"/>
      <c r="O308" s="85"/>
      <c r="P308" s="85"/>
      <c r="Q308" s="85"/>
      <c r="R308" s="85"/>
      <c r="S308" s="85"/>
      <c r="T308" s="85"/>
    </row>
    <row r="309" spans="1:20" ht="14.5">
      <c r="A309" s="85" t="s">
        <v>1351</v>
      </c>
      <c r="B309" s="86">
        <v>11</v>
      </c>
      <c r="C309" s="86">
        <v>5</v>
      </c>
      <c r="D309" s="86">
        <v>1</v>
      </c>
      <c r="E309" s="85">
        <v>0</v>
      </c>
      <c r="F309" s="85">
        <v>0</v>
      </c>
      <c r="G309" s="13">
        <v>44978</v>
      </c>
      <c r="H309" s="85"/>
      <c r="I309" s="85"/>
      <c r="J309" s="85"/>
      <c r="K309" s="85"/>
      <c r="L309" s="85"/>
      <c r="M309" s="85"/>
      <c r="N309" s="85"/>
      <c r="O309" s="85"/>
      <c r="P309" s="85"/>
      <c r="Q309" s="85"/>
      <c r="R309" s="85"/>
      <c r="S309" s="85"/>
      <c r="T309" s="85"/>
    </row>
    <row r="310" spans="1:20" ht="14.5">
      <c r="A310" s="85" t="s">
        <v>13786</v>
      </c>
      <c r="B310" s="86">
        <v>65</v>
      </c>
      <c r="C310" s="86">
        <v>23</v>
      </c>
      <c r="D310" s="85">
        <v>0</v>
      </c>
      <c r="E310" s="85">
        <v>0</v>
      </c>
      <c r="F310" s="86">
        <v>2</v>
      </c>
      <c r="G310" s="13">
        <v>44978</v>
      </c>
      <c r="H310" s="85"/>
      <c r="I310" s="85"/>
      <c r="J310" s="85"/>
      <c r="K310" s="86"/>
      <c r="L310" s="85"/>
      <c r="M310" s="85"/>
      <c r="N310" s="85"/>
      <c r="O310" s="85"/>
      <c r="P310" s="85"/>
      <c r="Q310" s="85"/>
      <c r="R310" s="85"/>
      <c r="S310" s="85"/>
      <c r="T310" s="85"/>
    </row>
    <row r="311" spans="1:20" ht="14.5">
      <c r="A311" s="85" t="s">
        <v>13787</v>
      </c>
      <c r="B311" s="86">
        <v>5</v>
      </c>
      <c r="C311" s="86">
        <v>4</v>
      </c>
      <c r="D311" s="85">
        <v>0</v>
      </c>
      <c r="E311" s="86">
        <v>5</v>
      </c>
      <c r="F311" s="85">
        <v>0</v>
      </c>
      <c r="G311" s="13">
        <v>44978</v>
      </c>
      <c r="H311" s="85"/>
      <c r="I311" s="85"/>
      <c r="J311" s="85"/>
      <c r="K311" s="85"/>
      <c r="L311" s="85"/>
      <c r="M311" s="85"/>
      <c r="N311" s="85"/>
      <c r="O311" s="85"/>
      <c r="P311" s="85"/>
      <c r="Q311" s="85"/>
      <c r="R311" s="85"/>
      <c r="S311" s="85"/>
      <c r="T311" s="85"/>
    </row>
    <row r="312" spans="1:20" ht="14.5">
      <c r="A312" s="85" t="s">
        <v>13788</v>
      </c>
      <c r="B312" s="86">
        <v>141</v>
      </c>
      <c r="C312" s="86">
        <v>31</v>
      </c>
      <c r="D312" s="86">
        <v>1</v>
      </c>
      <c r="E312" s="85">
        <v>0</v>
      </c>
      <c r="F312" s="85">
        <v>0</v>
      </c>
      <c r="G312" s="13">
        <v>44978</v>
      </c>
      <c r="H312" s="85"/>
      <c r="I312" s="85"/>
      <c r="J312" s="85"/>
      <c r="K312" s="85"/>
      <c r="L312" s="85"/>
      <c r="M312" s="85"/>
      <c r="N312" s="85"/>
      <c r="O312" s="85"/>
      <c r="P312" s="85"/>
      <c r="Q312" s="85"/>
      <c r="R312" s="85"/>
      <c r="S312" s="85"/>
      <c r="T312" s="85"/>
    </row>
    <row r="313" spans="1:20" ht="14.5">
      <c r="A313" s="85" t="s">
        <v>1354</v>
      </c>
      <c r="B313" s="86">
        <v>5</v>
      </c>
      <c r="C313" s="86">
        <v>1</v>
      </c>
      <c r="D313" s="86">
        <v>6</v>
      </c>
      <c r="E313" s="85">
        <v>0</v>
      </c>
      <c r="F313" s="85">
        <v>0</v>
      </c>
      <c r="G313" s="13">
        <v>44978</v>
      </c>
      <c r="H313" s="85"/>
      <c r="I313" s="85"/>
      <c r="J313" s="85"/>
      <c r="K313" s="85"/>
      <c r="L313" s="85"/>
      <c r="M313" s="85"/>
      <c r="N313" s="85"/>
      <c r="O313" s="85"/>
      <c r="P313" s="85"/>
      <c r="Q313" s="85"/>
      <c r="R313" s="85"/>
      <c r="S313" s="85"/>
      <c r="T313" s="85"/>
    </row>
    <row r="314" spans="1:20" ht="14.5">
      <c r="A314" s="85" t="s">
        <v>13789</v>
      </c>
      <c r="B314" s="86">
        <v>20</v>
      </c>
      <c r="C314" s="86">
        <v>11</v>
      </c>
      <c r="D314" s="86">
        <v>2</v>
      </c>
      <c r="E314" s="85">
        <v>0</v>
      </c>
      <c r="F314" s="85">
        <v>0</v>
      </c>
      <c r="G314" s="13">
        <v>44978</v>
      </c>
      <c r="H314" s="85"/>
      <c r="I314" s="85"/>
      <c r="J314" s="85"/>
      <c r="K314" s="85"/>
      <c r="L314" s="85"/>
      <c r="M314" s="85"/>
      <c r="N314" s="85"/>
      <c r="O314" s="85"/>
      <c r="P314" s="85"/>
      <c r="Q314" s="85"/>
      <c r="R314" s="85"/>
      <c r="S314" s="85"/>
      <c r="T314" s="85"/>
    </row>
    <row r="315" spans="1:20" ht="14.5">
      <c r="A315" s="85" t="s">
        <v>1357</v>
      </c>
      <c r="B315" s="86">
        <v>10</v>
      </c>
      <c r="C315" s="86">
        <v>1</v>
      </c>
      <c r="D315" s="86">
        <v>1</v>
      </c>
      <c r="E315" s="85">
        <v>0</v>
      </c>
      <c r="F315" s="85">
        <v>0</v>
      </c>
      <c r="G315" s="13">
        <v>44978</v>
      </c>
      <c r="H315" s="85"/>
      <c r="I315" s="85"/>
      <c r="J315" s="85"/>
      <c r="K315" s="85"/>
      <c r="L315" s="85"/>
      <c r="M315" s="85"/>
      <c r="N315" s="85"/>
      <c r="O315" s="85"/>
      <c r="P315" s="85"/>
      <c r="Q315" s="85"/>
      <c r="R315" s="85"/>
      <c r="S315" s="85"/>
      <c r="T315" s="85"/>
    </row>
    <row r="316" spans="1:20" ht="14.5">
      <c r="A316" s="85" t="s">
        <v>1360</v>
      </c>
      <c r="B316" s="86">
        <v>12</v>
      </c>
      <c r="C316" s="86">
        <v>5</v>
      </c>
      <c r="D316" s="86">
        <v>1</v>
      </c>
      <c r="E316" s="85">
        <v>0</v>
      </c>
      <c r="F316" s="85">
        <v>0</v>
      </c>
      <c r="G316" s="13">
        <v>44978</v>
      </c>
      <c r="H316" s="85"/>
      <c r="I316" s="85"/>
      <c r="J316" s="85"/>
      <c r="K316" s="85"/>
      <c r="L316" s="85"/>
      <c r="M316" s="85"/>
      <c r="N316" s="85"/>
      <c r="O316" s="85"/>
      <c r="P316" s="85"/>
      <c r="Q316" s="85"/>
      <c r="R316" s="85"/>
      <c r="S316" s="85"/>
      <c r="T316" s="85"/>
    </row>
    <row r="317" spans="1:20" ht="14.5">
      <c r="A317" s="85" t="s">
        <v>13790</v>
      </c>
      <c r="B317" s="86">
        <v>51</v>
      </c>
      <c r="C317" s="86">
        <v>34</v>
      </c>
      <c r="D317" s="86">
        <v>379</v>
      </c>
      <c r="E317" s="85">
        <v>0</v>
      </c>
      <c r="F317" s="86">
        <v>4</v>
      </c>
      <c r="G317" s="13">
        <v>44978</v>
      </c>
      <c r="H317" s="85"/>
      <c r="I317" s="85"/>
      <c r="J317" s="86"/>
      <c r="K317" s="85"/>
      <c r="L317" s="85"/>
      <c r="M317" s="85"/>
      <c r="N317" s="85"/>
      <c r="O317" s="85"/>
      <c r="P317" s="85"/>
      <c r="Q317" s="85"/>
      <c r="R317" s="85"/>
      <c r="S317" s="85"/>
      <c r="T317" s="85"/>
    </row>
    <row r="318" spans="1:20" ht="14.5">
      <c r="A318" s="85" t="s">
        <v>13791</v>
      </c>
      <c r="B318" s="86">
        <v>55</v>
      </c>
      <c r="C318" s="86">
        <v>30</v>
      </c>
      <c r="D318" s="86">
        <v>2</v>
      </c>
      <c r="E318" s="85">
        <v>0</v>
      </c>
      <c r="F318" s="85">
        <v>0</v>
      </c>
      <c r="G318" s="13">
        <v>44978</v>
      </c>
      <c r="H318" s="85"/>
      <c r="I318" s="85"/>
      <c r="J318" s="85"/>
      <c r="K318" s="85"/>
      <c r="L318" s="85"/>
      <c r="M318" s="85"/>
      <c r="N318" s="85"/>
      <c r="O318" s="85"/>
      <c r="P318" s="85"/>
      <c r="Q318" s="85"/>
      <c r="R318" s="85"/>
      <c r="S318" s="85"/>
      <c r="T318" s="85"/>
    </row>
    <row r="319" spans="1:20" ht="14.5">
      <c r="A319" s="85" t="s">
        <v>1363</v>
      </c>
      <c r="B319" s="86">
        <v>24</v>
      </c>
      <c r="C319" s="86">
        <v>14</v>
      </c>
      <c r="D319" s="86">
        <v>2</v>
      </c>
      <c r="E319" s="85">
        <v>0</v>
      </c>
      <c r="F319" s="85">
        <v>0</v>
      </c>
      <c r="G319" s="13">
        <v>44978</v>
      </c>
      <c r="H319" s="85"/>
      <c r="I319" s="85"/>
      <c r="J319" s="85"/>
      <c r="K319" s="85"/>
      <c r="L319" s="85"/>
      <c r="M319" s="85"/>
      <c r="N319" s="85"/>
      <c r="O319" s="85"/>
      <c r="P319" s="85"/>
      <c r="Q319" s="85"/>
      <c r="R319" s="85"/>
      <c r="S319" s="85"/>
      <c r="T319" s="85"/>
    </row>
    <row r="320" spans="1:20" ht="14.5">
      <c r="A320" s="85" t="s">
        <v>13792</v>
      </c>
      <c r="B320" s="86">
        <v>35</v>
      </c>
      <c r="C320" s="86">
        <v>32</v>
      </c>
      <c r="D320" s="86">
        <v>1</v>
      </c>
      <c r="E320" s="85">
        <v>0</v>
      </c>
      <c r="F320" s="85">
        <v>0</v>
      </c>
      <c r="G320" s="13">
        <v>44978</v>
      </c>
      <c r="H320" s="85"/>
      <c r="I320" s="85"/>
      <c r="J320" s="85"/>
      <c r="K320" s="85"/>
      <c r="L320" s="85"/>
      <c r="M320" s="85"/>
      <c r="N320" s="85"/>
      <c r="O320" s="85"/>
      <c r="P320" s="85"/>
      <c r="Q320" s="85"/>
      <c r="R320" s="85"/>
      <c r="S320" s="85"/>
      <c r="T320" s="85"/>
    </row>
    <row r="321" spans="1:20" ht="14.5">
      <c r="A321" s="85" t="s">
        <v>13793</v>
      </c>
      <c r="B321" s="86">
        <v>17</v>
      </c>
      <c r="C321" s="86">
        <v>13</v>
      </c>
      <c r="D321" s="86">
        <v>1</v>
      </c>
      <c r="E321" s="85">
        <v>0</v>
      </c>
      <c r="F321" s="85">
        <v>0</v>
      </c>
      <c r="G321" s="13">
        <v>44978</v>
      </c>
      <c r="H321" s="85"/>
      <c r="I321" s="85"/>
      <c r="J321" s="85"/>
      <c r="K321" s="85"/>
      <c r="L321" s="85"/>
      <c r="M321" s="85"/>
      <c r="N321" s="85"/>
      <c r="O321" s="85"/>
      <c r="P321" s="85"/>
      <c r="Q321" s="85"/>
      <c r="R321" s="85"/>
      <c r="S321" s="85"/>
      <c r="T321" s="85"/>
    </row>
    <row r="322" spans="1:20" ht="14.5">
      <c r="A322" s="85" t="s">
        <v>1366</v>
      </c>
      <c r="B322" s="86">
        <v>8</v>
      </c>
      <c r="C322" s="86">
        <v>9</v>
      </c>
      <c r="D322" s="86">
        <v>1</v>
      </c>
      <c r="E322" s="85">
        <v>0</v>
      </c>
      <c r="F322" s="85">
        <v>0</v>
      </c>
      <c r="G322" s="13">
        <v>44978</v>
      </c>
      <c r="H322" s="85"/>
      <c r="I322" s="85"/>
      <c r="J322" s="85"/>
      <c r="K322" s="85"/>
      <c r="L322" s="85"/>
      <c r="M322" s="85"/>
      <c r="N322" s="85"/>
      <c r="O322" s="85"/>
      <c r="P322" s="85"/>
      <c r="Q322" s="85"/>
      <c r="R322" s="85"/>
      <c r="S322" s="85"/>
      <c r="T322" s="85"/>
    </row>
    <row r="323" spans="1:20" ht="14.5">
      <c r="A323" s="85" t="s">
        <v>13794</v>
      </c>
      <c r="B323" s="86">
        <v>7</v>
      </c>
      <c r="C323" s="86">
        <v>6</v>
      </c>
      <c r="D323" s="85">
        <v>0</v>
      </c>
      <c r="E323" s="85">
        <v>0</v>
      </c>
      <c r="F323" s="85">
        <v>0</v>
      </c>
      <c r="G323" s="13">
        <v>44978</v>
      </c>
      <c r="H323" s="85"/>
      <c r="I323" s="85"/>
      <c r="J323" s="85"/>
      <c r="K323" s="85"/>
      <c r="L323" s="85"/>
      <c r="M323" s="85"/>
      <c r="N323" s="85"/>
      <c r="O323" s="85"/>
      <c r="P323" s="85"/>
      <c r="Q323" s="85"/>
      <c r="R323" s="85"/>
      <c r="S323" s="85"/>
      <c r="T323" s="85"/>
    </row>
    <row r="324" spans="1:20" ht="14.5">
      <c r="A324" s="85" t="s">
        <v>1368</v>
      </c>
      <c r="B324" s="86">
        <v>10</v>
      </c>
      <c r="C324" s="86">
        <v>12</v>
      </c>
      <c r="D324" s="86">
        <v>1</v>
      </c>
      <c r="E324" s="85">
        <v>0</v>
      </c>
      <c r="F324" s="85">
        <v>0</v>
      </c>
      <c r="G324" s="13">
        <v>44978</v>
      </c>
      <c r="H324" s="85"/>
      <c r="I324" s="85"/>
      <c r="J324" s="85"/>
      <c r="K324" s="85"/>
      <c r="L324" s="85"/>
      <c r="M324" s="85"/>
      <c r="N324" s="85"/>
      <c r="O324" s="85"/>
      <c r="P324" s="85"/>
      <c r="Q324" s="85"/>
      <c r="R324" s="85"/>
      <c r="S324" s="85"/>
      <c r="T324" s="85"/>
    </row>
    <row r="325" spans="1:20" ht="14.5">
      <c r="A325" s="85" t="s">
        <v>13795</v>
      </c>
      <c r="B325" s="86">
        <v>148</v>
      </c>
      <c r="C325" s="86">
        <v>28</v>
      </c>
      <c r="D325" s="86">
        <v>1</v>
      </c>
      <c r="E325" s="85">
        <v>0</v>
      </c>
      <c r="F325" s="85">
        <v>0</v>
      </c>
      <c r="G325" s="13">
        <v>44978</v>
      </c>
      <c r="H325" s="85"/>
      <c r="I325" s="85"/>
      <c r="J325" s="85"/>
      <c r="K325" s="85"/>
      <c r="L325" s="85"/>
      <c r="M325" s="85"/>
      <c r="N325" s="85"/>
      <c r="O325" s="85"/>
      <c r="P325" s="85"/>
      <c r="Q325" s="85"/>
      <c r="R325" s="85"/>
      <c r="S325" s="85"/>
      <c r="T325" s="85"/>
    </row>
    <row r="326" spans="1:20" ht="14.5">
      <c r="A326" s="85" t="s">
        <v>13796</v>
      </c>
      <c r="B326" s="85">
        <v>0</v>
      </c>
      <c r="C326" s="85">
        <v>0</v>
      </c>
      <c r="D326" s="85">
        <v>0</v>
      </c>
      <c r="E326" s="85">
        <v>0</v>
      </c>
      <c r="F326" s="85">
        <v>0</v>
      </c>
      <c r="G326" s="13">
        <v>44978</v>
      </c>
      <c r="H326" s="85"/>
      <c r="I326" s="85"/>
      <c r="J326" s="85"/>
      <c r="K326" s="85"/>
      <c r="L326" s="85"/>
      <c r="M326" s="85"/>
      <c r="N326" s="85"/>
      <c r="O326" s="85"/>
      <c r="P326" s="85"/>
      <c r="Q326" s="85"/>
      <c r="R326" s="86"/>
      <c r="S326" s="85"/>
      <c r="T326" s="85"/>
    </row>
    <row r="327" spans="1:20" ht="14.5">
      <c r="A327" s="85" t="s">
        <v>1370</v>
      </c>
      <c r="B327" s="86">
        <v>4</v>
      </c>
      <c r="C327" s="86">
        <v>4</v>
      </c>
      <c r="D327" s="86">
        <v>2</v>
      </c>
      <c r="E327" s="85">
        <v>0</v>
      </c>
      <c r="F327" s="85">
        <v>0</v>
      </c>
      <c r="G327" s="13">
        <v>44978</v>
      </c>
      <c r="H327" s="85"/>
      <c r="I327" s="85"/>
      <c r="J327" s="85"/>
      <c r="K327" s="85"/>
      <c r="L327" s="85"/>
      <c r="M327" s="85"/>
      <c r="N327" s="85"/>
      <c r="O327" s="85"/>
      <c r="P327" s="85"/>
      <c r="Q327" s="85"/>
      <c r="R327" s="85"/>
      <c r="S327" s="85"/>
      <c r="T327" s="85"/>
    </row>
    <row r="328" spans="1:20" ht="14.5">
      <c r="A328" s="85" t="s">
        <v>1376</v>
      </c>
      <c r="B328" s="86">
        <v>6</v>
      </c>
      <c r="C328" s="85">
        <v>0</v>
      </c>
      <c r="D328" s="85">
        <v>0</v>
      </c>
      <c r="E328" s="85">
        <v>0</v>
      </c>
      <c r="F328" s="85">
        <v>0</v>
      </c>
      <c r="G328" s="13">
        <v>44978</v>
      </c>
      <c r="H328" s="85"/>
      <c r="I328" s="85"/>
      <c r="J328" s="85"/>
      <c r="K328" s="85"/>
      <c r="L328" s="85"/>
      <c r="M328" s="85"/>
      <c r="N328" s="85"/>
      <c r="O328" s="85"/>
      <c r="P328" s="85"/>
      <c r="Q328" s="85"/>
      <c r="R328" s="85"/>
      <c r="S328" s="85"/>
      <c r="T328" s="85"/>
    </row>
    <row r="329" spans="1:20" ht="14.5">
      <c r="A329" s="85" t="s">
        <v>1379</v>
      </c>
      <c r="B329" s="86">
        <v>18</v>
      </c>
      <c r="C329" s="86">
        <v>13</v>
      </c>
      <c r="D329" s="85">
        <v>0</v>
      </c>
      <c r="E329" s="85">
        <v>0</v>
      </c>
      <c r="F329" s="85">
        <v>0</v>
      </c>
      <c r="G329" s="13">
        <v>44978</v>
      </c>
      <c r="H329" s="85"/>
      <c r="I329" s="85"/>
      <c r="J329" s="85"/>
      <c r="K329" s="85"/>
      <c r="L329" s="85"/>
      <c r="M329" s="85"/>
      <c r="N329" s="85"/>
      <c r="O329" s="85"/>
      <c r="P329" s="85"/>
      <c r="Q329" s="85"/>
      <c r="R329" s="85"/>
      <c r="S329" s="85"/>
      <c r="T329" s="85"/>
    </row>
    <row r="330" spans="1:20" ht="14.5">
      <c r="A330" s="85" t="s">
        <v>1383</v>
      </c>
      <c r="B330" s="86">
        <v>8</v>
      </c>
      <c r="C330" s="86">
        <v>7</v>
      </c>
      <c r="D330" s="86">
        <v>3</v>
      </c>
      <c r="E330" s="85">
        <v>0</v>
      </c>
      <c r="F330" s="85">
        <v>0</v>
      </c>
      <c r="G330" s="13">
        <v>44978</v>
      </c>
      <c r="H330" s="85"/>
      <c r="I330" s="85"/>
      <c r="J330" s="85"/>
      <c r="K330" s="85"/>
      <c r="L330" s="85"/>
      <c r="M330" s="85"/>
      <c r="N330" s="85"/>
      <c r="O330" s="85"/>
      <c r="P330" s="85"/>
      <c r="Q330" s="85"/>
      <c r="R330" s="85"/>
      <c r="S330" s="85"/>
      <c r="T330" s="85"/>
    </row>
    <row r="331" spans="1:20" ht="14.5">
      <c r="A331" s="85" t="s">
        <v>1387</v>
      </c>
      <c r="B331" s="86">
        <v>7</v>
      </c>
      <c r="C331" s="86">
        <v>1</v>
      </c>
      <c r="D331" s="86">
        <v>4</v>
      </c>
      <c r="E331" s="85">
        <v>0</v>
      </c>
      <c r="F331" s="85">
        <v>0</v>
      </c>
      <c r="G331" s="13">
        <v>44978</v>
      </c>
      <c r="H331" s="85"/>
      <c r="I331" s="85"/>
      <c r="J331" s="85"/>
      <c r="K331" s="85"/>
      <c r="L331" s="85"/>
      <c r="M331" s="85"/>
      <c r="N331" s="85"/>
      <c r="O331" s="85"/>
      <c r="P331" s="85"/>
      <c r="Q331" s="85"/>
      <c r="R331" s="85"/>
      <c r="S331" s="85"/>
      <c r="T331" s="85"/>
    </row>
    <row r="332" spans="1:20" ht="14.5">
      <c r="A332" s="85" t="s">
        <v>1392</v>
      </c>
      <c r="B332" s="86">
        <v>19</v>
      </c>
      <c r="C332" s="86">
        <v>4</v>
      </c>
      <c r="D332" s="85">
        <v>0</v>
      </c>
      <c r="E332" s="85">
        <v>0</v>
      </c>
      <c r="F332" s="85">
        <v>0</v>
      </c>
      <c r="G332" s="13">
        <v>44978</v>
      </c>
      <c r="H332" s="85"/>
      <c r="I332" s="85"/>
      <c r="J332" s="85"/>
      <c r="K332" s="85"/>
      <c r="L332" s="85"/>
      <c r="M332" s="85"/>
      <c r="N332" s="85"/>
      <c r="O332" s="85"/>
      <c r="P332" s="85"/>
      <c r="Q332" s="85"/>
      <c r="R332" s="85"/>
      <c r="S332" s="85"/>
      <c r="T332" s="85"/>
    </row>
    <row r="333" spans="1:20" ht="14.5">
      <c r="A333" s="85" t="s">
        <v>1398</v>
      </c>
      <c r="B333" s="86">
        <v>4</v>
      </c>
      <c r="C333" s="86">
        <v>2</v>
      </c>
      <c r="D333" s="86">
        <v>5</v>
      </c>
      <c r="E333" s="85">
        <v>0</v>
      </c>
      <c r="F333" s="85">
        <v>0</v>
      </c>
      <c r="G333" s="13">
        <v>44978</v>
      </c>
      <c r="H333" s="85"/>
      <c r="I333" s="85"/>
      <c r="J333" s="85"/>
      <c r="K333" s="85"/>
      <c r="L333" s="85"/>
      <c r="M333" s="85"/>
      <c r="N333" s="85"/>
      <c r="O333" s="85"/>
      <c r="P333" s="85"/>
      <c r="Q333" s="85"/>
      <c r="R333" s="85"/>
      <c r="S333" s="85"/>
      <c r="T333" s="85"/>
    </row>
    <row r="334" spans="1:20" ht="14.5">
      <c r="A334" s="85" t="s">
        <v>1403</v>
      </c>
      <c r="B334" s="86">
        <v>5</v>
      </c>
      <c r="C334" s="86">
        <v>6</v>
      </c>
      <c r="D334" s="85">
        <v>0</v>
      </c>
      <c r="E334" s="85">
        <v>0</v>
      </c>
      <c r="F334" s="85">
        <v>0</v>
      </c>
      <c r="G334" s="13">
        <v>44978</v>
      </c>
      <c r="H334" s="85"/>
      <c r="I334" s="85"/>
      <c r="J334" s="85"/>
      <c r="K334" s="85"/>
      <c r="L334" s="85"/>
      <c r="M334" s="85"/>
      <c r="N334" s="85"/>
      <c r="O334" s="85"/>
      <c r="P334" s="85"/>
      <c r="Q334" s="85"/>
      <c r="R334" s="85"/>
      <c r="S334" s="85"/>
      <c r="T334" s="85"/>
    </row>
    <row r="335" spans="1:20" ht="14.5">
      <c r="A335" s="85" t="s">
        <v>1406</v>
      </c>
      <c r="B335" s="86">
        <v>16</v>
      </c>
      <c r="C335" s="86">
        <v>3</v>
      </c>
      <c r="D335" s="86">
        <v>1</v>
      </c>
      <c r="E335" s="85">
        <v>0</v>
      </c>
      <c r="F335" s="85">
        <v>0</v>
      </c>
      <c r="G335" s="13">
        <v>44978</v>
      </c>
      <c r="H335" s="85"/>
      <c r="I335" s="85"/>
      <c r="J335" s="85"/>
      <c r="K335" s="85"/>
      <c r="L335" s="85"/>
      <c r="M335" s="85"/>
      <c r="N335" s="85"/>
      <c r="O335" s="85"/>
      <c r="P335" s="85"/>
      <c r="Q335" s="85"/>
      <c r="R335" s="85"/>
      <c r="S335" s="85"/>
      <c r="T335" s="85"/>
    </row>
    <row r="336" spans="1:20" ht="14.5">
      <c r="A336" s="85" t="s">
        <v>1410</v>
      </c>
      <c r="B336" s="86">
        <v>5</v>
      </c>
      <c r="C336" s="86">
        <v>3</v>
      </c>
      <c r="D336" s="86">
        <v>5</v>
      </c>
      <c r="E336" s="85">
        <v>0</v>
      </c>
      <c r="F336" s="85">
        <v>0</v>
      </c>
      <c r="G336" s="13">
        <v>44978</v>
      </c>
      <c r="H336" s="85"/>
      <c r="I336" s="85"/>
      <c r="J336" s="85"/>
      <c r="K336" s="85"/>
      <c r="L336" s="85"/>
      <c r="M336" s="85"/>
      <c r="N336" s="85"/>
      <c r="O336" s="85"/>
      <c r="P336" s="85"/>
      <c r="Q336" s="85"/>
      <c r="R336" s="85"/>
      <c r="S336" s="85"/>
      <c r="T336" s="85"/>
    </row>
    <row r="337" spans="1:20" ht="14.5">
      <c r="A337" s="85" t="s">
        <v>1413</v>
      </c>
      <c r="B337" s="86">
        <v>2</v>
      </c>
      <c r="C337" s="85">
        <v>0</v>
      </c>
      <c r="D337" s="86">
        <v>1</v>
      </c>
      <c r="E337" s="85">
        <v>0</v>
      </c>
      <c r="F337" s="85">
        <v>0</v>
      </c>
      <c r="G337" s="13">
        <v>44978</v>
      </c>
      <c r="H337" s="85"/>
      <c r="I337" s="85"/>
      <c r="J337" s="85"/>
      <c r="K337" s="85"/>
      <c r="L337" s="85"/>
      <c r="M337" s="85"/>
      <c r="N337" s="85"/>
      <c r="O337" s="85"/>
      <c r="P337" s="85"/>
      <c r="Q337" s="85"/>
      <c r="R337" s="85"/>
      <c r="S337" s="85"/>
      <c r="T337" s="85"/>
    </row>
    <row r="338" spans="1:20" ht="14.5">
      <c r="A338" s="85" t="s">
        <v>1415</v>
      </c>
      <c r="B338" s="86">
        <v>3</v>
      </c>
      <c r="C338" s="86">
        <v>4</v>
      </c>
      <c r="D338" s="86">
        <v>2</v>
      </c>
      <c r="E338" s="85">
        <v>0</v>
      </c>
      <c r="F338" s="85">
        <v>0</v>
      </c>
      <c r="G338" s="13">
        <v>44978</v>
      </c>
      <c r="H338" s="85"/>
      <c r="I338" s="85"/>
      <c r="J338" s="85"/>
      <c r="K338" s="85"/>
      <c r="L338" s="85"/>
      <c r="M338" s="85"/>
      <c r="N338" s="85"/>
      <c r="O338" s="85"/>
      <c r="P338" s="85"/>
      <c r="Q338" s="85"/>
      <c r="R338" s="85"/>
      <c r="S338" s="85"/>
      <c r="T338" s="85"/>
    </row>
    <row r="339" spans="1:20" ht="14.5">
      <c r="A339" s="85" t="s">
        <v>1419</v>
      </c>
      <c r="B339" s="86">
        <v>25</v>
      </c>
      <c r="C339" s="86">
        <v>21</v>
      </c>
      <c r="D339" s="86">
        <v>15</v>
      </c>
      <c r="E339" s="85">
        <v>0</v>
      </c>
      <c r="F339" s="85">
        <v>0</v>
      </c>
      <c r="G339" s="13">
        <v>44978</v>
      </c>
      <c r="H339" s="85"/>
      <c r="I339" s="85"/>
      <c r="J339" s="85"/>
      <c r="K339" s="85"/>
      <c r="L339" s="85"/>
      <c r="M339" s="85"/>
      <c r="N339" s="85"/>
      <c r="O339" s="85"/>
      <c r="P339" s="85"/>
      <c r="Q339" s="85"/>
      <c r="R339" s="85"/>
      <c r="S339" s="85"/>
      <c r="T339" s="85"/>
    </row>
    <row r="340" spans="1:20" ht="14.5">
      <c r="A340" s="85" t="s">
        <v>1422</v>
      </c>
      <c r="B340" s="86">
        <v>5</v>
      </c>
      <c r="C340" s="85">
        <v>0</v>
      </c>
      <c r="D340" s="86">
        <v>3</v>
      </c>
      <c r="E340" s="85">
        <v>0</v>
      </c>
      <c r="F340" s="86">
        <v>1</v>
      </c>
      <c r="G340" s="13">
        <v>44978</v>
      </c>
      <c r="H340" s="85"/>
      <c r="I340" s="85"/>
      <c r="J340" s="85"/>
      <c r="K340" s="86"/>
      <c r="L340" s="85"/>
      <c r="M340" s="85"/>
      <c r="N340" s="85"/>
      <c r="O340" s="85"/>
      <c r="P340" s="85"/>
      <c r="Q340" s="85"/>
      <c r="R340" s="85"/>
      <c r="S340" s="85"/>
      <c r="T340" s="85"/>
    </row>
    <row r="341" spans="1:20" ht="14.5">
      <c r="A341" s="85" t="s">
        <v>1428</v>
      </c>
      <c r="B341" s="86">
        <v>15</v>
      </c>
      <c r="C341" s="86">
        <v>1</v>
      </c>
      <c r="D341" s="86">
        <v>2</v>
      </c>
      <c r="E341" s="85">
        <v>0</v>
      </c>
      <c r="F341" s="85">
        <v>0</v>
      </c>
      <c r="G341" s="13">
        <v>44978</v>
      </c>
      <c r="H341" s="85"/>
      <c r="I341" s="85"/>
      <c r="J341" s="85"/>
      <c r="K341" s="85"/>
      <c r="L341" s="85"/>
      <c r="M341" s="85"/>
      <c r="N341" s="85"/>
      <c r="O341" s="85"/>
      <c r="P341" s="85"/>
      <c r="Q341" s="85"/>
      <c r="R341" s="85"/>
      <c r="S341" s="85"/>
      <c r="T341" s="85"/>
    </row>
    <row r="342" spans="1:20" ht="14.5">
      <c r="A342" s="85" t="s">
        <v>1432</v>
      </c>
      <c r="B342" s="86">
        <v>2</v>
      </c>
      <c r="C342" s="86">
        <v>2</v>
      </c>
      <c r="D342" s="86">
        <v>1</v>
      </c>
      <c r="E342" s="85">
        <v>0</v>
      </c>
      <c r="F342" s="85">
        <v>0</v>
      </c>
      <c r="G342" s="13">
        <v>44978</v>
      </c>
      <c r="H342" s="85"/>
      <c r="I342" s="85"/>
      <c r="J342" s="85"/>
      <c r="K342" s="85"/>
      <c r="L342" s="85"/>
      <c r="M342" s="85"/>
      <c r="N342" s="85"/>
      <c r="O342" s="85"/>
      <c r="P342" s="85"/>
      <c r="Q342" s="85"/>
      <c r="R342" s="85"/>
      <c r="S342" s="85"/>
      <c r="T342" s="85"/>
    </row>
    <row r="343" spans="1:20" ht="14.5">
      <c r="A343" s="85" t="s">
        <v>1437</v>
      </c>
      <c r="B343" s="86">
        <v>3</v>
      </c>
      <c r="C343" s="86">
        <v>7</v>
      </c>
      <c r="D343" s="86">
        <v>8</v>
      </c>
      <c r="E343" s="85">
        <v>0</v>
      </c>
      <c r="F343" s="85">
        <v>0</v>
      </c>
      <c r="G343" s="13">
        <v>44978</v>
      </c>
      <c r="H343" s="85"/>
      <c r="I343" s="85"/>
      <c r="J343" s="85"/>
      <c r="K343" s="85"/>
      <c r="L343" s="85"/>
      <c r="M343" s="85"/>
      <c r="N343" s="85"/>
      <c r="O343" s="85"/>
      <c r="P343" s="85"/>
      <c r="Q343" s="85"/>
      <c r="R343" s="85"/>
      <c r="S343" s="85"/>
      <c r="T343" s="85"/>
    </row>
    <row r="344" spans="1:20" ht="14.5">
      <c r="A344" s="85" t="s">
        <v>1443</v>
      </c>
      <c r="B344" s="86">
        <v>5</v>
      </c>
      <c r="C344" s="86">
        <v>4</v>
      </c>
      <c r="D344" s="86">
        <v>2</v>
      </c>
      <c r="E344" s="85">
        <v>0</v>
      </c>
      <c r="F344" s="85">
        <v>0</v>
      </c>
      <c r="G344" s="13">
        <v>44978</v>
      </c>
      <c r="H344" s="85"/>
      <c r="I344" s="85"/>
      <c r="J344" s="85"/>
      <c r="K344" s="85"/>
      <c r="L344" s="85"/>
      <c r="M344" s="85"/>
      <c r="N344" s="85"/>
      <c r="O344" s="85"/>
      <c r="P344" s="85"/>
      <c r="Q344" s="85"/>
      <c r="R344" s="85"/>
      <c r="S344" s="85"/>
      <c r="T344" s="85"/>
    </row>
    <row r="345" spans="1:20" ht="14.5">
      <c r="A345" s="85" t="s">
        <v>1447</v>
      </c>
      <c r="B345" s="86">
        <v>6</v>
      </c>
      <c r="C345" s="85">
        <v>0</v>
      </c>
      <c r="D345" s="86">
        <v>2</v>
      </c>
      <c r="E345" s="85">
        <v>0</v>
      </c>
      <c r="F345" s="85">
        <v>0</v>
      </c>
      <c r="G345" s="13">
        <v>44978</v>
      </c>
      <c r="H345" s="85"/>
      <c r="I345" s="85"/>
      <c r="J345" s="85"/>
      <c r="K345" s="85"/>
      <c r="L345" s="85"/>
      <c r="M345" s="85"/>
      <c r="N345" s="85"/>
      <c r="O345" s="85"/>
      <c r="P345" s="85"/>
      <c r="Q345" s="85"/>
      <c r="R345" s="85"/>
      <c r="S345" s="85"/>
      <c r="T345" s="85"/>
    </row>
    <row r="346" spans="1:20" ht="14.5">
      <c r="A346" s="85" t="s">
        <v>1450</v>
      </c>
      <c r="B346" s="86">
        <v>8</v>
      </c>
      <c r="C346" s="86">
        <v>4</v>
      </c>
      <c r="D346" s="86">
        <v>3</v>
      </c>
      <c r="E346" s="85">
        <v>0</v>
      </c>
      <c r="F346" s="85">
        <v>0</v>
      </c>
      <c r="G346" s="13">
        <v>44978</v>
      </c>
      <c r="H346" s="85"/>
      <c r="I346" s="85"/>
      <c r="J346" s="85"/>
      <c r="K346" s="85"/>
      <c r="L346" s="85"/>
      <c r="M346" s="85"/>
      <c r="N346" s="85"/>
      <c r="O346" s="85"/>
      <c r="P346" s="85"/>
      <c r="Q346" s="85"/>
      <c r="R346" s="85"/>
      <c r="S346" s="85"/>
      <c r="T346" s="85"/>
    </row>
    <row r="347" spans="1:20" ht="14.5">
      <c r="A347" s="85" t="s">
        <v>1454</v>
      </c>
      <c r="B347" s="86">
        <v>36</v>
      </c>
      <c r="C347" s="86">
        <v>15</v>
      </c>
      <c r="D347" s="86">
        <v>24</v>
      </c>
      <c r="E347" s="85">
        <v>0</v>
      </c>
      <c r="F347" s="85">
        <v>0</v>
      </c>
      <c r="G347" s="13">
        <v>44978</v>
      </c>
      <c r="H347" s="85"/>
      <c r="I347" s="85"/>
      <c r="J347" s="85"/>
      <c r="K347" s="85"/>
      <c r="L347" s="85"/>
      <c r="M347" s="85"/>
      <c r="N347" s="85"/>
      <c r="O347" s="85"/>
      <c r="P347" s="85"/>
      <c r="Q347" s="85"/>
      <c r="R347" s="85"/>
      <c r="S347" s="85"/>
      <c r="T347" s="85"/>
    </row>
    <row r="348" spans="1:20" ht="14.5">
      <c r="A348" s="85" t="s">
        <v>1461</v>
      </c>
      <c r="B348" s="86">
        <v>1</v>
      </c>
      <c r="C348" s="85">
        <v>0</v>
      </c>
      <c r="D348" s="86">
        <v>5</v>
      </c>
      <c r="E348" s="85">
        <v>0</v>
      </c>
      <c r="F348" s="85">
        <v>0</v>
      </c>
      <c r="G348" s="13">
        <v>44978</v>
      </c>
      <c r="H348" s="85"/>
      <c r="I348" s="85"/>
      <c r="J348" s="85"/>
      <c r="K348" s="85"/>
      <c r="L348" s="85"/>
      <c r="M348" s="85"/>
      <c r="N348" s="85"/>
      <c r="O348" s="85"/>
      <c r="P348" s="85"/>
      <c r="Q348" s="85"/>
      <c r="R348" s="85"/>
      <c r="S348" s="85"/>
      <c r="T348" s="85"/>
    </row>
    <row r="349" spans="1:20" ht="14.5">
      <c r="A349" s="85" t="s">
        <v>1467</v>
      </c>
      <c r="B349" s="86">
        <v>3</v>
      </c>
      <c r="C349" s="85">
        <v>0</v>
      </c>
      <c r="D349" s="85">
        <v>0</v>
      </c>
      <c r="E349" s="85">
        <v>0</v>
      </c>
      <c r="F349" s="85">
        <v>0</v>
      </c>
      <c r="G349" s="13">
        <v>44978</v>
      </c>
      <c r="H349" s="85"/>
      <c r="I349" s="85"/>
      <c r="J349" s="85"/>
      <c r="K349" s="85"/>
      <c r="L349" s="85"/>
      <c r="M349" s="85"/>
      <c r="N349" s="85"/>
      <c r="O349" s="85"/>
      <c r="P349" s="85"/>
      <c r="Q349" s="85"/>
      <c r="R349" s="85"/>
      <c r="S349" s="85"/>
      <c r="T349" s="85"/>
    </row>
    <row r="350" spans="1:20" ht="14.5">
      <c r="A350" s="85" t="s">
        <v>1470</v>
      </c>
      <c r="B350" s="86">
        <v>10</v>
      </c>
      <c r="C350" s="86">
        <v>1</v>
      </c>
      <c r="D350" s="85">
        <v>0</v>
      </c>
      <c r="E350" s="85">
        <v>0</v>
      </c>
      <c r="F350" s="85">
        <v>0</v>
      </c>
      <c r="G350" s="13">
        <v>44978</v>
      </c>
      <c r="H350" s="85"/>
      <c r="I350" s="85"/>
      <c r="J350" s="85"/>
      <c r="K350" s="85"/>
      <c r="L350" s="85"/>
      <c r="M350" s="85"/>
      <c r="N350" s="85"/>
      <c r="O350" s="85"/>
      <c r="P350" s="85"/>
      <c r="Q350" s="85"/>
      <c r="R350" s="85"/>
      <c r="S350" s="85"/>
      <c r="T350" s="85"/>
    </row>
    <row r="351" spans="1:20" ht="14.5">
      <c r="A351" s="85" t="s">
        <v>1474</v>
      </c>
      <c r="B351" s="86">
        <v>4</v>
      </c>
      <c r="C351" s="85">
        <v>0</v>
      </c>
      <c r="D351" s="85">
        <v>0</v>
      </c>
      <c r="E351" s="85">
        <v>0</v>
      </c>
      <c r="F351" s="85">
        <v>0</v>
      </c>
      <c r="G351" s="13">
        <v>44978</v>
      </c>
      <c r="H351" s="85"/>
      <c r="I351" s="85"/>
      <c r="J351" s="85"/>
      <c r="K351" s="85"/>
      <c r="L351" s="85"/>
      <c r="M351" s="85"/>
      <c r="N351" s="85"/>
      <c r="O351" s="85"/>
      <c r="P351" s="85"/>
      <c r="Q351" s="85"/>
      <c r="R351" s="85"/>
      <c r="S351" s="85"/>
      <c r="T351" s="85"/>
    </row>
    <row r="352" spans="1:20" ht="14.5">
      <c r="A352" s="85" t="s">
        <v>1478</v>
      </c>
      <c r="B352" s="86">
        <v>3</v>
      </c>
      <c r="C352" s="85">
        <v>0</v>
      </c>
      <c r="D352" s="85">
        <v>0</v>
      </c>
      <c r="E352" s="85">
        <v>0</v>
      </c>
      <c r="F352" s="85">
        <v>0</v>
      </c>
      <c r="G352" s="13">
        <v>44978</v>
      </c>
      <c r="H352" s="85"/>
      <c r="I352" s="85"/>
      <c r="J352" s="85"/>
      <c r="K352" s="85"/>
      <c r="L352" s="85"/>
      <c r="M352" s="85"/>
      <c r="N352" s="85"/>
      <c r="O352" s="85"/>
      <c r="P352" s="85"/>
      <c r="Q352" s="85"/>
      <c r="R352" s="85"/>
      <c r="S352" s="85"/>
      <c r="T352" s="85"/>
    </row>
    <row r="353" spans="1:20" ht="14.5">
      <c r="A353" s="85" t="s">
        <v>1480</v>
      </c>
      <c r="B353" s="86">
        <v>14</v>
      </c>
      <c r="C353" s="86">
        <v>3</v>
      </c>
      <c r="D353" s="85">
        <v>0</v>
      </c>
      <c r="E353" s="85">
        <v>0</v>
      </c>
      <c r="F353" s="85">
        <v>0</v>
      </c>
      <c r="G353" s="13">
        <v>44978</v>
      </c>
      <c r="H353" s="85"/>
      <c r="I353" s="85"/>
      <c r="J353" s="85"/>
      <c r="K353" s="85"/>
      <c r="L353" s="85"/>
      <c r="M353" s="85"/>
      <c r="N353" s="85"/>
      <c r="O353" s="85"/>
      <c r="P353" s="85"/>
      <c r="Q353" s="85"/>
      <c r="R353" s="85"/>
      <c r="S353" s="85"/>
      <c r="T353" s="85"/>
    </row>
    <row r="354" spans="1:20" ht="14.5">
      <c r="A354" s="85" t="s">
        <v>1484</v>
      </c>
      <c r="B354" s="86">
        <v>1</v>
      </c>
      <c r="C354" s="85">
        <v>0</v>
      </c>
      <c r="D354" s="85">
        <v>0</v>
      </c>
      <c r="E354" s="85">
        <v>0</v>
      </c>
      <c r="F354" s="85">
        <v>0</v>
      </c>
      <c r="G354" s="13">
        <v>44978</v>
      </c>
      <c r="H354" s="85"/>
      <c r="I354" s="85"/>
      <c r="J354" s="85"/>
      <c r="K354" s="85"/>
      <c r="L354" s="85"/>
      <c r="M354" s="85"/>
      <c r="N354" s="85"/>
      <c r="O354" s="85"/>
      <c r="P354" s="85"/>
      <c r="Q354" s="85"/>
      <c r="R354" s="85"/>
      <c r="S354" s="85"/>
      <c r="T354" s="85"/>
    </row>
    <row r="355" spans="1:20" ht="14.5">
      <c r="A355" s="85" t="s">
        <v>1488</v>
      </c>
      <c r="B355" s="86">
        <v>5</v>
      </c>
      <c r="C355" s="85">
        <v>0</v>
      </c>
      <c r="D355" s="86">
        <v>2</v>
      </c>
      <c r="E355" s="85">
        <v>0</v>
      </c>
      <c r="F355" s="85">
        <v>0</v>
      </c>
      <c r="G355" s="13">
        <v>44978</v>
      </c>
      <c r="H355" s="85"/>
      <c r="I355" s="85"/>
      <c r="J355" s="85"/>
      <c r="K355" s="85"/>
      <c r="L355" s="85"/>
      <c r="M355" s="85"/>
      <c r="N355" s="85"/>
      <c r="O355" s="85"/>
      <c r="P355" s="85"/>
      <c r="Q355" s="85"/>
      <c r="R355" s="85"/>
      <c r="S355" s="85"/>
      <c r="T355" s="85"/>
    </row>
    <row r="356" spans="1:20" ht="14.5">
      <c r="A356" s="85" t="s">
        <v>1492</v>
      </c>
      <c r="B356" s="86">
        <v>2</v>
      </c>
      <c r="C356" s="85">
        <v>0</v>
      </c>
      <c r="D356" s="85">
        <v>0</v>
      </c>
      <c r="E356" s="85">
        <v>0</v>
      </c>
      <c r="F356" s="85">
        <v>0</v>
      </c>
      <c r="G356" s="13">
        <v>44978</v>
      </c>
      <c r="H356" s="85"/>
      <c r="I356" s="85"/>
      <c r="J356" s="85"/>
      <c r="K356" s="85"/>
      <c r="L356" s="85"/>
      <c r="M356" s="85"/>
      <c r="N356" s="85"/>
      <c r="O356" s="85"/>
      <c r="P356" s="85"/>
      <c r="Q356" s="85"/>
      <c r="R356" s="85"/>
      <c r="S356" s="85"/>
      <c r="T356" s="85"/>
    </row>
    <row r="357" spans="1:20" ht="14.5">
      <c r="A357" s="85" t="s">
        <v>1495</v>
      </c>
      <c r="B357" s="86">
        <v>4</v>
      </c>
      <c r="C357" s="85">
        <v>0</v>
      </c>
      <c r="D357" s="85">
        <v>0</v>
      </c>
      <c r="E357" s="85">
        <v>0</v>
      </c>
      <c r="F357" s="85">
        <v>0</v>
      </c>
      <c r="G357" s="13">
        <v>44978</v>
      </c>
      <c r="H357" s="85"/>
      <c r="I357" s="85"/>
      <c r="J357" s="85"/>
      <c r="K357" s="85"/>
      <c r="L357" s="85"/>
      <c r="M357" s="85"/>
      <c r="N357" s="85"/>
      <c r="O357" s="85"/>
      <c r="P357" s="85"/>
      <c r="Q357" s="85"/>
      <c r="R357" s="85"/>
      <c r="S357" s="85"/>
      <c r="T357" s="85"/>
    </row>
    <row r="358" spans="1:20" ht="14.5">
      <c r="A358" s="85" t="s">
        <v>1498</v>
      </c>
      <c r="B358" s="86">
        <v>3</v>
      </c>
      <c r="C358" s="86">
        <v>1</v>
      </c>
      <c r="D358" s="86">
        <v>10</v>
      </c>
      <c r="E358" s="85">
        <v>0</v>
      </c>
      <c r="F358" s="85">
        <v>0</v>
      </c>
      <c r="G358" s="13">
        <v>44978</v>
      </c>
      <c r="H358" s="85"/>
      <c r="I358" s="85"/>
      <c r="J358" s="85"/>
      <c r="K358" s="85"/>
      <c r="L358" s="85"/>
      <c r="M358" s="85"/>
      <c r="N358" s="85"/>
      <c r="O358" s="85"/>
      <c r="P358" s="85"/>
      <c r="Q358" s="85"/>
      <c r="R358" s="85"/>
      <c r="S358" s="85"/>
      <c r="T358" s="85"/>
    </row>
    <row r="359" spans="1:20" ht="14.5">
      <c r="A359" s="85" t="s">
        <v>1501</v>
      </c>
      <c r="B359" s="86">
        <v>1</v>
      </c>
      <c r="C359" s="86">
        <v>1</v>
      </c>
      <c r="D359" s="85">
        <v>0</v>
      </c>
      <c r="E359" s="85">
        <v>0</v>
      </c>
      <c r="F359" s="85">
        <v>0</v>
      </c>
      <c r="G359" s="13">
        <v>44978</v>
      </c>
      <c r="H359" s="85"/>
      <c r="I359" s="85"/>
      <c r="J359" s="85"/>
      <c r="K359" s="85"/>
      <c r="L359" s="85"/>
      <c r="M359" s="85"/>
      <c r="N359" s="85"/>
      <c r="O359" s="85"/>
      <c r="P359" s="85"/>
      <c r="Q359" s="85"/>
      <c r="R359" s="85"/>
      <c r="S359" s="85"/>
      <c r="T359" s="85"/>
    </row>
    <row r="360" spans="1:20" ht="14.5">
      <c r="A360" s="85" t="s">
        <v>1503</v>
      </c>
      <c r="B360" s="86">
        <v>4</v>
      </c>
      <c r="C360" s="86">
        <v>1</v>
      </c>
      <c r="D360" s="86">
        <v>1</v>
      </c>
      <c r="E360" s="85">
        <v>0</v>
      </c>
      <c r="F360" s="85">
        <v>0</v>
      </c>
      <c r="G360" s="13">
        <v>44978</v>
      </c>
      <c r="H360" s="85"/>
      <c r="I360" s="85"/>
      <c r="J360" s="85"/>
      <c r="K360" s="85"/>
      <c r="L360" s="85"/>
      <c r="M360" s="85"/>
      <c r="N360" s="85"/>
      <c r="O360" s="85"/>
      <c r="P360" s="85"/>
      <c r="Q360" s="85"/>
      <c r="R360" s="85"/>
      <c r="S360" s="85"/>
      <c r="T360" s="85"/>
    </row>
    <row r="361" spans="1:20" ht="14.5">
      <c r="A361" s="85" t="s">
        <v>1508</v>
      </c>
      <c r="B361" s="86">
        <v>1</v>
      </c>
      <c r="C361" s="85">
        <v>0</v>
      </c>
      <c r="D361" s="85">
        <v>0</v>
      </c>
      <c r="E361" s="85">
        <v>0</v>
      </c>
      <c r="F361" s="85">
        <v>0</v>
      </c>
      <c r="G361" s="13">
        <v>44978</v>
      </c>
      <c r="H361" s="85"/>
      <c r="I361" s="85"/>
      <c r="J361" s="85"/>
      <c r="K361" s="85"/>
      <c r="L361" s="85"/>
      <c r="M361" s="85"/>
      <c r="N361" s="85"/>
      <c r="O361" s="85"/>
      <c r="P361" s="85"/>
      <c r="Q361" s="85"/>
      <c r="R361" s="85"/>
      <c r="S361" s="85"/>
      <c r="T361" s="85"/>
    </row>
    <row r="362" spans="1:20" ht="14.5">
      <c r="A362" s="85" t="s">
        <v>1512</v>
      </c>
      <c r="B362" s="85">
        <v>0</v>
      </c>
      <c r="C362" s="85">
        <v>0</v>
      </c>
      <c r="D362" s="86">
        <v>1</v>
      </c>
      <c r="E362" s="85">
        <v>0</v>
      </c>
      <c r="F362" s="85">
        <v>0</v>
      </c>
      <c r="G362" s="13">
        <v>44978</v>
      </c>
      <c r="H362" s="85"/>
      <c r="I362" s="85"/>
      <c r="J362" s="85"/>
      <c r="K362" s="85"/>
      <c r="L362" s="85"/>
      <c r="M362" s="85"/>
      <c r="N362" s="85"/>
      <c r="O362" s="85"/>
      <c r="P362" s="85"/>
      <c r="Q362" s="85"/>
      <c r="R362" s="85"/>
      <c r="S362" s="85"/>
      <c r="T362" s="85"/>
    </row>
    <row r="363" spans="1:20" ht="14.5">
      <c r="A363" s="85" t="s">
        <v>1515</v>
      </c>
      <c r="B363" s="86">
        <v>9</v>
      </c>
      <c r="C363" s="85">
        <v>0</v>
      </c>
      <c r="D363" s="85">
        <v>0</v>
      </c>
      <c r="E363" s="85">
        <v>0</v>
      </c>
      <c r="F363" s="85">
        <v>0</v>
      </c>
      <c r="G363" s="13">
        <v>44978</v>
      </c>
      <c r="H363" s="85"/>
      <c r="I363" s="85"/>
      <c r="J363" s="85"/>
      <c r="K363" s="85"/>
      <c r="L363" s="85"/>
      <c r="M363" s="85"/>
      <c r="N363" s="85"/>
      <c r="O363" s="85"/>
      <c r="P363" s="85"/>
      <c r="Q363" s="85"/>
      <c r="R363" s="85"/>
      <c r="S363" s="85"/>
      <c r="T363" s="85"/>
    </row>
    <row r="364" spans="1:20" ht="14.5">
      <c r="A364" s="85" t="s">
        <v>1518</v>
      </c>
      <c r="B364" s="85">
        <v>0</v>
      </c>
      <c r="C364" s="85">
        <v>0</v>
      </c>
      <c r="D364" s="85">
        <v>0</v>
      </c>
      <c r="E364" s="85">
        <v>0</v>
      </c>
      <c r="F364" s="85">
        <v>0</v>
      </c>
      <c r="G364" s="13">
        <v>44978</v>
      </c>
      <c r="H364" s="85"/>
      <c r="I364" s="85"/>
      <c r="J364" s="85"/>
      <c r="K364" s="85"/>
      <c r="L364" s="85"/>
      <c r="M364" s="85"/>
      <c r="N364" s="85"/>
      <c r="O364" s="85"/>
      <c r="P364" s="85"/>
      <c r="Q364" s="85"/>
      <c r="R364" s="85"/>
      <c r="S364" s="85"/>
      <c r="T364" s="85"/>
    </row>
    <row r="365" spans="1:20" ht="14.5">
      <c r="A365" s="85" t="s">
        <v>1522</v>
      </c>
      <c r="B365" s="85">
        <v>0</v>
      </c>
      <c r="C365" s="85">
        <v>0</v>
      </c>
      <c r="D365" s="85">
        <v>0</v>
      </c>
      <c r="E365" s="85">
        <v>0</v>
      </c>
      <c r="F365" s="85">
        <v>0</v>
      </c>
      <c r="G365" s="13">
        <v>44978</v>
      </c>
      <c r="H365" s="85"/>
      <c r="I365" s="85"/>
      <c r="J365" s="85"/>
      <c r="K365" s="85"/>
      <c r="L365" s="85"/>
      <c r="M365" s="85"/>
      <c r="N365" s="85"/>
      <c r="O365" s="85"/>
      <c r="P365" s="85"/>
      <c r="Q365" s="85"/>
      <c r="R365" s="85"/>
      <c r="S365" s="85"/>
      <c r="T365" s="85"/>
    </row>
    <row r="366" spans="1:20" ht="14.5">
      <c r="A366" s="85" t="s">
        <v>13797</v>
      </c>
      <c r="B366" s="85">
        <v>0</v>
      </c>
      <c r="C366" s="86">
        <v>1</v>
      </c>
      <c r="D366" s="85">
        <v>0</v>
      </c>
      <c r="E366" s="86">
        <v>8</v>
      </c>
      <c r="F366" s="85">
        <v>0</v>
      </c>
      <c r="G366" s="13">
        <v>44978</v>
      </c>
      <c r="H366" s="85"/>
      <c r="I366" s="85"/>
      <c r="J366" s="85"/>
      <c r="K366" s="85"/>
      <c r="L366" s="85"/>
      <c r="M366" s="85"/>
      <c r="N366" s="85"/>
      <c r="O366" s="85"/>
      <c r="P366" s="85"/>
      <c r="Q366" s="85"/>
      <c r="R366" s="85"/>
      <c r="S366" s="85"/>
      <c r="T366" s="85"/>
    </row>
    <row r="367" spans="1:20" ht="14.5">
      <c r="A367" s="85" t="s">
        <v>13798</v>
      </c>
      <c r="B367" s="86">
        <v>1</v>
      </c>
      <c r="C367" s="86">
        <v>9</v>
      </c>
      <c r="D367" s="85">
        <v>0</v>
      </c>
      <c r="E367" s="85">
        <v>0</v>
      </c>
      <c r="F367" s="85">
        <v>0</v>
      </c>
      <c r="G367" s="13">
        <v>44978</v>
      </c>
      <c r="H367" s="85"/>
      <c r="I367" s="85"/>
      <c r="J367" s="85"/>
      <c r="K367" s="85"/>
      <c r="L367" s="85"/>
      <c r="M367" s="85"/>
      <c r="N367" s="85"/>
      <c r="O367" s="85"/>
      <c r="P367" s="85"/>
      <c r="Q367" s="85"/>
      <c r="R367" s="85"/>
      <c r="S367" s="85"/>
      <c r="T367" s="85"/>
    </row>
    <row r="368" spans="1:20" ht="14.5">
      <c r="A368" s="85" t="s">
        <v>13799</v>
      </c>
      <c r="B368" s="86">
        <v>3</v>
      </c>
      <c r="C368" s="85">
        <v>0</v>
      </c>
      <c r="D368" s="86">
        <v>3</v>
      </c>
      <c r="E368" s="86">
        <v>5</v>
      </c>
      <c r="F368" s="86">
        <v>1</v>
      </c>
      <c r="G368" s="13">
        <v>44978</v>
      </c>
      <c r="H368" s="85"/>
      <c r="I368" s="85"/>
      <c r="J368" s="86"/>
      <c r="K368" s="85"/>
      <c r="L368" s="85"/>
      <c r="M368" s="85"/>
      <c r="N368" s="85"/>
      <c r="O368" s="85"/>
      <c r="P368" s="85"/>
      <c r="Q368" s="85"/>
      <c r="R368" s="85"/>
      <c r="S368" s="85"/>
      <c r="T368" s="86"/>
    </row>
    <row r="369" spans="1:20" ht="14.5">
      <c r="A369" s="85" t="s">
        <v>13800</v>
      </c>
      <c r="B369" s="86">
        <v>4</v>
      </c>
      <c r="C369" s="86">
        <v>3</v>
      </c>
      <c r="D369" s="85">
        <v>0</v>
      </c>
      <c r="E369" s="86">
        <v>9</v>
      </c>
      <c r="F369" s="85">
        <v>0</v>
      </c>
      <c r="G369" s="13">
        <v>44978</v>
      </c>
      <c r="H369" s="85"/>
      <c r="I369" s="85"/>
      <c r="J369" s="85"/>
      <c r="K369" s="85"/>
      <c r="L369" s="85"/>
      <c r="M369" s="85"/>
      <c r="N369" s="85"/>
      <c r="O369" s="85"/>
      <c r="P369" s="85"/>
      <c r="Q369" s="85"/>
      <c r="R369" s="85"/>
      <c r="S369" s="85"/>
      <c r="T369" s="86"/>
    </row>
    <row r="370" spans="1:20" ht="14.5">
      <c r="A370" s="85" t="s">
        <v>13801</v>
      </c>
      <c r="B370" s="85">
        <v>0</v>
      </c>
      <c r="C370" s="86">
        <v>4</v>
      </c>
      <c r="D370" s="85">
        <v>0</v>
      </c>
      <c r="E370" s="85">
        <v>0</v>
      </c>
      <c r="F370" s="85">
        <v>0</v>
      </c>
      <c r="G370" s="13">
        <v>44978</v>
      </c>
      <c r="H370" s="85"/>
      <c r="I370" s="85"/>
      <c r="J370" s="85"/>
      <c r="K370" s="85"/>
      <c r="L370" s="85"/>
      <c r="M370" s="85"/>
      <c r="N370" s="85"/>
      <c r="O370" s="85"/>
      <c r="P370" s="85"/>
      <c r="Q370" s="85"/>
      <c r="R370" s="85"/>
      <c r="S370" s="85"/>
      <c r="T370" s="85"/>
    </row>
    <row r="371" spans="1:20" ht="14.5">
      <c r="A371" s="85" t="s">
        <v>13802</v>
      </c>
      <c r="B371" s="86">
        <v>2</v>
      </c>
      <c r="C371" s="86">
        <v>1</v>
      </c>
      <c r="D371" s="85">
        <v>0</v>
      </c>
      <c r="E371" s="85">
        <v>0</v>
      </c>
      <c r="F371" s="85">
        <v>0</v>
      </c>
      <c r="G371" s="13">
        <v>44978</v>
      </c>
      <c r="H371" s="85"/>
      <c r="I371" s="85"/>
      <c r="J371" s="85"/>
      <c r="K371" s="85"/>
      <c r="L371" s="85"/>
      <c r="M371" s="85"/>
      <c r="N371" s="85"/>
      <c r="O371" s="85"/>
      <c r="P371" s="85"/>
      <c r="Q371" s="85"/>
      <c r="R371" s="85"/>
      <c r="S371" s="85"/>
      <c r="T371" s="85"/>
    </row>
    <row r="372" spans="1:20" ht="14.5">
      <c r="A372" s="85" t="s">
        <v>13803</v>
      </c>
      <c r="B372" s="86">
        <v>5</v>
      </c>
      <c r="C372" s="86">
        <v>1</v>
      </c>
      <c r="D372" s="85">
        <v>0</v>
      </c>
      <c r="E372" s="85">
        <v>0</v>
      </c>
      <c r="F372" s="85">
        <v>0</v>
      </c>
      <c r="G372" s="13">
        <v>44978</v>
      </c>
      <c r="H372" s="85"/>
      <c r="I372" s="85"/>
      <c r="J372" s="85"/>
      <c r="K372" s="85"/>
      <c r="L372" s="85"/>
      <c r="M372" s="85"/>
      <c r="N372" s="85"/>
      <c r="O372" s="85"/>
      <c r="P372" s="85"/>
      <c r="Q372" s="85"/>
      <c r="R372" s="85"/>
      <c r="S372" s="85"/>
      <c r="T372" s="85"/>
    </row>
    <row r="373" spans="1:20" ht="14.5">
      <c r="A373" s="85" t="s">
        <v>13804</v>
      </c>
      <c r="B373" s="86">
        <v>2</v>
      </c>
      <c r="C373" s="85">
        <v>0</v>
      </c>
      <c r="D373" s="86">
        <v>1</v>
      </c>
      <c r="E373" s="85">
        <v>0</v>
      </c>
      <c r="F373" s="85">
        <v>0</v>
      </c>
      <c r="G373" s="13">
        <v>44978</v>
      </c>
      <c r="H373" s="85"/>
      <c r="I373" s="85"/>
      <c r="J373" s="85"/>
      <c r="K373" s="85"/>
      <c r="L373" s="85"/>
      <c r="M373" s="85"/>
      <c r="N373" s="85"/>
      <c r="O373" s="85"/>
      <c r="P373" s="85"/>
      <c r="Q373" s="85"/>
      <c r="R373" s="85"/>
      <c r="S373" s="85"/>
      <c r="T373" s="85"/>
    </row>
    <row r="374" spans="1:20" ht="14.5">
      <c r="A374" s="85" t="s">
        <v>13805</v>
      </c>
      <c r="B374" s="86">
        <v>2</v>
      </c>
      <c r="C374" s="85">
        <v>0</v>
      </c>
      <c r="D374" s="85">
        <v>0</v>
      </c>
      <c r="E374" s="85">
        <v>0</v>
      </c>
      <c r="F374" s="85">
        <v>0</v>
      </c>
      <c r="G374" s="13">
        <v>44978</v>
      </c>
      <c r="H374" s="85"/>
      <c r="I374" s="85"/>
      <c r="J374" s="85"/>
      <c r="K374" s="85"/>
      <c r="L374" s="85"/>
      <c r="M374" s="85"/>
      <c r="N374" s="85"/>
      <c r="O374" s="85"/>
      <c r="P374" s="85"/>
      <c r="Q374" s="85"/>
      <c r="R374" s="85"/>
      <c r="S374" s="85"/>
      <c r="T374" s="85"/>
    </row>
    <row r="375" spans="1:20" ht="14.5">
      <c r="A375" s="85" t="s">
        <v>13806</v>
      </c>
      <c r="B375" s="86">
        <v>41</v>
      </c>
      <c r="C375" s="86">
        <v>14</v>
      </c>
      <c r="D375" s="86">
        <v>2</v>
      </c>
      <c r="E375" s="86">
        <v>11</v>
      </c>
      <c r="F375" s="86">
        <v>1</v>
      </c>
      <c r="G375" s="13">
        <v>44978</v>
      </c>
      <c r="H375" s="85"/>
      <c r="I375" s="85"/>
      <c r="J375" s="86"/>
      <c r="K375" s="85"/>
      <c r="L375" s="85"/>
      <c r="M375" s="85"/>
      <c r="N375" s="85"/>
      <c r="O375" s="85"/>
      <c r="P375" s="85"/>
      <c r="Q375" s="85"/>
      <c r="R375" s="85"/>
      <c r="S375" s="85"/>
      <c r="T375" s="85"/>
    </row>
    <row r="376" spans="1:20" ht="14.5">
      <c r="A376" s="85" t="s">
        <v>13807</v>
      </c>
      <c r="B376" s="86">
        <v>15</v>
      </c>
      <c r="C376" s="86">
        <v>29</v>
      </c>
      <c r="D376" s="86">
        <v>1</v>
      </c>
      <c r="E376" s="86">
        <v>8</v>
      </c>
      <c r="F376" s="85">
        <v>0</v>
      </c>
      <c r="G376" s="13">
        <v>44978</v>
      </c>
      <c r="H376" s="85"/>
      <c r="I376" s="85"/>
      <c r="J376" s="85"/>
      <c r="K376" s="85"/>
      <c r="L376" s="85"/>
      <c r="M376" s="85"/>
      <c r="N376" s="85"/>
      <c r="O376" s="85"/>
      <c r="P376" s="85"/>
      <c r="Q376" s="85"/>
      <c r="R376" s="85"/>
      <c r="S376" s="85"/>
      <c r="T376" s="85"/>
    </row>
    <row r="377" spans="1:20" ht="14.5">
      <c r="A377" s="85" t="s">
        <v>1525</v>
      </c>
      <c r="B377" s="86">
        <v>38</v>
      </c>
      <c r="C377" s="86">
        <v>14</v>
      </c>
      <c r="D377" s="86">
        <v>45</v>
      </c>
      <c r="E377" s="85">
        <v>0</v>
      </c>
      <c r="F377" s="85">
        <v>0</v>
      </c>
      <c r="G377" s="13">
        <v>44978</v>
      </c>
      <c r="H377" s="85"/>
      <c r="I377" s="85"/>
      <c r="J377" s="85"/>
      <c r="K377" s="85"/>
      <c r="L377" s="85"/>
      <c r="M377" s="85"/>
      <c r="N377" s="85"/>
      <c r="O377" s="85"/>
      <c r="P377" s="85"/>
      <c r="Q377" s="85"/>
      <c r="R377" s="85"/>
      <c r="S377" s="85"/>
      <c r="T377" s="85"/>
    </row>
    <row r="378" spans="1:20" ht="14.5">
      <c r="A378" s="85" t="s">
        <v>1535</v>
      </c>
      <c r="B378" s="86">
        <v>55</v>
      </c>
      <c r="C378" s="86">
        <v>9</v>
      </c>
      <c r="D378" s="86">
        <v>12</v>
      </c>
      <c r="E378" s="85">
        <v>0</v>
      </c>
      <c r="F378" s="86">
        <v>1</v>
      </c>
      <c r="G378" s="13">
        <v>44978</v>
      </c>
      <c r="H378" s="85"/>
      <c r="I378" s="85"/>
      <c r="J378" s="85"/>
      <c r="K378" s="85"/>
      <c r="L378" s="85"/>
      <c r="M378" s="85"/>
      <c r="N378" s="85"/>
      <c r="O378" s="85"/>
      <c r="P378" s="85"/>
      <c r="Q378" s="85"/>
      <c r="R378" s="85"/>
      <c r="S378" s="85"/>
      <c r="T378" s="85"/>
    </row>
    <row r="379" spans="1:20" ht="14.5">
      <c r="A379" s="85" t="s">
        <v>1543</v>
      </c>
      <c r="B379" s="86">
        <v>11</v>
      </c>
      <c r="C379" s="86">
        <v>3</v>
      </c>
      <c r="D379" s="85">
        <v>0</v>
      </c>
      <c r="E379" s="85">
        <v>0</v>
      </c>
      <c r="F379" s="85">
        <v>0</v>
      </c>
      <c r="G379" s="13">
        <v>44978</v>
      </c>
      <c r="H379" s="85"/>
      <c r="I379" s="85"/>
      <c r="J379" s="85"/>
      <c r="K379" s="85"/>
      <c r="L379" s="85"/>
      <c r="M379" s="85"/>
      <c r="N379" s="85"/>
      <c r="O379" s="85"/>
      <c r="P379" s="85"/>
      <c r="Q379" s="85"/>
      <c r="R379" s="85"/>
      <c r="S379" s="85"/>
      <c r="T379" s="85"/>
    </row>
    <row r="380" spans="1:20" ht="14.5">
      <c r="A380" s="85" t="s">
        <v>1548</v>
      </c>
      <c r="B380" s="86">
        <v>2</v>
      </c>
      <c r="C380" s="85">
        <v>0</v>
      </c>
      <c r="D380" s="85">
        <v>0</v>
      </c>
      <c r="E380" s="85">
        <v>0</v>
      </c>
      <c r="F380" s="85">
        <v>0</v>
      </c>
      <c r="G380" s="13">
        <v>44978</v>
      </c>
      <c r="H380" s="85"/>
      <c r="I380" s="85"/>
      <c r="J380" s="85"/>
      <c r="K380" s="85"/>
      <c r="L380" s="85"/>
      <c r="M380" s="85"/>
      <c r="N380" s="85"/>
      <c r="O380" s="85"/>
      <c r="P380" s="85"/>
      <c r="Q380" s="85"/>
      <c r="R380" s="85"/>
      <c r="S380" s="85"/>
      <c r="T380" s="85"/>
    </row>
    <row r="381" spans="1:20" ht="14.5">
      <c r="A381" s="85" t="s">
        <v>13808</v>
      </c>
      <c r="B381" s="86">
        <v>26</v>
      </c>
      <c r="C381" s="86">
        <v>14</v>
      </c>
      <c r="D381" s="85">
        <v>0</v>
      </c>
      <c r="E381" s="85">
        <v>0</v>
      </c>
      <c r="F381" s="85">
        <v>0</v>
      </c>
      <c r="G381" s="13">
        <v>44978</v>
      </c>
      <c r="H381" s="85"/>
      <c r="I381" s="85"/>
      <c r="J381" s="85"/>
      <c r="K381" s="85"/>
      <c r="L381" s="85"/>
      <c r="M381" s="85"/>
      <c r="N381" s="85"/>
      <c r="O381" s="85"/>
      <c r="P381" s="85"/>
      <c r="Q381" s="85"/>
      <c r="R381" s="85"/>
      <c r="S381" s="85"/>
      <c r="T381" s="85"/>
    </row>
    <row r="382" spans="1:20" ht="14.5">
      <c r="A382" s="85" t="s">
        <v>13809</v>
      </c>
      <c r="B382" s="86">
        <v>23</v>
      </c>
      <c r="C382" s="86">
        <v>4</v>
      </c>
      <c r="D382" s="85">
        <v>0</v>
      </c>
      <c r="E382" s="85">
        <v>0</v>
      </c>
      <c r="F382" s="85">
        <v>0</v>
      </c>
      <c r="G382" s="13">
        <v>44978</v>
      </c>
      <c r="H382" s="85"/>
      <c r="I382" s="85"/>
      <c r="J382" s="85"/>
      <c r="K382" s="85"/>
      <c r="L382" s="85"/>
      <c r="M382" s="85"/>
      <c r="N382" s="85"/>
      <c r="O382" s="85"/>
      <c r="P382" s="85"/>
      <c r="Q382" s="85"/>
      <c r="R382" s="85"/>
      <c r="S382" s="85"/>
      <c r="T382" s="85"/>
    </row>
    <row r="383" spans="1:20" ht="14.5">
      <c r="A383" s="85" t="s">
        <v>13810</v>
      </c>
      <c r="B383" s="86">
        <v>4</v>
      </c>
      <c r="C383" s="86">
        <v>3</v>
      </c>
      <c r="D383" s="86">
        <v>7</v>
      </c>
      <c r="E383" s="85">
        <v>0</v>
      </c>
      <c r="F383" s="85">
        <v>0</v>
      </c>
      <c r="G383" s="13">
        <v>44978</v>
      </c>
      <c r="H383" s="85"/>
      <c r="I383" s="85"/>
      <c r="J383" s="85"/>
      <c r="K383" s="85"/>
      <c r="L383" s="85"/>
      <c r="M383" s="85"/>
      <c r="N383" s="85"/>
      <c r="O383" s="85"/>
      <c r="P383" s="85"/>
      <c r="Q383" s="85"/>
      <c r="R383" s="85"/>
      <c r="S383" s="85"/>
      <c r="T383" s="85"/>
    </row>
    <row r="384" spans="1:20" ht="14.5">
      <c r="A384" s="85" t="s">
        <v>13811</v>
      </c>
      <c r="B384" s="85">
        <v>0</v>
      </c>
      <c r="C384" s="85">
        <v>0</v>
      </c>
      <c r="D384" s="85">
        <v>0</v>
      </c>
      <c r="E384" s="85">
        <v>0</v>
      </c>
      <c r="F384" s="85">
        <v>0</v>
      </c>
      <c r="G384" s="13">
        <v>44978</v>
      </c>
      <c r="H384" s="85"/>
      <c r="I384" s="85"/>
      <c r="J384" s="85"/>
      <c r="K384" s="85"/>
      <c r="L384" s="85"/>
      <c r="M384" s="85"/>
      <c r="N384" s="85"/>
      <c r="O384" s="85"/>
      <c r="P384" s="85"/>
      <c r="Q384" s="85"/>
      <c r="R384" s="85"/>
      <c r="S384" s="85"/>
      <c r="T384" s="85"/>
    </row>
    <row r="385" spans="1:20" ht="14.5">
      <c r="A385" s="85" t="s">
        <v>13812</v>
      </c>
      <c r="B385" s="86">
        <v>47</v>
      </c>
      <c r="C385" s="86">
        <v>8</v>
      </c>
      <c r="D385" s="86">
        <v>32</v>
      </c>
      <c r="E385" s="85">
        <v>0</v>
      </c>
      <c r="F385" s="86">
        <v>1</v>
      </c>
      <c r="G385" s="13">
        <v>44978</v>
      </c>
      <c r="H385" s="85"/>
      <c r="I385" s="85"/>
      <c r="J385" s="85"/>
      <c r="K385" s="85"/>
      <c r="L385" s="85"/>
      <c r="M385" s="85"/>
      <c r="N385" s="85"/>
      <c r="O385" s="85"/>
      <c r="P385" s="85"/>
      <c r="Q385" s="85"/>
      <c r="R385" s="85"/>
      <c r="S385" s="85"/>
      <c r="T385" s="85"/>
    </row>
    <row r="386" spans="1:20" ht="14.5">
      <c r="A386" s="85" t="s">
        <v>13813</v>
      </c>
      <c r="B386" s="86">
        <v>2</v>
      </c>
      <c r="C386" s="85">
        <v>0</v>
      </c>
      <c r="D386" s="85">
        <v>0</v>
      </c>
      <c r="E386" s="85">
        <v>0</v>
      </c>
      <c r="F386" s="85">
        <v>0</v>
      </c>
      <c r="G386" s="13">
        <v>44978</v>
      </c>
      <c r="H386" s="85"/>
      <c r="I386" s="85"/>
      <c r="J386" s="85"/>
      <c r="K386" s="85"/>
      <c r="L386" s="85"/>
      <c r="M386" s="85"/>
      <c r="N386" s="85"/>
      <c r="O386" s="85"/>
      <c r="P386" s="85"/>
      <c r="Q386" s="85"/>
      <c r="R386" s="85"/>
      <c r="S386" s="85"/>
      <c r="T386" s="85"/>
    </row>
    <row r="387" spans="1:20" ht="14.5">
      <c r="A387" s="85" t="s">
        <v>13814</v>
      </c>
      <c r="B387" s="86">
        <v>95</v>
      </c>
      <c r="C387" s="86">
        <v>88</v>
      </c>
      <c r="D387" s="86">
        <v>11</v>
      </c>
      <c r="E387" s="85">
        <v>0</v>
      </c>
      <c r="F387" s="86">
        <v>1</v>
      </c>
      <c r="G387" s="13">
        <v>44978</v>
      </c>
      <c r="H387" s="85"/>
      <c r="I387" s="85"/>
      <c r="J387" s="86"/>
      <c r="K387" s="85"/>
      <c r="L387" s="85"/>
      <c r="M387" s="85"/>
      <c r="N387" s="85"/>
      <c r="O387" s="85"/>
      <c r="P387" s="85"/>
      <c r="Q387" s="85"/>
      <c r="R387" s="85"/>
      <c r="S387" s="85"/>
      <c r="T387" s="85"/>
    </row>
    <row r="388" spans="1:20" ht="14.5">
      <c r="A388" s="85" t="s">
        <v>13815</v>
      </c>
      <c r="B388" s="86">
        <v>35</v>
      </c>
      <c r="C388" s="86">
        <v>9</v>
      </c>
      <c r="D388" s="86">
        <v>20</v>
      </c>
      <c r="E388" s="85">
        <v>0</v>
      </c>
      <c r="F388" s="85">
        <v>0</v>
      </c>
      <c r="G388" s="13">
        <v>44978</v>
      </c>
      <c r="H388" s="85"/>
      <c r="I388" s="85"/>
      <c r="J388" s="85"/>
      <c r="K388" s="85"/>
      <c r="L388" s="85"/>
      <c r="M388" s="85"/>
      <c r="N388" s="85"/>
      <c r="O388" s="85"/>
      <c r="P388" s="85"/>
      <c r="Q388" s="85"/>
      <c r="R388" s="85"/>
      <c r="S388" s="85"/>
      <c r="T388" s="85"/>
    </row>
    <row r="389" spans="1:20" ht="14.5">
      <c r="A389" s="85" t="s">
        <v>13816</v>
      </c>
      <c r="B389" s="86">
        <v>10</v>
      </c>
      <c r="C389" s="86">
        <v>2</v>
      </c>
      <c r="D389" s="85">
        <v>0</v>
      </c>
      <c r="E389" s="85">
        <v>0</v>
      </c>
      <c r="F389" s="85">
        <v>0</v>
      </c>
      <c r="G389" s="13">
        <v>44978</v>
      </c>
      <c r="H389" s="85"/>
      <c r="I389" s="85"/>
      <c r="J389" s="85"/>
      <c r="K389" s="85"/>
      <c r="L389" s="85"/>
      <c r="M389" s="85"/>
      <c r="N389" s="85"/>
      <c r="O389" s="85"/>
      <c r="P389" s="85"/>
      <c r="Q389" s="85"/>
      <c r="R389" s="85"/>
      <c r="S389" s="85"/>
      <c r="T389" s="85"/>
    </row>
    <row r="390" spans="1:20" ht="14.5">
      <c r="A390" s="85" t="s">
        <v>13817</v>
      </c>
      <c r="B390" s="86">
        <v>31</v>
      </c>
      <c r="C390" s="86">
        <v>4</v>
      </c>
      <c r="D390" s="86">
        <v>4</v>
      </c>
      <c r="E390" s="85">
        <v>0</v>
      </c>
      <c r="F390" s="85">
        <v>0</v>
      </c>
      <c r="G390" s="13">
        <v>44978</v>
      </c>
      <c r="H390" s="85"/>
      <c r="I390" s="85"/>
      <c r="J390" s="85"/>
      <c r="K390" s="85"/>
      <c r="L390" s="85"/>
      <c r="M390" s="85"/>
      <c r="N390" s="85"/>
      <c r="O390" s="85"/>
      <c r="P390" s="85"/>
      <c r="Q390" s="85"/>
      <c r="R390" s="85"/>
      <c r="S390" s="85"/>
      <c r="T390" s="85"/>
    </row>
    <row r="391" spans="1:20" ht="14.5">
      <c r="A391" s="85" t="s">
        <v>13818</v>
      </c>
      <c r="B391" s="86">
        <v>10</v>
      </c>
      <c r="C391" s="86">
        <v>9</v>
      </c>
      <c r="D391" s="85">
        <v>0</v>
      </c>
      <c r="E391" s="86">
        <v>4</v>
      </c>
      <c r="F391" s="85">
        <v>0</v>
      </c>
      <c r="G391" s="13">
        <v>44978</v>
      </c>
      <c r="H391" s="85"/>
      <c r="I391" s="85"/>
      <c r="J391" s="85"/>
      <c r="K391" s="85"/>
      <c r="L391" s="85"/>
      <c r="M391" s="85"/>
      <c r="N391" s="85"/>
      <c r="O391" s="85"/>
      <c r="P391" s="85"/>
      <c r="Q391" s="85"/>
      <c r="R391" s="85"/>
      <c r="S391" s="85"/>
      <c r="T391" s="85"/>
    </row>
    <row r="392" spans="1:20" ht="14.5">
      <c r="A392" s="85" t="s">
        <v>13819</v>
      </c>
      <c r="B392" s="86">
        <v>11</v>
      </c>
      <c r="C392" s="86">
        <v>1</v>
      </c>
      <c r="D392" s="86">
        <v>16</v>
      </c>
      <c r="E392" s="85">
        <v>0</v>
      </c>
      <c r="F392" s="85">
        <v>0</v>
      </c>
      <c r="G392" s="13">
        <v>44978</v>
      </c>
      <c r="H392" s="85"/>
      <c r="I392" s="85"/>
      <c r="J392" s="85"/>
      <c r="K392" s="85"/>
      <c r="L392" s="85"/>
      <c r="M392" s="85"/>
      <c r="N392" s="85"/>
      <c r="O392" s="85"/>
      <c r="P392" s="85"/>
      <c r="Q392" s="85"/>
      <c r="R392" s="85"/>
      <c r="S392" s="85"/>
      <c r="T392" s="85"/>
    </row>
    <row r="393" spans="1:20" ht="14.5">
      <c r="A393" s="85" t="s">
        <v>13820</v>
      </c>
      <c r="B393" s="86">
        <v>8</v>
      </c>
      <c r="C393" s="86">
        <v>3</v>
      </c>
      <c r="D393" s="85">
        <v>0</v>
      </c>
      <c r="E393" s="85">
        <v>0</v>
      </c>
      <c r="F393" s="85">
        <v>0</v>
      </c>
      <c r="G393" s="13">
        <v>44978</v>
      </c>
      <c r="H393" s="85"/>
      <c r="I393" s="85"/>
      <c r="J393" s="85"/>
      <c r="K393" s="85"/>
      <c r="L393" s="85"/>
      <c r="M393" s="85"/>
      <c r="N393" s="85"/>
      <c r="O393" s="85"/>
      <c r="P393" s="85"/>
      <c r="Q393" s="85"/>
      <c r="R393" s="85"/>
      <c r="S393" s="85"/>
      <c r="T393" s="85"/>
    </row>
    <row r="394" spans="1:20" ht="14.5">
      <c r="A394" s="85" t="s">
        <v>13821</v>
      </c>
      <c r="B394" s="85">
        <v>0</v>
      </c>
      <c r="C394" s="85">
        <v>0</v>
      </c>
      <c r="D394" s="85">
        <v>0</v>
      </c>
      <c r="E394" s="85">
        <v>0</v>
      </c>
      <c r="F394" s="86">
        <v>1</v>
      </c>
      <c r="G394" s="13">
        <v>44978</v>
      </c>
      <c r="H394" s="85"/>
      <c r="I394" s="85"/>
      <c r="J394" s="85"/>
      <c r="K394" s="86"/>
      <c r="L394" s="85"/>
      <c r="M394" s="85"/>
      <c r="N394" s="85"/>
      <c r="O394" s="85"/>
      <c r="P394" s="85"/>
      <c r="Q394" s="85"/>
      <c r="R394" s="85"/>
      <c r="S394" s="85"/>
      <c r="T394" s="85"/>
    </row>
    <row r="395" spans="1:20" ht="14.5">
      <c r="A395" s="85" t="s">
        <v>13822</v>
      </c>
      <c r="B395" s="86">
        <v>120</v>
      </c>
      <c r="C395" s="86">
        <v>44</v>
      </c>
      <c r="D395" s="86">
        <v>145</v>
      </c>
      <c r="E395" s="86">
        <v>48</v>
      </c>
      <c r="F395" s="85">
        <v>0</v>
      </c>
      <c r="G395" s="13">
        <v>44978</v>
      </c>
      <c r="H395" s="86"/>
      <c r="I395" s="86"/>
      <c r="J395" s="85"/>
      <c r="K395" s="85"/>
      <c r="L395" s="85"/>
      <c r="M395" s="85"/>
      <c r="N395" s="85"/>
      <c r="O395" s="85"/>
      <c r="P395" s="85"/>
      <c r="Q395" s="85"/>
      <c r="R395" s="85"/>
      <c r="S395" s="85"/>
      <c r="T395" s="85"/>
    </row>
    <row r="396" spans="1:20" ht="14.5">
      <c r="A396" s="85" t="s">
        <v>13823</v>
      </c>
      <c r="B396" s="86">
        <v>37</v>
      </c>
      <c r="C396" s="86">
        <v>14</v>
      </c>
      <c r="D396" s="85">
        <v>0</v>
      </c>
      <c r="E396" s="85">
        <v>0</v>
      </c>
      <c r="F396" s="85">
        <v>0</v>
      </c>
      <c r="G396" s="13">
        <v>44978</v>
      </c>
      <c r="H396" s="86"/>
      <c r="I396" s="86"/>
      <c r="J396" s="85"/>
      <c r="K396" s="85"/>
      <c r="L396" s="85"/>
      <c r="M396" s="85"/>
      <c r="N396" s="85"/>
      <c r="O396" s="85"/>
      <c r="P396" s="85"/>
      <c r="Q396" s="85"/>
      <c r="R396" s="85"/>
      <c r="S396" s="85"/>
      <c r="T396" s="85"/>
    </row>
    <row r="397" spans="1:20" ht="14.5">
      <c r="A397" s="85" t="s">
        <v>13824</v>
      </c>
      <c r="B397" s="86">
        <v>37</v>
      </c>
      <c r="C397" s="86">
        <v>14</v>
      </c>
      <c r="D397" s="86">
        <v>1</v>
      </c>
      <c r="E397" s="85">
        <v>0</v>
      </c>
      <c r="F397" s="85">
        <v>0</v>
      </c>
      <c r="G397" s="13">
        <v>44978</v>
      </c>
      <c r="H397" s="85"/>
      <c r="I397" s="85"/>
      <c r="J397" s="85"/>
      <c r="K397" s="85"/>
      <c r="L397" s="85"/>
      <c r="M397" s="85"/>
      <c r="N397" s="85"/>
      <c r="O397" s="85"/>
      <c r="P397" s="85"/>
      <c r="Q397" s="85"/>
      <c r="R397" s="85"/>
      <c r="S397" s="85"/>
      <c r="T397" s="85"/>
    </row>
    <row r="398" spans="1:20" ht="14.5">
      <c r="A398" s="85" t="s">
        <v>13825</v>
      </c>
      <c r="B398" s="86">
        <v>5</v>
      </c>
      <c r="C398" s="86">
        <v>2</v>
      </c>
      <c r="D398" s="85">
        <v>0</v>
      </c>
      <c r="E398" s="85">
        <v>0</v>
      </c>
      <c r="F398" s="85">
        <v>0</v>
      </c>
      <c r="G398" s="13">
        <v>44978</v>
      </c>
      <c r="H398" s="85"/>
      <c r="I398" s="85"/>
      <c r="J398" s="85"/>
      <c r="K398" s="85"/>
      <c r="L398" s="85"/>
      <c r="M398" s="85"/>
      <c r="N398" s="85"/>
      <c r="O398" s="85"/>
      <c r="P398" s="85"/>
      <c r="Q398" s="85"/>
      <c r="R398" s="85"/>
      <c r="S398" s="85"/>
      <c r="T398" s="85"/>
    </row>
    <row r="399" spans="1:20" ht="14.5">
      <c r="A399" s="85" t="s">
        <v>13826</v>
      </c>
      <c r="B399" s="86">
        <v>15</v>
      </c>
      <c r="C399" s="86">
        <v>2</v>
      </c>
      <c r="D399" s="85">
        <v>0</v>
      </c>
      <c r="E399" s="85">
        <v>0</v>
      </c>
      <c r="F399" s="85">
        <v>0</v>
      </c>
      <c r="G399" s="13">
        <v>44978</v>
      </c>
      <c r="H399" s="85"/>
      <c r="I399" s="85"/>
      <c r="J399" s="85"/>
      <c r="K399" s="85"/>
      <c r="L399" s="85"/>
      <c r="M399" s="85"/>
      <c r="N399" s="85"/>
      <c r="O399" s="85"/>
      <c r="P399" s="85"/>
      <c r="Q399" s="85"/>
      <c r="R399" s="85"/>
      <c r="S399" s="85"/>
      <c r="T399" s="85"/>
    </row>
    <row r="400" spans="1:20" ht="14.5">
      <c r="A400" s="85" t="s">
        <v>13827</v>
      </c>
      <c r="B400" s="86">
        <v>27</v>
      </c>
      <c r="C400" s="86">
        <v>14</v>
      </c>
      <c r="D400" s="86">
        <v>15</v>
      </c>
      <c r="E400" s="85">
        <v>0</v>
      </c>
      <c r="F400" s="85">
        <v>0</v>
      </c>
      <c r="G400" s="13">
        <v>44978</v>
      </c>
      <c r="H400" s="85"/>
      <c r="I400" s="85"/>
      <c r="J400" s="85"/>
      <c r="K400" s="85"/>
      <c r="L400" s="85"/>
      <c r="M400" s="85"/>
      <c r="N400" s="85"/>
      <c r="O400" s="85"/>
      <c r="P400" s="85"/>
      <c r="Q400" s="85"/>
      <c r="R400" s="85"/>
      <c r="S400" s="85"/>
      <c r="T400" s="85"/>
    </row>
    <row r="401" spans="1:20" ht="14.5">
      <c r="A401" s="85" t="s">
        <v>13828</v>
      </c>
      <c r="B401" s="86">
        <v>2</v>
      </c>
      <c r="C401" s="86">
        <v>2</v>
      </c>
      <c r="D401" s="85">
        <v>0</v>
      </c>
      <c r="E401" s="85">
        <v>0</v>
      </c>
      <c r="F401" s="85">
        <v>0</v>
      </c>
      <c r="G401" s="13">
        <v>44978</v>
      </c>
      <c r="H401" s="85"/>
      <c r="I401" s="85"/>
      <c r="J401" s="85"/>
      <c r="K401" s="85"/>
      <c r="L401" s="85"/>
      <c r="M401" s="85"/>
      <c r="N401" s="85"/>
      <c r="O401" s="85"/>
      <c r="P401" s="85"/>
      <c r="Q401" s="85"/>
      <c r="R401" s="85"/>
      <c r="S401" s="85"/>
      <c r="T401" s="85"/>
    </row>
    <row r="402" spans="1:20" ht="14.5">
      <c r="A402" s="85" t="s">
        <v>13829</v>
      </c>
      <c r="B402" s="86">
        <v>51</v>
      </c>
      <c r="C402" s="86">
        <v>5</v>
      </c>
      <c r="D402" s="85">
        <v>0</v>
      </c>
      <c r="E402" s="85">
        <v>0</v>
      </c>
      <c r="F402" s="85">
        <v>0</v>
      </c>
      <c r="G402" s="13">
        <v>44978</v>
      </c>
      <c r="H402" s="85"/>
      <c r="I402" s="85"/>
      <c r="J402" s="85"/>
      <c r="K402" s="85"/>
      <c r="L402" s="85"/>
      <c r="M402" s="85"/>
      <c r="N402" s="85"/>
      <c r="O402" s="85"/>
      <c r="P402" s="85"/>
      <c r="Q402" s="85"/>
      <c r="R402" s="85"/>
      <c r="S402" s="85"/>
      <c r="T402" s="85"/>
    </row>
    <row r="403" spans="1:20" ht="14.5">
      <c r="A403" s="85" t="s">
        <v>13830</v>
      </c>
      <c r="B403" s="86">
        <v>39</v>
      </c>
      <c r="C403" s="86">
        <v>33</v>
      </c>
      <c r="D403" s="85">
        <v>0</v>
      </c>
      <c r="E403" s="85">
        <v>0</v>
      </c>
      <c r="F403" s="85">
        <v>0</v>
      </c>
      <c r="G403" s="13">
        <v>44978</v>
      </c>
      <c r="H403" s="85"/>
      <c r="I403" s="85"/>
      <c r="J403" s="85"/>
      <c r="K403" s="85"/>
      <c r="L403" s="85"/>
      <c r="M403" s="85"/>
      <c r="N403" s="85"/>
      <c r="O403" s="85"/>
      <c r="P403" s="85"/>
      <c r="Q403" s="85"/>
      <c r="R403" s="85"/>
      <c r="S403" s="85"/>
      <c r="T403" s="85"/>
    </row>
    <row r="404" spans="1:20" ht="14.5">
      <c r="A404" s="85" t="s">
        <v>13831</v>
      </c>
      <c r="B404" s="86">
        <v>15</v>
      </c>
      <c r="C404" s="86">
        <v>15</v>
      </c>
      <c r="D404" s="85">
        <v>0</v>
      </c>
      <c r="E404" s="85">
        <v>0</v>
      </c>
      <c r="F404" s="85">
        <v>0</v>
      </c>
      <c r="G404" s="13">
        <v>44978</v>
      </c>
      <c r="H404" s="85"/>
      <c r="I404" s="85"/>
      <c r="J404" s="85"/>
      <c r="K404" s="85"/>
      <c r="L404" s="85"/>
      <c r="M404" s="85"/>
      <c r="N404" s="85"/>
      <c r="O404" s="85"/>
      <c r="P404" s="85"/>
      <c r="Q404" s="85"/>
      <c r="R404" s="85"/>
      <c r="S404" s="85"/>
      <c r="T404" s="85"/>
    </row>
    <row r="405" spans="1:20" ht="14.5">
      <c r="A405" s="85" t="s">
        <v>13832</v>
      </c>
      <c r="B405" s="86">
        <v>21</v>
      </c>
      <c r="C405" s="85">
        <v>0</v>
      </c>
      <c r="D405" s="86">
        <v>55</v>
      </c>
      <c r="E405" s="85">
        <v>0</v>
      </c>
      <c r="F405" s="85">
        <v>0</v>
      </c>
      <c r="G405" s="13">
        <v>44978</v>
      </c>
      <c r="H405" s="85"/>
      <c r="I405" s="85"/>
      <c r="J405" s="85"/>
      <c r="K405" s="85"/>
      <c r="L405" s="85"/>
      <c r="M405" s="85"/>
      <c r="N405" s="85"/>
      <c r="O405" s="85"/>
      <c r="P405" s="85"/>
      <c r="Q405" s="85"/>
      <c r="R405" s="85"/>
      <c r="S405" s="85"/>
      <c r="T405" s="85"/>
    </row>
    <row r="406" spans="1:20" ht="14.5">
      <c r="A406" s="85" t="s">
        <v>13833</v>
      </c>
      <c r="B406" s="86">
        <v>3</v>
      </c>
      <c r="C406" s="86">
        <v>2</v>
      </c>
      <c r="D406" s="86">
        <v>2</v>
      </c>
      <c r="E406" s="85">
        <v>0</v>
      </c>
      <c r="F406" s="85">
        <v>0</v>
      </c>
      <c r="G406" s="13">
        <v>44978</v>
      </c>
      <c r="H406" s="85"/>
      <c r="I406" s="85"/>
      <c r="J406" s="85"/>
      <c r="K406" s="85"/>
      <c r="L406" s="85"/>
      <c r="M406" s="85"/>
      <c r="N406" s="85"/>
      <c r="O406" s="85"/>
      <c r="P406" s="85"/>
      <c r="Q406" s="85"/>
      <c r="R406" s="85"/>
      <c r="S406" s="85"/>
      <c r="T406" s="85"/>
    </row>
    <row r="407" spans="1:20" ht="14.5">
      <c r="A407" s="85" t="s">
        <v>13834</v>
      </c>
      <c r="B407" s="86">
        <v>2</v>
      </c>
      <c r="C407" s="85">
        <v>0</v>
      </c>
      <c r="D407" s="85">
        <v>0</v>
      </c>
      <c r="E407" s="85">
        <v>0</v>
      </c>
      <c r="F407" s="85">
        <v>0</v>
      </c>
      <c r="G407" s="13">
        <v>44978</v>
      </c>
      <c r="H407" s="85"/>
      <c r="I407" s="85"/>
      <c r="J407" s="85"/>
      <c r="K407" s="85"/>
      <c r="L407" s="85"/>
      <c r="M407" s="85"/>
      <c r="N407" s="85"/>
      <c r="O407" s="85"/>
      <c r="P407" s="85"/>
      <c r="Q407" s="85"/>
      <c r="R407" s="85"/>
      <c r="S407" s="85"/>
      <c r="T407" s="85"/>
    </row>
    <row r="408" spans="1:20" ht="14.5">
      <c r="A408" s="85" t="s">
        <v>13835</v>
      </c>
      <c r="B408" s="86">
        <v>61</v>
      </c>
      <c r="C408" s="86">
        <v>29</v>
      </c>
      <c r="D408" s="86">
        <v>4</v>
      </c>
      <c r="E408" s="85">
        <v>0</v>
      </c>
      <c r="F408" s="85">
        <v>0</v>
      </c>
      <c r="G408" s="13">
        <v>44978</v>
      </c>
      <c r="H408" s="85"/>
      <c r="I408" s="85"/>
      <c r="J408" s="85"/>
      <c r="K408" s="85"/>
      <c r="L408" s="85"/>
      <c r="M408" s="85"/>
      <c r="N408" s="85"/>
      <c r="O408" s="85"/>
      <c r="P408" s="85"/>
      <c r="Q408" s="85"/>
      <c r="R408" s="85"/>
      <c r="S408" s="85"/>
      <c r="T408" s="85"/>
    </row>
    <row r="409" spans="1:20" ht="14.5">
      <c r="A409" s="85" t="s">
        <v>13836</v>
      </c>
      <c r="B409" s="86">
        <v>1</v>
      </c>
      <c r="C409" s="85">
        <v>0</v>
      </c>
      <c r="D409" s="85">
        <v>0</v>
      </c>
      <c r="E409" s="86">
        <v>117</v>
      </c>
      <c r="F409" s="85">
        <v>0</v>
      </c>
      <c r="G409" s="13">
        <v>44978</v>
      </c>
      <c r="H409" s="85"/>
      <c r="I409" s="85"/>
      <c r="J409" s="85"/>
      <c r="K409" s="85"/>
      <c r="L409" s="85"/>
      <c r="M409" s="85"/>
      <c r="N409" s="85"/>
      <c r="O409" s="85"/>
      <c r="P409" s="85"/>
      <c r="Q409" s="85"/>
      <c r="R409" s="85"/>
      <c r="S409" s="85"/>
      <c r="T409" s="85"/>
    </row>
    <row r="410" spans="1:20" ht="14.5">
      <c r="A410" s="85" t="s">
        <v>13837</v>
      </c>
      <c r="B410" s="86">
        <v>7</v>
      </c>
      <c r="C410" s="86">
        <v>4</v>
      </c>
      <c r="D410" s="86">
        <v>1</v>
      </c>
      <c r="E410" s="85">
        <v>0</v>
      </c>
      <c r="F410" s="85">
        <v>0</v>
      </c>
      <c r="G410" s="13">
        <v>44978</v>
      </c>
      <c r="H410" s="85"/>
      <c r="I410" s="85"/>
      <c r="J410" s="85"/>
      <c r="K410" s="85"/>
      <c r="L410" s="85"/>
      <c r="M410" s="85"/>
      <c r="N410" s="85"/>
      <c r="O410" s="85"/>
      <c r="P410" s="85"/>
      <c r="Q410" s="85"/>
      <c r="R410" s="85"/>
      <c r="S410" s="85"/>
      <c r="T410" s="85"/>
    </row>
    <row r="411" spans="1:20" ht="14.5">
      <c r="A411" s="85" t="s">
        <v>13838</v>
      </c>
      <c r="B411" s="86">
        <v>27</v>
      </c>
      <c r="C411" s="86">
        <v>18</v>
      </c>
      <c r="D411" s="85">
        <v>0</v>
      </c>
      <c r="E411" s="86">
        <v>9</v>
      </c>
      <c r="F411" s="85">
        <v>0</v>
      </c>
      <c r="G411" s="13">
        <v>44978</v>
      </c>
      <c r="H411" s="85"/>
      <c r="I411" s="85"/>
      <c r="J411" s="85"/>
      <c r="K411" s="85"/>
      <c r="L411" s="85"/>
      <c r="M411" s="85"/>
      <c r="N411" s="85"/>
      <c r="O411" s="85"/>
      <c r="P411" s="85"/>
      <c r="Q411" s="85"/>
      <c r="R411" s="85"/>
      <c r="S411" s="85"/>
      <c r="T411" s="85"/>
    </row>
    <row r="412" spans="1:20" ht="14.5">
      <c r="A412" s="85" t="s">
        <v>13839</v>
      </c>
      <c r="B412" s="85">
        <v>0</v>
      </c>
      <c r="C412" s="86">
        <v>1</v>
      </c>
      <c r="D412" s="85">
        <v>0</v>
      </c>
      <c r="E412" s="86">
        <v>19</v>
      </c>
      <c r="F412" s="85">
        <v>0</v>
      </c>
      <c r="G412" s="13">
        <v>44978</v>
      </c>
      <c r="H412" s="85"/>
      <c r="I412" s="85"/>
      <c r="J412" s="85"/>
      <c r="K412" s="85"/>
      <c r="L412" s="85"/>
      <c r="M412" s="85"/>
      <c r="N412" s="85"/>
      <c r="O412" s="85"/>
      <c r="P412" s="85"/>
      <c r="Q412" s="85"/>
      <c r="R412" s="85"/>
      <c r="S412" s="85"/>
      <c r="T412" s="85"/>
    </row>
    <row r="413" spans="1:20" ht="14.5">
      <c r="A413" s="85" t="s">
        <v>13840</v>
      </c>
      <c r="B413" s="86">
        <v>25</v>
      </c>
      <c r="C413" s="86">
        <v>1</v>
      </c>
      <c r="D413" s="86">
        <v>3</v>
      </c>
      <c r="E413" s="85">
        <v>0</v>
      </c>
      <c r="F413" s="85">
        <v>0</v>
      </c>
      <c r="G413" s="13">
        <v>44978</v>
      </c>
      <c r="H413" s="85"/>
      <c r="I413" s="85"/>
      <c r="J413" s="85"/>
      <c r="K413" s="85"/>
      <c r="L413" s="85"/>
      <c r="M413" s="85"/>
      <c r="N413" s="85"/>
      <c r="O413" s="85"/>
      <c r="P413" s="85"/>
      <c r="Q413" s="85"/>
      <c r="R413" s="85"/>
      <c r="S413" s="85"/>
      <c r="T413" s="85"/>
    </row>
    <row r="414" spans="1:20" ht="14.5">
      <c r="A414" s="85" t="s">
        <v>13841</v>
      </c>
      <c r="B414" s="86">
        <v>4</v>
      </c>
      <c r="C414" s="86">
        <v>5</v>
      </c>
      <c r="D414" s="85">
        <v>0</v>
      </c>
      <c r="E414" s="85">
        <v>0</v>
      </c>
      <c r="F414" s="85">
        <v>0</v>
      </c>
      <c r="G414" s="13">
        <v>44978</v>
      </c>
      <c r="H414" s="85"/>
      <c r="I414" s="85"/>
      <c r="J414" s="85"/>
      <c r="K414" s="85"/>
      <c r="L414" s="85"/>
      <c r="M414" s="85"/>
      <c r="N414" s="85"/>
      <c r="O414" s="85"/>
      <c r="P414" s="85"/>
      <c r="Q414" s="85"/>
      <c r="R414" s="85"/>
      <c r="S414" s="85"/>
      <c r="T414" s="85"/>
    </row>
    <row r="415" spans="1:20" ht="14.5">
      <c r="A415" s="85" t="s">
        <v>13842</v>
      </c>
      <c r="B415" s="86">
        <v>33</v>
      </c>
      <c r="C415" s="86">
        <v>22</v>
      </c>
      <c r="D415" s="86">
        <v>1</v>
      </c>
      <c r="E415" s="85">
        <v>0</v>
      </c>
      <c r="F415" s="85">
        <v>0</v>
      </c>
      <c r="G415" s="13">
        <v>44978</v>
      </c>
      <c r="H415" s="85"/>
      <c r="I415" s="85"/>
      <c r="J415" s="85"/>
      <c r="K415" s="85"/>
      <c r="L415" s="85"/>
      <c r="M415" s="85"/>
      <c r="N415" s="85"/>
      <c r="O415" s="85"/>
      <c r="P415" s="85"/>
      <c r="Q415" s="85"/>
      <c r="R415" s="85"/>
      <c r="S415" s="85"/>
      <c r="T415" s="85"/>
    </row>
    <row r="416" spans="1:20" ht="14.5">
      <c r="A416" s="85" t="s">
        <v>13843</v>
      </c>
      <c r="B416" s="86">
        <v>11</v>
      </c>
      <c r="C416" s="86">
        <v>10</v>
      </c>
      <c r="D416" s="86">
        <v>7</v>
      </c>
      <c r="E416" s="85">
        <v>0</v>
      </c>
      <c r="F416" s="86">
        <v>4</v>
      </c>
      <c r="G416" s="13">
        <v>44978</v>
      </c>
      <c r="H416" s="86"/>
      <c r="I416" s="86"/>
      <c r="J416" s="86"/>
      <c r="K416" s="85"/>
      <c r="L416" s="85"/>
      <c r="M416" s="85"/>
      <c r="N416" s="85"/>
      <c r="O416" s="85"/>
      <c r="P416" s="85"/>
      <c r="Q416" s="85"/>
      <c r="R416" s="85"/>
      <c r="S416" s="85"/>
      <c r="T416" s="85"/>
    </row>
    <row r="417" spans="1:20" ht="14.5">
      <c r="A417" s="85" t="s">
        <v>1558</v>
      </c>
      <c r="B417" s="86">
        <v>4</v>
      </c>
      <c r="C417" s="86">
        <v>4</v>
      </c>
      <c r="D417" s="86">
        <v>2</v>
      </c>
      <c r="E417" s="85">
        <v>0</v>
      </c>
      <c r="F417" s="86">
        <v>1</v>
      </c>
      <c r="G417" s="13">
        <v>44978</v>
      </c>
      <c r="H417" s="85"/>
      <c r="I417" s="85"/>
      <c r="J417" s="85"/>
      <c r="K417" s="86"/>
      <c r="L417" s="85"/>
      <c r="M417" s="85"/>
      <c r="N417" s="85"/>
      <c r="O417" s="85"/>
      <c r="P417" s="85"/>
      <c r="Q417" s="85"/>
      <c r="R417" s="85"/>
      <c r="S417" s="85"/>
      <c r="T417" s="85"/>
    </row>
    <row r="418" spans="1:20" ht="14.5">
      <c r="A418" s="85" t="s">
        <v>1568</v>
      </c>
      <c r="B418" s="86">
        <v>17</v>
      </c>
      <c r="C418" s="86">
        <v>6</v>
      </c>
      <c r="D418" s="86">
        <v>3</v>
      </c>
      <c r="E418" s="85">
        <v>0</v>
      </c>
      <c r="F418" s="85">
        <v>0</v>
      </c>
      <c r="G418" s="13">
        <v>44978</v>
      </c>
      <c r="H418" s="85"/>
      <c r="I418" s="85"/>
      <c r="J418" s="85"/>
      <c r="K418" s="85"/>
      <c r="L418" s="85"/>
      <c r="M418" s="85"/>
      <c r="N418" s="85"/>
      <c r="O418" s="85"/>
      <c r="P418" s="85"/>
      <c r="Q418" s="85"/>
      <c r="R418" s="85"/>
      <c r="S418" s="85"/>
      <c r="T418" s="85"/>
    </row>
    <row r="419" spans="1:20" ht="14.5">
      <c r="A419" s="85" t="s">
        <v>1576</v>
      </c>
      <c r="B419" s="85">
        <v>0</v>
      </c>
      <c r="C419" s="86">
        <v>2</v>
      </c>
      <c r="D419" s="86">
        <v>211</v>
      </c>
      <c r="E419" s="85">
        <v>0</v>
      </c>
      <c r="F419" s="85">
        <v>0</v>
      </c>
      <c r="G419" s="13">
        <v>44978</v>
      </c>
      <c r="H419" s="85"/>
      <c r="I419" s="85"/>
      <c r="J419" s="85"/>
      <c r="K419" s="85"/>
      <c r="L419" s="85"/>
      <c r="M419" s="85"/>
      <c r="N419" s="85"/>
      <c r="O419" s="85"/>
      <c r="P419" s="85"/>
      <c r="Q419" s="85"/>
      <c r="R419" s="85"/>
      <c r="S419" s="85"/>
      <c r="T419" s="85"/>
    </row>
    <row r="420" spans="1:20" ht="14.5">
      <c r="A420" s="85" t="s">
        <v>1582</v>
      </c>
      <c r="B420" s="86">
        <v>20</v>
      </c>
      <c r="C420" s="86">
        <v>3</v>
      </c>
      <c r="D420" s="86">
        <v>1</v>
      </c>
      <c r="E420" s="85">
        <v>0</v>
      </c>
      <c r="F420" s="85">
        <v>0</v>
      </c>
      <c r="G420" s="13">
        <v>44978</v>
      </c>
      <c r="H420" s="85"/>
      <c r="I420" s="85"/>
      <c r="J420" s="85"/>
      <c r="K420" s="85"/>
      <c r="L420" s="85"/>
      <c r="M420" s="85"/>
      <c r="N420" s="85"/>
      <c r="O420" s="85"/>
      <c r="P420" s="85"/>
      <c r="Q420" s="85"/>
      <c r="R420" s="85"/>
      <c r="S420" s="85"/>
      <c r="T420" s="85"/>
    </row>
    <row r="421" spans="1:20" ht="14.5">
      <c r="A421" s="85" t="s">
        <v>1590</v>
      </c>
      <c r="B421" s="85">
        <v>0</v>
      </c>
      <c r="C421" s="86">
        <v>2</v>
      </c>
      <c r="D421" s="85">
        <v>0</v>
      </c>
      <c r="E421" s="85">
        <v>0</v>
      </c>
      <c r="F421" s="85">
        <v>0</v>
      </c>
      <c r="G421" s="13">
        <v>44978</v>
      </c>
      <c r="H421" s="85"/>
      <c r="I421" s="85"/>
      <c r="J421" s="85"/>
      <c r="K421" s="85"/>
      <c r="L421" s="85"/>
      <c r="M421" s="85"/>
      <c r="N421" s="85"/>
      <c r="O421" s="85"/>
      <c r="P421" s="85"/>
      <c r="Q421" s="85"/>
      <c r="R421" s="85"/>
      <c r="S421" s="85"/>
      <c r="T421" s="85"/>
    </row>
    <row r="422" spans="1:20" ht="14.5">
      <c r="A422" s="85" t="s">
        <v>1596</v>
      </c>
      <c r="B422" s="86">
        <v>5</v>
      </c>
      <c r="C422" s="85">
        <v>0</v>
      </c>
      <c r="D422" s="85">
        <v>0</v>
      </c>
      <c r="E422" s="85">
        <v>0</v>
      </c>
      <c r="F422" s="85">
        <v>0</v>
      </c>
      <c r="G422" s="13">
        <v>44978</v>
      </c>
      <c r="H422" s="85"/>
      <c r="I422" s="85"/>
      <c r="J422" s="85"/>
      <c r="K422" s="85"/>
      <c r="L422" s="85"/>
      <c r="M422" s="85"/>
      <c r="N422" s="85"/>
      <c r="O422" s="85"/>
      <c r="P422" s="85"/>
      <c r="Q422" s="85"/>
      <c r="R422" s="85"/>
      <c r="S422" s="85"/>
      <c r="T422" s="85"/>
    </row>
    <row r="423" spans="1:20" ht="14.5">
      <c r="A423" s="85" t="s">
        <v>1604</v>
      </c>
      <c r="B423" s="86">
        <v>15</v>
      </c>
      <c r="C423" s="86">
        <v>2</v>
      </c>
      <c r="D423" s="85">
        <v>0</v>
      </c>
      <c r="E423" s="85">
        <v>0</v>
      </c>
      <c r="F423" s="86">
        <v>2</v>
      </c>
      <c r="G423" s="13">
        <v>44978</v>
      </c>
      <c r="H423" s="85"/>
      <c r="I423" s="85"/>
      <c r="J423" s="86"/>
      <c r="K423" s="85"/>
      <c r="L423" s="85"/>
      <c r="M423" s="85"/>
      <c r="N423" s="85"/>
      <c r="O423" s="85"/>
      <c r="P423" s="85"/>
      <c r="Q423" s="85"/>
      <c r="R423" s="85"/>
      <c r="S423" s="85"/>
      <c r="T423" s="85"/>
    </row>
    <row r="424" spans="1:20" ht="14.5">
      <c r="A424" s="85" t="s">
        <v>1611</v>
      </c>
      <c r="B424" s="85">
        <v>0</v>
      </c>
      <c r="C424" s="85">
        <v>0</v>
      </c>
      <c r="D424" s="85">
        <v>0</v>
      </c>
      <c r="E424" s="85">
        <v>0</v>
      </c>
      <c r="F424" s="85">
        <v>0</v>
      </c>
      <c r="G424" s="13">
        <v>44978</v>
      </c>
      <c r="H424" s="85"/>
      <c r="I424" s="85"/>
      <c r="J424" s="85"/>
      <c r="K424" s="85"/>
      <c r="L424" s="85"/>
      <c r="M424" s="85"/>
      <c r="N424" s="85"/>
      <c r="O424" s="85"/>
      <c r="P424" s="85"/>
      <c r="Q424" s="85"/>
      <c r="R424" s="85"/>
      <c r="S424" s="85"/>
      <c r="T424" s="85"/>
    </row>
    <row r="425" spans="1:20" ht="14.5">
      <c r="A425" s="85" t="s">
        <v>1614</v>
      </c>
      <c r="B425" s="86">
        <v>23</v>
      </c>
      <c r="C425" s="86">
        <v>19</v>
      </c>
      <c r="D425" s="86">
        <v>10</v>
      </c>
      <c r="E425" s="85">
        <v>0</v>
      </c>
      <c r="F425" s="85">
        <v>0</v>
      </c>
      <c r="G425" s="13">
        <v>44978</v>
      </c>
      <c r="H425" s="85"/>
      <c r="I425" s="85"/>
      <c r="J425" s="85"/>
      <c r="K425" s="85"/>
      <c r="L425" s="85"/>
      <c r="M425" s="85"/>
      <c r="N425" s="85"/>
      <c r="O425" s="85"/>
      <c r="P425" s="85"/>
      <c r="Q425" s="85"/>
      <c r="R425" s="85"/>
      <c r="S425" s="85"/>
      <c r="T425" s="85"/>
    </row>
    <row r="426" spans="1:20" ht="14.5">
      <c r="A426" s="85" t="s">
        <v>1622</v>
      </c>
      <c r="B426" s="86">
        <v>5</v>
      </c>
      <c r="C426" s="86">
        <v>1</v>
      </c>
      <c r="D426" s="86">
        <v>15</v>
      </c>
      <c r="E426" s="85">
        <v>0</v>
      </c>
      <c r="F426" s="85">
        <v>0</v>
      </c>
      <c r="G426" s="13">
        <v>44978</v>
      </c>
      <c r="H426" s="85"/>
      <c r="I426" s="85"/>
      <c r="J426" s="85"/>
      <c r="K426" s="85"/>
      <c r="L426" s="85"/>
      <c r="M426" s="85"/>
      <c r="N426" s="85"/>
      <c r="O426" s="85"/>
      <c r="P426" s="85"/>
      <c r="Q426" s="85"/>
      <c r="R426" s="85"/>
      <c r="S426" s="85"/>
      <c r="T426" s="85"/>
    </row>
    <row r="427" spans="1:20" ht="14.5">
      <c r="A427" s="85" t="s">
        <v>1628</v>
      </c>
      <c r="B427" s="86">
        <v>7</v>
      </c>
      <c r="C427" s="85">
        <v>0</v>
      </c>
      <c r="D427" s="85">
        <v>0</v>
      </c>
      <c r="E427" s="85">
        <v>0</v>
      </c>
      <c r="F427" s="85">
        <v>0</v>
      </c>
      <c r="G427" s="13">
        <v>44978</v>
      </c>
      <c r="H427" s="85"/>
      <c r="I427" s="85"/>
      <c r="J427" s="85"/>
      <c r="K427" s="85"/>
      <c r="L427" s="85"/>
      <c r="M427" s="85"/>
      <c r="N427" s="85"/>
      <c r="O427" s="85"/>
      <c r="P427" s="85"/>
      <c r="Q427" s="85"/>
      <c r="R427" s="85"/>
      <c r="S427" s="85"/>
      <c r="T427" s="85"/>
    </row>
    <row r="428" spans="1:20" ht="14.5">
      <c r="A428" s="85" t="s">
        <v>1634</v>
      </c>
      <c r="B428" s="86">
        <v>34</v>
      </c>
      <c r="C428" s="86">
        <v>1</v>
      </c>
      <c r="D428" s="85">
        <v>0</v>
      </c>
      <c r="E428" s="85">
        <v>0</v>
      </c>
      <c r="F428" s="85">
        <v>0</v>
      </c>
      <c r="G428" s="13">
        <v>44978</v>
      </c>
      <c r="H428" s="85"/>
      <c r="I428" s="85"/>
      <c r="J428" s="85"/>
      <c r="K428" s="85"/>
      <c r="L428" s="85"/>
      <c r="M428" s="85"/>
      <c r="N428" s="85"/>
      <c r="O428" s="85"/>
      <c r="P428" s="85"/>
      <c r="Q428" s="85"/>
      <c r="R428" s="85"/>
      <c r="S428" s="85"/>
      <c r="T428" s="85"/>
    </row>
    <row r="429" spans="1:20" ht="14.5">
      <c r="A429" s="85" t="s">
        <v>1639</v>
      </c>
      <c r="B429" s="86">
        <v>2</v>
      </c>
      <c r="C429" s="86">
        <v>1</v>
      </c>
      <c r="D429" s="86">
        <v>6</v>
      </c>
      <c r="E429" s="85">
        <v>0</v>
      </c>
      <c r="F429" s="85">
        <v>0</v>
      </c>
      <c r="G429" s="13">
        <v>44978</v>
      </c>
      <c r="H429" s="85"/>
      <c r="I429" s="85"/>
      <c r="J429" s="85"/>
      <c r="K429" s="85"/>
      <c r="L429" s="85"/>
      <c r="M429" s="85"/>
      <c r="N429" s="85"/>
      <c r="O429" s="85"/>
      <c r="P429" s="85"/>
      <c r="Q429" s="85"/>
      <c r="R429" s="85"/>
      <c r="S429" s="85"/>
      <c r="T429" s="85"/>
    </row>
    <row r="430" spans="1:20" ht="14.5">
      <c r="A430" s="85" t="s">
        <v>1645</v>
      </c>
      <c r="B430" s="86">
        <v>14</v>
      </c>
      <c r="C430" s="86">
        <v>2</v>
      </c>
      <c r="D430" s="86">
        <v>6</v>
      </c>
      <c r="E430" s="85">
        <v>0</v>
      </c>
      <c r="F430" s="85">
        <v>0</v>
      </c>
      <c r="G430" s="13">
        <v>44978</v>
      </c>
      <c r="H430" s="85"/>
      <c r="I430" s="85"/>
      <c r="J430" s="85"/>
      <c r="K430" s="85"/>
      <c r="L430" s="85"/>
      <c r="M430" s="85"/>
      <c r="N430" s="85"/>
      <c r="O430" s="85"/>
      <c r="P430" s="85"/>
      <c r="Q430" s="85"/>
      <c r="R430" s="85"/>
      <c r="S430" s="85"/>
      <c r="T430" s="85"/>
    </row>
    <row r="431" spans="1:20" ht="14.5">
      <c r="A431" s="85" t="s">
        <v>1653</v>
      </c>
      <c r="B431" s="86">
        <v>98</v>
      </c>
      <c r="C431" s="86">
        <v>76</v>
      </c>
      <c r="D431" s="86">
        <v>18</v>
      </c>
      <c r="E431" s="85">
        <v>0</v>
      </c>
      <c r="F431" s="86">
        <v>5</v>
      </c>
      <c r="G431" s="13">
        <v>44978</v>
      </c>
      <c r="H431" s="86"/>
      <c r="I431" s="86"/>
      <c r="J431" s="86"/>
      <c r="K431" s="85"/>
      <c r="L431" s="85"/>
      <c r="M431" s="85"/>
      <c r="N431" s="85"/>
      <c r="O431" s="85"/>
      <c r="P431" s="85"/>
      <c r="Q431" s="85"/>
      <c r="R431" s="85"/>
      <c r="S431" s="85"/>
      <c r="T431" s="85"/>
    </row>
    <row r="432" spans="1:20" ht="14.5">
      <c r="A432" s="85" t="s">
        <v>1662</v>
      </c>
      <c r="B432" s="86">
        <v>34</v>
      </c>
      <c r="C432" s="86">
        <v>7</v>
      </c>
      <c r="D432" s="85">
        <v>0</v>
      </c>
      <c r="E432" s="85">
        <v>0</v>
      </c>
      <c r="F432" s="85">
        <v>0</v>
      </c>
      <c r="G432" s="13">
        <v>44978</v>
      </c>
      <c r="H432" s="85"/>
      <c r="I432" s="85"/>
      <c r="J432" s="85"/>
      <c r="K432" s="85"/>
      <c r="L432" s="85"/>
      <c r="M432" s="85"/>
      <c r="N432" s="85"/>
      <c r="O432" s="85"/>
      <c r="P432" s="85"/>
      <c r="Q432" s="85"/>
      <c r="R432" s="85"/>
      <c r="S432" s="85"/>
      <c r="T432" s="85"/>
    </row>
    <row r="433" spans="1:20" ht="14.5">
      <c r="A433" s="85" t="s">
        <v>1670</v>
      </c>
      <c r="B433" s="86">
        <v>5</v>
      </c>
      <c r="C433" s="86">
        <v>3</v>
      </c>
      <c r="D433" s="86">
        <v>1</v>
      </c>
      <c r="E433" s="85">
        <v>0</v>
      </c>
      <c r="F433" s="85">
        <v>0</v>
      </c>
      <c r="G433" s="13">
        <v>44978</v>
      </c>
      <c r="H433" s="86"/>
      <c r="I433" s="86"/>
      <c r="J433" s="85"/>
      <c r="K433" s="85"/>
      <c r="L433" s="85"/>
      <c r="M433" s="85"/>
      <c r="N433" s="85"/>
      <c r="O433" s="85"/>
      <c r="P433" s="85"/>
      <c r="Q433" s="85"/>
      <c r="R433" s="85"/>
      <c r="S433" s="85"/>
      <c r="T433" s="85"/>
    </row>
    <row r="434" spans="1:20" ht="14.5">
      <c r="A434" s="85" t="s">
        <v>1677</v>
      </c>
      <c r="B434" s="86">
        <v>37</v>
      </c>
      <c r="C434" s="86">
        <v>4</v>
      </c>
      <c r="D434" s="85">
        <v>0</v>
      </c>
      <c r="E434" s="85">
        <v>0</v>
      </c>
      <c r="F434" s="85">
        <v>0</v>
      </c>
      <c r="G434" s="13">
        <v>44978</v>
      </c>
      <c r="H434" s="85"/>
      <c r="I434" s="85"/>
      <c r="J434" s="85"/>
      <c r="K434" s="85"/>
      <c r="L434" s="85"/>
      <c r="M434" s="85"/>
      <c r="N434" s="85"/>
      <c r="O434" s="85"/>
      <c r="P434" s="85"/>
      <c r="Q434" s="85"/>
      <c r="R434" s="85"/>
      <c r="S434" s="85"/>
      <c r="T434" s="85"/>
    </row>
    <row r="435" spans="1:20" ht="14.5">
      <c r="A435" s="85" t="s">
        <v>1684</v>
      </c>
      <c r="B435" s="85">
        <v>0</v>
      </c>
      <c r="C435" s="85">
        <v>0</v>
      </c>
      <c r="D435" s="85">
        <v>0</v>
      </c>
      <c r="E435" s="85">
        <v>0</v>
      </c>
      <c r="F435" s="85">
        <v>0</v>
      </c>
      <c r="G435" s="13">
        <v>44978</v>
      </c>
      <c r="H435" s="85"/>
      <c r="I435" s="85"/>
      <c r="J435" s="85"/>
      <c r="K435" s="85"/>
      <c r="L435" s="85"/>
      <c r="M435" s="85"/>
      <c r="N435" s="85"/>
      <c r="O435" s="85"/>
      <c r="P435" s="85"/>
      <c r="Q435" s="85"/>
      <c r="R435" s="85"/>
      <c r="S435" s="85"/>
      <c r="T435" s="85"/>
    </row>
    <row r="436" spans="1:20" ht="14.5">
      <c r="A436" s="85" t="s">
        <v>1690</v>
      </c>
      <c r="B436" s="85">
        <v>0</v>
      </c>
      <c r="C436" s="85">
        <v>0</v>
      </c>
      <c r="D436" s="85">
        <v>0</v>
      </c>
      <c r="E436" s="85">
        <v>0</v>
      </c>
      <c r="F436" s="85">
        <v>0</v>
      </c>
      <c r="G436" s="13">
        <v>44978</v>
      </c>
      <c r="H436" s="85"/>
      <c r="I436" s="85"/>
      <c r="J436" s="85"/>
      <c r="K436" s="85"/>
      <c r="L436" s="85"/>
      <c r="M436" s="85"/>
      <c r="N436" s="85"/>
      <c r="O436" s="85"/>
      <c r="P436" s="85"/>
      <c r="Q436" s="85"/>
      <c r="R436" s="85"/>
      <c r="S436" s="85"/>
      <c r="T436" s="85"/>
    </row>
    <row r="437" spans="1:20" ht="14.5">
      <c r="A437" s="85" t="s">
        <v>1693</v>
      </c>
      <c r="B437" s="86">
        <v>14</v>
      </c>
      <c r="C437" s="86">
        <v>1</v>
      </c>
      <c r="D437" s="85">
        <v>0</v>
      </c>
      <c r="E437" s="85">
        <v>0</v>
      </c>
      <c r="F437" s="85">
        <v>0</v>
      </c>
      <c r="G437" s="13">
        <v>44978</v>
      </c>
      <c r="H437" s="85"/>
      <c r="I437" s="85"/>
      <c r="J437" s="85"/>
      <c r="K437" s="85"/>
      <c r="L437" s="85"/>
      <c r="M437" s="85"/>
      <c r="N437" s="85"/>
      <c r="O437" s="85"/>
      <c r="P437" s="85"/>
      <c r="Q437" s="85"/>
      <c r="R437" s="85"/>
      <c r="S437" s="85"/>
      <c r="T437" s="85"/>
    </row>
    <row r="438" spans="1:20" ht="14.5">
      <c r="A438" s="85" t="s">
        <v>1695</v>
      </c>
      <c r="B438" s="86">
        <v>18</v>
      </c>
      <c r="C438" s="86">
        <v>4</v>
      </c>
      <c r="D438" s="85">
        <v>0</v>
      </c>
      <c r="E438" s="85">
        <v>0</v>
      </c>
      <c r="F438" s="85">
        <v>0</v>
      </c>
      <c r="G438" s="13">
        <v>44978</v>
      </c>
      <c r="H438" s="85"/>
      <c r="I438" s="85"/>
      <c r="J438" s="85"/>
      <c r="K438" s="85"/>
      <c r="L438" s="85"/>
      <c r="M438" s="85"/>
      <c r="N438" s="85"/>
      <c r="O438" s="85"/>
      <c r="P438" s="85"/>
      <c r="Q438" s="85"/>
      <c r="R438" s="85"/>
      <c r="S438" s="85"/>
      <c r="T438" s="85"/>
    </row>
    <row r="439" spans="1:20" ht="14.5">
      <c r="A439" s="85" t="s">
        <v>1702</v>
      </c>
      <c r="B439" s="86">
        <v>2</v>
      </c>
      <c r="C439" s="85">
        <v>0</v>
      </c>
      <c r="D439" s="86">
        <v>1</v>
      </c>
      <c r="E439" s="85">
        <v>0</v>
      </c>
      <c r="F439" s="85">
        <v>0</v>
      </c>
      <c r="G439" s="13">
        <v>44978</v>
      </c>
      <c r="H439" s="85"/>
      <c r="I439" s="85"/>
      <c r="J439" s="85"/>
      <c r="K439" s="85"/>
      <c r="L439" s="85"/>
      <c r="M439" s="85"/>
      <c r="N439" s="85"/>
      <c r="O439" s="85"/>
      <c r="P439" s="85"/>
      <c r="Q439" s="85"/>
      <c r="R439" s="85"/>
      <c r="S439" s="85"/>
      <c r="T439" s="85"/>
    </row>
    <row r="440" spans="1:20" ht="14.5">
      <c r="A440" s="85" t="s">
        <v>1708</v>
      </c>
      <c r="B440" s="86">
        <v>10</v>
      </c>
      <c r="C440" s="86">
        <v>13</v>
      </c>
      <c r="D440" s="85">
        <v>0</v>
      </c>
      <c r="E440" s="85">
        <v>0</v>
      </c>
      <c r="F440" s="85">
        <v>0</v>
      </c>
      <c r="G440" s="13">
        <v>44978</v>
      </c>
      <c r="H440" s="85"/>
      <c r="I440" s="85"/>
      <c r="J440" s="85"/>
      <c r="K440" s="85"/>
      <c r="L440" s="85"/>
      <c r="M440" s="85"/>
      <c r="N440" s="85"/>
      <c r="O440" s="85"/>
      <c r="P440" s="85"/>
      <c r="Q440" s="85"/>
      <c r="R440" s="85"/>
      <c r="S440" s="85"/>
      <c r="T440" s="85"/>
    </row>
    <row r="441" spans="1:20" ht="14.5">
      <c r="A441" s="85" t="s">
        <v>1716</v>
      </c>
      <c r="B441" s="86">
        <v>1</v>
      </c>
      <c r="C441" s="85">
        <v>0</v>
      </c>
      <c r="D441" s="86">
        <v>14</v>
      </c>
      <c r="E441" s="85">
        <v>0</v>
      </c>
      <c r="F441" s="85">
        <v>0</v>
      </c>
      <c r="G441" s="13">
        <v>44978</v>
      </c>
      <c r="H441" s="85"/>
      <c r="I441" s="85"/>
      <c r="J441" s="85"/>
      <c r="K441" s="85"/>
      <c r="L441" s="85"/>
      <c r="M441" s="85"/>
      <c r="N441" s="85"/>
      <c r="O441" s="85"/>
      <c r="P441" s="85"/>
      <c r="Q441" s="85"/>
      <c r="R441" s="85"/>
      <c r="S441" s="85"/>
      <c r="T441" s="85"/>
    </row>
    <row r="442" spans="1:20" ht="14.5">
      <c r="A442" s="85" t="s">
        <v>1722</v>
      </c>
      <c r="B442" s="85">
        <v>0</v>
      </c>
      <c r="C442" s="85">
        <v>0</v>
      </c>
      <c r="D442" s="85">
        <v>0</v>
      </c>
      <c r="E442" s="85">
        <v>0</v>
      </c>
      <c r="F442" s="85">
        <v>0</v>
      </c>
      <c r="G442" s="13">
        <v>44978</v>
      </c>
      <c r="H442" s="85"/>
      <c r="I442" s="85"/>
      <c r="J442" s="85"/>
      <c r="K442" s="85"/>
      <c r="L442" s="85"/>
      <c r="M442" s="85"/>
      <c r="N442" s="85"/>
      <c r="O442" s="85"/>
      <c r="P442" s="85"/>
      <c r="Q442" s="85"/>
      <c r="R442" s="85"/>
      <c r="S442" s="85"/>
      <c r="T442" s="85"/>
    </row>
    <row r="443" spans="1:20" ht="14.5">
      <c r="A443" s="85" t="s">
        <v>1728</v>
      </c>
      <c r="B443" s="86">
        <v>3</v>
      </c>
      <c r="C443" s="86">
        <v>1</v>
      </c>
      <c r="D443" s="85">
        <v>0</v>
      </c>
      <c r="E443" s="85">
        <v>0</v>
      </c>
      <c r="F443" s="86">
        <v>1</v>
      </c>
      <c r="G443" s="13">
        <v>44978</v>
      </c>
      <c r="H443" s="85"/>
      <c r="I443" s="85"/>
      <c r="J443" s="86"/>
      <c r="K443" s="85"/>
      <c r="L443" s="85"/>
      <c r="M443" s="85"/>
      <c r="N443" s="85"/>
      <c r="O443" s="85"/>
      <c r="P443" s="85"/>
      <c r="Q443" s="85"/>
      <c r="R443" s="85"/>
      <c r="S443" s="85"/>
      <c r="T443" s="85"/>
    </row>
    <row r="444" spans="1:20" ht="14.5">
      <c r="A444" s="85" t="s">
        <v>1735</v>
      </c>
      <c r="B444" s="85">
        <v>0</v>
      </c>
      <c r="C444" s="85">
        <v>0</v>
      </c>
      <c r="D444" s="85">
        <v>0</v>
      </c>
      <c r="E444" s="85">
        <v>0</v>
      </c>
      <c r="F444" s="85">
        <v>0</v>
      </c>
      <c r="G444" s="13">
        <v>44978</v>
      </c>
      <c r="H444" s="85"/>
      <c r="I444" s="85"/>
      <c r="J444" s="85"/>
      <c r="K444" s="85"/>
      <c r="L444" s="85"/>
      <c r="M444" s="85"/>
      <c r="N444" s="85"/>
      <c r="O444" s="85"/>
      <c r="P444" s="85"/>
      <c r="Q444" s="85"/>
      <c r="R444" s="85"/>
      <c r="S444" s="85"/>
      <c r="T444" s="85"/>
    </row>
    <row r="445" spans="1:20" ht="14.5">
      <c r="A445" s="85" t="s">
        <v>1742</v>
      </c>
      <c r="B445" s="86">
        <v>12</v>
      </c>
      <c r="C445" s="85">
        <v>0</v>
      </c>
      <c r="D445" s="85">
        <v>0</v>
      </c>
      <c r="E445" s="85">
        <v>0</v>
      </c>
      <c r="F445" s="85">
        <v>0</v>
      </c>
      <c r="G445" s="13">
        <v>44978</v>
      </c>
      <c r="H445" s="85"/>
      <c r="I445" s="85"/>
      <c r="J445" s="85"/>
      <c r="K445" s="85"/>
      <c r="L445" s="85"/>
      <c r="M445" s="85"/>
      <c r="N445" s="85"/>
      <c r="O445" s="85"/>
      <c r="P445" s="85"/>
      <c r="Q445" s="85"/>
      <c r="R445" s="85"/>
      <c r="S445" s="85"/>
      <c r="T445" s="85"/>
    </row>
    <row r="446" spans="1:20" ht="14.5">
      <c r="A446" s="85" t="s">
        <v>1750</v>
      </c>
      <c r="B446" s="85">
        <v>0</v>
      </c>
      <c r="C446" s="85">
        <v>0</v>
      </c>
      <c r="D446" s="85">
        <v>0</v>
      </c>
      <c r="E446" s="85">
        <v>0</v>
      </c>
      <c r="F446" s="85">
        <v>0</v>
      </c>
      <c r="G446" s="13">
        <v>44978</v>
      </c>
      <c r="H446" s="85"/>
      <c r="I446" s="85"/>
      <c r="J446" s="85"/>
      <c r="K446" s="85"/>
      <c r="L446" s="85"/>
      <c r="M446" s="85"/>
      <c r="N446" s="85"/>
      <c r="O446" s="85"/>
      <c r="P446" s="85"/>
      <c r="Q446" s="85"/>
      <c r="R446" s="85"/>
      <c r="S446" s="85"/>
      <c r="T446" s="85"/>
    </row>
    <row r="447" spans="1:20" ht="14.5">
      <c r="A447" s="85" t="s">
        <v>1754</v>
      </c>
      <c r="B447" s="85">
        <v>0</v>
      </c>
      <c r="C447" s="85">
        <v>0</v>
      </c>
      <c r="D447" s="86">
        <v>6</v>
      </c>
      <c r="E447" s="85">
        <v>0</v>
      </c>
      <c r="F447" s="85">
        <v>0</v>
      </c>
      <c r="G447" s="13">
        <v>44978</v>
      </c>
      <c r="H447" s="85"/>
      <c r="I447" s="85"/>
      <c r="J447" s="85"/>
      <c r="K447" s="85"/>
      <c r="L447" s="85"/>
      <c r="M447" s="85"/>
      <c r="N447" s="85"/>
      <c r="O447" s="85"/>
      <c r="P447" s="85"/>
      <c r="Q447" s="85"/>
      <c r="R447" s="85"/>
      <c r="S447" s="85"/>
      <c r="T447" s="85"/>
    </row>
    <row r="448" spans="1:20" ht="14.5">
      <c r="A448" s="85" t="s">
        <v>1760</v>
      </c>
      <c r="B448" s="86">
        <v>4</v>
      </c>
      <c r="C448" s="85">
        <v>0</v>
      </c>
      <c r="D448" s="86">
        <v>26</v>
      </c>
      <c r="E448" s="85">
        <v>0</v>
      </c>
      <c r="F448" s="85">
        <v>0</v>
      </c>
      <c r="G448" s="13">
        <v>44978</v>
      </c>
      <c r="H448" s="85"/>
      <c r="I448" s="85"/>
      <c r="J448" s="85"/>
      <c r="K448" s="85"/>
      <c r="L448" s="85"/>
      <c r="M448" s="85"/>
      <c r="N448" s="85"/>
      <c r="O448" s="85"/>
      <c r="P448" s="85"/>
      <c r="Q448" s="85"/>
      <c r="R448" s="85"/>
      <c r="S448" s="85"/>
      <c r="T448" s="85"/>
    </row>
    <row r="449" spans="1:20" ht="14.5">
      <c r="A449" s="85" t="s">
        <v>1766</v>
      </c>
      <c r="B449" s="86">
        <v>2</v>
      </c>
      <c r="C449" s="85">
        <v>0</v>
      </c>
      <c r="D449" s="85">
        <v>0</v>
      </c>
      <c r="E449" s="85">
        <v>0</v>
      </c>
      <c r="F449" s="85">
        <v>0</v>
      </c>
      <c r="G449" s="13">
        <v>44978</v>
      </c>
      <c r="H449" s="85"/>
      <c r="I449" s="85"/>
      <c r="J449" s="85"/>
      <c r="K449" s="85"/>
      <c r="L449" s="85"/>
      <c r="M449" s="85"/>
      <c r="N449" s="85"/>
      <c r="O449" s="85"/>
      <c r="P449" s="85"/>
      <c r="Q449" s="85"/>
      <c r="R449" s="85"/>
      <c r="S449" s="85"/>
      <c r="T449" s="85"/>
    </row>
    <row r="450" spans="1:20" ht="14.5">
      <c r="A450" s="85" t="s">
        <v>1772</v>
      </c>
      <c r="B450" s="86">
        <v>17</v>
      </c>
      <c r="C450" s="86">
        <v>3</v>
      </c>
      <c r="D450" s="86">
        <v>3</v>
      </c>
      <c r="E450" s="85">
        <v>0</v>
      </c>
      <c r="F450" s="85">
        <v>0</v>
      </c>
      <c r="G450" s="13">
        <v>44978</v>
      </c>
      <c r="H450" s="85"/>
      <c r="I450" s="85"/>
      <c r="J450" s="85"/>
      <c r="K450" s="85"/>
      <c r="L450" s="85"/>
      <c r="M450" s="85"/>
      <c r="N450" s="85"/>
      <c r="O450" s="85"/>
      <c r="P450" s="85"/>
      <c r="Q450" s="85"/>
      <c r="R450" s="85"/>
      <c r="S450" s="85"/>
      <c r="T450" s="85"/>
    </row>
    <row r="451" spans="1:20" ht="14.5">
      <c r="A451" s="85" t="s">
        <v>1776</v>
      </c>
      <c r="B451" s="86">
        <v>10</v>
      </c>
      <c r="C451" s="86">
        <v>4</v>
      </c>
      <c r="D451" s="85">
        <v>0</v>
      </c>
      <c r="E451" s="85">
        <v>0</v>
      </c>
      <c r="F451" s="85">
        <v>0</v>
      </c>
      <c r="G451" s="13">
        <v>44978</v>
      </c>
      <c r="H451" s="85"/>
      <c r="I451" s="85"/>
      <c r="J451" s="85"/>
      <c r="K451" s="85"/>
      <c r="L451" s="85"/>
      <c r="M451" s="85"/>
      <c r="N451" s="85"/>
      <c r="O451" s="85"/>
      <c r="P451" s="85"/>
      <c r="Q451" s="85"/>
      <c r="R451" s="85"/>
      <c r="S451" s="85"/>
      <c r="T451" s="85"/>
    </row>
    <row r="452" spans="1:20" ht="14.5">
      <c r="A452" s="85" t="s">
        <v>1778</v>
      </c>
      <c r="B452" s="86">
        <v>5</v>
      </c>
      <c r="C452" s="86">
        <v>3</v>
      </c>
      <c r="D452" s="86">
        <v>5</v>
      </c>
      <c r="E452" s="85">
        <v>0</v>
      </c>
      <c r="F452" s="85">
        <v>0</v>
      </c>
      <c r="G452" s="13">
        <v>44978</v>
      </c>
      <c r="H452" s="86"/>
      <c r="I452" s="86"/>
      <c r="J452" s="85"/>
      <c r="K452" s="85"/>
      <c r="L452" s="85"/>
      <c r="M452" s="85"/>
      <c r="N452" s="85"/>
      <c r="O452" s="85"/>
      <c r="P452" s="85"/>
      <c r="Q452" s="85"/>
      <c r="R452" s="85"/>
      <c r="S452" s="85"/>
      <c r="T452" s="85"/>
    </row>
    <row r="453" spans="1:20" ht="14.5">
      <c r="A453" s="85" t="s">
        <v>1784</v>
      </c>
      <c r="B453" s="86">
        <v>5</v>
      </c>
      <c r="C453" s="86">
        <v>1</v>
      </c>
      <c r="D453" s="85">
        <v>0</v>
      </c>
      <c r="E453" s="85">
        <v>0</v>
      </c>
      <c r="F453" s="85">
        <v>0</v>
      </c>
      <c r="G453" s="13">
        <v>44978</v>
      </c>
      <c r="H453" s="85"/>
      <c r="I453" s="85"/>
      <c r="J453" s="85"/>
      <c r="K453" s="85"/>
      <c r="L453" s="85"/>
      <c r="M453" s="85"/>
      <c r="N453" s="85"/>
      <c r="O453" s="85"/>
      <c r="P453" s="85"/>
      <c r="Q453" s="85"/>
      <c r="R453" s="85"/>
      <c r="S453" s="85"/>
      <c r="T453" s="85"/>
    </row>
    <row r="454" spans="1:20" ht="14.5">
      <c r="A454" s="85" t="s">
        <v>1789</v>
      </c>
      <c r="B454" s="86">
        <v>12</v>
      </c>
      <c r="C454" s="86">
        <v>1</v>
      </c>
      <c r="D454" s="86">
        <v>40</v>
      </c>
      <c r="E454" s="85">
        <v>0</v>
      </c>
      <c r="F454" s="85">
        <v>0</v>
      </c>
      <c r="G454" s="13">
        <v>44978</v>
      </c>
      <c r="H454" s="85"/>
      <c r="I454" s="85"/>
      <c r="J454" s="85"/>
      <c r="K454" s="85"/>
      <c r="L454" s="85"/>
      <c r="M454" s="85"/>
      <c r="N454" s="85"/>
      <c r="O454" s="85"/>
      <c r="P454" s="85"/>
      <c r="Q454" s="85"/>
      <c r="R454" s="85"/>
      <c r="S454" s="85"/>
      <c r="T454" s="85"/>
    </row>
    <row r="455" spans="1:20" ht="14.5">
      <c r="A455" s="85" t="s">
        <v>1793</v>
      </c>
      <c r="B455" s="86">
        <v>4</v>
      </c>
      <c r="C455" s="85">
        <v>0</v>
      </c>
      <c r="D455" s="86">
        <v>1</v>
      </c>
      <c r="E455" s="85">
        <v>0</v>
      </c>
      <c r="F455" s="85">
        <v>0</v>
      </c>
      <c r="G455" s="13">
        <v>44978</v>
      </c>
      <c r="H455" s="85"/>
      <c r="I455" s="85"/>
      <c r="J455" s="85"/>
      <c r="K455" s="85"/>
      <c r="L455" s="85"/>
      <c r="M455" s="85"/>
      <c r="N455" s="85"/>
      <c r="O455" s="85"/>
      <c r="P455" s="85"/>
      <c r="Q455" s="85"/>
      <c r="R455" s="85"/>
      <c r="S455" s="85"/>
      <c r="T455" s="85"/>
    </row>
    <row r="456" spans="1:20" ht="14.5">
      <c r="A456" s="85" t="s">
        <v>1799</v>
      </c>
      <c r="B456" s="86">
        <v>1</v>
      </c>
      <c r="C456" s="85">
        <v>0</v>
      </c>
      <c r="D456" s="86">
        <v>1</v>
      </c>
      <c r="E456" s="85">
        <v>0</v>
      </c>
      <c r="F456" s="85">
        <v>0</v>
      </c>
      <c r="G456" s="13">
        <v>44978</v>
      </c>
      <c r="H456" s="85"/>
      <c r="I456" s="85"/>
      <c r="J456" s="85"/>
      <c r="K456" s="85"/>
      <c r="L456" s="85"/>
      <c r="M456" s="85"/>
      <c r="N456" s="85"/>
      <c r="O456" s="85"/>
      <c r="P456" s="85"/>
      <c r="Q456" s="85"/>
      <c r="R456" s="85"/>
      <c r="S456" s="85"/>
      <c r="T456" s="85"/>
    </row>
    <row r="457" spans="1:20" ht="14.5">
      <c r="A457" s="85" t="s">
        <v>1801</v>
      </c>
      <c r="B457" s="85">
        <v>0</v>
      </c>
      <c r="C457" s="85">
        <v>0</v>
      </c>
      <c r="D457" s="86">
        <v>3</v>
      </c>
      <c r="E457" s="85">
        <v>0</v>
      </c>
      <c r="F457" s="85">
        <v>0</v>
      </c>
      <c r="G457" s="13">
        <v>44978</v>
      </c>
      <c r="H457" s="85"/>
      <c r="I457" s="85"/>
      <c r="J457" s="85"/>
      <c r="K457" s="85"/>
      <c r="L457" s="85"/>
      <c r="M457" s="85"/>
      <c r="N457" s="85"/>
      <c r="O457" s="85"/>
      <c r="P457" s="85"/>
      <c r="Q457" s="85"/>
      <c r="R457" s="85"/>
      <c r="S457" s="85"/>
      <c r="T457" s="85"/>
    </row>
    <row r="458" spans="1:20" ht="14.5">
      <c r="A458" s="85" t="s">
        <v>1807</v>
      </c>
      <c r="B458" s="85">
        <v>0</v>
      </c>
      <c r="C458" s="85">
        <v>0</v>
      </c>
      <c r="D458" s="85">
        <v>0</v>
      </c>
      <c r="E458" s="85">
        <v>0</v>
      </c>
      <c r="F458" s="85">
        <v>0</v>
      </c>
      <c r="G458" s="13">
        <v>44978</v>
      </c>
      <c r="H458" s="85"/>
      <c r="I458" s="85"/>
      <c r="J458" s="85"/>
      <c r="K458" s="85"/>
      <c r="L458" s="85"/>
      <c r="M458" s="85"/>
      <c r="N458" s="85"/>
      <c r="O458" s="85"/>
      <c r="P458" s="85"/>
      <c r="Q458" s="85"/>
      <c r="R458" s="85"/>
      <c r="S458" s="85"/>
      <c r="T458" s="85"/>
    </row>
    <row r="459" spans="1:20" ht="14.5">
      <c r="A459" s="85" t="s">
        <v>1812</v>
      </c>
      <c r="B459" s="86">
        <v>4</v>
      </c>
      <c r="C459" s="86">
        <v>2</v>
      </c>
      <c r="D459" s="86">
        <v>3</v>
      </c>
      <c r="E459" s="85">
        <v>0</v>
      </c>
      <c r="F459" s="85">
        <v>0</v>
      </c>
      <c r="G459" s="13">
        <v>44978</v>
      </c>
      <c r="H459" s="85"/>
      <c r="I459" s="85"/>
      <c r="J459" s="85"/>
      <c r="K459" s="85"/>
      <c r="L459" s="85"/>
      <c r="M459" s="85"/>
      <c r="N459" s="85"/>
      <c r="O459" s="85"/>
      <c r="P459" s="85"/>
      <c r="Q459" s="85"/>
      <c r="R459" s="85"/>
      <c r="S459" s="85"/>
      <c r="T459" s="85"/>
    </row>
    <row r="460" spans="1:20" ht="14.5">
      <c r="A460" s="85" t="s">
        <v>1819</v>
      </c>
      <c r="B460" s="86">
        <v>9</v>
      </c>
      <c r="C460" s="86">
        <v>2</v>
      </c>
      <c r="D460" s="85">
        <v>0</v>
      </c>
      <c r="E460" s="86">
        <v>4</v>
      </c>
      <c r="F460" s="85">
        <v>0</v>
      </c>
      <c r="G460" s="13">
        <v>44978</v>
      </c>
      <c r="H460" s="85"/>
      <c r="I460" s="85"/>
      <c r="J460" s="85"/>
      <c r="K460" s="85"/>
      <c r="L460" s="85"/>
      <c r="M460" s="85"/>
      <c r="N460" s="86"/>
      <c r="O460" s="85"/>
      <c r="P460" s="85"/>
      <c r="Q460" s="85"/>
      <c r="R460" s="85"/>
      <c r="S460" s="85"/>
      <c r="T460" s="85"/>
    </row>
    <row r="461" spans="1:20" ht="14.5">
      <c r="A461" s="85" t="s">
        <v>1827</v>
      </c>
      <c r="B461" s="85">
        <v>0</v>
      </c>
      <c r="C461" s="85">
        <v>0</v>
      </c>
      <c r="D461" s="86">
        <v>2</v>
      </c>
      <c r="E461" s="85">
        <v>0</v>
      </c>
      <c r="F461" s="85">
        <v>0</v>
      </c>
      <c r="G461" s="13">
        <v>44978</v>
      </c>
      <c r="H461" s="85"/>
      <c r="I461" s="85"/>
      <c r="J461" s="85"/>
      <c r="K461" s="85"/>
      <c r="L461" s="85"/>
      <c r="M461" s="85"/>
      <c r="N461" s="85"/>
      <c r="O461" s="85"/>
      <c r="P461" s="85"/>
      <c r="Q461" s="85"/>
      <c r="R461" s="85"/>
      <c r="S461" s="85"/>
      <c r="T461" s="85"/>
    </row>
    <row r="462" spans="1:20" ht="14.5">
      <c r="A462" s="85" t="s">
        <v>1833</v>
      </c>
      <c r="B462" s="86">
        <v>3</v>
      </c>
      <c r="C462" s="85">
        <v>0</v>
      </c>
      <c r="D462" s="86">
        <v>32</v>
      </c>
      <c r="E462" s="85">
        <v>0</v>
      </c>
      <c r="F462" s="85">
        <v>0</v>
      </c>
      <c r="G462" s="13">
        <v>44978</v>
      </c>
      <c r="H462" s="85"/>
      <c r="I462" s="85"/>
      <c r="J462" s="85"/>
      <c r="K462" s="85"/>
      <c r="L462" s="85"/>
      <c r="M462" s="85"/>
      <c r="N462" s="85"/>
      <c r="O462" s="85"/>
      <c r="P462" s="85"/>
      <c r="Q462" s="85"/>
      <c r="R462" s="85"/>
      <c r="S462" s="85"/>
      <c r="T462" s="85"/>
    </row>
    <row r="463" spans="1:20" ht="14.5">
      <c r="A463" s="85" t="s">
        <v>1839</v>
      </c>
      <c r="B463" s="86">
        <v>1</v>
      </c>
      <c r="C463" s="85">
        <v>0</v>
      </c>
      <c r="D463" s="85">
        <v>0</v>
      </c>
      <c r="E463" s="85">
        <v>0</v>
      </c>
      <c r="F463" s="85">
        <v>0</v>
      </c>
      <c r="G463" s="13">
        <v>44978</v>
      </c>
      <c r="H463" s="85"/>
      <c r="I463" s="85"/>
      <c r="J463" s="85"/>
      <c r="K463" s="85"/>
      <c r="L463" s="85"/>
      <c r="M463" s="85"/>
      <c r="N463" s="85"/>
      <c r="O463" s="85"/>
      <c r="P463" s="85"/>
      <c r="Q463" s="85"/>
      <c r="R463" s="85"/>
      <c r="S463" s="85"/>
      <c r="T463" s="85"/>
    </row>
    <row r="464" spans="1:20" ht="14.5">
      <c r="A464" s="85" t="s">
        <v>1846</v>
      </c>
      <c r="B464" s="85">
        <v>0</v>
      </c>
      <c r="C464" s="85">
        <v>0</v>
      </c>
      <c r="D464" s="85">
        <v>0</v>
      </c>
      <c r="E464" s="85">
        <v>0</v>
      </c>
      <c r="F464" s="85">
        <v>0</v>
      </c>
      <c r="G464" s="13">
        <v>44978</v>
      </c>
      <c r="H464" s="85"/>
      <c r="I464" s="85"/>
      <c r="J464" s="85"/>
      <c r="K464" s="85"/>
      <c r="L464" s="85"/>
      <c r="M464" s="85"/>
      <c r="N464" s="85"/>
      <c r="O464" s="85"/>
      <c r="P464" s="85"/>
      <c r="Q464" s="85"/>
      <c r="R464" s="85"/>
      <c r="S464" s="85"/>
      <c r="T464" s="85"/>
    </row>
    <row r="465" spans="1:20" ht="14.5">
      <c r="A465" s="85" t="s">
        <v>13796</v>
      </c>
      <c r="B465" s="85">
        <v>0</v>
      </c>
      <c r="C465" s="85">
        <v>0</v>
      </c>
      <c r="D465" s="85">
        <v>0</v>
      </c>
      <c r="E465" s="85">
        <v>0</v>
      </c>
      <c r="F465" s="85">
        <v>0</v>
      </c>
      <c r="G465" s="13">
        <v>44978</v>
      </c>
      <c r="H465" s="85"/>
      <c r="I465" s="85"/>
      <c r="J465" s="85"/>
      <c r="K465" s="85"/>
      <c r="L465" s="85"/>
      <c r="M465" s="85"/>
      <c r="N465" s="85"/>
      <c r="O465" s="85"/>
      <c r="P465" s="85"/>
      <c r="Q465" s="85"/>
      <c r="R465" s="86"/>
      <c r="S465" s="85"/>
      <c r="T465" s="85"/>
    </row>
    <row r="466" spans="1:20" ht="14.5">
      <c r="A466" s="85" t="s">
        <v>1855</v>
      </c>
      <c r="B466" s="85">
        <v>0</v>
      </c>
      <c r="C466" s="85">
        <v>0</v>
      </c>
      <c r="D466" s="85">
        <v>0</v>
      </c>
      <c r="E466" s="85">
        <v>0</v>
      </c>
      <c r="F466" s="85">
        <v>0</v>
      </c>
      <c r="G466" s="13">
        <v>44978</v>
      </c>
      <c r="H466" s="85"/>
      <c r="I466" s="85"/>
      <c r="J466" s="85"/>
      <c r="K466" s="85"/>
      <c r="L466" s="85"/>
      <c r="M466" s="85"/>
      <c r="N466" s="85"/>
      <c r="O466" s="85"/>
      <c r="P466" s="85"/>
      <c r="Q466" s="85"/>
      <c r="R466" s="85"/>
      <c r="S466" s="85"/>
      <c r="T466" s="85"/>
    </row>
    <row r="467" spans="1:20" ht="14.5">
      <c r="A467" s="85" t="s">
        <v>1860</v>
      </c>
      <c r="B467" s="85">
        <v>0</v>
      </c>
      <c r="C467" s="85">
        <v>0</v>
      </c>
      <c r="D467" s="85">
        <v>0</v>
      </c>
      <c r="E467" s="85">
        <v>0</v>
      </c>
      <c r="F467" s="85">
        <v>0</v>
      </c>
      <c r="G467" s="13">
        <v>44978</v>
      </c>
      <c r="H467" s="85"/>
      <c r="I467" s="85"/>
      <c r="J467" s="85"/>
      <c r="K467" s="85"/>
      <c r="L467" s="85"/>
      <c r="M467" s="85"/>
      <c r="N467" s="85"/>
      <c r="O467" s="85"/>
      <c r="P467" s="85"/>
      <c r="Q467" s="85"/>
      <c r="R467" s="85"/>
      <c r="S467" s="85"/>
      <c r="T467" s="85"/>
    </row>
    <row r="468" spans="1:20" ht="14.5">
      <c r="A468" s="85" t="s">
        <v>1864</v>
      </c>
      <c r="B468" s="86">
        <v>8</v>
      </c>
      <c r="C468" s="86">
        <v>1</v>
      </c>
      <c r="D468" s="86">
        <v>1</v>
      </c>
      <c r="E468" s="85">
        <v>0</v>
      </c>
      <c r="F468" s="85">
        <v>0</v>
      </c>
      <c r="G468" s="13">
        <v>44978</v>
      </c>
      <c r="H468" s="85"/>
      <c r="I468" s="85"/>
      <c r="J468" s="85"/>
      <c r="K468" s="85"/>
      <c r="L468" s="85"/>
      <c r="M468" s="85"/>
      <c r="N468" s="85"/>
      <c r="O468" s="85"/>
      <c r="P468" s="85"/>
      <c r="Q468" s="85"/>
      <c r="R468" s="85"/>
      <c r="S468" s="85"/>
      <c r="T468" s="85"/>
    </row>
    <row r="469" spans="1:20" ht="14.5">
      <c r="A469" s="85" t="s">
        <v>1870</v>
      </c>
      <c r="B469" s="85">
        <v>0</v>
      </c>
      <c r="C469" s="85">
        <v>0</v>
      </c>
      <c r="D469" s="85">
        <v>0</v>
      </c>
      <c r="E469" s="85">
        <v>0</v>
      </c>
      <c r="F469" s="85">
        <v>0</v>
      </c>
      <c r="G469" s="13">
        <v>44978</v>
      </c>
      <c r="H469" s="85"/>
      <c r="I469" s="85"/>
      <c r="J469" s="85"/>
      <c r="K469" s="85"/>
      <c r="L469" s="85"/>
      <c r="M469" s="85"/>
      <c r="N469" s="85"/>
      <c r="O469" s="85"/>
      <c r="P469" s="85"/>
      <c r="Q469" s="85"/>
      <c r="R469" s="85"/>
      <c r="S469" s="85"/>
      <c r="T469" s="85"/>
    </row>
    <row r="470" spans="1:20" ht="14.5">
      <c r="A470" s="85" t="s">
        <v>1874</v>
      </c>
      <c r="B470" s="86">
        <v>1</v>
      </c>
      <c r="C470" s="85">
        <v>0</v>
      </c>
      <c r="D470" s="85">
        <v>0</v>
      </c>
      <c r="E470" s="85">
        <v>0</v>
      </c>
      <c r="F470" s="85">
        <v>0</v>
      </c>
      <c r="G470" s="13">
        <v>44978</v>
      </c>
      <c r="H470" s="85"/>
      <c r="I470" s="85"/>
      <c r="J470" s="85"/>
      <c r="K470" s="85"/>
      <c r="L470" s="85"/>
      <c r="M470" s="85"/>
      <c r="N470" s="85"/>
      <c r="O470" s="85"/>
      <c r="P470" s="85"/>
      <c r="Q470" s="85"/>
      <c r="R470" s="85"/>
      <c r="S470" s="85"/>
      <c r="T470" s="85"/>
    </row>
    <row r="471" spans="1:20" ht="14.5">
      <c r="A471" s="85" t="s">
        <v>1879</v>
      </c>
      <c r="B471" s="85">
        <v>0</v>
      </c>
      <c r="C471" s="85">
        <v>0</v>
      </c>
      <c r="D471" s="86">
        <v>190</v>
      </c>
      <c r="E471" s="85">
        <v>0</v>
      </c>
      <c r="F471" s="85">
        <v>0</v>
      </c>
      <c r="G471" s="13">
        <v>44978</v>
      </c>
      <c r="H471" s="85"/>
      <c r="I471" s="85"/>
      <c r="J471" s="85"/>
      <c r="K471" s="85"/>
      <c r="L471" s="85"/>
      <c r="M471" s="85"/>
      <c r="N471" s="85"/>
      <c r="O471" s="85"/>
      <c r="P471" s="85"/>
      <c r="Q471" s="85"/>
      <c r="R471" s="85"/>
      <c r="S471" s="85"/>
      <c r="T471" s="85"/>
    </row>
    <row r="472" spans="1:20" ht="14.5">
      <c r="A472" s="85" t="s">
        <v>1886</v>
      </c>
      <c r="B472" s="86">
        <v>1</v>
      </c>
      <c r="C472" s="85">
        <v>0</v>
      </c>
      <c r="D472" s="86">
        <v>2</v>
      </c>
      <c r="E472" s="85">
        <v>0</v>
      </c>
      <c r="F472" s="85">
        <v>0</v>
      </c>
      <c r="G472" s="13">
        <v>44978</v>
      </c>
      <c r="H472" s="85"/>
      <c r="I472" s="85"/>
      <c r="J472" s="85"/>
      <c r="K472" s="85"/>
      <c r="L472" s="85"/>
      <c r="M472" s="85"/>
      <c r="N472" s="85"/>
      <c r="O472" s="85"/>
      <c r="P472" s="85"/>
      <c r="Q472" s="85"/>
      <c r="R472" s="85"/>
      <c r="S472" s="85"/>
      <c r="T472" s="85"/>
    </row>
    <row r="473" spans="1:20" ht="14.5">
      <c r="A473" s="85" t="s">
        <v>1893</v>
      </c>
      <c r="B473" s="86">
        <v>14</v>
      </c>
      <c r="C473" s="86">
        <v>6</v>
      </c>
      <c r="D473" s="85">
        <v>0</v>
      </c>
      <c r="E473" s="85">
        <v>0</v>
      </c>
      <c r="F473" s="86">
        <v>1</v>
      </c>
      <c r="G473" s="13">
        <v>44978</v>
      </c>
      <c r="H473" s="85"/>
      <c r="I473" s="85"/>
      <c r="J473" s="85"/>
      <c r="K473" s="86"/>
      <c r="L473" s="85"/>
      <c r="M473" s="85"/>
      <c r="N473" s="85"/>
      <c r="O473" s="85"/>
      <c r="P473" s="85"/>
      <c r="Q473" s="85"/>
      <c r="R473" s="85"/>
      <c r="S473" s="85"/>
      <c r="T473" s="85"/>
    </row>
    <row r="474" spans="1:20" ht="14.5">
      <c r="A474" s="85" t="s">
        <v>1901</v>
      </c>
      <c r="B474" s="86">
        <v>53</v>
      </c>
      <c r="C474" s="86">
        <v>21</v>
      </c>
      <c r="D474" s="86">
        <v>33</v>
      </c>
      <c r="E474" s="85">
        <v>0</v>
      </c>
      <c r="F474" s="85">
        <v>0</v>
      </c>
      <c r="G474" s="13">
        <v>44978</v>
      </c>
      <c r="H474" s="85"/>
      <c r="I474" s="85"/>
      <c r="J474" s="85"/>
      <c r="K474" s="85"/>
      <c r="L474" s="85"/>
      <c r="M474" s="85"/>
      <c r="N474" s="85"/>
      <c r="O474" s="85"/>
      <c r="P474" s="85"/>
      <c r="Q474" s="85"/>
      <c r="R474" s="85"/>
      <c r="S474" s="85"/>
      <c r="T474" s="85"/>
    </row>
    <row r="475" spans="1:20" ht="14.5">
      <c r="A475" s="85" t="s">
        <v>1907</v>
      </c>
      <c r="B475" s="86">
        <v>24</v>
      </c>
      <c r="C475" s="86">
        <v>3</v>
      </c>
      <c r="D475" s="86">
        <v>37</v>
      </c>
      <c r="E475" s="85">
        <v>0</v>
      </c>
      <c r="F475" s="85">
        <v>0</v>
      </c>
      <c r="G475" s="13">
        <v>44978</v>
      </c>
      <c r="H475" s="85"/>
      <c r="I475" s="85"/>
      <c r="J475" s="85"/>
      <c r="K475" s="85"/>
      <c r="L475" s="85"/>
      <c r="M475" s="85"/>
      <c r="N475" s="85"/>
      <c r="O475" s="85"/>
      <c r="P475" s="85"/>
      <c r="Q475" s="85"/>
      <c r="R475" s="85"/>
      <c r="S475" s="85"/>
      <c r="T475" s="85"/>
    </row>
    <row r="476" spans="1:20" ht="14.5">
      <c r="A476" s="85" t="s">
        <v>1910</v>
      </c>
      <c r="B476" s="86">
        <v>1</v>
      </c>
      <c r="C476" s="86">
        <v>1</v>
      </c>
      <c r="D476" s="86">
        <v>12</v>
      </c>
      <c r="E476" s="85">
        <v>0</v>
      </c>
      <c r="F476" s="85">
        <v>0</v>
      </c>
      <c r="G476" s="13">
        <v>44978</v>
      </c>
      <c r="H476" s="85"/>
      <c r="I476" s="85"/>
      <c r="J476" s="85"/>
      <c r="K476" s="85"/>
      <c r="L476" s="85"/>
      <c r="M476" s="85"/>
      <c r="N476" s="85"/>
      <c r="O476" s="85"/>
      <c r="P476" s="85"/>
      <c r="Q476" s="85"/>
      <c r="R476" s="85"/>
      <c r="S476" s="85"/>
      <c r="T476" s="85"/>
    </row>
    <row r="477" spans="1:20" ht="14.5">
      <c r="A477" s="85" t="s">
        <v>1916</v>
      </c>
      <c r="B477" s="86">
        <v>1</v>
      </c>
      <c r="C477" s="85">
        <v>0</v>
      </c>
      <c r="D477" s="86">
        <v>111</v>
      </c>
      <c r="E477" s="85">
        <v>0</v>
      </c>
      <c r="F477" s="85">
        <v>0</v>
      </c>
      <c r="G477" s="13">
        <v>44978</v>
      </c>
      <c r="H477" s="85"/>
      <c r="I477" s="85"/>
      <c r="J477" s="85"/>
      <c r="K477" s="85"/>
      <c r="L477" s="85"/>
      <c r="M477" s="85"/>
      <c r="N477" s="85"/>
      <c r="O477" s="85"/>
      <c r="P477" s="85"/>
      <c r="Q477" s="85"/>
      <c r="R477" s="85"/>
      <c r="S477" s="85"/>
      <c r="T477" s="85"/>
    </row>
    <row r="478" spans="1:20" ht="14.5">
      <c r="A478" s="85" t="s">
        <v>1918</v>
      </c>
      <c r="B478" s="86">
        <v>3</v>
      </c>
      <c r="C478" s="86">
        <v>1</v>
      </c>
      <c r="D478" s="86">
        <v>9</v>
      </c>
      <c r="E478" s="85">
        <v>0</v>
      </c>
      <c r="F478" s="85">
        <v>0</v>
      </c>
      <c r="G478" s="13">
        <v>44978</v>
      </c>
      <c r="H478" s="85"/>
      <c r="I478" s="85"/>
      <c r="J478" s="85"/>
      <c r="K478" s="85"/>
      <c r="L478" s="85"/>
      <c r="M478" s="85"/>
      <c r="N478" s="85"/>
      <c r="O478" s="85"/>
      <c r="P478" s="85"/>
      <c r="Q478" s="85"/>
      <c r="R478" s="85"/>
      <c r="S478" s="85"/>
      <c r="T478" s="85"/>
    </row>
    <row r="479" spans="1:20" ht="14.5">
      <c r="A479" s="85" t="s">
        <v>1920</v>
      </c>
      <c r="B479" s="86">
        <v>2</v>
      </c>
      <c r="C479" s="85">
        <v>0</v>
      </c>
      <c r="D479" s="86">
        <v>8</v>
      </c>
      <c r="E479" s="85">
        <v>0</v>
      </c>
      <c r="F479" s="85">
        <v>0</v>
      </c>
      <c r="G479" s="13">
        <v>44978</v>
      </c>
      <c r="H479" s="85"/>
      <c r="I479" s="85"/>
      <c r="J479" s="85"/>
      <c r="K479" s="85"/>
      <c r="L479" s="85"/>
      <c r="M479" s="85"/>
      <c r="N479" s="85"/>
      <c r="O479" s="85"/>
      <c r="P479" s="85"/>
      <c r="Q479" s="85"/>
      <c r="R479" s="85"/>
      <c r="S479" s="85"/>
      <c r="T479" s="85"/>
    </row>
    <row r="480" spans="1:20" ht="14.5">
      <c r="A480" s="85" t="s">
        <v>1922</v>
      </c>
      <c r="B480" s="86">
        <v>4</v>
      </c>
      <c r="C480" s="85">
        <v>0</v>
      </c>
      <c r="D480" s="86">
        <v>9</v>
      </c>
      <c r="E480" s="85">
        <v>0</v>
      </c>
      <c r="F480" s="85">
        <v>0</v>
      </c>
      <c r="G480" s="13">
        <v>44978</v>
      </c>
      <c r="H480" s="85"/>
      <c r="I480" s="85"/>
      <c r="J480" s="85"/>
      <c r="K480" s="85"/>
      <c r="L480" s="85"/>
      <c r="M480" s="85"/>
      <c r="N480" s="85"/>
      <c r="O480" s="85"/>
      <c r="P480" s="85"/>
      <c r="Q480" s="85"/>
      <c r="R480" s="85"/>
      <c r="S480" s="85"/>
      <c r="T480" s="85"/>
    </row>
    <row r="481" spans="1:20" ht="14.5">
      <c r="A481" s="85" t="s">
        <v>1924</v>
      </c>
      <c r="B481" s="86">
        <v>1</v>
      </c>
      <c r="C481" s="85">
        <v>0</v>
      </c>
      <c r="D481" s="86">
        <v>7</v>
      </c>
      <c r="E481" s="85">
        <v>0</v>
      </c>
      <c r="F481" s="85">
        <v>0</v>
      </c>
      <c r="G481" s="13">
        <v>44978</v>
      </c>
      <c r="H481" s="85"/>
      <c r="I481" s="85"/>
      <c r="J481" s="85"/>
      <c r="K481" s="85"/>
      <c r="L481" s="85"/>
      <c r="M481" s="85"/>
      <c r="N481" s="85"/>
      <c r="O481" s="85"/>
      <c r="P481" s="85"/>
      <c r="Q481" s="85"/>
      <c r="R481" s="85"/>
      <c r="S481" s="85"/>
      <c r="T481" s="85"/>
    </row>
    <row r="482" spans="1:20" ht="14.5">
      <c r="A482" s="85" t="s">
        <v>1926</v>
      </c>
      <c r="B482" s="86">
        <v>3</v>
      </c>
      <c r="C482" s="86">
        <v>1</v>
      </c>
      <c r="D482" s="86">
        <v>4</v>
      </c>
      <c r="E482" s="85">
        <v>0</v>
      </c>
      <c r="F482" s="85">
        <v>0</v>
      </c>
      <c r="G482" s="13">
        <v>44978</v>
      </c>
      <c r="H482" s="85"/>
      <c r="I482" s="85"/>
      <c r="J482" s="85"/>
      <c r="K482" s="85"/>
      <c r="L482" s="85"/>
      <c r="M482" s="85"/>
      <c r="N482" s="85"/>
      <c r="O482" s="85"/>
      <c r="P482" s="85"/>
      <c r="Q482" s="85"/>
      <c r="R482" s="85"/>
      <c r="S482" s="85"/>
      <c r="T482" s="85"/>
    </row>
    <row r="483" spans="1:20" ht="14.5">
      <c r="A483" s="85" t="s">
        <v>1928</v>
      </c>
      <c r="B483" s="86">
        <v>9</v>
      </c>
      <c r="C483" s="86">
        <v>2</v>
      </c>
      <c r="D483" s="86">
        <v>8</v>
      </c>
      <c r="E483" s="85">
        <v>0</v>
      </c>
      <c r="F483" s="85">
        <v>0</v>
      </c>
      <c r="G483" s="13">
        <v>44978</v>
      </c>
      <c r="H483" s="85"/>
      <c r="I483" s="85"/>
      <c r="J483" s="85"/>
      <c r="K483" s="85"/>
      <c r="L483" s="85"/>
      <c r="M483" s="85"/>
      <c r="N483" s="85"/>
      <c r="O483" s="85"/>
      <c r="P483" s="85"/>
      <c r="Q483" s="85"/>
      <c r="R483" s="85"/>
      <c r="S483" s="85"/>
      <c r="T483" s="85"/>
    </row>
    <row r="484" spans="1:20" ht="14.5">
      <c r="A484" s="85" t="s">
        <v>1931</v>
      </c>
      <c r="B484" s="86">
        <v>1</v>
      </c>
      <c r="C484" s="85">
        <v>0</v>
      </c>
      <c r="D484" s="86">
        <v>8</v>
      </c>
      <c r="E484" s="85">
        <v>0</v>
      </c>
      <c r="F484" s="85">
        <v>0</v>
      </c>
      <c r="G484" s="13">
        <v>44978</v>
      </c>
      <c r="H484" s="85"/>
      <c r="I484" s="85"/>
      <c r="J484" s="85"/>
      <c r="K484" s="85"/>
      <c r="L484" s="85"/>
      <c r="M484" s="85"/>
      <c r="N484" s="85"/>
      <c r="O484" s="85"/>
      <c r="P484" s="85"/>
      <c r="Q484" s="85"/>
      <c r="R484" s="85"/>
      <c r="S484" s="85"/>
      <c r="T484" s="85"/>
    </row>
    <row r="485" spans="1:20" ht="14.5">
      <c r="A485" s="85" t="s">
        <v>1933</v>
      </c>
      <c r="B485" s="86">
        <v>2</v>
      </c>
      <c r="C485" s="85">
        <v>0</v>
      </c>
      <c r="D485" s="86">
        <v>25</v>
      </c>
      <c r="E485" s="85">
        <v>0</v>
      </c>
      <c r="F485" s="85">
        <v>0</v>
      </c>
      <c r="G485" s="13">
        <v>44978</v>
      </c>
      <c r="H485" s="85"/>
      <c r="I485" s="85"/>
      <c r="J485" s="85"/>
      <c r="K485" s="85"/>
      <c r="L485" s="85"/>
      <c r="M485" s="85"/>
      <c r="N485" s="85"/>
      <c r="O485" s="85"/>
      <c r="P485" s="85"/>
      <c r="Q485" s="85"/>
      <c r="R485" s="85"/>
      <c r="S485" s="85"/>
      <c r="T485" s="85"/>
    </row>
    <row r="486" spans="1:20" ht="14.5">
      <c r="A486" s="85" t="s">
        <v>1935</v>
      </c>
      <c r="B486" s="85">
        <v>0</v>
      </c>
      <c r="C486" s="85">
        <v>0</v>
      </c>
      <c r="D486" s="86">
        <v>17</v>
      </c>
      <c r="E486" s="85">
        <v>0</v>
      </c>
      <c r="F486" s="85">
        <v>0</v>
      </c>
      <c r="G486" s="13">
        <v>44978</v>
      </c>
      <c r="H486" s="85"/>
      <c r="I486" s="85"/>
      <c r="J486" s="85"/>
      <c r="K486" s="85"/>
      <c r="L486" s="85"/>
      <c r="M486" s="85"/>
      <c r="N486" s="85"/>
      <c r="O486" s="85"/>
      <c r="P486" s="85"/>
      <c r="Q486" s="85"/>
      <c r="R486" s="85"/>
      <c r="S486" s="85"/>
      <c r="T486" s="85"/>
    </row>
    <row r="487" spans="1:20" ht="14.5">
      <c r="A487" s="85" t="s">
        <v>1937</v>
      </c>
      <c r="B487" s="86">
        <v>4</v>
      </c>
      <c r="C487" s="85">
        <v>0</v>
      </c>
      <c r="D487" s="86">
        <v>7</v>
      </c>
      <c r="E487" s="85">
        <v>0</v>
      </c>
      <c r="F487" s="85">
        <v>0</v>
      </c>
      <c r="G487" s="13">
        <v>44978</v>
      </c>
      <c r="H487" s="85"/>
      <c r="I487" s="85"/>
      <c r="J487" s="85"/>
      <c r="K487" s="85"/>
      <c r="L487" s="85"/>
      <c r="M487" s="85"/>
      <c r="N487" s="85"/>
      <c r="O487" s="85"/>
      <c r="P487" s="85"/>
      <c r="Q487" s="85"/>
      <c r="R487" s="85"/>
      <c r="S487" s="85"/>
      <c r="T487" s="85"/>
    </row>
    <row r="488" spans="1:20" ht="14.5">
      <c r="A488" s="85" t="s">
        <v>1939</v>
      </c>
      <c r="B488" s="86">
        <v>7</v>
      </c>
      <c r="C488" s="86">
        <v>1</v>
      </c>
      <c r="D488" s="86">
        <v>82</v>
      </c>
      <c r="E488" s="85">
        <v>0</v>
      </c>
      <c r="F488" s="85">
        <v>0</v>
      </c>
      <c r="G488" s="13">
        <v>44978</v>
      </c>
      <c r="H488" s="85"/>
      <c r="I488" s="85"/>
      <c r="J488" s="85"/>
      <c r="K488" s="85"/>
      <c r="L488" s="85"/>
      <c r="M488" s="85"/>
      <c r="N488" s="85"/>
      <c r="O488" s="85"/>
      <c r="P488" s="85"/>
      <c r="Q488" s="85"/>
      <c r="R488" s="85"/>
      <c r="S488" s="85"/>
      <c r="T488" s="85"/>
    </row>
    <row r="489" spans="1:20" ht="14.5">
      <c r="A489" s="85" t="s">
        <v>1941</v>
      </c>
      <c r="B489" s="86">
        <v>2</v>
      </c>
      <c r="C489" s="85">
        <v>0</v>
      </c>
      <c r="D489" s="86">
        <v>8</v>
      </c>
      <c r="E489" s="85">
        <v>0</v>
      </c>
      <c r="F489" s="85">
        <v>0</v>
      </c>
      <c r="G489" s="13">
        <v>44978</v>
      </c>
      <c r="H489" s="85"/>
      <c r="I489" s="85"/>
      <c r="J489" s="85"/>
      <c r="K489" s="85"/>
      <c r="L489" s="85"/>
      <c r="M489" s="85"/>
      <c r="N489" s="85"/>
      <c r="O489" s="85"/>
      <c r="P489" s="85"/>
      <c r="Q489" s="85"/>
      <c r="R489" s="85"/>
      <c r="S489" s="85"/>
      <c r="T489" s="85"/>
    </row>
    <row r="490" spans="1:20" ht="14.5">
      <c r="A490" s="85" t="s">
        <v>1945</v>
      </c>
      <c r="B490" s="86">
        <v>9</v>
      </c>
      <c r="C490" s="86">
        <v>2</v>
      </c>
      <c r="D490" s="86">
        <v>8</v>
      </c>
      <c r="E490" s="85">
        <v>0</v>
      </c>
      <c r="F490" s="85">
        <v>0</v>
      </c>
      <c r="G490" s="13">
        <v>44978</v>
      </c>
      <c r="H490" s="85"/>
      <c r="I490" s="85"/>
      <c r="J490" s="85"/>
      <c r="K490" s="85"/>
      <c r="L490" s="85"/>
      <c r="M490" s="85"/>
      <c r="N490" s="85"/>
      <c r="O490" s="85"/>
      <c r="P490" s="85"/>
      <c r="Q490" s="85"/>
      <c r="R490" s="85"/>
      <c r="S490" s="85"/>
      <c r="T490" s="85"/>
    </row>
    <row r="491" spans="1:20" ht="14.5">
      <c r="A491" s="85" t="s">
        <v>1951</v>
      </c>
      <c r="B491" s="85">
        <v>0</v>
      </c>
      <c r="C491" s="85">
        <v>0</v>
      </c>
      <c r="D491" s="86">
        <v>7</v>
      </c>
      <c r="E491" s="85">
        <v>0</v>
      </c>
      <c r="F491" s="85">
        <v>0</v>
      </c>
      <c r="G491" s="13">
        <v>44978</v>
      </c>
      <c r="H491" s="85"/>
      <c r="I491" s="85"/>
      <c r="J491" s="85"/>
      <c r="K491" s="85"/>
      <c r="L491" s="85"/>
      <c r="M491" s="85"/>
      <c r="N491" s="85"/>
      <c r="O491" s="85"/>
      <c r="P491" s="85"/>
      <c r="Q491" s="85"/>
      <c r="R491" s="85"/>
      <c r="S491" s="85"/>
      <c r="T491" s="85"/>
    </row>
    <row r="492" spans="1:20" ht="14.5">
      <c r="A492" s="85" t="s">
        <v>1953</v>
      </c>
      <c r="B492" s="86">
        <v>36</v>
      </c>
      <c r="C492" s="86">
        <v>59</v>
      </c>
      <c r="D492" s="86">
        <v>43</v>
      </c>
      <c r="E492" s="85">
        <v>0</v>
      </c>
      <c r="F492" s="85">
        <v>0</v>
      </c>
      <c r="G492" s="13">
        <v>44978</v>
      </c>
      <c r="H492" s="85"/>
      <c r="I492" s="85"/>
      <c r="J492" s="85"/>
      <c r="K492" s="85"/>
      <c r="L492" s="85"/>
      <c r="M492" s="85"/>
      <c r="N492" s="85"/>
      <c r="O492" s="85"/>
      <c r="P492" s="85"/>
      <c r="Q492" s="85"/>
      <c r="R492" s="85"/>
      <c r="S492" s="85"/>
      <c r="T492" s="85"/>
    </row>
    <row r="493" spans="1:20" ht="14.5">
      <c r="A493" s="85" t="s">
        <v>1958</v>
      </c>
      <c r="B493" s="86">
        <v>13</v>
      </c>
      <c r="C493" s="86">
        <v>3</v>
      </c>
      <c r="D493" s="86">
        <v>38</v>
      </c>
      <c r="E493" s="85">
        <v>0</v>
      </c>
      <c r="F493" s="85">
        <v>0</v>
      </c>
      <c r="G493" s="13">
        <v>44978</v>
      </c>
      <c r="H493" s="85"/>
      <c r="I493" s="85"/>
      <c r="J493" s="85"/>
      <c r="K493" s="85"/>
      <c r="L493" s="85"/>
      <c r="M493" s="85"/>
      <c r="N493" s="85"/>
      <c r="O493" s="85"/>
      <c r="P493" s="85"/>
      <c r="Q493" s="85"/>
      <c r="R493" s="85"/>
      <c r="S493" s="85"/>
      <c r="T493" s="85"/>
    </row>
    <row r="494" spans="1:20" ht="14.5">
      <c r="A494" s="85" t="s">
        <v>1964</v>
      </c>
      <c r="B494" s="85">
        <v>0</v>
      </c>
      <c r="C494" s="85">
        <v>0</v>
      </c>
      <c r="D494" s="86">
        <v>18</v>
      </c>
      <c r="E494" s="85">
        <v>0</v>
      </c>
      <c r="F494" s="85">
        <v>0</v>
      </c>
      <c r="G494" s="13">
        <v>44978</v>
      </c>
      <c r="H494" s="85"/>
      <c r="I494" s="85"/>
      <c r="J494" s="85"/>
      <c r="K494" s="85"/>
      <c r="L494" s="85"/>
      <c r="M494" s="85"/>
      <c r="N494" s="85"/>
      <c r="O494" s="85"/>
      <c r="P494" s="85"/>
      <c r="Q494" s="85"/>
      <c r="R494" s="85"/>
      <c r="S494" s="85"/>
      <c r="T494" s="85"/>
    </row>
    <row r="495" spans="1:20" ht="14.5">
      <c r="A495" s="85" t="s">
        <v>1966</v>
      </c>
      <c r="B495" s="85">
        <v>0</v>
      </c>
      <c r="C495" s="86">
        <v>1</v>
      </c>
      <c r="D495" s="86">
        <v>11</v>
      </c>
      <c r="E495" s="85">
        <v>0</v>
      </c>
      <c r="F495" s="85">
        <v>0</v>
      </c>
      <c r="G495" s="13">
        <v>44978</v>
      </c>
      <c r="H495" s="85"/>
      <c r="I495" s="85"/>
      <c r="J495" s="85"/>
      <c r="K495" s="85"/>
      <c r="L495" s="85"/>
      <c r="M495" s="85"/>
      <c r="N495" s="85"/>
      <c r="O495" s="85"/>
      <c r="P495" s="85"/>
      <c r="Q495" s="85"/>
      <c r="R495" s="85"/>
      <c r="S495" s="85"/>
      <c r="T495" s="85"/>
    </row>
    <row r="496" spans="1:20" ht="14.5">
      <c r="A496" s="85" t="s">
        <v>1968</v>
      </c>
      <c r="B496" s="86">
        <v>2</v>
      </c>
      <c r="C496" s="86">
        <v>1</v>
      </c>
      <c r="D496" s="86">
        <v>18</v>
      </c>
      <c r="E496" s="85">
        <v>0</v>
      </c>
      <c r="F496" s="85">
        <v>0</v>
      </c>
      <c r="G496" s="13">
        <v>44978</v>
      </c>
      <c r="H496" s="85"/>
      <c r="I496" s="85"/>
      <c r="J496" s="85"/>
      <c r="K496" s="85"/>
      <c r="L496" s="85"/>
      <c r="M496" s="85"/>
      <c r="N496" s="85"/>
      <c r="O496" s="85"/>
      <c r="P496" s="85"/>
      <c r="Q496" s="85"/>
      <c r="R496" s="85"/>
      <c r="S496" s="85"/>
      <c r="T496" s="85"/>
    </row>
    <row r="497" spans="1:20" ht="14.5">
      <c r="A497" s="85" t="s">
        <v>1970</v>
      </c>
      <c r="B497" s="86">
        <v>3</v>
      </c>
      <c r="C497" s="85">
        <v>0</v>
      </c>
      <c r="D497" s="86">
        <v>13</v>
      </c>
      <c r="E497" s="85">
        <v>0</v>
      </c>
      <c r="F497" s="85">
        <v>0</v>
      </c>
      <c r="G497" s="13">
        <v>44978</v>
      </c>
      <c r="H497" s="85"/>
      <c r="I497" s="85"/>
      <c r="J497" s="85"/>
      <c r="K497" s="85"/>
      <c r="L497" s="85"/>
      <c r="M497" s="85"/>
      <c r="N497" s="85"/>
      <c r="O497" s="85"/>
      <c r="P497" s="85"/>
      <c r="Q497" s="85"/>
      <c r="R497" s="85"/>
      <c r="S497" s="85"/>
      <c r="T497" s="85"/>
    </row>
    <row r="498" spans="1:20" ht="14.5">
      <c r="A498" s="85" t="s">
        <v>1978</v>
      </c>
      <c r="B498" s="86">
        <v>2</v>
      </c>
      <c r="C498" s="85">
        <v>0</v>
      </c>
      <c r="D498" s="86">
        <v>1</v>
      </c>
      <c r="E498" s="85">
        <v>0</v>
      </c>
      <c r="F498" s="85">
        <v>0</v>
      </c>
      <c r="G498" s="13">
        <v>44978</v>
      </c>
      <c r="H498" s="85"/>
      <c r="I498" s="85"/>
      <c r="J498" s="85"/>
      <c r="K498" s="85"/>
      <c r="L498" s="85"/>
      <c r="M498" s="85"/>
      <c r="N498" s="85"/>
      <c r="O498" s="85"/>
      <c r="P498" s="85"/>
      <c r="Q498" s="85"/>
      <c r="R498" s="85"/>
      <c r="S498" s="85"/>
      <c r="T498" s="85"/>
    </row>
    <row r="499" spans="1:20" ht="14.5">
      <c r="A499" s="85" t="s">
        <v>1984</v>
      </c>
      <c r="B499" s="86">
        <v>1</v>
      </c>
      <c r="C499" s="86">
        <v>1</v>
      </c>
      <c r="D499" s="86">
        <v>7</v>
      </c>
      <c r="E499" s="85">
        <v>0</v>
      </c>
      <c r="F499" s="85">
        <v>0</v>
      </c>
      <c r="G499" s="13">
        <v>44978</v>
      </c>
      <c r="H499" s="85"/>
      <c r="I499" s="85"/>
      <c r="J499" s="85"/>
      <c r="K499" s="85"/>
      <c r="L499" s="85"/>
      <c r="M499" s="85"/>
      <c r="N499" s="85"/>
      <c r="O499" s="85"/>
      <c r="P499" s="85"/>
      <c r="Q499" s="85"/>
      <c r="R499" s="85"/>
      <c r="S499" s="85"/>
      <c r="T499" s="85"/>
    </row>
    <row r="500" spans="1:20" ht="14.5">
      <c r="A500" s="85" t="s">
        <v>1986</v>
      </c>
      <c r="B500" s="86">
        <v>6</v>
      </c>
      <c r="C500" s="85">
        <v>0</v>
      </c>
      <c r="D500" s="86">
        <v>2</v>
      </c>
      <c r="E500" s="85">
        <v>0</v>
      </c>
      <c r="F500" s="85">
        <v>0</v>
      </c>
      <c r="G500" s="13">
        <v>44978</v>
      </c>
      <c r="H500" s="85"/>
      <c r="I500" s="85"/>
      <c r="J500" s="85"/>
      <c r="K500" s="85"/>
      <c r="L500" s="85"/>
      <c r="M500" s="85"/>
      <c r="N500" s="85"/>
      <c r="O500" s="85"/>
      <c r="P500" s="85"/>
      <c r="Q500" s="85"/>
      <c r="R500" s="85"/>
      <c r="S500" s="85"/>
      <c r="T500" s="85"/>
    </row>
    <row r="501" spans="1:20" ht="14.5">
      <c r="A501" s="85" t="s">
        <v>1990</v>
      </c>
      <c r="B501" s="85">
        <v>0</v>
      </c>
      <c r="C501" s="85">
        <v>0</v>
      </c>
      <c r="D501" s="86">
        <v>16</v>
      </c>
      <c r="E501" s="85">
        <v>0</v>
      </c>
      <c r="F501" s="85">
        <v>0</v>
      </c>
      <c r="G501" s="13">
        <v>44978</v>
      </c>
      <c r="H501" s="85"/>
      <c r="I501" s="85"/>
      <c r="J501" s="85"/>
      <c r="K501" s="85"/>
      <c r="L501" s="85"/>
      <c r="M501" s="85"/>
      <c r="N501" s="85"/>
      <c r="O501" s="85"/>
      <c r="P501" s="85"/>
      <c r="Q501" s="85"/>
      <c r="R501" s="85"/>
      <c r="S501" s="85"/>
      <c r="T501" s="85"/>
    </row>
    <row r="502" spans="1:20" ht="14.5">
      <c r="A502" s="9" t="s">
        <v>13844</v>
      </c>
      <c r="B502" s="9">
        <v>70</v>
      </c>
      <c r="C502" s="9">
        <v>31</v>
      </c>
      <c r="D502" s="9">
        <v>2</v>
      </c>
      <c r="E502" s="9">
        <v>0</v>
      </c>
      <c r="F502" s="9">
        <v>0</v>
      </c>
      <c r="G502" s="13">
        <v>44978</v>
      </c>
    </row>
    <row r="503" spans="1:20" ht="14.5">
      <c r="A503" s="9" t="s">
        <v>13845</v>
      </c>
      <c r="B503" s="9">
        <v>26</v>
      </c>
      <c r="C503" s="9">
        <v>8</v>
      </c>
      <c r="D503" s="9">
        <v>0</v>
      </c>
      <c r="E503" s="9">
        <v>0</v>
      </c>
      <c r="F503" s="9">
        <v>0</v>
      </c>
      <c r="G503" s="13">
        <v>44978</v>
      </c>
    </row>
    <row r="504" spans="1:20" ht="14.5">
      <c r="A504" s="9" t="s">
        <v>13846</v>
      </c>
      <c r="B504" s="9">
        <v>17</v>
      </c>
      <c r="C504" s="9">
        <v>4</v>
      </c>
      <c r="D504" s="9">
        <v>0</v>
      </c>
      <c r="E504" s="9">
        <v>0</v>
      </c>
      <c r="F504" s="9">
        <v>0</v>
      </c>
      <c r="G504" s="13">
        <v>44978</v>
      </c>
    </row>
    <row r="505" spans="1:20" ht="14.5">
      <c r="A505" s="9" t="s">
        <v>13847</v>
      </c>
      <c r="B505" s="9">
        <v>18</v>
      </c>
      <c r="C505" s="9">
        <v>10</v>
      </c>
      <c r="D505" s="9">
        <v>0</v>
      </c>
      <c r="E505" s="9">
        <v>0</v>
      </c>
      <c r="F505" s="9">
        <v>0</v>
      </c>
      <c r="G505" s="13">
        <v>44978</v>
      </c>
    </row>
    <row r="506" spans="1:20" ht="14.5">
      <c r="A506" s="9" t="s">
        <v>13848</v>
      </c>
      <c r="B506" s="9">
        <v>33</v>
      </c>
      <c r="C506" s="9">
        <v>11</v>
      </c>
      <c r="D506" s="9">
        <v>1</v>
      </c>
      <c r="E506" s="9">
        <v>0</v>
      </c>
      <c r="F506" s="9">
        <v>0</v>
      </c>
      <c r="G506" s="13">
        <v>44978</v>
      </c>
    </row>
    <row r="507" spans="1:20" ht="14.5">
      <c r="A507" s="9" t="s">
        <v>13849</v>
      </c>
      <c r="B507" s="9">
        <v>34</v>
      </c>
      <c r="C507" s="9">
        <v>19</v>
      </c>
      <c r="D507" s="9">
        <v>1</v>
      </c>
      <c r="E507" s="9">
        <v>0</v>
      </c>
      <c r="F507" s="9">
        <v>3</v>
      </c>
      <c r="G507" s="13">
        <v>44978</v>
      </c>
    </row>
    <row r="508" spans="1:20" ht="14.5">
      <c r="A508" s="9" t="s">
        <v>13850</v>
      </c>
      <c r="B508" s="9">
        <v>88</v>
      </c>
      <c r="C508" s="9">
        <v>19</v>
      </c>
      <c r="D508" s="9">
        <v>1</v>
      </c>
      <c r="E508" s="9">
        <v>0</v>
      </c>
      <c r="F508" s="9">
        <v>1</v>
      </c>
      <c r="G508" s="13">
        <v>44978</v>
      </c>
    </row>
    <row r="509" spans="1:20" ht="14.5">
      <c r="A509" s="9" t="s">
        <v>13851</v>
      </c>
      <c r="B509" s="9">
        <v>12</v>
      </c>
      <c r="C509" s="9">
        <v>3</v>
      </c>
      <c r="D509" s="9">
        <v>0</v>
      </c>
      <c r="E509" s="9">
        <v>0</v>
      </c>
      <c r="F509" s="9">
        <v>0</v>
      </c>
      <c r="G509" s="13">
        <v>44978</v>
      </c>
    </row>
    <row r="510" spans="1:20" ht="14.5">
      <c r="A510" s="9" t="s">
        <v>13796</v>
      </c>
      <c r="B510" s="9">
        <v>0</v>
      </c>
      <c r="C510" s="9">
        <v>0</v>
      </c>
      <c r="D510" s="9">
        <v>0</v>
      </c>
      <c r="E510" s="9">
        <v>0</v>
      </c>
      <c r="F510" s="9">
        <v>0</v>
      </c>
      <c r="G510" s="13">
        <v>44978</v>
      </c>
    </row>
    <row r="511" spans="1:20" ht="14.5">
      <c r="A511" s="9" t="s">
        <v>13852</v>
      </c>
      <c r="B511" s="9">
        <v>11</v>
      </c>
      <c r="C511" s="9">
        <v>0</v>
      </c>
      <c r="D511" s="9">
        <v>0</v>
      </c>
      <c r="E511" s="9">
        <v>0</v>
      </c>
      <c r="F511" s="9">
        <v>0</v>
      </c>
      <c r="G511" s="13">
        <v>44978</v>
      </c>
    </row>
    <row r="512" spans="1:20" ht="14.5">
      <c r="A512" s="9" t="s">
        <v>13796</v>
      </c>
      <c r="B512" s="9">
        <v>0</v>
      </c>
      <c r="C512" s="9">
        <v>0</v>
      </c>
      <c r="D512" s="9">
        <v>0</v>
      </c>
      <c r="E512" s="9">
        <v>0</v>
      </c>
      <c r="F512" s="9">
        <v>0</v>
      </c>
      <c r="G512" s="13">
        <v>44978</v>
      </c>
    </row>
    <row r="513" spans="1:7" ht="14.5">
      <c r="A513" s="9" t="s">
        <v>13796</v>
      </c>
      <c r="B513" s="9">
        <v>0</v>
      </c>
      <c r="C513" s="9">
        <v>0</v>
      </c>
      <c r="D513" s="9">
        <v>0</v>
      </c>
      <c r="E513" s="9">
        <v>0</v>
      </c>
      <c r="F513" s="9">
        <v>0</v>
      </c>
      <c r="G513" s="13">
        <v>44978</v>
      </c>
    </row>
    <row r="514" spans="1:7" ht="14.5">
      <c r="A514" s="9" t="s">
        <v>13796</v>
      </c>
      <c r="B514" s="9">
        <v>0</v>
      </c>
      <c r="C514" s="9">
        <v>0</v>
      </c>
      <c r="D514" s="9">
        <v>0</v>
      </c>
      <c r="E514" s="9">
        <v>0</v>
      </c>
      <c r="F514" s="9">
        <v>0</v>
      </c>
      <c r="G514" s="13">
        <v>44978</v>
      </c>
    </row>
    <row r="515" spans="1:7" ht="14.5">
      <c r="A515" s="9" t="s">
        <v>13853</v>
      </c>
      <c r="B515" s="9">
        <v>6</v>
      </c>
      <c r="C515" s="9">
        <v>1</v>
      </c>
      <c r="D515" s="9">
        <v>0</v>
      </c>
      <c r="E515" s="9">
        <v>0</v>
      </c>
      <c r="F515" s="9">
        <v>0</v>
      </c>
      <c r="G515" s="13">
        <v>44978</v>
      </c>
    </row>
    <row r="516" spans="1:7" ht="14.5">
      <c r="A516" s="9" t="s">
        <v>13854</v>
      </c>
      <c r="B516" s="9">
        <v>9</v>
      </c>
      <c r="C516" s="9">
        <v>6</v>
      </c>
      <c r="D516" s="9">
        <v>0</v>
      </c>
      <c r="E516" s="9">
        <v>0</v>
      </c>
      <c r="F516" s="9">
        <v>0</v>
      </c>
      <c r="G516" s="13">
        <v>44978</v>
      </c>
    </row>
    <row r="517" spans="1:7" ht="14.5">
      <c r="A517" s="9" t="s">
        <v>13855</v>
      </c>
      <c r="B517" s="9">
        <v>17</v>
      </c>
      <c r="C517" s="9">
        <v>5</v>
      </c>
      <c r="D517" s="9">
        <v>0</v>
      </c>
      <c r="E517" s="9">
        <v>0</v>
      </c>
      <c r="F517" s="9">
        <v>0</v>
      </c>
      <c r="G517" s="13">
        <v>44978</v>
      </c>
    </row>
    <row r="518" spans="1:7" ht="14.5">
      <c r="A518" s="9" t="s">
        <v>13856</v>
      </c>
      <c r="B518" s="9">
        <v>5</v>
      </c>
      <c r="C518" s="9">
        <v>2</v>
      </c>
      <c r="D518" s="9">
        <v>0</v>
      </c>
      <c r="E518" s="9">
        <v>0</v>
      </c>
      <c r="F518" s="9">
        <v>0</v>
      </c>
      <c r="G518" s="13">
        <v>44978</v>
      </c>
    </row>
    <row r="519" spans="1:7" ht="14.5">
      <c r="A519" s="9" t="s">
        <v>13857</v>
      </c>
      <c r="B519" s="9">
        <v>5</v>
      </c>
      <c r="C519" s="9">
        <v>1</v>
      </c>
      <c r="D519" s="9">
        <v>4</v>
      </c>
      <c r="E519" s="9">
        <v>0</v>
      </c>
      <c r="F519" s="9">
        <v>0</v>
      </c>
      <c r="G519" s="13">
        <v>44978</v>
      </c>
    </row>
    <row r="520" spans="1:7" ht="14.5">
      <c r="A520" s="9" t="s">
        <v>13796</v>
      </c>
      <c r="B520" s="9">
        <v>0</v>
      </c>
      <c r="C520" s="9">
        <v>0</v>
      </c>
      <c r="D520" s="9">
        <v>0</v>
      </c>
      <c r="E520" s="9">
        <v>0</v>
      </c>
      <c r="F520" s="9">
        <v>0</v>
      </c>
      <c r="G520" s="13">
        <v>44978</v>
      </c>
    </row>
    <row r="521" spans="1:7" ht="14.5">
      <c r="A521" s="9" t="s">
        <v>13858</v>
      </c>
      <c r="B521" s="9">
        <v>4</v>
      </c>
      <c r="C521" s="9">
        <v>0</v>
      </c>
      <c r="D521" s="9">
        <v>0</v>
      </c>
      <c r="E521" s="9">
        <v>0</v>
      </c>
      <c r="F521" s="9">
        <v>0</v>
      </c>
      <c r="G521" s="13">
        <v>44978</v>
      </c>
    </row>
    <row r="522" spans="1:7" ht="14.5">
      <c r="A522" s="9" t="s">
        <v>13796</v>
      </c>
      <c r="B522" s="9">
        <v>0</v>
      </c>
      <c r="C522" s="9">
        <v>0</v>
      </c>
      <c r="D522" s="9">
        <v>0</v>
      </c>
      <c r="E522" s="9">
        <v>0</v>
      </c>
      <c r="F522" s="9">
        <v>0</v>
      </c>
      <c r="G522" s="13">
        <v>44978</v>
      </c>
    </row>
    <row r="523" spans="1:7" ht="14.5">
      <c r="A523" s="9" t="s">
        <v>13859</v>
      </c>
      <c r="B523" s="9">
        <v>19</v>
      </c>
      <c r="C523" s="9">
        <v>1</v>
      </c>
      <c r="D523" s="9">
        <v>1</v>
      </c>
      <c r="E523" s="9">
        <v>0</v>
      </c>
      <c r="F523" s="9">
        <v>0</v>
      </c>
      <c r="G523" s="13">
        <v>44978</v>
      </c>
    </row>
    <row r="524" spans="1:7" ht="14.5">
      <c r="A524" s="9" t="s">
        <v>13860</v>
      </c>
      <c r="B524" s="9">
        <v>64</v>
      </c>
      <c r="C524" s="9">
        <v>7</v>
      </c>
      <c r="D524" s="9">
        <v>0</v>
      </c>
      <c r="E524" s="9">
        <v>0</v>
      </c>
      <c r="F524" s="9">
        <v>0</v>
      </c>
      <c r="G524" s="13">
        <v>44978</v>
      </c>
    </row>
    <row r="525" spans="1:7" ht="14.5">
      <c r="A525" s="9" t="s">
        <v>13796</v>
      </c>
      <c r="B525" s="9">
        <v>0</v>
      </c>
      <c r="C525" s="9">
        <v>0</v>
      </c>
      <c r="D525" s="9">
        <v>0</v>
      </c>
      <c r="E525" s="9">
        <v>0</v>
      </c>
      <c r="F525" s="9">
        <v>0</v>
      </c>
      <c r="G525" s="13">
        <v>44978</v>
      </c>
    </row>
    <row r="526" spans="1:7" ht="14.5">
      <c r="A526" s="9" t="s">
        <v>13861</v>
      </c>
      <c r="B526" s="9">
        <v>3</v>
      </c>
      <c r="C526" s="9">
        <v>6</v>
      </c>
      <c r="D526" s="9">
        <v>0</v>
      </c>
      <c r="E526" s="9">
        <v>0</v>
      </c>
      <c r="F526" s="9">
        <v>0</v>
      </c>
      <c r="G526" s="13">
        <v>44978</v>
      </c>
    </row>
    <row r="527" spans="1:7" ht="14.5">
      <c r="A527" s="9" t="s">
        <v>13862</v>
      </c>
      <c r="B527" s="9">
        <v>33</v>
      </c>
      <c r="C527" s="9">
        <v>5</v>
      </c>
      <c r="D527" s="9">
        <v>0</v>
      </c>
      <c r="E527" s="9">
        <v>0</v>
      </c>
      <c r="F527" s="9">
        <v>1</v>
      </c>
      <c r="G527" s="13">
        <v>44978</v>
      </c>
    </row>
    <row r="528" spans="1:7" ht="14.5">
      <c r="A528" s="9" t="s">
        <v>13863</v>
      </c>
      <c r="B528" s="9">
        <v>3</v>
      </c>
      <c r="C528" s="9">
        <v>2</v>
      </c>
      <c r="D528" s="9">
        <v>0</v>
      </c>
      <c r="E528" s="9">
        <v>0</v>
      </c>
      <c r="F528" s="9">
        <v>0</v>
      </c>
      <c r="G528" s="13">
        <v>44978</v>
      </c>
    </row>
    <row r="529" spans="1:7" ht="14.5">
      <c r="A529" s="9" t="s">
        <v>13864</v>
      </c>
      <c r="B529" s="9">
        <v>76</v>
      </c>
      <c r="C529" s="9">
        <v>13</v>
      </c>
      <c r="D529" s="9">
        <v>0</v>
      </c>
      <c r="E529" s="9">
        <v>0</v>
      </c>
      <c r="F529" s="9">
        <v>0</v>
      </c>
      <c r="G529" s="13">
        <v>44978</v>
      </c>
    </row>
    <row r="530" spans="1:7" ht="14.5">
      <c r="A530" s="9" t="s">
        <v>13865</v>
      </c>
      <c r="B530" s="9">
        <v>12</v>
      </c>
      <c r="C530" s="9">
        <v>3</v>
      </c>
      <c r="D530" s="9">
        <v>0</v>
      </c>
      <c r="E530" s="9">
        <v>0</v>
      </c>
      <c r="F530" s="9">
        <v>0</v>
      </c>
      <c r="G530" s="13">
        <v>44978</v>
      </c>
    </row>
    <row r="531" spans="1:7" ht="14.5">
      <c r="A531" s="9" t="s">
        <v>13866</v>
      </c>
      <c r="B531" s="9">
        <v>25</v>
      </c>
      <c r="C531" s="9">
        <v>5</v>
      </c>
      <c r="D531" s="9">
        <v>13</v>
      </c>
      <c r="E531" s="9">
        <v>0</v>
      </c>
      <c r="F531" s="9">
        <v>0</v>
      </c>
      <c r="G531" s="13">
        <v>44978</v>
      </c>
    </row>
    <row r="532" spans="1:7" ht="14.5">
      <c r="A532" s="9" t="s">
        <v>13796</v>
      </c>
      <c r="B532" s="9">
        <v>0</v>
      </c>
      <c r="C532" s="9">
        <v>0</v>
      </c>
      <c r="D532" s="9">
        <v>0</v>
      </c>
      <c r="E532" s="9">
        <v>0</v>
      </c>
      <c r="F532" s="9">
        <v>0</v>
      </c>
      <c r="G532" s="13">
        <v>44978</v>
      </c>
    </row>
    <row r="533" spans="1:7" ht="14.5">
      <c r="A533" s="9" t="s">
        <v>13867</v>
      </c>
      <c r="B533" s="9">
        <v>2</v>
      </c>
      <c r="C533" s="9">
        <v>0</v>
      </c>
      <c r="D533" s="9">
        <v>0</v>
      </c>
      <c r="E533" s="9">
        <v>0</v>
      </c>
      <c r="F533" s="9">
        <v>0</v>
      </c>
      <c r="G533" s="13">
        <v>44978</v>
      </c>
    </row>
    <row r="534" spans="1:7" ht="14.5">
      <c r="A534" s="9" t="s">
        <v>13868</v>
      </c>
      <c r="B534" s="9">
        <v>1</v>
      </c>
      <c r="C534" s="9">
        <v>1</v>
      </c>
      <c r="D534" s="9">
        <v>0</v>
      </c>
      <c r="E534" s="9">
        <v>0</v>
      </c>
      <c r="F534" s="9">
        <v>0</v>
      </c>
      <c r="G534" s="13">
        <v>44978</v>
      </c>
    </row>
    <row r="535" spans="1:7" ht="14.5">
      <c r="A535" s="9" t="s">
        <v>13869</v>
      </c>
      <c r="B535" s="9">
        <v>46</v>
      </c>
      <c r="C535" s="9">
        <v>5</v>
      </c>
      <c r="D535" s="9">
        <v>15</v>
      </c>
      <c r="E535" s="9">
        <v>0</v>
      </c>
      <c r="F535" s="9">
        <v>1</v>
      </c>
      <c r="G535" s="13">
        <v>44978</v>
      </c>
    </row>
    <row r="536" spans="1:7" ht="14.5">
      <c r="A536" s="9" t="s">
        <v>13870</v>
      </c>
      <c r="B536" s="9">
        <v>32</v>
      </c>
      <c r="C536" s="9">
        <v>13</v>
      </c>
      <c r="D536" s="9">
        <v>0</v>
      </c>
      <c r="E536" s="9">
        <v>0</v>
      </c>
      <c r="F536" s="9">
        <v>0</v>
      </c>
      <c r="G536" s="13">
        <v>44978</v>
      </c>
    </row>
    <row r="537" spans="1:7" ht="14.5">
      <c r="A537" s="9" t="s">
        <v>13871</v>
      </c>
      <c r="B537" s="9">
        <v>1</v>
      </c>
      <c r="C537" s="9">
        <v>0</v>
      </c>
      <c r="D537" s="9">
        <v>0</v>
      </c>
      <c r="E537" s="9">
        <v>0</v>
      </c>
      <c r="F537" s="9">
        <v>0</v>
      </c>
      <c r="G537" s="13">
        <v>44978</v>
      </c>
    </row>
    <row r="538" spans="1:7" ht="14.5">
      <c r="A538" s="9" t="s">
        <v>13796</v>
      </c>
      <c r="B538" s="9">
        <v>0</v>
      </c>
      <c r="C538" s="9">
        <v>0</v>
      </c>
      <c r="D538" s="9">
        <v>0</v>
      </c>
      <c r="E538" s="9">
        <v>0</v>
      </c>
      <c r="F538" s="9">
        <v>0</v>
      </c>
      <c r="G538" s="13">
        <v>44978</v>
      </c>
    </row>
    <row r="539" spans="1:7" ht="14.5">
      <c r="A539" s="9" t="s">
        <v>13872</v>
      </c>
      <c r="B539" s="9">
        <v>4</v>
      </c>
      <c r="C539" s="9">
        <v>0</v>
      </c>
      <c r="D539" s="9">
        <v>1</v>
      </c>
      <c r="E539" s="9">
        <v>0</v>
      </c>
      <c r="F539" s="9">
        <v>0</v>
      </c>
      <c r="G539" s="13">
        <v>44978</v>
      </c>
    </row>
    <row r="540" spans="1:7" ht="14.5">
      <c r="A540" s="9" t="s">
        <v>13873</v>
      </c>
      <c r="B540" s="9">
        <v>59</v>
      </c>
      <c r="C540" s="9">
        <v>24</v>
      </c>
      <c r="D540" s="9">
        <v>0</v>
      </c>
      <c r="E540" s="9">
        <v>0</v>
      </c>
      <c r="F540" s="9">
        <v>0</v>
      </c>
      <c r="G540" s="13">
        <v>44978</v>
      </c>
    </row>
    <row r="541" spans="1:7" ht="14.5">
      <c r="A541" s="9" t="s">
        <v>13796</v>
      </c>
      <c r="B541" s="9">
        <v>0</v>
      </c>
      <c r="C541" s="9">
        <v>0</v>
      </c>
      <c r="D541" s="9">
        <v>0</v>
      </c>
      <c r="E541" s="9">
        <v>0</v>
      </c>
      <c r="F541" s="9">
        <v>0</v>
      </c>
      <c r="G541" s="13">
        <v>44978</v>
      </c>
    </row>
    <row r="542" spans="1:7" ht="14.5">
      <c r="A542" s="9" t="s">
        <v>13874</v>
      </c>
      <c r="B542" s="9">
        <v>0</v>
      </c>
      <c r="C542" s="9">
        <v>0</v>
      </c>
      <c r="D542" s="9">
        <v>8</v>
      </c>
      <c r="E542" s="9">
        <v>0</v>
      </c>
      <c r="F542" s="9">
        <v>0</v>
      </c>
      <c r="G542" s="13">
        <v>44978</v>
      </c>
    </row>
    <row r="543" spans="1:7" ht="14.5">
      <c r="A543" s="9" t="s">
        <v>13875</v>
      </c>
      <c r="B543" s="9">
        <v>13</v>
      </c>
      <c r="C543" s="9">
        <v>6</v>
      </c>
      <c r="D543" s="9">
        <v>0</v>
      </c>
      <c r="E543" s="9">
        <v>0</v>
      </c>
      <c r="F543" s="9">
        <v>0</v>
      </c>
      <c r="G543" s="13">
        <v>44978</v>
      </c>
    </row>
    <row r="544" spans="1:7" ht="14.5">
      <c r="A544" s="9" t="s">
        <v>13876</v>
      </c>
      <c r="B544" s="9">
        <v>3</v>
      </c>
      <c r="C544" s="9">
        <v>0</v>
      </c>
      <c r="D544" s="9">
        <v>0</v>
      </c>
      <c r="E544" s="9">
        <v>0</v>
      </c>
      <c r="F544" s="9">
        <v>0</v>
      </c>
      <c r="G544" s="13">
        <v>44978</v>
      </c>
    </row>
    <row r="545" spans="1:7" ht="14.5">
      <c r="A545" s="9" t="s">
        <v>13877</v>
      </c>
      <c r="B545" s="9">
        <v>5</v>
      </c>
      <c r="C545" s="9">
        <v>2</v>
      </c>
      <c r="D545" s="9">
        <v>1</v>
      </c>
      <c r="E545" s="9">
        <v>0</v>
      </c>
      <c r="F545" s="9">
        <v>0</v>
      </c>
      <c r="G545" s="13">
        <v>44978</v>
      </c>
    </row>
    <row r="546" spans="1:7" ht="14.5">
      <c r="A546" s="9" t="s">
        <v>13878</v>
      </c>
      <c r="B546" s="9">
        <v>42</v>
      </c>
      <c r="C546" s="9">
        <v>19</v>
      </c>
      <c r="D546" s="9">
        <v>0</v>
      </c>
      <c r="E546" s="9">
        <v>0</v>
      </c>
      <c r="F546" s="9">
        <v>0</v>
      </c>
      <c r="G546" s="13">
        <v>44978</v>
      </c>
    </row>
    <row r="547" spans="1:7" ht="14.5">
      <c r="A547" s="9" t="s">
        <v>13879</v>
      </c>
      <c r="B547" s="9">
        <v>16</v>
      </c>
      <c r="C547" s="9">
        <v>2</v>
      </c>
      <c r="D547" s="9">
        <v>0</v>
      </c>
      <c r="E547" s="9">
        <v>0</v>
      </c>
      <c r="F547" s="9">
        <v>0</v>
      </c>
      <c r="G547" s="13">
        <v>44978</v>
      </c>
    </row>
    <row r="548" spans="1:7" ht="14.5">
      <c r="A548" s="9" t="s">
        <v>13880</v>
      </c>
      <c r="B548" s="9">
        <v>46</v>
      </c>
      <c r="C548" s="9">
        <v>13</v>
      </c>
      <c r="D548" s="9">
        <v>4</v>
      </c>
      <c r="E548" s="9">
        <v>0</v>
      </c>
      <c r="F548" s="9">
        <v>0</v>
      </c>
      <c r="G548" s="13">
        <v>44978</v>
      </c>
    </row>
    <row r="549" spans="1:7" ht="14.5">
      <c r="A549" s="9" t="s">
        <v>13881</v>
      </c>
      <c r="B549" s="9">
        <v>138</v>
      </c>
      <c r="C549" s="9">
        <v>38</v>
      </c>
      <c r="D549" s="9">
        <v>14</v>
      </c>
      <c r="E549" s="9">
        <v>0</v>
      </c>
      <c r="F549" s="9">
        <v>0</v>
      </c>
      <c r="G549" s="13">
        <v>44978</v>
      </c>
    </row>
    <row r="550" spans="1:7" ht="14.5">
      <c r="A550" s="9" t="s">
        <v>13796</v>
      </c>
      <c r="B550" s="9">
        <v>0</v>
      </c>
      <c r="C550" s="9">
        <v>0</v>
      </c>
      <c r="D550" s="9">
        <v>0</v>
      </c>
      <c r="E550" s="9">
        <v>0</v>
      </c>
      <c r="F550" s="9">
        <v>0</v>
      </c>
      <c r="G550" s="13">
        <v>44978</v>
      </c>
    </row>
    <row r="551" spans="1:7" ht="14.5">
      <c r="A551" s="9" t="s">
        <v>13796</v>
      </c>
      <c r="B551" s="9">
        <v>0</v>
      </c>
      <c r="C551" s="9">
        <v>0</v>
      </c>
      <c r="D551" s="9">
        <v>0</v>
      </c>
      <c r="E551" s="9">
        <v>0</v>
      </c>
      <c r="F551" s="9">
        <v>0</v>
      </c>
      <c r="G551" s="13">
        <v>44978</v>
      </c>
    </row>
    <row r="552" spans="1:7" ht="14.5">
      <c r="A552" s="9" t="s">
        <v>13882</v>
      </c>
      <c r="B552" s="9">
        <v>11</v>
      </c>
      <c r="C552" s="9">
        <v>5</v>
      </c>
      <c r="D552" s="9">
        <v>0</v>
      </c>
      <c r="E552" s="9">
        <v>0</v>
      </c>
      <c r="F552" s="9">
        <v>0</v>
      </c>
      <c r="G552" s="13">
        <v>44978</v>
      </c>
    </row>
    <row r="553" spans="1:7" ht="14.5">
      <c r="A553" s="9" t="s">
        <v>13796</v>
      </c>
      <c r="B553" s="9">
        <v>0</v>
      </c>
      <c r="C553" s="9">
        <v>0</v>
      </c>
      <c r="D553" s="9">
        <v>0</v>
      </c>
      <c r="E553" s="9">
        <v>0</v>
      </c>
      <c r="F553" s="9">
        <v>0</v>
      </c>
      <c r="G553" s="13">
        <v>44978</v>
      </c>
    </row>
    <row r="554" spans="1:7" ht="14.5">
      <c r="A554" s="9" t="s">
        <v>13796</v>
      </c>
      <c r="B554" s="9">
        <v>0</v>
      </c>
      <c r="C554" s="9">
        <v>0</v>
      </c>
      <c r="D554" s="9">
        <v>0</v>
      </c>
      <c r="E554" s="9">
        <v>0</v>
      </c>
      <c r="F554" s="9">
        <v>0</v>
      </c>
      <c r="G554" s="13">
        <v>44978</v>
      </c>
    </row>
    <row r="555" spans="1:7" ht="14.5">
      <c r="A555" s="9" t="s">
        <v>13883</v>
      </c>
      <c r="B555" s="9">
        <v>20</v>
      </c>
      <c r="C555" s="9">
        <v>7</v>
      </c>
      <c r="D555" s="9">
        <v>0</v>
      </c>
      <c r="E555" s="9">
        <v>0</v>
      </c>
      <c r="F555" s="9">
        <v>0</v>
      </c>
      <c r="G555" s="13">
        <v>44978</v>
      </c>
    </row>
    <row r="556" spans="1:7" ht="14.5">
      <c r="A556" s="9" t="s">
        <v>13796</v>
      </c>
      <c r="B556" s="9">
        <v>0</v>
      </c>
      <c r="C556" s="9">
        <v>0</v>
      </c>
      <c r="D556" s="9">
        <v>0</v>
      </c>
      <c r="E556" s="9">
        <v>0</v>
      </c>
      <c r="F556" s="9">
        <v>0</v>
      </c>
      <c r="G556" s="13">
        <v>44978</v>
      </c>
    </row>
    <row r="557" spans="1:7" ht="14.5">
      <c r="A557" s="9" t="s">
        <v>13884</v>
      </c>
      <c r="B557" s="9">
        <v>0</v>
      </c>
      <c r="C557" s="9">
        <v>4</v>
      </c>
      <c r="D557" s="9">
        <v>0</v>
      </c>
      <c r="E557" s="9">
        <v>0</v>
      </c>
      <c r="F557" s="9">
        <v>0</v>
      </c>
      <c r="G557" s="13">
        <v>44978</v>
      </c>
    </row>
    <row r="558" spans="1:7" ht="14.5">
      <c r="A558" s="9" t="s">
        <v>13885</v>
      </c>
      <c r="B558" s="9">
        <v>5</v>
      </c>
      <c r="C558" s="9">
        <v>1</v>
      </c>
      <c r="D558" s="9">
        <v>0</v>
      </c>
      <c r="E558" s="9">
        <v>0</v>
      </c>
      <c r="F558" s="9">
        <v>0</v>
      </c>
      <c r="G558" s="13">
        <v>44978</v>
      </c>
    </row>
    <row r="559" spans="1:7" ht="14.5">
      <c r="A559" s="9" t="s">
        <v>13886</v>
      </c>
      <c r="B559" s="9">
        <v>68</v>
      </c>
      <c r="C559" s="9">
        <v>2</v>
      </c>
      <c r="D559" s="9">
        <v>0</v>
      </c>
      <c r="E559" s="9">
        <v>0</v>
      </c>
      <c r="F559" s="9">
        <v>0</v>
      </c>
      <c r="G559" s="13">
        <v>44978</v>
      </c>
    </row>
    <row r="560" spans="1:7" ht="14.5">
      <c r="A560" s="9" t="s">
        <v>13887</v>
      </c>
      <c r="B560" s="9">
        <v>3</v>
      </c>
      <c r="C560" s="9">
        <v>0</v>
      </c>
      <c r="D560" s="9">
        <v>0</v>
      </c>
      <c r="E560" s="9">
        <v>0</v>
      </c>
      <c r="F560" s="9">
        <v>0</v>
      </c>
      <c r="G560" s="13">
        <v>44978</v>
      </c>
    </row>
    <row r="561" spans="1:7" ht="14.5">
      <c r="A561" s="9" t="s">
        <v>13888</v>
      </c>
      <c r="B561" s="9">
        <v>9</v>
      </c>
      <c r="C561" s="9">
        <v>2</v>
      </c>
      <c r="D561" s="9">
        <v>0</v>
      </c>
      <c r="E561" s="9">
        <v>0</v>
      </c>
      <c r="F561" s="9">
        <v>0</v>
      </c>
      <c r="G561" s="13">
        <v>44978</v>
      </c>
    </row>
    <row r="562" spans="1:7" ht="14.5">
      <c r="A562" s="9" t="s">
        <v>13796</v>
      </c>
      <c r="B562" s="9">
        <v>0</v>
      </c>
      <c r="C562" s="9">
        <v>0</v>
      </c>
      <c r="D562" s="9">
        <v>0</v>
      </c>
      <c r="E562" s="9">
        <v>0</v>
      </c>
      <c r="F562" s="9">
        <v>0</v>
      </c>
      <c r="G562" s="13">
        <v>44978</v>
      </c>
    </row>
    <row r="563" spans="1:7" ht="14.5">
      <c r="A563" s="9" t="s">
        <v>13889</v>
      </c>
      <c r="B563" s="9">
        <v>0</v>
      </c>
      <c r="C563" s="9">
        <v>0</v>
      </c>
      <c r="D563" s="9">
        <v>0</v>
      </c>
      <c r="E563" s="9">
        <v>0</v>
      </c>
      <c r="F563" s="9">
        <v>0</v>
      </c>
      <c r="G563" s="13">
        <v>44978</v>
      </c>
    </row>
    <row r="564" spans="1:7" ht="14.5">
      <c r="A564" s="9" t="s">
        <v>13796</v>
      </c>
      <c r="B564" s="9">
        <v>0</v>
      </c>
      <c r="C564" s="9">
        <v>0</v>
      </c>
      <c r="D564" s="9">
        <v>0</v>
      </c>
      <c r="E564" s="9">
        <v>0</v>
      </c>
      <c r="F564" s="9">
        <v>0</v>
      </c>
      <c r="G564" s="13">
        <v>44978</v>
      </c>
    </row>
    <row r="565" spans="1:7" ht="14.5">
      <c r="A565" s="9" t="s">
        <v>13890</v>
      </c>
      <c r="B565" s="9">
        <v>5</v>
      </c>
      <c r="C565" s="9">
        <v>4</v>
      </c>
      <c r="D565" s="9">
        <v>0</v>
      </c>
      <c r="E565" s="9">
        <v>0</v>
      </c>
      <c r="F565" s="9">
        <v>0</v>
      </c>
      <c r="G565" s="13">
        <v>44978</v>
      </c>
    </row>
    <row r="566" spans="1:7" ht="14.5">
      <c r="A566" s="9" t="s">
        <v>13891</v>
      </c>
      <c r="B566" s="9">
        <v>20</v>
      </c>
      <c r="C566" s="9">
        <v>2</v>
      </c>
      <c r="D566" s="9">
        <v>11</v>
      </c>
      <c r="E566" s="9">
        <v>0</v>
      </c>
      <c r="F566" s="9">
        <v>0</v>
      </c>
      <c r="G566" s="13">
        <v>44978</v>
      </c>
    </row>
    <row r="567" spans="1:7" ht="14.5">
      <c r="A567" s="9" t="s">
        <v>13892</v>
      </c>
      <c r="B567" s="9">
        <v>56</v>
      </c>
      <c r="C567" s="9">
        <v>11</v>
      </c>
      <c r="D567" s="9">
        <v>0</v>
      </c>
      <c r="E567" s="9">
        <v>0</v>
      </c>
      <c r="F567" s="9">
        <v>0</v>
      </c>
      <c r="G567" s="13">
        <v>44978</v>
      </c>
    </row>
    <row r="568" spans="1:7" ht="14.5">
      <c r="A568" s="9" t="s">
        <v>13893</v>
      </c>
      <c r="B568" s="9">
        <v>2</v>
      </c>
      <c r="C568" s="9">
        <v>0</v>
      </c>
      <c r="D568" s="9">
        <v>0</v>
      </c>
      <c r="E568" s="9">
        <v>0</v>
      </c>
      <c r="F568" s="9">
        <v>0</v>
      </c>
      <c r="G568" s="13">
        <v>44978</v>
      </c>
    </row>
    <row r="569" spans="1:7" ht="14.5">
      <c r="A569" s="9" t="s">
        <v>13894</v>
      </c>
      <c r="B569" s="9">
        <v>10</v>
      </c>
      <c r="C569" s="9">
        <v>6</v>
      </c>
      <c r="D569" s="9">
        <v>0</v>
      </c>
      <c r="E569" s="9">
        <v>0</v>
      </c>
      <c r="F569" s="9">
        <v>0</v>
      </c>
      <c r="G569" s="13">
        <v>44978</v>
      </c>
    </row>
    <row r="570" spans="1:7" ht="14.5">
      <c r="A570" s="9" t="s">
        <v>13796</v>
      </c>
      <c r="B570" s="9">
        <v>0</v>
      </c>
      <c r="C570" s="9">
        <v>0</v>
      </c>
      <c r="D570" s="9">
        <v>0</v>
      </c>
      <c r="E570" s="9">
        <v>0</v>
      </c>
      <c r="F570" s="9">
        <v>0</v>
      </c>
      <c r="G570" s="13">
        <v>44978</v>
      </c>
    </row>
    <row r="571" spans="1:7" ht="14.5">
      <c r="A571" s="9" t="s">
        <v>13895</v>
      </c>
      <c r="B571" s="9">
        <v>109</v>
      </c>
      <c r="C571" s="9">
        <v>20</v>
      </c>
      <c r="D571" s="9">
        <v>16</v>
      </c>
      <c r="E571" s="9">
        <v>0</v>
      </c>
      <c r="F571" s="9">
        <v>1</v>
      </c>
      <c r="G571" s="13">
        <v>44978</v>
      </c>
    </row>
    <row r="572" spans="1:7" ht="14.5">
      <c r="A572" s="9" t="s">
        <v>13896</v>
      </c>
      <c r="B572" s="9">
        <v>2</v>
      </c>
      <c r="C572" s="9">
        <v>2</v>
      </c>
      <c r="D572" s="9">
        <v>0</v>
      </c>
      <c r="E572" s="9">
        <v>0</v>
      </c>
      <c r="F572" s="9">
        <v>0</v>
      </c>
      <c r="G572" s="13">
        <v>44978</v>
      </c>
    </row>
    <row r="573" spans="1:7" ht="14.5">
      <c r="A573" s="9" t="s">
        <v>13897</v>
      </c>
      <c r="B573" s="9">
        <v>29</v>
      </c>
      <c r="C573" s="9">
        <v>3</v>
      </c>
      <c r="D573" s="9">
        <v>0</v>
      </c>
      <c r="E573" s="9">
        <v>0</v>
      </c>
      <c r="F573" s="9">
        <v>0</v>
      </c>
      <c r="G573" s="13">
        <v>44978</v>
      </c>
    </row>
    <row r="574" spans="1:7" ht="14.5">
      <c r="A574" s="9" t="s">
        <v>13796</v>
      </c>
      <c r="B574" s="9">
        <v>0</v>
      </c>
      <c r="C574" s="9">
        <v>0</v>
      </c>
      <c r="D574" s="9">
        <v>0</v>
      </c>
      <c r="E574" s="9">
        <v>0</v>
      </c>
      <c r="F574" s="9">
        <v>0</v>
      </c>
      <c r="G574" s="13">
        <v>44978</v>
      </c>
    </row>
    <row r="575" spans="1:7" ht="14.5">
      <c r="A575" s="9" t="s">
        <v>13898</v>
      </c>
      <c r="B575" s="9">
        <v>44</v>
      </c>
      <c r="C575" s="9">
        <v>18</v>
      </c>
      <c r="D575" s="9">
        <v>0</v>
      </c>
      <c r="E575" s="9">
        <v>0</v>
      </c>
      <c r="F575" s="9">
        <v>0</v>
      </c>
      <c r="G575" s="13">
        <v>44978</v>
      </c>
    </row>
    <row r="576" spans="1:7" ht="14.5">
      <c r="A576" s="9" t="s">
        <v>13796</v>
      </c>
      <c r="B576" s="9">
        <v>0</v>
      </c>
      <c r="C576" s="9">
        <v>0</v>
      </c>
      <c r="D576" s="9">
        <v>0</v>
      </c>
      <c r="E576" s="9">
        <v>0</v>
      </c>
      <c r="F576" s="9">
        <v>0</v>
      </c>
      <c r="G576" s="13">
        <v>44978</v>
      </c>
    </row>
    <row r="577" spans="1:7" ht="14.5">
      <c r="A577" s="9" t="s">
        <v>13796</v>
      </c>
      <c r="B577" s="9">
        <v>0</v>
      </c>
      <c r="C577" s="9">
        <v>0</v>
      </c>
      <c r="D577" s="9">
        <v>0</v>
      </c>
      <c r="E577" s="9">
        <v>0</v>
      </c>
      <c r="F577" s="9">
        <v>0</v>
      </c>
      <c r="G577" s="13">
        <v>44978</v>
      </c>
    </row>
    <row r="578" spans="1:7" ht="14.5">
      <c r="A578" s="9" t="s">
        <v>13899</v>
      </c>
      <c r="B578" s="9">
        <v>0</v>
      </c>
      <c r="C578" s="9">
        <v>0</v>
      </c>
      <c r="D578" s="9">
        <v>0</v>
      </c>
      <c r="E578" s="9">
        <v>0</v>
      </c>
      <c r="F578" s="9">
        <v>0</v>
      </c>
      <c r="G578" s="13">
        <v>44978</v>
      </c>
    </row>
    <row r="579" spans="1:7" ht="14.5">
      <c r="A579" s="9" t="s">
        <v>13900</v>
      </c>
      <c r="B579" s="9">
        <v>118</v>
      </c>
      <c r="C579" s="9">
        <v>32</v>
      </c>
      <c r="D579" s="9">
        <v>2</v>
      </c>
      <c r="E579" s="9">
        <v>0</v>
      </c>
      <c r="F579" s="9">
        <v>0</v>
      </c>
      <c r="G579" s="13">
        <v>44978</v>
      </c>
    </row>
    <row r="580" spans="1:7" ht="14.5">
      <c r="A580" s="9" t="s">
        <v>13901</v>
      </c>
      <c r="B580" s="9">
        <v>16</v>
      </c>
      <c r="C580" s="9">
        <v>5</v>
      </c>
      <c r="D580" s="9">
        <v>0</v>
      </c>
      <c r="E580" s="9">
        <v>0</v>
      </c>
      <c r="F580" s="9">
        <v>0</v>
      </c>
      <c r="G580" s="13">
        <v>44978</v>
      </c>
    </row>
    <row r="581" spans="1:7" ht="14.5">
      <c r="A581" s="9" t="s">
        <v>13902</v>
      </c>
      <c r="B581" s="9">
        <v>22</v>
      </c>
      <c r="C581" s="9">
        <v>27</v>
      </c>
      <c r="D581" s="9">
        <v>13</v>
      </c>
      <c r="E581" s="9">
        <v>0</v>
      </c>
      <c r="F581" s="9">
        <v>0</v>
      </c>
      <c r="G581" s="13">
        <v>44978</v>
      </c>
    </row>
    <row r="582" spans="1:7" ht="14.5">
      <c r="A582" s="9" t="s">
        <v>13903</v>
      </c>
      <c r="B582" s="9">
        <v>30</v>
      </c>
      <c r="C582" s="9">
        <v>8</v>
      </c>
      <c r="D582" s="9">
        <v>0</v>
      </c>
      <c r="E582" s="9">
        <v>0</v>
      </c>
      <c r="F582" s="9">
        <v>0</v>
      </c>
      <c r="G582" s="13">
        <v>44978</v>
      </c>
    </row>
    <row r="583" spans="1:7" ht="14.5">
      <c r="A583" s="9" t="s">
        <v>13904</v>
      </c>
      <c r="B583" s="9">
        <v>36</v>
      </c>
      <c r="C583" s="9">
        <v>9</v>
      </c>
      <c r="D583" s="9">
        <v>0</v>
      </c>
      <c r="E583" s="9">
        <v>0</v>
      </c>
      <c r="F583" s="9">
        <v>0</v>
      </c>
      <c r="G583" s="13">
        <v>44978</v>
      </c>
    </row>
    <row r="584" spans="1:7" ht="14.5">
      <c r="A584" s="9" t="s">
        <v>13796</v>
      </c>
      <c r="B584" s="9">
        <v>0</v>
      </c>
      <c r="C584" s="9">
        <v>0</v>
      </c>
      <c r="D584" s="9">
        <v>0</v>
      </c>
      <c r="E584" s="9">
        <v>0</v>
      </c>
      <c r="F584" s="9">
        <v>0</v>
      </c>
      <c r="G584" s="13">
        <v>44978</v>
      </c>
    </row>
    <row r="585" spans="1:7" ht="14.5">
      <c r="A585" s="9" t="s">
        <v>13905</v>
      </c>
      <c r="B585" s="9">
        <v>58</v>
      </c>
      <c r="C585" s="9">
        <v>9</v>
      </c>
      <c r="D585" s="9">
        <v>25</v>
      </c>
      <c r="E585" s="9">
        <v>1</v>
      </c>
      <c r="F585" s="9">
        <v>0</v>
      </c>
      <c r="G585" s="13">
        <v>44978</v>
      </c>
    </row>
    <row r="586" spans="1:7" ht="14.5">
      <c r="A586" s="9" t="s">
        <v>13906</v>
      </c>
      <c r="B586" s="9">
        <v>244</v>
      </c>
      <c r="C586" s="9">
        <v>21</v>
      </c>
      <c r="D586" s="9">
        <v>35</v>
      </c>
      <c r="E586" s="9">
        <v>0</v>
      </c>
      <c r="F586" s="9">
        <v>2</v>
      </c>
      <c r="G586" s="13">
        <v>44978</v>
      </c>
    </row>
    <row r="587" spans="1:7" ht="14.5">
      <c r="A587" s="9" t="s">
        <v>13907</v>
      </c>
      <c r="B587" s="9">
        <v>3</v>
      </c>
      <c r="C587" s="9">
        <v>2</v>
      </c>
      <c r="D587" s="9">
        <v>1</v>
      </c>
      <c r="E587" s="9">
        <v>0</v>
      </c>
      <c r="F587" s="9">
        <v>0</v>
      </c>
      <c r="G587" s="13">
        <v>44978</v>
      </c>
    </row>
    <row r="588" spans="1:7" ht="14.5">
      <c r="A588" s="9" t="s">
        <v>13908</v>
      </c>
      <c r="B588" s="9">
        <v>1</v>
      </c>
      <c r="C588" s="9">
        <v>0</v>
      </c>
      <c r="D588" s="9">
        <v>6</v>
      </c>
      <c r="E588" s="9">
        <v>0</v>
      </c>
      <c r="F588" s="9">
        <v>0</v>
      </c>
      <c r="G588" s="13">
        <v>44978</v>
      </c>
    </row>
    <row r="589" spans="1:7" ht="14.5">
      <c r="A589" s="9" t="s">
        <v>13909</v>
      </c>
      <c r="B589" s="9">
        <v>65</v>
      </c>
      <c r="C589" s="9">
        <v>39</v>
      </c>
      <c r="D589" s="9">
        <v>46</v>
      </c>
      <c r="E589" s="9">
        <v>0</v>
      </c>
      <c r="F589" s="9">
        <v>0</v>
      </c>
      <c r="G589" s="13">
        <v>44978</v>
      </c>
    </row>
    <row r="590" spans="1:7" ht="14.5">
      <c r="A590" s="9" t="s">
        <v>13910</v>
      </c>
      <c r="B590" s="9">
        <v>49</v>
      </c>
      <c r="C590" s="9">
        <v>6</v>
      </c>
      <c r="D590" s="9">
        <v>20</v>
      </c>
      <c r="E590" s="9">
        <v>0</v>
      </c>
      <c r="F590" s="9">
        <v>0</v>
      </c>
      <c r="G590" s="13">
        <v>44978</v>
      </c>
    </row>
    <row r="591" spans="1:7" ht="14.5">
      <c r="A591" s="9" t="s">
        <v>13911</v>
      </c>
      <c r="B591" s="9">
        <v>8</v>
      </c>
      <c r="C591" s="9">
        <v>11</v>
      </c>
      <c r="D591" s="9">
        <v>0</v>
      </c>
      <c r="E591" s="9">
        <v>0</v>
      </c>
      <c r="F591" s="9">
        <v>0</v>
      </c>
      <c r="G591" s="13">
        <v>44978</v>
      </c>
    </row>
    <row r="592" spans="1:7" ht="14.5">
      <c r="A592" s="9" t="s">
        <v>13912</v>
      </c>
      <c r="B592" s="9">
        <v>6</v>
      </c>
      <c r="C592" s="9">
        <v>4</v>
      </c>
      <c r="D592" s="9">
        <v>5</v>
      </c>
      <c r="E592" s="9">
        <v>0</v>
      </c>
      <c r="F592" s="9">
        <v>0</v>
      </c>
      <c r="G592" s="13">
        <v>44978</v>
      </c>
    </row>
    <row r="593" spans="1:7" ht="14.5">
      <c r="A593" s="9" t="s">
        <v>13913</v>
      </c>
      <c r="B593" s="9">
        <v>19</v>
      </c>
      <c r="C593" s="9">
        <v>13</v>
      </c>
      <c r="D593" s="9">
        <v>10</v>
      </c>
      <c r="E593" s="9">
        <v>0</v>
      </c>
      <c r="F593" s="9">
        <v>0</v>
      </c>
      <c r="G593" s="13">
        <v>44978</v>
      </c>
    </row>
    <row r="594" spans="1:7" ht="14.5">
      <c r="A594" s="9" t="s">
        <v>13914</v>
      </c>
      <c r="B594" s="9">
        <v>22</v>
      </c>
      <c r="C594" s="9">
        <v>11</v>
      </c>
      <c r="D594" s="9">
        <v>1</v>
      </c>
      <c r="E594" s="9">
        <v>0</v>
      </c>
      <c r="F594" s="9">
        <v>0</v>
      </c>
      <c r="G594" s="13">
        <v>44978</v>
      </c>
    </row>
    <row r="595" spans="1:7" ht="14.5">
      <c r="A595" s="9" t="s">
        <v>13915</v>
      </c>
      <c r="B595" s="9">
        <v>17</v>
      </c>
      <c r="C595" s="9">
        <v>4</v>
      </c>
      <c r="D595" s="9">
        <v>4</v>
      </c>
      <c r="E595" s="9">
        <v>0</v>
      </c>
      <c r="F595" s="9">
        <v>2</v>
      </c>
      <c r="G595" s="13">
        <v>44978</v>
      </c>
    </row>
    <row r="596" spans="1:7" ht="14.5">
      <c r="A596" s="9" t="s">
        <v>13916</v>
      </c>
      <c r="B596" s="9">
        <v>11</v>
      </c>
      <c r="C596" s="9">
        <v>9</v>
      </c>
      <c r="D596" s="9">
        <v>6</v>
      </c>
      <c r="E596" s="9">
        <v>0</v>
      </c>
      <c r="F596" s="9">
        <v>0</v>
      </c>
      <c r="G596" s="13">
        <v>44978</v>
      </c>
    </row>
    <row r="597" spans="1:7" ht="14.5">
      <c r="A597" s="9" t="s">
        <v>13917</v>
      </c>
      <c r="B597" s="9">
        <v>25</v>
      </c>
      <c r="C597" s="9">
        <v>10</v>
      </c>
      <c r="D597" s="9">
        <v>5</v>
      </c>
      <c r="E597" s="9">
        <v>0</v>
      </c>
      <c r="F597" s="9">
        <v>0</v>
      </c>
      <c r="G597" s="13">
        <v>44978</v>
      </c>
    </row>
    <row r="598" spans="1:7" ht="14.5">
      <c r="A598" s="9" t="s">
        <v>13918</v>
      </c>
      <c r="B598" s="9">
        <v>17</v>
      </c>
      <c r="C598" s="9">
        <v>9</v>
      </c>
      <c r="D598" s="9">
        <v>17</v>
      </c>
      <c r="E598" s="9">
        <v>0</v>
      </c>
      <c r="F598" s="9">
        <v>0</v>
      </c>
      <c r="G598" s="13">
        <v>44978</v>
      </c>
    </row>
    <row r="599" spans="1:7" ht="14.5">
      <c r="A599" s="9" t="s">
        <v>13919</v>
      </c>
      <c r="B599" s="9">
        <v>8</v>
      </c>
      <c r="C599" s="9">
        <v>1</v>
      </c>
      <c r="D599" s="9">
        <v>8</v>
      </c>
      <c r="E599" s="9">
        <v>0</v>
      </c>
      <c r="F599" s="9">
        <v>0</v>
      </c>
      <c r="G599" s="13">
        <v>44978</v>
      </c>
    </row>
    <row r="600" spans="1:7" ht="14.5">
      <c r="A600" s="9" t="s">
        <v>13920</v>
      </c>
      <c r="B600" s="9">
        <v>24</v>
      </c>
      <c r="C600" s="9">
        <v>5</v>
      </c>
      <c r="D600" s="9">
        <v>0</v>
      </c>
      <c r="E600" s="9">
        <v>0</v>
      </c>
      <c r="F600" s="9">
        <v>0</v>
      </c>
      <c r="G600" s="13">
        <v>44978</v>
      </c>
    </row>
    <row r="601" spans="1:7" ht="14.5">
      <c r="A601" s="9" t="s">
        <v>13921</v>
      </c>
      <c r="B601" s="9">
        <v>46</v>
      </c>
      <c r="C601" s="9">
        <v>10</v>
      </c>
      <c r="D601" s="9">
        <v>7</v>
      </c>
      <c r="E601" s="9">
        <v>0</v>
      </c>
      <c r="F601" s="9">
        <v>0</v>
      </c>
      <c r="G601" s="13">
        <v>44978</v>
      </c>
    </row>
    <row r="602" spans="1:7" ht="14.5">
      <c r="A602" s="9" t="s">
        <v>13922</v>
      </c>
      <c r="B602" s="9">
        <v>16</v>
      </c>
      <c r="C602" s="9">
        <v>8</v>
      </c>
      <c r="D602" s="9">
        <v>0</v>
      </c>
      <c r="E602" s="9">
        <v>0</v>
      </c>
      <c r="F602" s="9">
        <v>0</v>
      </c>
      <c r="G602" s="13">
        <v>44978</v>
      </c>
    </row>
    <row r="603" spans="1:7" ht="14.5">
      <c r="A603" s="9" t="s">
        <v>13923</v>
      </c>
      <c r="B603" s="9">
        <v>25</v>
      </c>
      <c r="C603" s="9">
        <v>13</v>
      </c>
      <c r="D603" s="9">
        <v>0</v>
      </c>
      <c r="E603" s="9">
        <v>0</v>
      </c>
      <c r="F603" s="9">
        <v>0</v>
      </c>
      <c r="G603" s="13">
        <v>44978</v>
      </c>
    </row>
    <row r="604" spans="1:7" ht="14.5">
      <c r="A604" s="9" t="s">
        <v>13924</v>
      </c>
      <c r="B604" s="9">
        <v>36</v>
      </c>
      <c r="C604" s="9">
        <v>15</v>
      </c>
      <c r="D604" s="9">
        <v>5</v>
      </c>
      <c r="E604" s="9">
        <v>0</v>
      </c>
      <c r="F604" s="9">
        <v>1</v>
      </c>
      <c r="G604" s="13">
        <v>44978</v>
      </c>
    </row>
    <row r="605" spans="1:7" ht="14.5">
      <c r="A605" s="9" t="s">
        <v>13925</v>
      </c>
      <c r="B605" s="9">
        <v>61</v>
      </c>
      <c r="C605" s="9">
        <v>8</v>
      </c>
      <c r="D605" s="9">
        <v>6</v>
      </c>
      <c r="E605" s="9">
        <v>0</v>
      </c>
      <c r="F605" s="9">
        <v>0</v>
      </c>
      <c r="G605" s="13">
        <v>44978</v>
      </c>
    </row>
    <row r="606" spans="1:7" ht="14.5">
      <c r="A606" s="9" t="s">
        <v>13926</v>
      </c>
      <c r="B606" s="9">
        <v>14</v>
      </c>
      <c r="C606" s="9">
        <v>1</v>
      </c>
      <c r="D606" s="9">
        <v>6</v>
      </c>
      <c r="E606" s="9">
        <v>0</v>
      </c>
      <c r="F606" s="9">
        <v>0</v>
      </c>
      <c r="G606" s="13">
        <v>44978</v>
      </c>
    </row>
    <row r="607" spans="1:7" ht="14.5">
      <c r="A607" s="9" t="s">
        <v>13927</v>
      </c>
      <c r="B607" s="9">
        <v>50</v>
      </c>
      <c r="C607" s="9">
        <v>16</v>
      </c>
      <c r="D607" s="9">
        <v>2</v>
      </c>
      <c r="E607" s="9">
        <v>0</v>
      </c>
      <c r="F607" s="9">
        <v>0</v>
      </c>
      <c r="G607" s="13">
        <v>44978</v>
      </c>
    </row>
    <row r="608" spans="1:7" ht="14.5">
      <c r="A608" s="9" t="s">
        <v>13928</v>
      </c>
      <c r="B608" s="9">
        <v>2</v>
      </c>
      <c r="C608" s="9">
        <v>0</v>
      </c>
      <c r="D608" s="9">
        <v>0</v>
      </c>
      <c r="E608" s="9">
        <v>0</v>
      </c>
      <c r="F608" s="9">
        <v>0</v>
      </c>
      <c r="G608" s="13">
        <v>44978</v>
      </c>
    </row>
    <row r="609" spans="1:7" ht="14.5">
      <c r="A609" s="9" t="s">
        <v>13929</v>
      </c>
      <c r="B609" s="9">
        <v>15</v>
      </c>
      <c r="C609" s="9">
        <v>9</v>
      </c>
      <c r="D609" s="9">
        <v>6</v>
      </c>
      <c r="E609" s="9">
        <v>0</v>
      </c>
      <c r="F609" s="9">
        <v>0</v>
      </c>
      <c r="G609" s="13">
        <v>44978</v>
      </c>
    </row>
    <row r="610" spans="1:7" ht="14.5">
      <c r="A610" s="9" t="s">
        <v>13930</v>
      </c>
      <c r="B610" s="9">
        <v>15</v>
      </c>
      <c r="C610" s="9">
        <v>3</v>
      </c>
      <c r="D610" s="9">
        <v>0</v>
      </c>
      <c r="E610" s="9">
        <v>0</v>
      </c>
      <c r="F610" s="9">
        <v>0</v>
      </c>
      <c r="G610" s="13">
        <v>44978</v>
      </c>
    </row>
    <row r="611" spans="1:7" ht="14.5">
      <c r="A611" s="9" t="s">
        <v>13931</v>
      </c>
      <c r="B611" s="9">
        <v>41</v>
      </c>
      <c r="C611" s="9">
        <v>10</v>
      </c>
      <c r="D611" s="9">
        <v>14</v>
      </c>
      <c r="E611" s="9">
        <v>0</v>
      </c>
      <c r="F611" s="9">
        <v>1</v>
      </c>
      <c r="G611" s="13">
        <v>44978</v>
      </c>
    </row>
    <row r="612" spans="1:7" ht="14.5">
      <c r="A612" s="9" t="s">
        <v>13932</v>
      </c>
      <c r="B612" s="9">
        <v>23</v>
      </c>
      <c r="C612" s="9">
        <v>61</v>
      </c>
      <c r="D612" s="9">
        <v>11</v>
      </c>
      <c r="E612" s="9">
        <v>0</v>
      </c>
      <c r="F612" s="9">
        <v>0</v>
      </c>
      <c r="G612" s="13">
        <v>44978</v>
      </c>
    </row>
    <row r="613" spans="1:7" ht="14.5">
      <c r="A613" s="9" t="s">
        <v>13933</v>
      </c>
      <c r="B613" s="9">
        <v>33</v>
      </c>
      <c r="C613" s="9">
        <v>11</v>
      </c>
      <c r="D613" s="9">
        <v>13</v>
      </c>
      <c r="E613" s="9">
        <v>0</v>
      </c>
      <c r="F613" s="9">
        <v>0</v>
      </c>
      <c r="G613" s="13">
        <v>44978</v>
      </c>
    </row>
    <row r="614" spans="1:7" ht="14.5">
      <c r="A614" s="9" t="s">
        <v>13934</v>
      </c>
      <c r="B614" s="9">
        <v>21</v>
      </c>
      <c r="C614" s="9">
        <v>13</v>
      </c>
      <c r="D614" s="9">
        <v>28</v>
      </c>
      <c r="E614" s="9">
        <v>0</v>
      </c>
      <c r="F614" s="9">
        <v>0</v>
      </c>
      <c r="G614" s="13">
        <v>44978</v>
      </c>
    </row>
    <row r="615" spans="1:7" ht="14.5">
      <c r="A615" s="9" t="s">
        <v>13935</v>
      </c>
      <c r="B615" s="9">
        <v>23</v>
      </c>
      <c r="C615" s="9">
        <v>9</v>
      </c>
      <c r="D615" s="9">
        <v>7</v>
      </c>
      <c r="E615" s="9">
        <v>0</v>
      </c>
      <c r="F615" s="9">
        <v>0</v>
      </c>
      <c r="G615" s="13">
        <v>44978</v>
      </c>
    </row>
    <row r="616" spans="1:7" ht="14.5">
      <c r="A616" s="9" t="s">
        <v>13936</v>
      </c>
      <c r="B616" s="9">
        <v>14</v>
      </c>
      <c r="C616" s="9">
        <v>7</v>
      </c>
      <c r="D616" s="9">
        <v>7</v>
      </c>
      <c r="E616" s="9">
        <v>0</v>
      </c>
      <c r="F616" s="9">
        <v>0</v>
      </c>
      <c r="G616" s="13">
        <v>44978</v>
      </c>
    </row>
    <row r="617" spans="1:7" ht="14.5">
      <c r="A617" s="9" t="s">
        <v>13937</v>
      </c>
      <c r="B617" s="9">
        <v>52</v>
      </c>
      <c r="C617" s="9">
        <v>34</v>
      </c>
      <c r="D617" s="9">
        <v>15</v>
      </c>
      <c r="E617" s="9">
        <v>0</v>
      </c>
      <c r="F617" s="9">
        <v>0</v>
      </c>
      <c r="G617" s="13">
        <v>44978</v>
      </c>
    </row>
    <row r="618" spans="1:7" ht="14.5">
      <c r="A618" s="9" t="s">
        <v>13938</v>
      </c>
      <c r="B618" s="9">
        <v>34</v>
      </c>
      <c r="C618" s="9">
        <v>14</v>
      </c>
      <c r="D618" s="9">
        <v>14</v>
      </c>
      <c r="E618" s="9">
        <v>0</v>
      </c>
      <c r="F618" s="9">
        <v>0</v>
      </c>
      <c r="G618" s="13">
        <v>44978</v>
      </c>
    </row>
    <row r="619" spans="1:7" ht="14.5">
      <c r="A619" s="9" t="s">
        <v>13939</v>
      </c>
      <c r="B619" s="9">
        <v>18</v>
      </c>
      <c r="C619" s="9">
        <v>12</v>
      </c>
      <c r="D619" s="9">
        <v>11</v>
      </c>
      <c r="E619" s="9">
        <v>0</v>
      </c>
      <c r="F619" s="9">
        <v>0</v>
      </c>
      <c r="G619" s="13">
        <v>44978</v>
      </c>
    </row>
    <row r="620" spans="1:7" ht="14.5">
      <c r="A620" s="9" t="s">
        <v>13940</v>
      </c>
      <c r="B620" s="9">
        <v>20</v>
      </c>
      <c r="C620" s="9">
        <v>8</v>
      </c>
      <c r="D620" s="9">
        <v>0</v>
      </c>
      <c r="E620" s="9">
        <v>0</v>
      </c>
      <c r="F620" s="9">
        <v>0</v>
      </c>
      <c r="G620" s="13">
        <v>44978</v>
      </c>
    </row>
    <row r="621" spans="1:7" ht="14.5">
      <c r="A621" s="9" t="s">
        <v>13941</v>
      </c>
      <c r="B621" s="9">
        <v>17</v>
      </c>
      <c r="C621" s="9">
        <v>9</v>
      </c>
      <c r="D621" s="9">
        <v>6</v>
      </c>
      <c r="E621" s="9">
        <v>0</v>
      </c>
      <c r="F621" s="9">
        <v>0</v>
      </c>
      <c r="G621" s="13">
        <v>44978</v>
      </c>
    </row>
    <row r="622" spans="1:7" ht="14.5">
      <c r="A622" s="9" t="s">
        <v>13942</v>
      </c>
      <c r="B622" s="9">
        <v>50</v>
      </c>
      <c r="C622" s="9">
        <v>68</v>
      </c>
      <c r="D622" s="9">
        <v>11</v>
      </c>
      <c r="E622" s="9">
        <v>0</v>
      </c>
      <c r="F622" s="9">
        <v>0</v>
      </c>
      <c r="G622" s="13">
        <v>44978</v>
      </c>
    </row>
    <row r="623" spans="1:7" ht="14.5">
      <c r="A623" s="9" t="s">
        <v>13943</v>
      </c>
      <c r="B623" s="9">
        <v>30</v>
      </c>
      <c r="C623" s="9">
        <v>69</v>
      </c>
      <c r="D623" s="9">
        <v>43</v>
      </c>
      <c r="E623" s="9">
        <v>0</v>
      </c>
      <c r="F623" s="9">
        <v>0</v>
      </c>
      <c r="G623" s="13">
        <v>44978</v>
      </c>
    </row>
    <row r="624" spans="1:7" ht="14.5">
      <c r="A624" s="9" t="s">
        <v>13944</v>
      </c>
      <c r="B624" s="9">
        <v>42</v>
      </c>
      <c r="C624" s="9">
        <v>41</v>
      </c>
      <c r="D624" s="9">
        <v>9</v>
      </c>
      <c r="E624" s="9">
        <v>0</v>
      </c>
      <c r="F624" s="9">
        <v>0</v>
      </c>
      <c r="G624" s="13">
        <v>44978</v>
      </c>
    </row>
    <row r="625" spans="1:7" ht="14.5">
      <c r="A625" s="9" t="s">
        <v>13945</v>
      </c>
      <c r="B625" s="9">
        <v>9</v>
      </c>
      <c r="C625" s="9">
        <v>9</v>
      </c>
      <c r="D625" s="9">
        <v>15</v>
      </c>
      <c r="E625" s="9">
        <v>0</v>
      </c>
      <c r="F625" s="9">
        <v>0</v>
      </c>
      <c r="G625" s="13">
        <v>44978</v>
      </c>
    </row>
    <row r="626" spans="1:7" ht="14.5">
      <c r="A626" s="9" t="s">
        <v>13946</v>
      </c>
      <c r="B626" s="9">
        <v>6</v>
      </c>
      <c r="C626" s="9">
        <v>13</v>
      </c>
      <c r="D626" s="9">
        <v>10</v>
      </c>
      <c r="E626" s="9">
        <v>0</v>
      </c>
      <c r="F626" s="9">
        <v>0</v>
      </c>
      <c r="G626" s="13">
        <v>44978</v>
      </c>
    </row>
    <row r="627" spans="1:7" ht="14.5">
      <c r="A627" s="9" t="s">
        <v>13947</v>
      </c>
      <c r="B627" s="9">
        <v>5</v>
      </c>
      <c r="C627" s="9">
        <v>2</v>
      </c>
      <c r="D627" s="9">
        <v>15</v>
      </c>
      <c r="E627" s="9">
        <v>0</v>
      </c>
      <c r="F627" s="9">
        <v>0</v>
      </c>
      <c r="G627" s="13">
        <v>44978</v>
      </c>
    </row>
    <row r="628" spans="1:7" ht="14.5">
      <c r="A628" s="9" t="s">
        <v>13948</v>
      </c>
      <c r="B628" s="9">
        <v>19</v>
      </c>
      <c r="C628" s="9">
        <v>8</v>
      </c>
      <c r="D628" s="9">
        <v>9</v>
      </c>
      <c r="E628" s="9">
        <v>0</v>
      </c>
      <c r="F628" s="9">
        <v>1</v>
      </c>
      <c r="G628" s="13">
        <v>44978</v>
      </c>
    </row>
    <row r="629" spans="1:7" ht="14.5">
      <c r="A629" s="9" t="s">
        <v>13949</v>
      </c>
      <c r="B629" s="9">
        <v>42</v>
      </c>
      <c r="C629" s="9">
        <v>44</v>
      </c>
      <c r="D629" s="9">
        <v>6</v>
      </c>
      <c r="E629" s="9">
        <v>0</v>
      </c>
      <c r="F629" s="9">
        <v>0</v>
      </c>
      <c r="G629" s="13">
        <v>44978</v>
      </c>
    </row>
    <row r="630" spans="1:7" ht="14.5">
      <c r="A630" s="9" t="s">
        <v>13950</v>
      </c>
      <c r="B630" s="9">
        <v>90</v>
      </c>
      <c r="C630" s="9">
        <v>55</v>
      </c>
      <c r="D630" s="9">
        <v>13</v>
      </c>
      <c r="E630" s="9">
        <v>0</v>
      </c>
      <c r="F630" s="9">
        <v>0</v>
      </c>
      <c r="G630" s="13">
        <v>44978</v>
      </c>
    </row>
    <row r="631" spans="1:7" ht="14.5">
      <c r="A631" s="9" t="s">
        <v>13951</v>
      </c>
      <c r="B631" s="9">
        <v>23</v>
      </c>
      <c r="C631" s="9">
        <v>12</v>
      </c>
      <c r="D631" s="9">
        <v>11</v>
      </c>
      <c r="E631" s="9">
        <v>0</v>
      </c>
      <c r="F631" s="9">
        <v>0</v>
      </c>
      <c r="G631" s="13">
        <v>44978</v>
      </c>
    </row>
    <row r="632" spans="1:7" ht="14.5">
      <c r="A632" s="9" t="s">
        <v>13952</v>
      </c>
      <c r="B632" s="9">
        <v>26</v>
      </c>
      <c r="C632" s="9">
        <v>56</v>
      </c>
      <c r="D632" s="9">
        <v>2</v>
      </c>
      <c r="E632" s="9">
        <v>0</v>
      </c>
      <c r="F632" s="9">
        <v>0</v>
      </c>
      <c r="G632" s="13">
        <v>44978</v>
      </c>
    </row>
    <row r="633" spans="1:7" ht="14.5">
      <c r="A633" s="9" t="s">
        <v>13953</v>
      </c>
      <c r="B633" s="9">
        <v>31</v>
      </c>
      <c r="C633" s="9">
        <v>9</v>
      </c>
      <c r="D633" s="9">
        <v>31</v>
      </c>
      <c r="E633" s="9">
        <v>0</v>
      </c>
      <c r="F633" s="9">
        <v>3</v>
      </c>
      <c r="G633" s="13">
        <v>44978</v>
      </c>
    </row>
    <row r="634" spans="1:7" ht="14.5">
      <c r="A634" s="9" t="s">
        <v>13954</v>
      </c>
      <c r="B634" s="9">
        <v>53</v>
      </c>
      <c r="C634" s="9">
        <v>26</v>
      </c>
      <c r="D634" s="9">
        <v>19</v>
      </c>
      <c r="E634" s="9">
        <v>0</v>
      </c>
      <c r="F634" s="9">
        <v>0</v>
      </c>
      <c r="G634" s="13">
        <v>44978</v>
      </c>
    </row>
    <row r="635" spans="1:7" ht="14.5">
      <c r="A635" s="9" t="s">
        <v>13955</v>
      </c>
      <c r="B635" s="9">
        <v>64</v>
      </c>
      <c r="C635" s="9">
        <v>32</v>
      </c>
      <c r="D635" s="9">
        <v>0</v>
      </c>
      <c r="E635" s="9">
        <v>0</v>
      </c>
      <c r="F635" s="9">
        <v>0</v>
      </c>
      <c r="G635" s="13">
        <v>44978</v>
      </c>
    </row>
    <row r="636" spans="1:7" ht="14.5">
      <c r="A636" s="9" t="s">
        <v>13956</v>
      </c>
      <c r="B636" s="9">
        <v>52</v>
      </c>
      <c r="C636" s="9">
        <v>8</v>
      </c>
      <c r="D636" s="9">
        <v>24</v>
      </c>
      <c r="E636" s="9">
        <v>0</v>
      </c>
      <c r="F636" s="9">
        <v>0</v>
      </c>
      <c r="G636" s="13">
        <v>44978</v>
      </c>
    </row>
    <row r="637" spans="1:7" ht="14.5">
      <c r="A637" s="9" t="s">
        <v>13957</v>
      </c>
      <c r="B637" s="9">
        <v>30</v>
      </c>
      <c r="C637" s="9">
        <v>9</v>
      </c>
      <c r="D637" s="9">
        <v>11</v>
      </c>
      <c r="E637" s="9">
        <v>0</v>
      </c>
      <c r="F637" s="9">
        <v>0</v>
      </c>
      <c r="G637" s="13">
        <v>44978</v>
      </c>
    </row>
    <row r="638" spans="1:7" ht="14.5">
      <c r="A638" s="9" t="s">
        <v>13958</v>
      </c>
      <c r="B638" s="9">
        <v>63</v>
      </c>
      <c r="C638" s="9">
        <v>24</v>
      </c>
      <c r="D638" s="9">
        <v>14</v>
      </c>
      <c r="E638" s="9">
        <v>0</v>
      </c>
      <c r="F638" s="9">
        <v>1</v>
      </c>
      <c r="G638" s="13">
        <v>44978</v>
      </c>
    </row>
    <row r="639" spans="1:7" ht="14.5">
      <c r="A639" s="9" t="s">
        <v>13959</v>
      </c>
      <c r="B639" s="9">
        <v>42</v>
      </c>
      <c r="C639" s="9">
        <v>27</v>
      </c>
      <c r="D639" s="9">
        <v>10</v>
      </c>
      <c r="E639" s="9">
        <v>0</v>
      </c>
      <c r="F639" s="9">
        <v>0</v>
      </c>
      <c r="G639" s="13">
        <v>44978</v>
      </c>
    </row>
    <row r="640" spans="1:7" ht="14.5">
      <c r="A640" s="9" t="s">
        <v>13960</v>
      </c>
      <c r="B640" s="9">
        <v>40</v>
      </c>
      <c r="C640" s="9">
        <v>19</v>
      </c>
      <c r="D640" s="9">
        <v>12</v>
      </c>
      <c r="E640" s="9">
        <v>0</v>
      </c>
      <c r="F640" s="9">
        <v>0</v>
      </c>
      <c r="G640" s="13">
        <v>44978</v>
      </c>
    </row>
    <row r="641" spans="1:7" ht="14.5">
      <c r="A641" s="9" t="s">
        <v>13961</v>
      </c>
      <c r="B641" s="9">
        <v>54</v>
      </c>
      <c r="C641" s="9">
        <v>68</v>
      </c>
      <c r="D641" s="9">
        <v>12</v>
      </c>
      <c r="E641" s="9">
        <v>0</v>
      </c>
      <c r="F641" s="9">
        <v>0</v>
      </c>
      <c r="G641" s="13">
        <v>44978</v>
      </c>
    </row>
    <row r="642" spans="1:7" ht="14.5">
      <c r="A642" s="9" t="s">
        <v>13962</v>
      </c>
      <c r="B642" s="9">
        <v>47</v>
      </c>
      <c r="C642" s="9">
        <v>14</v>
      </c>
      <c r="D642" s="9">
        <v>7</v>
      </c>
      <c r="E642" s="9">
        <v>0</v>
      </c>
      <c r="F642" s="9">
        <v>0</v>
      </c>
      <c r="G642" s="13">
        <v>44978</v>
      </c>
    </row>
    <row r="643" spans="1:7" ht="14.5">
      <c r="A643" s="9" t="s">
        <v>13963</v>
      </c>
      <c r="B643" s="9">
        <v>76</v>
      </c>
      <c r="C643" s="9">
        <v>47</v>
      </c>
      <c r="D643" s="9">
        <v>36</v>
      </c>
      <c r="E643" s="9">
        <v>0</v>
      </c>
      <c r="F643" s="9">
        <v>0</v>
      </c>
      <c r="G643" s="13">
        <v>44978</v>
      </c>
    </row>
    <row r="644" spans="1:7" ht="14.5">
      <c r="A644" s="9" t="s">
        <v>13964</v>
      </c>
      <c r="B644" s="9">
        <v>23</v>
      </c>
      <c r="C644" s="9">
        <v>12</v>
      </c>
      <c r="D644" s="9">
        <v>13</v>
      </c>
      <c r="E644" s="9">
        <v>0</v>
      </c>
      <c r="F644" s="9">
        <v>0</v>
      </c>
      <c r="G644" s="13">
        <v>44978</v>
      </c>
    </row>
    <row r="645" spans="1:7" ht="14.5">
      <c r="A645" s="9" t="s">
        <v>13965</v>
      </c>
      <c r="B645" s="9">
        <v>52</v>
      </c>
      <c r="C645" s="9">
        <v>31</v>
      </c>
      <c r="D645" s="9">
        <v>0</v>
      </c>
      <c r="E645" s="9">
        <v>0</v>
      </c>
      <c r="F645" s="9">
        <v>0</v>
      </c>
      <c r="G645" s="13">
        <v>44978</v>
      </c>
    </row>
    <row r="646" spans="1:7" ht="14.5">
      <c r="A646" s="9" t="s">
        <v>13966</v>
      </c>
      <c r="B646" s="9">
        <v>11</v>
      </c>
      <c r="C646" s="9">
        <v>23</v>
      </c>
      <c r="D646" s="9">
        <v>16</v>
      </c>
      <c r="E646" s="9">
        <v>0</v>
      </c>
      <c r="F646" s="9">
        <v>0</v>
      </c>
      <c r="G646" s="13">
        <v>44978</v>
      </c>
    </row>
    <row r="647" spans="1:7" ht="14.5">
      <c r="A647" s="9" t="s">
        <v>13967</v>
      </c>
      <c r="B647" s="9">
        <v>28</v>
      </c>
      <c r="C647" s="9">
        <v>12</v>
      </c>
      <c r="D647" s="9">
        <v>12</v>
      </c>
      <c r="E647" s="9">
        <v>0</v>
      </c>
      <c r="F647" s="9">
        <v>0</v>
      </c>
      <c r="G647" s="13">
        <v>44978</v>
      </c>
    </row>
    <row r="648" spans="1:7" ht="14.5">
      <c r="A648" s="9" t="s">
        <v>13968</v>
      </c>
      <c r="B648" s="9">
        <v>10</v>
      </c>
      <c r="C648" s="9">
        <v>3</v>
      </c>
      <c r="D648" s="9">
        <v>4</v>
      </c>
      <c r="E648" s="9">
        <v>0</v>
      </c>
      <c r="F648" s="9">
        <v>0</v>
      </c>
      <c r="G648" s="13">
        <v>44978</v>
      </c>
    </row>
    <row r="649" spans="1:7" ht="14.5">
      <c r="A649" s="9" t="s">
        <v>13969</v>
      </c>
      <c r="B649" s="9">
        <v>11</v>
      </c>
      <c r="C649" s="9">
        <v>8</v>
      </c>
      <c r="D649" s="9">
        <v>0</v>
      </c>
      <c r="E649" s="9">
        <v>0</v>
      </c>
      <c r="F649" s="9">
        <v>0</v>
      </c>
      <c r="G649" s="13">
        <v>44978</v>
      </c>
    </row>
    <row r="650" spans="1:7" ht="14.5">
      <c r="A650" s="9" t="s">
        <v>13970</v>
      </c>
      <c r="B650" s="9">
        <v>82</v>
      </c>
      <c r="C650" s="9">
        <v>66</v>
      </c>
      <c r="D650" s="9">
        <v>21</v>
      </c>
      <c r="E650" s="9">
        <v>0</v>
      </c>
      <c r="F650" s="9">
        <v>0</v>
      </c>
      <c r="G650" s="13">
        <v>44978</v>
      </c>
    </row>
    <row r="651" spans="1:7" ht="14.5">
      <c r="A651" s="9" t="s">
        <v>13971</v>
      </c>
      <c r="B651" s="9">
        <v>21</v>
      </c>
      <c r="C651" s="9">
        <v>6</v>
      </c>
      <c r="D651" s="9">
        <v>0</v>
      </c>
      <c r="E651" s="9">
        <v>0</v>
      </c>
      <c r="F651" s="9">
        <v>0</v>
      </c>
      <c r="G651" s="13">
        <v>44978</v>
      </c>
    </row>
    <row r="652" spans="1:7" ht="14.5">
      <c r="A652" s="9" t="s">
        <v>13972</v>
      </c>
      <c r="B652" s="9">
        <v>94</v>
      </c>
      <c r="C652" s="9">
        <v>13</v>
      </c>
      <c r="D652" s="9">
        <v>10</v>
      </c>
      <c r="E652" s="9">
        <v>10</v>
      </c>
      <c r="F652" s="9">
        <v>0</v>
      </c>
      <c r="G652" s="13">
        <v>44978</v>
      </c>
    </row>
    <row r="653" spans="1:7" ht="14.5">
      <c r="A653" s="9" t="s">
        <v>13973</v>
      </c>
      <c r="B653" s="9">
        <v>15</v>
      </c>
      <c r="C653" s="9">
        <v>54</v>
      </c>
      <c r="D653" s="9">
        <v>2</v>
      </c>
      <c r="E653" s="9">
        <v>0</v>
      </c>
      <c r="F653" s="9">
        <v>0</v>
      </c>
      <c r="G653" s="13">
        <v>44978</v>
      </c>
    </row>
    <row r="654" spans="1:7" ht="14.5">
      <c r="A654" s="9" t="s">
        <v>13974</v>
      </c>
      <c r="B654" s="9">
        <v>12</v>
      </c>
      <c r="C654" s="9">
        <v>5</v>
      </c>
      <c r="D654" s="9">
        <v>4</v>
      </c>
      <c r="E654" s="9">
        <v>0</v>
      </c>
      <c r="F654" s="9">
        <v>0</v>
      </c>
      <c r="G654" s="13">
        <v>44978</v>
      </c>
    </row>
    <row r="655" spans="1:7" ht="14.5">
      <c r="A655" s="9" t="s">
        <v>13975</v>
      </c>
      <c r="B655" s="9">
        <v>30</v>
      </c>
      <c r="C655" s="9">
        <v>8</v>
      </c>
      <c r="D655" s="9">
        <v>31</v>
      </c>
      <c r="E655" s="9">
        <v>0</v>
      </c>
      <c r="F655" s="9">
        <v>0</v>
      </c>
      <c r="G655" s="13">
        <v>44978</v>
      </c>
    </row>
    <row r="656" spans="1:7" ht="14.5">
      <c r="A656" s="9" t="s">
        <v>13976</v>
      </c>
      <c r="B656" s="9">
        <v>23</v>
      </c>
      <c r="C656" s="9">
        <v>15</v>
      </c>
      <c r="D656" s="9">
        <v>0</v>
      </c>
      <c r="E656" s="9">
        <v>0</v>
      </c>
      <c r="F656" s="9">
        <v>0</v>
      </c>
      <c r="G656" s="13">
        <v>44978</v>
      </c>
    </row>
    <row r="657" spans="1:7" ht="14.5">
      <c r="A657" s="9" t="s">
        <v>13977</v>
      </c>
      <c r="B657" s="9">
        <v>39</v>
      </c>
      <c r="C657" s="9">
        <v>5</v>
      </c>
      <c r="D657" s="9">
        <v>46</v>
      </c>
      <c r="E657" s="9">
        <v>0</v>
      </c>
      <c r="F657" s="9">
        <v>4</v>
      </c>
      <c r="G657" s="13">
        <v>44978</v>
      </c>
    </row>
    <row r="658" spans="1:7" ht="14.5">
      <c r="A658" s="9" t="s">
        <v>13978</v>
      </c>
      <c r="B658" s="9">
        <v>102</v>
      </c>
      <c r="C658" s="9">
        <v>24</v>
      </c>
      <c r="D658" s="9">
        <v>18</v>
      </c>
      <c r="E658" s="9">
        <v>1</v>
      </c>
      <c r="F658" s="9">
        <v>0</v>
      </c>
      <c r="G658" s="13">
        <v>44978</v>
      </c>
    </row>
    <row r="659" spans="1:7" ht="14.5">
      <c r="A659" s="9" t="s">
        <v>46</v>
      </c>
      <c r="B659" s="9">
        <v>41</v>
      </c>
      <c r="C659" s="9">
        <v>17</v>
      </c>
      <c r="D659" s="9">
        <v>19</v>
      </c>
      <c r="E659" s="9">
        <v>741</v>
      </c>
      <c r="F659" s="9">
        <v>0</v>
      </c>
      <c r="G659" s="13">
        <v>44978</v>
      </c>
    </row>
    <row r="660" spans="1:7" ht="14.5">
      <c r="A660" s="9" t="s">
        <v>61</v>
      </c>
      <c r="B660" s="9">
        <v>62</v>
      </c>
      <c r="C660" s="9">
        <v>23</v>
      </c>
      <c r="D660" s="9">
        <v>1</v>
      </c>
      <c r="E660" s="9">
        <v>161</v>
      </c>
      <c r="F660" s="9">
        <v>0</v>
      </c>
      <c r="G660" s="13">
        <v>44978</v>
      </c>
    </row>
    <row r="661" spans="1:7" ht="14.5">
      <c r="A661" s="9" t="s">
        <v>63</v>
      </c>
      <c r="B661" s="9">
        <v>8</v>
      </c>
      <c r="C661" s="9">
        <v>1</v>
      </c>
      <c r="D661" s="9">
        <v>17</v>
      </c>
      <c r="E661" s="9">
        <v>207</v>
      </c>
      <c r="F661" s="9">
        <v>0</v>
      </c>
      <c r="G661" s="13">
        <v>44978</v>
      </c>
    </row>
    <row r="662" spans="1:7" ht="14.5">
      <c r="A662" s="9" t="s">
        <v>65</v>
      </c>
      <c r="B662" s="9">
        <v>46</v>
      </c>
      <c r="C662" s="9">
        <v>24</v>
      </c>
      <c r="D662" s="9">
        <v>20</v>
      </c>
      <c r="E662" s="9">
        <v>0</v>
      </c>
      <c r="F662" s="9">
        <v>0</v>
      </c>
      <c r="G662" s="13">
        <v>44978</v>
      </c>
    </row>
    <row r="663" spans="1:7" ht="14.5">
      <c r="A663" s="9" t="s">
        <v>13979</v>
      </c>
      <c r="B663" s="9">
        <v>29</v>
      </c>
      <c r="C663" s="9">
        <v>23</v>
      </c>
      <c r="D663" s="9">
        <v>5</v>
      </c>
      <c r="E663" s="9">
        <v>0</v>
      </c>
      <c r="F663" s="9">
        <v>0</v>
      </c>
      <c r="G663" s="13">
        <v>44978</v>
      </c>
    </row>
    <row r="664" spans="1:7" ht="14.5">
      <c r="A664" s="9" t="s">
        <v>13980</v>
      </c>
      <c r="B664" s="9">
        <v>21</v>
      </c>
      <c r="C664" s="9">
        <v>2</v>
      </c>
      <c r="D664" s="9">
        <v>12</v>
      </c>
      <c r="E664" s="9">
        <v>0</v>
      </c>
      <c r="F664" s="9">
        <v>0</v>
      </c>
      <c r="G664" s="13">
        <v>44978</v>
      </c>
    </row>
    <row r="665" spans="1:7" ht="14.5">
      <c r="A665" s="9" t="s">
        <v>13981</v>
      </c>
      <c r="B665" s="9">
        <v>19</v>
      </c>
      <c r="C665" s="9">
        <v>6</v>
      </c>
      <c r="D665" s="9">
        <v>0</v>
      </c>
      <c r="E665" s="9">
        <v>0</v>
      </c>
      <c r="F665" s="9">
        <v>0</v>
      </c>
      <c r="G665" s="13">
        <v>44978</v>
      </c>
    </row>
    <row r="666" spans="1:7" ht="14.5">
      <c r="A666" s="9" t="s">
        <v>13982</v>
      </c>
      <c r="B666" s="9">
        <v>19</v>
      </c>
      <c r="C666" s="9">
        <v>11</v>
      </c>
      <c r="D666" s="9">
        <v>9</v>
      </c>
      <c r="E666" s="9">
        <v>0</v>
      </c>
      <c r="F666" s="9">
        <v>0</v>
      </c>
      <c r="G666" s="13">
        <v>44978</v>
      </c>
    </row>
    <row r="667" spans="1:7" ht="14.5">
      <c r="A667" s="9" t="s">
        <v>13983</v>
      </c>
      <c r="B667" s="9">
        <v>86</v>
      </c>
      <c r="C667" s="9">
        <v>71</v>
      </c>
      <c r="D667" s="9">
        <v>8</v>
      </c>
      <c r="E667" s="9">
        <v>0</v>
      </c>
      <c r="F667" s="9">
        <v>1</v>
      </c>
      <c r="G667" s="13">
        <v>44978</v>
      </c>
    </row>
    <row r="668" spans="1:7" ht="14.5">
      <c r="A668" s="9" t="s">
        <v>13984</v>
      </c>
      <c r="B668" s="9">
        <v>108</v>
      </c>
      <c r="C668" s="9">
        <v>61</v>
      </c>
      <c r="D668" s="9">
        <v>13</v>
      </c>
      <c r="E668" s="9">
        <v>0</v>
      </c>
      <c r="F668" s="9">
        <v>0</v>
      </c>
      <c r="G668" s="13">
        <v>44978</v>
      </c>
    </row>
    <row r="669" spans="1:7" ht="14.5">
      <c r="A669" s="9" t="s">
        <v>13985</v>
      </c>
      <c r="B669" s="9">
        <v>9</v>
      </c>
      <c r="C669" s="9">
        <v>0</v>
      </c>
      <c r="D669" s="9">
        <v>3</v>
      </c>
      <c r="E669" s="9">
        <v>0</v>
      </c>
      <c r="F669" s="9">
        <v>0</v>
      </c>
      <c r="G669" s="13">
        <v>44978</v>
      </c>
    </row>
    <row r="670" spans="1:7" ht="14.5">
      <c r="A670" s="9" t="s">
        <v>13986</v>
      </c>
      <c r="B670" s="9">
        <v>15</v>
      </c>
      <c r="C670" s="9">
        <v>9</v>
      </c>
      <c r="D670" s="9">
        <v>9</v>
      </c>
      <c r="E670" s="9">
        <v>0</v>
      </c>
      <c r="F670" s="9">
        <v>0</v>
      </c>
      <c r="G670" s="13">
        <v>44978</v>
      </c>
    </row>
    <row r="671" spans="1:7" ht="14.5">
      <c r="A671" s="9" t="s">
        <v>13987</v>
      </c>
      <c r="B671" s="9">
        <v>20</v>
      </c>
      <c r="C671" s="9">
        <v>4</v>
      </c>
      <c r="D671" s="9">
        <v>0</v>
      </c>
      <c r="E671" s="9">
        <v>0</v>
      </c>
      <c r="F671" s="9">
        <v>0</v>
      </c>
      <c r="G671" s="13">
        <v>44978</v>
      </c>
    </row>
    <row r="672" spans="1:7" ht="14.5">
      <c r="A672" s="9" t="s">
        <v>13988</v>
      </c>
      <c r="B672" s="9">
        <v>14</v>
      </c>
      <c r="C672" s="9">
        <v>3</v>
      </c>
      <c r="D672" s="9">
        <v>14</v>
      </c>
      <c r="E672" s="9">
        <v>0</v>
      </c>
      <c r="F672" s="9">
        <v>0</v>
      </c>
      <c r="G672" s="13">
        <v>44978</v>
      </c>
    </row>
    <row r="673" spans="1:7" ht="14.5">
      <c r="A673" s="9" t="s">
        <v>13989</v>
      </c>
      <c r="B673" s="9">
        <v>17</v>
      </c>
      <c r="C673" s="9">
        <v>8</v>
      </c>
      <c r="D673" s="9">
        <v>0</v>
      </c>
      <c r="E673" s="9">
        <v>0</v>
      </c>
      <c r="F673" s="9">
        <v>0</v>
      </c>
      <c r="G673" s="13">
        <v>44978</v>
      </c>
    </row>
    <row r="674" spans="1:7" ht="14.5">
      <c r="A674" s="9" t="s">
        <v>13990</v>
      </c>
      <c r="B674" s="9">
        <v>10</v>
      </c>
      <c r="C674" s="9">
        <v>2</v>
      </c>
      <c r="D674" s="9">
        <v>6</v>
      </c>
      <c r="E674" s="9">
        <v>0</v>
      </c>
      <c r="F674" s="9">
        <v>3</v>
      </c>
      <c r="G674" s="13">
        <v>44978</v>
      </c>
    </row>
    <row r="675" spans="1:7" ht="14.5">
      <c r="A675" s="9" t="s">
        <v>13991</v>
      </c>
      <c r="B675" s="9">
        <v>39</v>
      </c>
      <c r="C675" s="9">
        <v>21</v>
      </c>
      <c r="D675" s="9">
        <v>1</v>
      </c>
      <c r="E675" s="9">
        <v>0</v>
      </c>
      <c r="F675" s="9">
        <v>0</v>
      </c>
      <c r="G675" s="13">
        <v>44978</v>
      </c>
    </row>
    <row r="676" spans="1:7" ht="14.5">
      <c r="A676" s="9" t="s">
        <v>13992</v>
      </c>
      <c r="B676" s="9">
        <v>8</v>
      </c>
      <c r="C676" s="9">
        <v>3</v>
      </c>
      <c r="D676" s="9">
        <v>22</v>
      </c>
      <c r="E676" s="9">
        <v>0</v>
      </c>
      <c r="F676" s="9">
        <v>0</v>
      </c>
      <c r="G676" s="13">
        <v>44978</v>
      </c>
    </row>
    <row r="677" spans="1:7" ht="14.5">
      <c r="A677" s="9" t="s">
        <v>13993</v>
      </c>
      <c r="B677" s="9">
        <v>98</v>
      </c>
      <c r="C677" s="9">
        <v>117</v>
      </c>
      <c r="D677" s="9">
        <v>21</v>
      </c>
      <c r="E677" s="9">
        <v>0</v>
      </c>
      <c r="F677" s="9">
        <v>0</v>
      </c>
      <c r="G677" s="13">
        <v>44978</v>
      </c>
    </row>
    <row r="678" spans="1:7" ht="14.5">
      <c r="A678" s="9" t="s">
        <v>13994</v>
      </c>
      <c r="B678" s="9">
        <v>46</v>
      </c>
      <c r="C678" s="9">
        <v>71</v>
      </c>
      <c r="D678" s="9">
        <v>20</v>
      </c>
      <c r="E678" s="9">
        <v>0</v>
      </c>
      <c r="F678" s="9">
        <v>0</v>
      </c>
      <c r="G678" s="13">
        <v>44978</v>
      </c>
    </row>
    <row r="679" spans="1:7" ht="14.5">
      <c r="A679" s="9" t="s">
        <v>67</v>
      </c>
      <c r="B679" s="9">
        <v>4</v>
      </c>
      <c r="C679" s="9">
        <v>1</v>
      </c>
      <c r="D679" s="9">
        <v>0</v>
      </c>
      <c r="E679" s="9">
        <v>0</v>
      </c>
      <c r="F679" s="9">
        <v>0</v>
      </c>
      <c r="G679" s="13">
        <v>44978</v>
      </c>
    </row>
    <row r="680" spans="1:7" ht="14.5">
      <c r="A680" s="9" t="s">
        <v>81</v>
      </c>
      <c r="B680" s="9">
        <v>12</v>
      </c>
      <c r="C680" s="9">
        <v>129</v>
      </c>
      <c r="D680" s="9">
        <v>7</v>
      </c>
      <c r="E680" s="9">
        <v>0</v>
      </c>
      <c r="F680" s="9">
        <v>0</v>
      </c>
      <c r="G680" s="13">
        <v>44978</v>
      </c>
    </row>
    <row r="681" spans="1:7" ht="14.5">
      <c r="A681" s="9" t="s">
        <v>90</v>
      </c>
      <c r="B681" s="9">
        <v>16</v>
      </c>
      <c r="C681" s="9">
        <v>1</v>
      </c>
      <c r="D681" s="9">
        <v>31</v>
      </c>
      <c r="E681" s="9">
        <v>0</v>
      </c>
      <c r="F681" s="9">
        <v>0</v>
      </c>
      <c r="G681" s="13">
        <v>44978</v>
      </c>
    </row>
    <row r="682" spans="1:7" ht="14.5">
      <c r="A682" s="9" t="s">
        <v>98</v>
      </c>
      <c r="B682" s="9">
        <v>5</v>
      </c>
      <c r="C682" s="9">
        <v>3</v>
      </c>
      <c r="D682" s="9">
        <v>18</v>
      </c>
      <c r="E682" s="9">
        <v>0</v>
      </c>
      <c r="F682" s="9">
        <v>0</v>
      </c>
      <c r="G682" s="13">
        <v>44978</v>
      </c>
    </row>
    <row r="683" spans="1:7" ht="14.5">
      <c r="A683" s="9" t="s">
        <v>103</v>
      </c>
      <c r="B683" s="9">
        <v>21</v>
      </c>
      <c r="C683" s="9">
        <v>5</v>
      </c>
      <c r="D683" s="9">
        <v>0</v>
      </c>
      <c r="E683" s="9">
        <v>0</v>
      </c>
      <c r="F683" s="9">
        <v>0</v>
      </c>
      <c r="G683" s="13">
        <v>44978</v>
      </c>
    </row>
    <row r="684" spans="1:7" ht="14.5">
      <c r="A684" s="9" t="s">
        <v>110</v>
      </c>
      <c r="B684" s="9">
        <v>19</v>
      </c>
      <c r="C684" s="9">
        <v>0</v>
      </c>
      <c r="D684" s="9">
        <v>8</v>
      </c>
      <c r="E684" s="9">
        <v>0</v>
      </c>
      <c r="F684" s="9">
        <v>0</v>
      </c>
      <c r="G684" s="13">
        <v>44978</v>
      </c>
    </row>
    <row r="685" spans="1:7" ht="14.5">
      <c r="A685" s="9" t="s">
        <v>114</v>
      </c>
      <c r="B685" s="9">
        <v>23</v>
      </c>
      <c r="C685" s="9">
        <v>2</v>
      </c>
      <c r="D685" s="9">
        <v>22</v>
      </c>
      <c r="E685" s="9">
        <v>0</v>
      </c>
      <c r="F685" s="9">
        <v>0</v>
      </c>
      <c r="G685" s="13">
        <v>44978</v>
      </c>
    </row>
    <row r="686" spans="1:7" ht="14.5">
      <c r="A686" s="9" t="s">
        <v>123</v>
      </c>
      <c r="B686" s="9">
        <v>0</v>
      </c>
      <c r="C686" s="9">
        <v>0</v>
      </c>
      <c r="D686" s="9">
        <v>0</v>
      </c>
      <c r="E686" s="9">
        <v>0</v>
      </c>
      <c r="F686" s="9">
        <v>0</v>
      </c>
      <c r="G686" s="13">
        <v>44978</v>
      </c>
    </row>
    <row r="687" spans="1:7" ht="14.5">
      <c r="A687" s="9" t="s">
        <v>131</v>
      </c>
      <c r="B687" s="9">
        <v>17</v>
      </c>
      <c r="C687" s="9">
        <v>2</v>
      </c>
      <c r="D687" s="9">
        <v>24</v>
      </c>
      <c r="E687" s="9">
        <v>0</v>
      </c>
      <c r="F687" s="9">
        <v>3</v>
      </c>
      <c r="G687" s="13">
        <v>44978</v>
      </c>
    </row>
    <row r="688" spans="1:7" ht="14.5">
      <c r="A688" s="9" t="s">
        <v>138</v>
      </c>
      <c r="B688" s="9">
        <v>25</v>
      </c>
      <c r="C688" s="9">
        <v>3</v>
      </c>
      <c r="D688" s="9">
        <v>3</v>
      </c>
      <c r="E688" s="9">
        <v>0</v>
      </c>
      <c r="F688" s="9">
        <v>0</v>
      </c>
      <c r="G688" s="13">
        <v>44978</v>
      </c>
    </row>
    <row r="689" spans="1:7" ht="14.5">
      <c r="A689" s="9" t="s">
        <v>146</v>
      </c>
      <c r="B689" s="9">
        <v>10</v>
      </c>
      <c r="C689" s="9">
        <v>0</v>
      </c>
      <c r="D689" s="9">
        <v>6</v>
      </c>
      <c r="E689" s="9">
        <v>0</v>
      </c>
      <c r="F689" s="9">
        <v>1</v>
      </c>
      <c r="G689" s="13">
        <v>44978</v>
      </c>
    </row>
    <row r="690" spans="1:7" ht="14.5">
      <c r="A690" s="9" t="s">
        <v>148</v>
      </c>
      <c r="B690" s="9">
        <v>6</v>
      </c>
      <c r="C690" s="9">
        <v>0</v>
      </c>
      <c r="D690" s="9">
        <v>12</v>
      </c>
      <c r="E690" s="9">
        <v>0</v>
      </c>
      <c r="F690" s="9">
        <v>0</v>
      </c>
      <c r="G690" s="13">
        <v>44978</v>
      </c>
    </row>
    <row r="691" spans="1:7" ht="14.5">
      <c r="A691" s="9" t="s">
        <v>153</v>
      </c>
      <c r="B691" s="9">
        <v>5</v>
      </c>
      <c r="C691" s="9">
        <v>0</v>
      </c>
      <c r="D691" s="9">
        <v>4</v>
      </c>
      <c r="E691" s="9">
        <v>0</v>
      </c>
      <c r="F691" s="9">
        <v>0</v>
      </c>
      <c r="G691" s="13">
        <v>44978</v>
      </c>
    </row>
    <row r="692" spans="1:7" ht="14.5">
      <c r="A692" s="9" t="s">
        <v>160</v>
      </c>
      <c r="B692" s="9">
        <v>5</v>
      </c>
      <c r="C692" s="9">
        <v>0</v>
      </c>
      <c r="D692" s="9">
        <v>31</v>
      </c>
      <c r="E692" s="9">
        <v>0</v>
      </c>
      <c r="F692" s="9">
        <v>0</v>
      </c>
      <c r="G692" s="13">
        <v>44978</v>
      </c>
    </row>
    <row r="693" spans="1:7" ht="14.5">
      <c r="A693" s="9" t="s">
        <v>168</v>
      </c>
      <c r="B693" s="9">
        <v>1</v>
      </c>
      <c r="C693" s="9">
        <v>54</v>
      </c>
      <c r="D693" s="9">
        <v>3</v>
      </c>
      <c r="E693" s="9">
        <v>0</v>
      </c>
      <c r="F693" s="9">
        <v>0</v>
      </c>
      <c r="G693" s="13">
        <v>44978</v>
      </c>
    </row>
    <row r="694" spans="1:7" ht="14.5">
      <c r="A694" s="9" t="s">
        <v>170</v>
      </c>
      <c r="B694" s="9">
        <v>3</v>
      </c>
      <c r="C694" s="9">
        <v>0</v>
      </c>
      <c r="D694" s="9">
        <v>12</v>
      </c>
      <c r="E694" s="9">
        <v>0</v>
      </c>
      <c r="F694" s="9">
        <v>0</v>
      </c>
      <c r="G694" s="13">
        <v>44978</v>
      </c>
    </row>
    <row r="695" spans="1:7" ht="14.5">
      <c r="A695" s="9" t="s">
        <v>177</v>
      </c>
      <c r="B695" s="9">
        <v>4</v>
      </c>
      <c r="C695" s="9">
        <v>0</v>
      </c>
      <c r="D695" s="9">
        <v>3</v>
      </c>
      <c r="E695" s="9">
        <v>0</v>
      </c>
      <c r="F695" s="9">
        <v>0</v>
      </c>
      <c r="G695" s="13">
        <v>44978</v>
      </c>
    </row>
    <row r="696" spans="1:7" ht="14.5">
      <c r="A696" s="9" t="s">
        <v>182</v>
      </c>
      <c r="B696" s="9">
        <v>9</v>
      </c>
      <c r="C696" s="9">
        <v>0</v>
      </c>
      <c r="D696" s="9">
        <v>5</v>
      </c>
      <c r="E696" s="9">
        <v>0</v>
      </c>
      <c r="F696" s="9">
        <v>0</v>
      </c>
      <c r="G696" s="13">
        <v>44978</v>
      </c>
    </row>
    <row r="697" spans="1:7" ht="14.5">
      <c r="A697" s="9" t="s">
        <v>184</v>
      </c>
      <c r="B697" s="9">
        <v>9</v>
      </c>
      <c r="C697" s="9">
        <v>1</v>
      </c>
      <c r="D697" s="9">
        <v>8</v>
      </c>
      <c r="E697" s="9">
        <v>0</v>
      </c>
      <c r="F697" s="9">
        <v>0</v>
      </c>
      <c r="G697" s="13">
        <v>44978</v>
      </c>
    </row>
    <row r="698" spans="1:7" ht="14.5">
      <c r="A698" s="9" t="s">
        <v>187</v>
      </c>
      <c r="B698" s="9">
        <v>8</v>
      </c>
      <c r="C698" s="9">
        <v>2</v>
      </c>
      <c r="D698" s="9">
        <v>6</v>
      </c>
      <c r="E698" s="9">
        <v>0</v>
      </c>
      <c r="F698" s="9">
        <v>0</v>
      </c>
      <c r="G698" s="13">
        <v>44978</v>
      </c>
    </row>
    <row r="699" spans="1:7" ht="14.5">
      <c r="A699" s="9" t="s">
        <v>189</v>
      </c>
      <c r="B699" s="9">
        <v>36</v>
      </c>
      <c r="C699" s="9">
        <v>52</v>
      </c>
      <c r="D699" s="9">
        <v>35</v>
      </c>
      <c r="E699" s="9">
        <v>0</v>
      </c>
      <c r="F699" s="9">
        <v>0</v>
      </c>
      <c r="G699" s="13">
        <v>44978</v>
      </c>
    </row>
    <row r="700" spans="1:7" ht="14.5">
      <c r="A700" s="9" t="s">
        <v>194</v>
      </c>
      <c r="B700" s="9">
        <v>5</v>
      </c>
      <c r="C700" s="9">
        <v>0</v>
      </c>
      <c r="D700" s="9">
        <v>19</v>
      </c>
      <c r="E700" s="9">
        <v>0</v>
      </c>
      <c r="F700" s="9">
        <v>0</v>
      </c>
      <c r="G700" s="13">
        <v>44978</v>
      </c>
    </row>
    <row r="701" spans="1:7" ht="14.5">
      <c r="A701" s="9" t="s">
        <v>197</v>
      </c>
      <c r="B701" s="9">
        <v>0</v>
      </c>
      <c r="C701" s="9">
        <v>1</v>
      </c>
      <c r="D701" s="9">
        <v>0</v>
      </c>
      <c r="E701" s="9">
        <v>0</v>
      </c>
      <c r="F701" s="9">
        <v>0</v>
      </c>
      <c r="G701" s="13">
        <v>44978</v>
      </c>
    </row>
    <row r="702" spans="1:7" ht="14.5">
      <c r="A702" s="9" t="s">
        <v>202</v>
      </c>
      <c r="B702" s="9">
        <v>3</v>
      </c>
      <c r="C702" s="9">
        <v>0</v>
      </c>
      <c r="D702" s="9">
        <v>2</v>
      </c>
      <c r="E702" s="9">
        <v>0</v>
      </c>
      <c r="F702" s="9">
        <v>0</v>
      </c>
      <c r="G702" s="13">
        <v>44978</v>
      </c>
    </row>
    <row r="703" spans="1:7" ht="14.5">
      <c r="A703" s="9" t="s">
        <v>205</v>
      </c>
      <c r="B703" s="9">
        <v>2</v>
      </c>
      <c r="C703" s="9">
        <v>0</v>
      </c>
      <c r="D703" s="9">
        <v>0</v>
      </c>
      <c r="E703" s="9">
        <v>0</v>
      </c>
      <c r="F703" s="9">
        <v>0</v>
      </c>
      <c r="G703" s="13">
        <v>44978</v>
      </c>
    </row>
    <row r="704" spans="1:7" ht="14.5">
      <c r="A704" s="9" t="s">
        <v>214</v>
      </c>
      <c r="B704" s="9">
        <v>3</v>
      </c>
      <c r="C704" s="9">
        <v>0</v>
      </c>
      <c r="D704" s="9">
        <v>0</v>
      </c>
      <c r="E704" s="9">
        <v>0</v>
      </c>
      <c r="F704" s="9">
        <v>1</v>
      </c>
      <c r="G704" s="13">
        <v>44978</v>
      </c>
    </row>
    <row r="705" spans="1:7" ht="14.5">
      <c r="A705" s="9" t="s">
        <v>219</v>
      </c>
      <c r="B705" s="9">
        <v>8</v>
      </c>
      <c r="C705" s="9">
        <v>0</v>
      </c>
      <c r="D705" s="9">
        <v>1</v>
      </c>
      <c r="E705" s="9">
        <v>0</v>
      </c>
      <c r="F705" s="9">
        <v>0</v>
      </c>
      <c r="G705" s="13">
        <v>44978</v>
      </c>
    </row>
    <row r="706" spans="1:7" ht="14.5">
      <c r="A706" s="9" t="s">
        <v>226</v>
      </c>
      <c r="B706" s="9">
        <v>1</v>
      </c>
      <c r="C706" s="9">
        <v>0</v>
      </c>
      <c r="D706" s="9">
        <v>0</v>
      </c>
      <c r="E706" s="9">
        <v>0</v>
      </c>
      <c r="F706" s="9">
        <v>0</v>
      </c>
      <c r="G706" s="13">
        <v>44978</v>
      </c>
    </row>
    <row r="707" spans="1:7" ht="14.5">
      <c r="A707" s="9" t="s">
        <v>231</v>
      </c>
      <c r="B707" s="9">
        <v>1</v>
      </c>
      <c r="C707" s="9">
        <v>0</v>
      </c>
      <c r="D707" s="9">
        <v>0</v>
      </c>
      <c r="E707" s="9">
        <v>0</v>
      </c>
      <c r="F707" s="9">
        <v>0</v>
      </c>
      <c r="G707" s="13">
        <v>44978</v>
      </c>
    </row>
    <row r="708" spans="1:7" ht="14.5">
      <c r="A708" s="9" t="s">
        <v>236</v>
      </c>
      <c r="B708" s="9">
        <v>4</v>
      </c>
      <c r="C708" s="9">
        <v>0</v>
      </c>
      <c r="D708" s="9">
        <v>0</v>
      </c>
      <c r="E708" s="9">
        <v>0</v>
      </c>
      <c r="F708" s="9">
        <v>0</v>
      </c>
      <c r="G708" s="13">
        <v>44978</v>
      </c>
    </row>
    <row r="709" spans="1:7" ht="14.5">
      <c r="A709" s="9" t="s">
        <v>244</v>
      </c>
      <c r="B709" s="9">
        <v>30</v>
      </c>
      <c r="C709" s="9">
        <v>1</v>
      </c>
      <c r="D709" s="9">
        <v>1</v>
      </c>
      <c r="E709" s="9">
        <v>0</v>
      </c>
      <c r="F709" s="9">
        <v>0</v>
      </c>
      <c r="G709" s="13">
        <v>44978</v>
      </c>
    </row>
    <row r="710" spans="1:7" ht="14.5">
      <c r="A710" s="9" t="s">
        <v>251</v>
      </c>
      <c r="B710" s="9">
        <v>0</v>
      </c>
      <c r="C710" s="9">
        <v>0</v>
      </c>
      <c r="D710" s="9">
        <v>0</v>
      </c>
      <c r="E710" s="9">
        <v>0</v>
      </c>
      <c r="F710" s="9">
        <v>0</v>
      </c>
      <c r="G710" s="13">
        <v>44978</v>
      </c>
    </row>
    <row r="711" spans="1:7" ht="14.5">
      <c r="A711" s="9" t="s">
        <v>256</v>
      </c>
      <c r="B711" s="9">
        <v>1</v>
      </c>
      <c r="C711" s="9">
        <v>0</v>
      </c>
      <c r="D711" s="9">
        <v>0</v>
      </c>
      <c r="E711" s="9">
        <v>0</v>
      </c>
      <c r="F711" s="9">
        <v>0</v>
      </c>
      <c r="G711" s="13">
        <v>44978</v>
      </c>
    </row>
    <row r="712" spans="1:7" ht="14.5">
      <c r="A712" s="9" t="s">
        <v>262</v>
      </c>
      <c r="B712" s="9">
        <v>0</v>
      </c>
      <c r="C712" s="9">
        <v>0</v>
      </c>
      <c r="D712" s="9">
        <v>0</v>
      </c>
      <c r="E712" s="9">
        <v>0</v>
      </c>
      <c r="F712" s="9">
        <v>0</v>
      </c>
      <c r="G712" s="13">
        <v>44978</v>
      </c>
    </row>
    <row r="713" spans="1:7" ht="14.5">
      <c r="A713" s="9" t="s">
        <v>267</v>
      </c>
      <c r="B713" s="9">
        <v>2</v>
      </c>
      <c r="C713" s="9">
        <v>0</v>
      </c>
      <c r="D713" s="9">
        <v>0</v>
      </c>
      <c r="E713" s="9">
        <v>0</v>
      </c>
      <c r="F713" s="9">
        <v>0</v>
      </c>
      <c r="G713" s="13">
        <v>44978</v>
      </c>
    </row>
    <row r="714" spans="1:7" ht="14.5">
      <c r="A714" s="9" t="s">
        <v>13995</v>
      </c>
      <c r="B714" s="9">
        <v>24</v>
      </c>
      <c r="C714" s="9">
        <v>4</v>
      </c>
      <c r="D714" s="9">
        <v>0</v>
      </c>
      <c r="E714" s="9">
        <v>0</v>
      </c>
      <c r="F714" s="9">
        <v>2</v>
      </c>
      <c r="G714" s="13">
        <v>44978</v>
      </c>
    </row>
    <row r="715" spans="1:7" ht="14.5">
      <c r="A715" s="9" t="s">
        <v>13996</v>
      </c>
      <c r="B715" s="9">
        <v>21</v>
      </c>
      <c r="C715" s="9">
        <v>1</v>
      </c>
      <c r="D715" s="9">
        <v>0</v>
      </c>
      <c r="E715" s="9">
        <v>0</v>
      </c>
      <c r="F715" s="9">
        <v>0</v>
      </c>
      <c r="G715" s="13">
        <v>44978</v>
      </c>
    </row>
    <row r="716" spans="1:7" ht="14.5">
      <c r="A716" s="9" t="s">
        <v>13997</v>
      </c>
      <c r="B716" s="9">
        <v>19</v>
      </c>
      <c r="C716" s="9">
        <v>3</v>
      </c>
      <c r="D716" s="9">
        <v>33</v>
      </c>
      <c r="E716" s="9">
        <v>0</v>
      </c>
      <c r="F716" s="9">
        <v>0</v>
      </c>
      <c r="G716" s="13">
        <v>44978</v>
      </c>
    </row>
    <row r="717" spans="1:7" ht="14.5">
      <c r="A717" s="9" t="s">
        <v>13998</v>
      </c>
      <c r="B717" s="9">
        <v>43</v>
      </c>
      <c r="C717" s="9">
        <v>3</v>
      </c>
      <c r="D717" s="9">
        <v>49</v>
      </c>
      <c r="E717" s="9">
        <v>0</v>
      </c>
      <c r="F717" s="9">
        <v>0</v>
      </c>
      <c r="G717" s="13">
        <v>44978</v>
      </c>
    </row>
    <row r="718" spans="1:7" ht="14.5">
      <c r="A718" s="9" t="s">
        <v>13999</v>
      </c>
      <c r="B718" s="9">
        <v>46</v>
      </c>
      <c r="C718" s="9">
        <v>5</v>
      </c>
      <c r="D718" s="9">
        <v>67</v>
      </c>
      <c r="E718" s="9">
        <v>0</v>
      </c>
      <c r="F718" s="9">
        <v>0</v>
      </c>
      <c r="G718" s="13">
        <v>44978</v>
      </c>
    </row>
    <row r="719" spans="1:7" ht="14.5">
      <c r="A719" s="9" t="s">
        <v>14000</v>
      </c>
      <c r="B719" s="9">
        <v>45</v>
      </c>
      <c r="C719" s="9">
        <v>40</v>
      </c>
      <c r="D719" s="9">
        <v>40</v>
      </c>
      <c r="E719" s="9">
        <v>0</v>
      </c>
      <c r="F719" s="9">
        <v>0</v>
      </c>
      <c r="G719" s="13">
        <v>44978</v>
      </c>
    </row>
    <row r="720" spans="1:7" ht="14.5">
      <c r="A720" s="9" t="s">
        <v>14001</v>
      </c>
      <c r="B720" s="9">
        <v>22</v>
      </c>
      <c r="C720" s="9">
        <v>23</v>
      </c>
      <c r="D720" s="9">
        <v>3</v>
      </c>
      <c r="E720" s="9">
        <v>0</v>
      </c>
      <c r="F720" s="9">
        <v>0</v>
      </c>
      <c r="G720" s="13">
        <v>44978</v>
      </c>
    </row>
    <row r="721" spans="1:7" ht="14.5">
      <c r="A721" s="9" t="s">
        <v>14002</v>
      </c>
      <c r="B721" s="9">
        <v>20</v>
      </c>
      <c r="C721" s="9">
        <v>50</v>
      </c>
      <c r="D721" s="9">
        <v>6</v>
      </c>
      <c r="E721" s="9">
        <v>0</v>
      </c>
      <c r="F721" s="9">
        <v>0</v>
      </c>
      <c r="G721" s="13">
        <v>44978</v>
      </c>
    </row>
    <row r="722" spans="1:7" ht="14.5">
      <c r="A722" s="9" t="s">
        <v>14003</v>
      </c>
      <c r="B722" s="9">
        <v>70</v>
      </c>
      <c r="C722" s="9">
        <v>39</v>
      </c>
      <c r="D722" s="9">
        <v>19</v>
      </c>
      <c r="E722" s="9">
        <v>0</v>
      </c>
      <c r="F722" s="9">
        <v>0</v>
      </c>
      <c r="G722" s="13">
        <v>44978</v>
      </c>
    </row>
    <row r="723" spans="1:7" ht="14.5">
      <c r="A723" s="9" t="s">
        <v>14004</v>
      </c>
      <c r="B723" s="9">
        <v>39</v>
      </c>
      <c r="C723" s="9">
        <v>85</v>
      </c>
      <c r="D723" s="9">
        <v>3</v>
      </c>
      <c r="E723" s="9">
        <v>0</v>
      </c>
      <c r="F723" s="9">
        <v>0</v>
      </c>
      <c r="G723" s="13">
        <v>44978</v>
      </c>
    </row>
    <row r="724" spans="1:7" ht="14.5">
      <c r="A724" s="9" t="s">
        <v>14005</v>
      </c>
      <c r="B724" s="9">
        <v>41</v>
      </c>
      <c r="C724" s="9">
        <v>28</v>
      </c>
      <c r="D724" s="9">
        <v>59</v>
      </c>
      <c r="E724" s="9">
        <v>0</v>
      </c>
      <c r="F724" s="9">
        <v>0</v>
      </c>
      <c r="G724" s="13">
        <v>44978</v>
      </c>
    </row>
    <row r="725" spans="1:7" ht="14.5">
      <c r="A725" s="9" t="s">
        <v>14006</v>
      </c>
      <c r="B725" s="9">
        <v>58</v>
      </c>
      <c r="C725" s="9">
        <v>41</v>
      </c>
      <c r="D725" s="9">
        <v>28</v>
      </c>
      <c r="E725" s="9">
        <v>0</v>
      </c>
      <c r="F725" s="9">
        <v>0</v>
      </c>
      <c r="G725" s="13">
        <v>44978</v>
      </c>
    </row>
    <row r="726" spans="1:7" ht="14.5">
      <c r="A726" s="9" t="s">
        <v>14007</v>
      </c>
      <c r="B726" s="9">
        <v>23</v>
      </c>
      <c r="C726" s="9">
        <v>36</v>
      </c>
      <c r="D726" s="9">
        <v>1</v>
      </c>
      <c r="E726" s="9">
        <v>0</v>
      </c>
      <c r="F726" s="9">
        <v>0</v>
      </c>
      <c r="G726" s="13">
        <v>44978</v>
      </c>
    </row>
    <row r="727" spans="1:7" ht="14.5">
      <c r="A727" s="9" t="s">
        <v>14008</v>
      </c>
      <c r="B727" s="9">
        <v>25</v>
      </c>
      <c r="C727" s="9">
        <v>68</v>
      </c>
      <c r="D727" s="9">
        <v>14</v>
      </c>
      <c r="E727" s="9">
        <v>0</v>
      </c>
      <c r="F727" s="9">
        <v>0</v>
      </c>
      <c r="G727" s="13">
        <v>44978</v>
      </c>
    </row>
    <row r="728" spans="1:7" ht="14.5">
      <c r="A728" s="9" t="s">
        <v>14009</v>
      </c>
      <c r="B728" s="9">
        <v>42</v>
      </c>
      <c r="C728" s="9">
        <v>46</v>
      </c>
      <c r="D728" s="9">
        <v>21</v>
      </c>
      <c r="E728" s="9">
        <v>0</v>
      </c>
      <c r="F728" s="9">
        <v>0</v>
      </c>
      <c r="G728" s="13">
        <v>44978</v>
      </c>
    </row>
    <row r="729" spans="1:7" ht="14.5">
      <c r="A729" s="9" t="s">
        <v>14010</v>
      </c>
      <c r="B729" s="9">
        <v>17</v>
      </c>
      <c r="C729" s="9">
        <v>26</v>
      </c>
      <c r="D729" s="9">
        <v>0</v>
      </c>
      <c r="E729" s="9">
        <v>0</v>
      </c>
      <c r="F729" s="9">
        <v>0</v>
      </c>
      <c r="G729" s="13">
        <v>44978</v>
      </c>
    </row>
    <row r="730" spans="1:7" ht="14.5">
      <c r="A730" s="9" t="s">
        <v>14011</v>
      </c>
      <c r="B730" s="9">
        <v>52</v>
      </c>
      <c r="C730" s="9">
        <v>54</v>
      </c>
      <c r="D730" s="9">
        <v>25</v>
      </c>
      <c r="E730" s="9">
        <v>0</v>
      </c>
      <c r="F730" s="9">
        <v>0</v>
      </c>
      <c r="G730" s="13">
        <v>44978</v>
      </c>
    </row>
    <row r="731" spans="1:7" ht="14.5">
      <c r="A731" s="9" t="s">
        <v>14012</v>
      </c>
      <c r="B731" s="9">
        <v>102</v>
      </c>
      <c r="C731" s="9">
        <v>88</v>
      </c>
      <c r="D731" s="9">
        <v>13</v>
      </c>
      <c r="E731" s="9">
        <v>0</v>
      </c>
      <c r="F731" s="9">
        <v>0</v>
      </c>
      <c r="G731" s="13">
        <v>44978</v>
      </c>
    </row>
    <row r="732" spans="1:7" ht="14.5">
      <c r="A732" s="9" t="s">
        <v>14013</v>
      </c>
      <c r="B732" s="9">
        <v>17</v>
      </c>
      <c r="C732" s="9">
        <v>26</v>
      </c>
      <c r="D732" s="9">
        <v>12</v>
      </c>
      <c r="E732" s="9">
        <v>0</v>
      </c>
      <c r="F732" s="9">
        <v>0</v>
      </c>
      <c r="G732" s="13">
        <v>44978</v>
      </c>
    </row>
    <row r="733" spans="1:7" ht="14.5">
      <c r="A733" s="9" t="s">
        <v>14014</v>
      </c>
      <c r="B733" s="9">
        <v>16</v>
      </c>
      <c r="C733" s="9">
        <v>31</v>
      </c>
      <c r="D733" s="9">
        <v>0</v>
      </c>
      <c r="E733" s="9">
        <v>0</v>
      </c>
      <c r="F733" s="9">
        <v>0</v>
      </c>
      <c r="G733" s="13">
        <v>44978</v>
      </c>
    </row>
    <row r="734" spans="1:7" ht="14.5">
      <c r="A734" s="9" t="s">
        <v>14015</v>
      </c>
      <c r="B734" s="9">
        <v>23</v>
      </c>
      <c r="C734" s="9">
        <v>4</v>
      </c>
      <c r="D734" s="9">
        <v>28</v>
      </c>
      <c r="E734" s="9">
        <v>0</v>
      </c>
      <c r="F734" s="9">
        <v>0</v>
      </c>
      <c r="G734" s="13">
        <v>44978</v>
      </c>
    </row>
    <row r="735" spans="1:7" ht="14.5">
      <c r="A735" s="9" t="s">
        <v>14016</v>
      </c>
      <c r="B735" s="9">
        <v>19</v>
      </c>
      <c r="C735" s="9">
        <v>1</v>
      </c>
      <c r="D735" s="9">
        <v>1</v>
      </c>
      <c r="E735" s="9">
        <v>0</v>
      </c>
      <c r="F735" s="9">
        <v>0</v>
      </c>
      <c r="G735" s="13">
        <v>44978</v>
      </c>
    </row>
    <row r="736" spans="1:7" ht="14.5">
      <c r="A736" s="9" t="s">
        <v>14017</v>
      </c>
      <c r="B736" s="9">
        <v>35</v>
      </c>
      <c r="C736" s="9">
        <v>14</v>
      </c>
      <c r="D736" s="9">
        <v>8</v>
      </c>
      <c r="E736" s="9">
        <v>0</v>
      </c>
      <c r="F736" s="9">
        <v>0</v>
      </c>
      <c r="G736" s="13">
        <v>44978</v>
      </c>
    </row>
    <row r="737" spans="1:7" ht="14.5">
      <c r="A737" s="9" t="s">
        <v>14018</v>
      </c>
      <c r="B737" s="9">
        <v>100</v>
      </c>
      <c r="C737" s="9">
        <v>78</v>
      </c>
      <c r="D737" s="9">
        <v>115</v>
      </c>
      <c r="E737" s="9">
        <v>0</v>
      </c>
      <c r="F737" s="9">
        <v>0</v>
      </c>
      <c r="G737" s="13">
        <v>44978</v>
      </c>
    </row>
    <row r="738" spans="1:7" ht="14.5">
      <c r="A738" s="9" t="s">
        <v>14019</v>
      </c>
      <c r="B738" s="9">
        <v>34</v>
      </c>
      <c r="C738" s="9">
        <v>29</v>
      </c>
      <c r="D738" s="9">
        <v>10</v>
      </c>
      <c r="E738" s="9">
        <v>0</v>
      </c>
      <c r="F738" s="9">
        <v>0</v>
      </c>
      <c r="G738" s="13">
        <v>44978</v>
      </c>
    </row>
    <row r="739" spans="1:7" ht="14.5">
      <c r="A739" s="9" t="s">
        <v>14020</v>
      </c>
      <c r="B739" s="9">
        <v>14</v>
      </c>
      <c r="C739" s="9">
        <v>3</v>
      </c>
      <c r="D739" s="9">
        <v>0</v>
      </c>
      <c r="E739" s="9">
        <v>0</v>
      </c>
      <c r="F739" s="9">
        <v>0</v>
      </c>
      <c r="G739" s="13">
        <v>44978</v>
      </c>
    </row>
    <row r="740" spans="1:7" ht="14.5">
      <c r="A740" s="9" t="s">
        <v>14021</v>
      </c>
      <c r="B740" s="9">
        <v>63</v>
      </c>
      <c r="C740" s="9">
        <v>3</v>
      </c>
      <c r="D740" s="9">
        <v>0</v>
      </c>
      <c r="E740" s="9">
        <v>0</v>
      </c>
      <c r="F740" s="9">
        <v>0</v>
      </c>
      <c r="G740" s="13">
        <v>44978</v>
      </c>
    </row>
    <row r="741" spans="1:7" ht="14.5">
      <c r="A741" s="9" t="s">
        <v>14022</v>
      </c>
      <c r="B741" s="9">
        <v>18</v>
      </c>
      <c r="C741" s="9">
        <v>7</v>
      </c>
      <c r="D741" s="9">
        <v>0</v>
      </c>
      <c r="E741" s="9">
        <v>0</v>
      </c>
      <c r="F741" s="9">
        <v>0</v>
      </c>
      <c r="G741" s="13">
        <v>44978</v>
      </c>
    </row>
    <row r="742" spans="1:7" ht="14.5">
      <c r="A742" s="9" t="s">
        <v>14023</v>
      </c>
      <c r="B742" s="9">
        <v>7</v>
      </c>
      <c r="C742" s="9">
        <v>1</v>
      </c>
      <c r="D742" s="9">
        <v>4</v>
      </c>
      <c r="E742" s="9">
        <v>0</v>
      </c>
      <c r="F742" s="9">
        <v>0</v>
      </c>
      <c r="G742" s="13">
        <v>44978</v>
      </c>
    </row>
    <row r="743" spans="1:7" ht="14.5">
      <c r="A743" s="9" t="s">
        <v>273</v>
      </c>
      <c r="B743" s="9">
        <v>6</v>
      </c>
      <c r="C743" s="9">
        <v>36</v>
      </c>
      <c r="D743" s="9">
        <v>0</v>
      </c>
      <c r="E743" s="9">
        <v>0</v>
      </c>
      <c r="F743" s="9">
        <v>0</v>
      </c>
      <c r="G743" s="13">
        <v>44978</v>
      </c>
    </row>
    <row r="744" spans="1:7" ht="14.5">
      <c r="A744" s="9" t="s">
        <v>282</v>
      </c>
      <c r="B744" s="9">
        <v>18</v>
      </c>
      <c r="C744" s="9">
        <v>36</v>
      </c>
      <c r="D744" s="9">
        <v>305</v>
      </c>
      <c r="E744" s="9">
        <v>0</v>
      </c>
      <c r="F744" s="9">
        <v>4</v>
      </c>
      <c r="G744" s="13">
        <v>44978</v>
      </c>
    </row>
    <row r="745" spans="1:7" ht="14.5">
      <c r="A745" s="9" t="s">
        <v>285</v>
      </c>
      <c r="B745" s="9">
        <v>5</v>
      </c>
      <c r="C745" s="9">
        <v>2</v>
      </c>
      <c r="D745" s="9">
        <v>0</v>
      </c>
      <c r="E745" s="9">
        <v>0</v>
      </c>
      <c r="F745" s="9">
        <v>0</v>
      </c>
      <c r="G745" s="13">
        <v>44978</v>
      </c>
    </row>
    <row r="746" spans="1:7" ht="14.5">
      <c r="A746" s="9" t="s">
        <v>290</v>
      </c>
      <c r="B746" s="9">
        <v>38</v>
      </c>
      <c r="C746" s="9">
        <v>58</v>
      </c>
      <c r="D746" s="9">
        <v>0</v>
      </c>
      <c r="E746" s="9">
        <v>0</v>
      </c>
      <c r="F746" s="9">
        <v>0</v>
      </c>
      <c r="G746" s="13">
        <v>44978</v>
      </c>
    </row>
    <row r="747" spans="1:7" ht="14.5">
      <c r="A747" s="9" t="s">
        <v>294</v>
      </c>
      <c r="B747" s="9">
        <v>70</v>
      </c>
      <c r="C747" s="9">
        <v>48</v>
      </c>
      <c r="D747" s="9">
        <v>4</v>
      </c>
      <c r="E747" s="9">
        <v>0</v>
      </c>
      <c r="F747" s="9">
        <v>0</v>
      </c>
      <c r="G747" s="13">
        <v>44978</v>
      </c>
    </row>
    <row r="748" spans="1:7" ht="14.5">
      <c r="A748" s="9" t="s">
        <v>297</v>
      </c>
      <c r="B748" s="9">
        <v>2</v>
      </c>
      <c r="C748" s="9">
        <v>0</v>
      </c>
      <c r="D748" s="9">
        <v>0</v>
      </c>
      <c r="E748" s="9">
        <v>0</v>
      </c>
      <c r="F748" s="9">
        <v>0</v>
      </c>
      <c r="G748" s="13">
        <v>44978</v>
      </c>
    </row>
    <row r="749" spans="1:7" ht="14.5">
      <c r="A749" s="9" t="s">
        <v>305</v>
      </c>
      <c r="B749" s="9">
        <v>20</v>
      </c>
      <c r="C749" s="9">
        <v>4</v>
      </c>
      <c r="D749" s="9">
        <v>25</v>
      </c>
      <c r="E749" s="9">
        <v>0</v>
      </c>
      <c r="F749" s="9">
        <v>0</v>
      </c>
      <c r="G749" s="13">
        <v>44978</v>
      </c>
    </row>
    <row r="750" spans="1:7" ht="14.5">
      <c r="A750" s="9" t="s">
        <v>311</v>
      </c>
      <c r="B750" s="9">
        <v>55</v>
      </c>
      <c r="C750" s="9">
        <v>27</v>
      </c>
      <c r="D750" s="9">
        <v>17</v>
      </c>
      <c r="E750" s="9">
        <v>0</v>
      </c>
      <c r="F750" s="9">
        <v>0</v>
      </c>
      <c r="G750" s="13">
        <v>44978</v>
      </c>
    </row>
    <row r="751" spans="1:7" ht="14.5">
      <c r="A751" s="9" t="s">
        <v>314</v>
      </c>
      <c r="B751" s="9">
        <v>22</v>
      </c>
      <c r="C751" s="9">
        <v>54</v>
      </c>
      <c r="D751" s="9">
        <v>1</v>
      </c>
      <c r="E751" s="9">
        <v>0</v>
      </c>
      <c r="F751" s="9">
        <v>0</v>
      </c>
      <c r="G751" s="13">
        <v>44978</v>
      </c>
    </row>
    <row r="752" spans="1:7" ht="14.5">
      <c r="A752" s="9" t="s">
        <v>317</v>
      </c>
      <c r="B752" s="9">
        <v>14</v>
      </c>
      <c r="C752" s="9">
        <v>43</v>
      </c>
      <c r="D752" s="9">
        <v>0</v>
      </c>
      <c r="E752" s="9">
        <v>0</v>
      </c>
      <c r="F752" s="9">
        <v>0</v>
      </c>
      <c r="G752" s="13">
        <v>44978</v>
      </c>
    </row>
    <row r="753" spans="1:7" ht="14.5">
      <c r="A753" s="9" t="s">
        <v>321</v>
      </c>
      <c r="B753" s="9">
        <v>35</v>
      </c>
      <c r="C753" s="9">
        <v>54</v>
      </c>
      <c r="D753" s="9">
        <v>0</v>
      </c>
      <c r="E753" s="9">
        <v>0</v>
      </c>
      <c r="F753" s="9">
        <v>0</v>
      </c>
      <c r="G753" s="13">
        <v>44978</v>
      </c>
    </row>
    <row r="754" spans="1:7" ht="14.5">
      <c r="A754" s="9" t="s">
        <v>323</v>
      </c>
      <c r="B754" s="9">
        <v>13</v>
      </c>
      <c r="C754" s="9">
        <v>43</v>
      </c>
      <c r="D754" s="9">
        <v>3</v>
      </c>
      <c r="E754" s="9">
        <v>0</v>
      </c>
      <c r="F754" s="9">
        <v>0</v>
      </c>
      <c r="G754" s="13">
        <v>44978</v>
      </c>
    </row>
    <row r="755" spans="1:7" ht="14.5">
      <c r="A755" s="9" t="s">
        <v>326</v>
      </c>
      <c r="B755" s="9">
        <v>58</v>
      </c>
      <c r="C755" s="9">
        <v>8</v>
      </c>
      <c r="D755" s="9">
        <v>50</v>
      </c>
      <c r="E755" s="9">
        <v>0</v>
      </c>
      <c r="F755" s="9">
        <v>0</v>
      </c>
      <c r="G755" s="13">
        <v>44978</v>
      </c>
    </row>
    <row r="756" spans="1:7" ht="14.5">
      <c r="A756" s="9" t="s">
        <v>333</v>
      </c>
      <c r="B756" s="9">
        <v>44</v>
      </c>
      <c r="C756" s="9">
        <v>3</v>
      </c>
      <c r="D756" s="9">
        <v>94</v>
      </c>
      <c r="E756" s="9">
        <v>0</v>
      </c>
      <c r="F756" s="9">
        <v>0</v>
      </c>
      <c r="G756" s="13">
        <v>44978</v>
      </c>
    </row>
    <row r="757" spans="1:7" ht="14.5">
      <c r="A757" s="9" t="s">
        <v>340</v>
      </c>
      <c r="B757" s="9">
        <v>14</v>
      </c>
      <c r="C757" s="9">
        <v>1</v>
      </c>
      <c r="D757" s="9">
        <v>22</v>
      </c>
      <c r="E757" s="9">
        <v>0</v>
      </c>
      <c r="F757" s="9">
        <v>0</v>
      </c>
      <c r="G757" s="13">
        <v>44978</v>
      </c>
    </row>
    <row r="758" spans="1:7" ht="14.5">
      <c r="A758" s="9" t="s">
        <v>344</v>
      </c>
      <c r="B758" s="9">
        <v>12</v>
      </c>
      <c r="C758" s="9">
        <v>6</v>
      </c>
      <c r="D758" s="9">
        <v>20</v>
      </c>
      <c r="E758" s="9">
        <v>0</v>
      </c>
      <c r="F758" s="9">
        <v>0</v>
      </c>
      <c r="G758" s="13">
        <v>44978</v>
      </c>
    </row>
    <row r="759" spans="1:7" ht="14.5">
      <c r="A759" s="9" t="s">
        <v>14024</v>
      </c>
      <c r="B759" s="9">
        <v>54</v>
      </c>
      <c r="C759" s="9">
        <v>4</v>
      </c>
      <c r="D759" s="9">
        <v>11</v>
      </c>
      <c r="E759" s="9">
        <v>0</v>
      </c>
      <c r="F759" s="9">
        <v>1</v>
      </c>
      <c r="G759" s="13">
        <v>44978</v>
      </c>
    </row>
    <row r="760" spans="1:7" ht="14.5">
      <c r="A760" s="9" t="s">
        <v>14025</v>
      </c>
      <c r="B760" s="9">
        <v>63</v>
      </c>
      <c r="C760" s="9">
        <v>68</v>
      </c>
      <c r="D760" s="9">
        <v>55</v>
      </c>
      <c r="E760" s="9">
        <v>11</v>
      </c>
      <c r="F760" s="9">
        <v>0</v>
      </c>
      <c r="G760" s="13">
        <v>44978</v>
      </c>
    </row>
    <row r="761" spans="1:7" ht="14.5">
      <c r="A761" s="9" t="s">
        <v>14026</v>
      </c>
      <c r="B761" s="9">
        <v>52</v>
      </c>
      <c r="C761" s="9">
        <v>42</v>
      </c>
      <c r="D761" s="9">
        <v>30</v>
      </c>
      <c r="E761" s="9">
        <v>0</v>
      </c>
      <c r="F761" s="9">
        <v>0</v>
      </c>
      <c r="G761" s="13">
        <v>44978</v>
      </c>
    </row>
    <row r="762" spans="1:7" ht="14.5">
      <c r="A762" s="9" t="s">
        <v>14027</v>
      </c>
      <c r="B762" s="9">
        <v>65</v>
      </c>
      <c r="C762" s="9">
        <v>21</v>
      </c>
      <c r="D762" s="9">
        <v>3</v>
      </c>
      <c r="E762" s="9">
        <v>33</v>
      </c>
      <c r="F762" s="9">
        <v>0</v>
      </c>
      <c r="G762" s="13">
        <v>44978</v>
      </c>
    </row>
    <row r="763" spans="1:7" ht="14.5">
      <c r="A763" s="9" t="s">
        <v>14028</v>
      </c>
      <c r="B763" s="9">
        <v>94</v>
      </c>
      <c r="C763" s="9">
        <v>56</v>
      </c>
      <c r="D763" s="9">
        <v>82</v>
      </c>
      <c r="E763" s="9">
        <v>15</v>
      </c>
      <c r="F763" s="9">
        <v>0</v>
      </c>
      <c r="G763" s="13">
        <v>44978</v>
      </c>
    </row>
    <row r="764" spans="1:7" ht="14.5">
      <c r="A764" s="9" t="s">
        <v>14029</v>
      </c>
      <c r="B764" s="9">
        <v>93</v>
      </c>
      <c r="C764" s="9">
        <v>67</v>
      </c>
      <c r="D764" s="9">
        <v>12</v>
      </c>
      <c r="E764" s="9">
        <v>0</v>
      </c>
      <c r="F764" s="9">
        <v>0</v>
      </c>
      <c r="G764" s="13">
        <v>44978</v>
      </c>
    </row>
    <row r="765" spans="1:7" ht="14.5">
      <c r="A765" s="9" t="s">
        <v>14030</v>
      </c>
      <c r="B765" s="9">
        <v>43</v>
      </c>
      <c r="C765" s="9">
        <v>71</v>
      </c>
      <c r="D765" s="9">
        <v>45</v>
      </c>
      <c r="E765" s="9">
        <v>0</v>
      </c>
      <c r="F765" s="9">
        <v>0</v>
      </c>
      <c r="G765" s="13">
        <v>44978</v>
      </c>
    </row>
    <row r="766" spans="1:7" ht="14.5">
      <c r="A766" s="9" t="s">
        <v>14031</v>
      </c>
      <c r="B766" s="9">
        <v>48</v>
      </c>
      <c r="C766" s="9">
        <v>36</v>
      </c>
      <c r="D766" s="9">
        <v>12</v>
      </c>
      <c r="E766" s="9">
        <v>0</v>
      </c>
      <c r="F766" s="9">
        <v>1</v>
      </c>
      <c r="G766" s="13">
        <v>44978</v>
      </c>
    </row>
    <row r="767" spans="1:7" ht="14.5">
      <c r="A767" s="9" t="s">
        <v>14032</v>
      </c>
      <c r="B767" s="9">
        <v>119</v>
      </c>
      <c r="C767" s="9">
        <v>39</v>
      </c>
      <c r="D767" s="9">
        <v>20</v>
      </c>
      <c r="E767" s="9">
        <v>17</v>
      </c>
      <c r="F767" s="9">
        <v>0</v>
      </c>
      <c r="G767" s="13">
        <v>44978</v>
      </c>
    </row>
    <row r="768" spans="1:7" ht="14.5">
      <c r="A768" s="9" t="s">
        <v>14033</v>
      </c>
      <c r="B768" s="9">
        <v>33</v>
      </c>
      <c r="C768" s="9">
        <v>42</v>
      </c>
      <c r="D768" s="9">
        <v>18</v>
      </c>
      <c r="E768" s="9">
        <v>0</v>
      </c>
      <c r="F768" s="9">
        <v>0</v>
      </c>
      <c r="G768" s="13">
        <v>44978</v>
      </c>
    </row>
    <row r="769" spans="1:7" ht="14.5">
      <c r="A769" s="9" t="s">
        <v>14034</v>
      </c>
      <c r="B769" s="9">
        <v>17</v>
      </c>
      <c r="C769" s="9">
        <v>10</v>
      </c>
      <c r="D769" s="9">
        <v>21</v>
      </c>
      <c r="E769" s="9">
        <v>0</v>
      </c>
      <c r="F769" s="9">
        <v>0</v>
      </c>
      <c r="G769" s="13">
        <v>44978</v>
      </c>
    </row>
    <row r="770" spans="1:7" ht="14.5">
      <c r="A770" s="9" t="s">
        <v>14035</v>
      </c>
      <c r="B770" s="9">
        <v>34</v>
      </c>
      <c r="C770" s="9">
        <v>63</v>
      </c>
      <c r="D770" s="9">
        <v>18</v>
      </c>
      <c r="E770" s="9">
        <v>0</v>
      </c>
      <c r="F770" s="9">
        <v>0</v>
      </c>
      <c r="G770" s="13">
        <v>44978</v>
      </c>
    </row>
    <row r="771" spans="1:7" ht="14.5">
      <c r="A771" s="9" t="s">
        <v>14036</v>
      </c>
      <c r="B771" s="9">
        <v>79</v>
      </c>
      <c r="C771" s="9">
        <v>59</v>
      </c>
      <c r="D771" s="9">
        <v>10</v>
      </c>
      <c r="E771" s="9">
        <v>0</v>
      </c>
      <c r="F771" s="9">
        <v>0</v>
      </c>
      <c r="G771" s="13">
        <v>44978</v>
      </c>
    </row>
    <row r="772" spans="1:7" ht="14.5">
      <c r="A772" s="9" t="s">
        <v>14037</v>
      </c>
      <c r="B772" s="9">
        <v>26</v>
      </c>
      <c r="C772" s="9">
        <v>40</v>
      </c>
      <c r="D772" s="9">
        <v>2</v>
      </c>
      <c r="E772" s="9">
        <v>0</v>
      </c>
      <c r="F772" s="9">
        <v>0</v>
      </c>
      <c r="G772" s="13">
        <v>44978</v>
      </c>
    </row>
    <row r="773" spans="1:7" ht="14.5">
      <c r="A773" s="9" t="s">
        <v>14038</v>
      </c>
      <c r="B773" s="9">
        <v>34</v>
      </c>
      <c r="C773" s="9">
        <v>8</v>
      </c>
      <c r="D773" s="9">
        <v>101</v>
      </c>
      <c r="E773" s="9">
        <v>5</v>
      </c>
      <c r="F773" s="9">
        <v>0</v>
      </c>
      <c r="G773" s="13">
        <v>44978</v>
      </c>
    </row>
    <row r="774" spans="1:7" ht="14.5">
      <c r="A774" s="9" t="s">
        <v>14039</v>
      </c>
      <c r="B774" s="9">
        <v>32</v>
      </c>
      <c r="C774" s="9">
        <v>4</v>
      </c>
      <c r="D774" s="9">
        <v>11</v>
      </c>
      <c r="E774" s="9">
        <v>1</v>
      </c>
      <c r="F774" s="9">
        <v>0</v>
      </c>
      <c r="G774" s="13">
        <v>44978</v>
      </c>
    </row>
    <row r="775" spans="1:7" ht="14.5">
      <c r="A775" s="9" t="s">
        <v>14040</v>
      </c>
      <c r="B775" s="9">
        <v>18</v>
      </c>
      <c r="C775" s="9">
        <v>6</v>
      </c>
      <c r="D775" s="9">
        <v>2</v>
      </c>
      <c r="E775" s="9">
        <v>0</v>
      </c>
      <c r="F775" s="9">
        <v>0</v>
      </c>
      <c r="G775" s="13">
        <v>44978</v>
      </c>
    </row>
    <row r="776" spans="1:7" ht="14.5">
      <c r="A776" s="9" t="s">
        <v>14041</v>
      </c>
      <c r="B776" s="9">
        <v>47</v>
      </c>
      <c r="C776" s="9">
        <v>10</v>
      </c>
      <c r="D776" s="9">
        <v>31</v>
      </c>
      <c r="E776" s="9">
        <v>0</v>
      </c>
      <c r="F776" s="9">
        <v>0</v>
      </c>
      <c r="G776" s="13">
        <v>44978</v>
      </c>
    </row>
    <row r="777" spans="1:7" ht="14.5">
      <c r="A777" s="9" t="s">
        <v>14042</v>
      </c>
      <c r="B777" s="9">
        <v>40</v>
      </c>
      <c r="C777" s="9">
        <v>10</v>
      </c>
      <c r="D777" s="9">
        <v>21</v>
      </c>
      <c r="E777" s="9">
        <v>0</v>
      </c>
      <c r="F777" s="9">
        <v>0</v>
      </c>
      <c r="G777" s="13">
        <v>44978</v>
      </c>
    </row>
    <row r="778" spans="1:7" ht="14.5">
      <c r="A778" s="9" t="s">
        <v>14043</v>
      </c>
      <c r="B778" s="9">
        <v>14</v>
      </c>
      <c r="C778" s="9">
        <v>2</v>
      </c>
      <c r="D778" s="9">
        <v>1</v>
      </c>
      <c r="E778" s="9">
        <v>0</v>
      </c>
      <c r="F778" s="9">
        <v>0</v>
      </c>
      <c r="G778" s="13">
        <v>44978</v>
      </c>
    </row>
    <row r="779" spans="1:7" ht="14.5">
      <c r="A779" s="9" t="s">
        <v>14044</v>
      </c>
      <c r="B779" s="9">
        <v>18</v>
      </c>
      <c r="C779" s="9">
        <v>7</v>
      </c>
      <c r="D779" s="9">
        <v>69</v>
      </c>
      <c r="E779" s="9">
        <v>3</v>
      </c>
      <c r="F779" s="9">
        <v>0</v>
      </c>
      <c r="G779" s="13">
        <v>44978</v>
      </c>
    </row>
    <row r="780" spans="1:7" ht="14.5">
      <c r="A780" s="9" t="s">
        <v>14045</v>
      </c>
      <c r="B780" s="9">
        <v>164</v>
      </c>
      <c r="C780" s="9">
        <v>40</v>
      </c>
      <c r="D780" s="9">
        <v>1439</v>
      </c>
      <c r="E780" s="9">
        <v>0</v>
      </c>
      <c r="F780" s="9">
        <v>9</v>
      </c>
      <c r="G780" s="13">
        <v>44978</v>
      </c>
    </row>
    <row r="781" spans="1:7" ht="14.5">
      <c r="A781" s="9" t="s">
        <v>14046</v>
      </c>
      <c r="B781" s="9">
        <v>25</v>
      </c>
      <c r="C781" s="9">
        <v>9</v>
      </c>
      <c r="D781" s="9">
        <v>3</v>
      </c>
      <c r="E781" s="9">
        <v>0</v>
      </c>
      <c r="F781" s="9">
        <v>0</v>
      </c>
      <c r="G781" s="13">
        <v>44978</v>
      </c>
    </row>
    <row r="782" spans="1:7" ht="14.5">
      <c r="A782" s="9" t="s">
        <v>14047</v>
      </c>
      <c r="B782" s="9">
        <v>20</v>
      </c>
      <c r="C782" s="9">
        <v>4</v>
      </c>
      <c r="D782" s="9">
        <v>5</v>
      </c>
      <c r="E782" s="9">
        <v>0</v>
      </c>
      <c r="F782" s="9">
        <v>0</v>
      </c>
      <c r="G782" s="13">
        <v>44978</v>
      </c>
    </row>
    <row r="783" spans="1:7" ht="14.5">
      <c r="A783" s="9" t="s">
        <v>14048</v>
      </c>
      <c r="B783" s="9">
        <v>173</v>
      </c>
      <c r="C783" s="9">
        <v>40</v>
      </c>
      <c r="D783" s="9">
        <v>9</v>
      </c>
      <c r="E783" s="9">
        <v>0</v>
      </c>
      <c r="F783" s="9">
        <v>0</v>
      </c>
      <c r="G783" s="13">
        <v>44978</v>
      </c>
    </row>
    <row r="784" spans="1:7" ht="14.5">
      <c r="A784" s="9" t="s">
        <v>14049</v>
      </c>
      <c r="B784" s="9">
        <v>31</v>
      </c>
      <c r="C784" s="9">
        <v>27</v>
      </c>
      <c r="D784" s="9">
        <v>8</v>
      </c>
      <c r="E784" s="9">
        <v>0</v>
      </c>
      <c r="F784" s="9">
        <v>0</v>
      </c>
      <c r="G784" s="13">
        <v>44978</v>
      </c>
    </row>
    <row r="785" spans="1:7" ht="14.5">
      <c r="A785" s="9" t="s">
        <v>346</v>
      </c>
      <c r="B785" s="9">
        <v>17</v>
      </c>
      <c r="C785" s="9">
        <v>0</v>
      </c>
      <c r="D785" s="9">
        <v>6</v>
      </c>
      <c r="E785" s="9">
        <v>0</v>
      </c>
      <c r="F785" s="9">
        <v>0</v>
      </c>
      <c r="G785" s="13">
        <v>44978</v>
      </c>
    </row>
    <row r="786" spans="1:7" ht="14.5">
      <c r="A786" s="9" t="s">
        <v>350</v>
      </c>
      <c r="B786" s="9">
        <v>48</v>
      </c>
      <c r="C786" s="9">
        <v>67</v>
      </c>
      <c r="D786" s="9">
        <v>82</v>
      </c>
      <c r="E786" s="9">
        <v>0</v>
      </c>
      <c r="F786" s="9">
        <v>8</v>
      </c>
      <c r="G786" s="13">
        <v>44978</v>
      </c>
    </row>
    <row r="787" spans="1:7" ht="14.5">
      <c r="A787" s="9" t="s">
        <v>351</v>
      </c>
      <c r="B787" s="9">
        <v>27</v>
      </c>
      <c r="C787" s="9">
        <v>47</v>
      </c>
      <c r="D787" s="9">
        <v>9</v>
      </c>
      <c r="E787" s="9">
        <v>0</v>
      </c>
      <c r="F787" s="9">
        <v>0</v>
      </c>
      <c r="G787" s="13">
        <v>44978</v>
      </c>
    </row>
    <row r="788" spans="1:7" ht="14.5">
      <c r="A788" s="9" t="s">
        <v>352</v>
      </c>
      <c r="B788" s="9">
        <v>40</v>
      </c>
      <c r="C788" s="9">
        <v>4</v>
      </c>
      <c r="D788" s="9">
        <v>343</v>
      </c>
      <c r="E788" s="9">
        <v>0</v>
      </c>
      <c r="F788" s="9">
        <v>1</v>
      </c>
      <c r="G788" s="13">
        <v>44978</v>
      </c>
    </row>
    <row r="789" spans="1:7" ht="14.5">
      <c r="A789" s="9" t="s">
        <v>357</v>
      </c>
      <c r="B789" s="9">
        <v>11</v>
      </c>
      <c r="C789" s="9">
        <v>45</v>
      </c>
      <c r="D789" s="9">
        <v>13</v>
      </c>
      <c r="E789" s="9">
        <v>0</v>
      </c>
      <c r="F789" s="9">
        <v>1</v>
      </c>
      <c r="G789" s="13">
        <v>44978</v>
      </c>
    </row>
    <row r="790" spans="1:7" ht="14.5">
      <c r="A790" s="9" t="s">
        <v>359</v>
      </c>
      <c r="B790" s="9">
        <v>10</v>
      </c>
      <c r="C790" s="9">
        <v>0</v>
      </c>
      <c r="D790" s="9">
        <v>0</v>
      </c>
      <c r="E790" s="9">
        <v>0</v>
      </c>
      <c r="F790" s="9">
        <v>1</v>
      </c>
      <c r="G790" s="13">
        <v>44978</v>
      </c>
    </row>
    <row r="791" spans="1:7" ht="14.5">
      <c r="A791" s="9" t="s">
        <v>369</v>
      </c>
      <c r="B791" s="9">
        <v>5</v>
      </c>
      <c r="C791" s="9">
        <v>0</v>
      </c>
      <c r="D791" s="9">
        <v>0</v>
      </c>
      <c r="E791" s="9">
        <v>0</v>
      </c>
      <c r="F791" s="9">
        <v>0</v>
      </c>
      <c r="G791" s="13">
        <v>44978</v>
      </c>
    </row>
    <row r="792" spans="1:7" ht="14.5">
      <c r="A792" s="9" t="s">
        <v>377</v>
      </c>
      <c r="B792" s="9">
        <v>8</v>
      </c>
      <c r="C792" s="9">
        <v>0</v>
      </c>
      <c r="D792" s="9">
        <v>0</v>
      </c>
      <c r="E792" s="9">
        <v>0</v>
      </c>
      <c r="F792" s="9">
        <v>0</v>
      </c>
      <c r="G792" s="13">
        <v>44978</v>
      </c>
    </row>
    <row r="793" spans="1:7" ht="14.5">
      <c r="A793" s="9" t="s">
        <v>385</v>
      </c>
      <c r="B793" s="9">
        <v>3</v>
      </c>
      <c r="C793" s="9">
        <v>1</v>
      </c>
      <c r="D793" s="9">
        <v>0</v>
      </c>
      <c r="E793" s="9">
        <v>0</v>
      </c>
      <c r="F793" s="9">
        <v>0</v>
      </c>
      <c r="G793" s="13">
        <v>44978</v>
      </c>
    </row>
    <row r="794" spans="1:7" ht="14.5">
      <c r="A794" s="9" t="s">
        <v>392</v>
      </c>
      <c r="B794" s="9">
        <v>2</v>
      </c>
      <c r="C794" s="9">
        <v>2</v>
      </c>
      <c r="D794" s="9">
        <v>0</v>
      </c>
      <c r="E794" s="9">
        <v>0</v>
      </c>
      <c r="F794" s="9">
        <v>0</v>
      </c>
      <c r="G794" s="13">
        <v>44978</v>
      </c>
    </row>
    <row r="795" spans="1:7" ht="14.5">
      <c r="A795" s="9" t="s">
        <v>399</v>
      </c>
      <c r="B795" s="9">
        <v>80</v>
      </c>
      <c r="C795" s="9">
        <v>2</v>
      </c>
      <c r="D795" s="9">
        <v>0</v>
      </c>
      <c r="E795" s="9">
        <v>0</v>
      </c>
      <c r="F795" s="9">
        <v>0</v>
      </c>
      <c r="G795" s="13">
        <v>44978</v>
      </c>
    </row>
    <row r="796" spans="1:7" ht="14.5">
      <c r="A796" s="9" t="s">
        <v>407</v>
      </c>
      <c r="B796" s="9">
        <v>18</v>
      </c>
      <c r="C796" s="9">
        <v>3</v>
      </c>
      <c r="D796" s="9">
        <v>0</v>
      </c>
      <c r="E796" s="9">
        <v>0</v>
      </c>
      <c r="F796" s="9">
        <v>0</v>
      </c>
      <c r="G796" s="13">
        <v>44978</v>
      </c>
    </row>
    <row r="797" spans="1:7" ht="14.5">
      <c r="A797" s="9" t="s">
        <v>415</v>
      </c>
      <c r="B797" s="9">
        <v>17</v>
      </c>
      <c r="C797" s="9">
        <v>4</v>
      </c>
      <c r="D797" s="9">
        <v>0</v>
      </c>
      <c r="E797" s="9">
        <v>0</v>
      </c>
      <c r="F797" s="9">
        <v>2</v>
      </c>
      <c r="G797" s="13">
        <v>44978</v>
      </c>
    </row>
    <row r="798" spans="1:7" ht="14.5">
      <c r="A798" s="9" t="s">
        <v>423</v>
      </c>
      <c r="B798" s="9">
        <v>20</v>
      </c>
      <c r="C798" s="9">
        <v>2</v>
      </c>
      <c r="D798" s="9">
        <v>0</v>
      </c>
      <c r="E798" s="9">
        <v>0</v>
      </c>
      <c r="F798" s="9">
        <v>0</v>
      </c>
      <c r="G798" s="13">
        <v>44978</v>
      </c>
    </row>
    <row r="799" spans="1:7" ht="14.5">
      <c r="A799" s="9" t="s">
        <v>431</v>
      </c>
      <c r="B799" s="9">
        <v>4</v>
      </c>
      <c r="C799" s="9">
        <v>0</v>
      </c>
      <c r="D799" s="9">
        <v>0</v>
      </c>
      <c r="E799" s="9">
        <v>0</v>
      </c>
      <c r="F799" s="9">
        <v>0</v>
      </c>
      <c r="G799" s="13">
        <v>44978</v>
      </c>
    </row>
    <row r="800" spans="1:7" ht="14.5">
      <c r="A800" s="9" t="s">
        <v>438</v>
      </c>
      <c r="B800" s="9">
        <v>13</v>
      </c>
      <c r="C800" s="9">
        <v>0</v>
      </c>
      <c r="D800" s="9">
        <v>0</v>
      </c>
      <c r="E800" s="9">
        <v>0</v>
      </c>
      <c r="F800" s="9">
        <v>0</v>
      </c>
      <c r="G800" s="13">
        <v>44978</v>
      </c>
    </row>
    <row r="801" spans="1:7" ht="14.5">
      <c r="A801" s="9" t="s">
        <v>445</v>
      </c>
      <c r="B801" s="9">
        <v>2</v>
      </c>
      <c r="C801" s="9">
        <v>0</v>
      </c>
      <c r="D801" s="9">
        <v>0</v>
      </c>
      <c r="E801" s="9">
        <v>0</v>
      </c>
      <c r="F801" s="9">
        <v>0</v>
      </c>
      <c r="G801" s="13">
        <v>44978</v>
      </c>
    </row>
    <row r="802" spans="1:7" ht="14.5">
      <c r="A802" s="9" t="s">
        <v>453</v>
      </c>
      <c r="B802" s="9">
        <v>66</v>
      </c>
      <c r="C802" s="9">
        <v>5</v>
      </c>
      <c r="D802" s="9">
        <v>0</v>
      </c>
      <c r="E802" s="9">
        <v>0</v>
      </c>
      <c r="F802" s="9">
        <v>0</v>
      </c>
      <c r="G802" s="13">
        <v>44978</v>
      </c>
    </row>
    <row r="803" spans="1:7" ht="14.5">
      <c r="A803" s="9" t="s">
        <v>457</v>
      </c>
      <c r="B803" s="9">
        <v>13</v>
      </c>
      <c r="C803" s="9">
        <v>4</v>
      </c>
      <c r="D803" s="9">
        <v>0</v>
      </c>
      <c r="E803" s="9">
        <v>0</v>
      </c>
      <c r="F803" s="9">
        <v>0</v>
      </c>
      <c r="G803" s="13">
        <v>44978</v>
      </c>
    </row>
    <row r="804" spans="1:7" ht="14.5">
      <c r="A804" s="9" t="s">
        <v>464</v>
      </c>
      <c r="B804" s="9">
        <v>5</v>
      </c>
      <c r="C804" s="9">
        <v>3</v>
      </c>
      <c r="D804" s="9">
        <v>0</v>
      </c>
      <c r="E804" s="9">
        <v>0</v>
      </c>
      <c r="F804" s="9">
        <v>0</v>
      </c>
      <c r="G804" s="13">
        <v>44978</v>
      </c>
    </row>
    <row r="805" spans="1:7" ht="14.5">
      <c r="A805" s="9" t="s">
        <v>468</v>
      </c>
      <c r="B805" s="9">
        <v>6</v>
      </c>
      <c r="C805" s="9">
        <v>1</v>
      </c>
      <c r="D805" s="9">
        <v>0</v>
      </c>
      <c r="E805" s="9">
        <v>0</v>
      </c>
      <c r="F805" s="9">
        <v>0</v>
      </c>
      <c r="G805" s="13">
        <v>44978</v>
      </c>
    </row>
    <row r="806" spans="1:7" ht="14.5">
      <c r="A806" s="9" t="s">
        <v>472</v>
      </c>
      <c r="B806" s="9">
        <v>0</v>
      </c>
      <c r="C806" s="9">
        <v>0</v>
      </c>
      <c r="D806" s="9">
        <v>0</v>
      </c>
      <c r="E806" s="9">
        <v>0</v>
      </c>
      <c r="F806" s="9">
        <v>0</v>
      </c>
      <c r="G806" s="13">
        <v>44978</v>
      </c>
    </row>
    <row r="807" spans="1:7" ht="14.5">
      <c r="A807" s="9" t="s">
        <v>480</v>
      </c>
      <c r="B807" s="9">
        <v>6</v>
      </c>
      <c r="C807" s="9">
        <v>0</v>
      </c>
      <c r="D807" s="9">
        <v>0</v>
      </c>
      <c r="E807" s="9">
        <v>0</v>
      </c>
      <c r="F807" s="9">
        <v>0</v>
      </c>
      <c r="G807" s="13">
        <v>44978</v>
      </c>
    </row>
    <row r="808" spans="1:7" ht="14.5">
      <c r="A808" s="9" t="s">
        <v>487</v>
      </c>
      <c r="B808" s="9">
        <v>1</v>
      </c>
      <c r="C808" s="9">
        <v>0</v>
      </c>
      <c r="D808" s="9">
        <v>0</v>
      </c>
      <c r="E808" s="9">
        <v>0</v>
      </c>
      <c r="F808" s="9">
        <v>0</v>
      </c>
      <c r="G808" s="13">
        <v>44978</v>
      </c>
    </row>
    <row r="809" spans="1:7" ht="14.5">
      <c r="A809" s="9" t="s">
        <v>491</v>
      </c>
      <c r="B809" s="9">
        <v>3</v>
      </c>
      <c r="C809" s="9">
        <v>0</v>
      </c>
      <c r="D809" s="9">
        <v>0</v>
      </c>
      <c r="E809" s="9">
        <v>0</v>
      </c>
      <c r="F809" s="9">
        <v>0</v>
      </c>
      <c r="G809" s="13">
        <v>44978</v>
      </c>
    </row>
    <row r="810" spans="1:7" ht="14.5">
      <c r="A810" s="9" t="s">
        <v>496</v>
      </c>
      <c r="B810" s="9">
        <v>4</v>
      </c>
      <c r="C810" s="9">
        <v>0</v>
      </c>
      <c r="D810" s="9">
        <v>0</v>
      </c>
      <c r="E810" s="9">
        <v>0</v>
      </c>
      <c r="F810" s="9">
        <v>0</v>
      </c>
      <c r="G810" s="13">
        <v>44978</v>
      </c>
    </row>
    <row r="811" spans="1:7" ht="14.5">
      <c r="A811" s="9" t="s">
        <v>500</v>
      </c>
      <c r="B811" s="9">
        <v>1</v>
      </c>
      <c r="C811" s="9">
        <v>0</v>
      </c>
      <c r="D811" s="9">
        <v>0</v>
      </c>
      <c r="E811" s="9">
        <v>0</v>
      </c>
      <c r="F811" s="9">
        <v>0</v>
      </c>
      <c r="G811" s="13">
        <v>44978</v>
      </c>
    </row>
    <row r="812" spans="1:7" ht="14.5">
      <c r="A812" s="9" t="s">
        <v>507</v>
      </c>
      <c r="B812" s="9">
        <v>4</v>
      </c>
      <c r="C812" s="9">
        <v>3</v>
      </c>
      <c r="D812" s="9">
        <v>0</v>
      </c>
      <c r="E812" s="9">
        <v>0</v>
      </c>
      <c r="F812" s="9">
        <v>0</v>
      </c>
      <c r="G812" s="13">
        <v>44978</v>
      </c>
    </row>
    <row r="813" spans="1:7" ht="14.5">
      <c r="A813" s="9" t="s">
        <v>515</v>
      </c>
      <c r="B813" s="9">
        <v>3</v>
      </c>
      <c r="C813" s="9">
        <v>0</v>
      </c>
      <c r="D813" s="9">
        <v>0</v>
      </c>
      <c r="E813" s="9">
        <v>0</v>
      </c>
      <c r="F813" s="9">
        <v>0</v>
      </c>
      <c r="G813" s="13">
        <v>44978</v>
      </c>
    </row>
    <row r="814" spans="1:7" ht="14.5">
      <c r="A814" s="9" t="s">
        <v>522</v>
      </c>
      <c r="B814" s="9">
        <v>20</v>
      </c>
      <c r="C814" s="9">
        <v>0</v>
      </c>
      <c r="D814" s="9">
        <v>0</v>
      </c>
      <c r="E814" s="9">
        <v>0</v>
      </c>
      <c r="F814" s="9">
        <v>0</v>
      </c>
      <c r="G814" s="13">
        <v>44978</v>
      </c>
    </row>
    <row r="815" spans="1:7" ht="14.5">
      <c r="A815" s="9" t="s">
        <v>530</v>
      </c>
      <c r="B815" s="9">
        <v>44</v>
      </c>
      <c r="C815" s="9">
        <v>10</v>
      </c>
      <c r="D815" s="9">
        <v>0</v>
      </c>
      <c r="E815" s="9">
        <v>0</v>
      </c>
      <c r="F815" s="9">
        <v>1</v>
      </c>
      <c r="G815" s="13">
        <v>44978</v>
      </c>
    </row>
    <row r="816" spans="1:7" ht="14.5">
      <c r="A816" s="9" t="s">
        <v>535</v>
      </c>
      <c r="B816" s="9">
        <v>45</v>
      </c>
      <c r="C816" s="9">
        <v>7</v>
      </c>
      <c r="D816" s="9">
        <v>0</v>
      </c>
      <c r="E816" s="9">
        <v>0</v>
      </c>
      <c r="F816" s="9">
        <v>1</v>
      </c>
      <c r="G816" s="13">
        <v>44978</v>
      </c>
    </row>
    <row r="817" spans="1:7" ht="14.5">
      <c r="A817" s="9" t="s">
        <v>544</v>
      </c>
      <c r="B817" s="9">
        <v>91</v>
      </c>
      <c r="C817" s="9">
        <v>75</v>
      </c>
      <c r="D817" s="9">
        <v>0</v>
      </c>
      <c r="E817" s="9">
        <v>0</v>
      </c>
      <c r="F817" s="9">
        <v>0</v>
      </c>
      <c r="G817" s="13">
        <v>44978</v>
      </c>
    </row>
    <row r="818" spans="1:7" ht="14.5">
      <c r="A818" s="9" t="s">
        <v>552</v>
      </c>
      <c r="B818" s="9">
        <v>96</v>
      </c>
      <c r="C818" s="9">
        <v>24</v>
      </c>
      <c r="D818" s="9">
        <v>0</v>
      </c>
      <c r="E818" s="9">
        <v>0</v>
      </c>
      <c r="F818" s="9">
        <v>0</v>
      </c>
      <c r="G818" s="13">
        <v>44978</v>
      </c>
    </row>
    <row r="819" spans="1:7" ht="14.5">
      <c r="A819" s="9" t="s">
        <v>556</v>
      </c>
      <c r="B819" s="9">
        <v>0</v>
      </c>
      <c r="C819" s="9">
        <v>0</v>
      </c>
      <c r="D819" s="9">
        <v>0</v>
      </c>
      <c r="E819" s="9">
        <v>0</v>
      </c>
      <c r="F819" s="9">
        <v>0</v>
      </c>
      <c r="G819" s="13">
        <v>44978</v>
      </c>
    </row>
    <row r="820" spans="1:7" ht="14.5">
      <c r="A820" s="9" t="s">
        <v>562</v>
      </c>
      <c r="B820" s="9">
        <v>0</v>
      </c>
      <c r="C820" s="9">
        <v>0</v>
      </c>
      <c r="D820" s="9">
        <v>0</v>
      </c>
      <c r="E820" s="9">
        <v>0</v>
      </c>
      <c r="F820" s="9">
        <v>0</v>
      </c>
      <c r="G820" s="13">
        <v>44978</v>
      </c>
    </row>
    <row r="821" spans="1:7" ht="14.5">
      <c r="A821" s="9" t="s">
        <v>569</v>
      </c>
      <c r="B821" s="9">
        <v>9</v>
      </c>
      <c r="C821" s="9">
        <v>0</v>
      </c>
      <c r="D821" s="9">
        <v>0</v>
      </c>
      <c r="E821" s="9">
        <v>0</v>
      </c>
      <c r="F821" s="9">
        <v>0</v>
      </c>
      <c r="G821" s="13">
        <v>44978</v>
      </c>
    </row>
    <row r="822" spans="1:7" ht="14.5">
      <c r="A822" s="9" t="s">
        <v>577</v>
      </c>
      <c r="B822" s="9">
        <v>6</v>
      </c>
      <c r="C822" s="9">
        <v>0</v>
      </c>
      <c r="D822" s="9">
        <v>0</v>
      </c>
      <c r="E822" s="9">
        <v>0</v>
      </c>
      <c r="F822" s="9">
        <v>0</v>
      </c>
      <c r="G822" s="13">
        <v>44978</v>
      </c>
    </row>
    <row r="823" spans="1:7" ht="14.5">
      <c r="A823" s="9" t="s">
        <v>587</v>
      </c>
      <c r="B823" s="9">
        <v>3</v>
      </c>
      <c r="C823" s="9">
        <v>7</v>
      </c>
      <c r="D823" s="9">
        <v>0</v>
      </c>
      <c r="E823" s="9">
        <v>0</v>
      </c>
      <c r="F823" s="9">
        <v>0</v>
      </c>
      <c r="G823" s="13">
        <v>44978</v>
      </c>
    </row>
    <row r="824" spans="1:7" ht="14.5">
      <c r="A824" s="9" t="s">
        <v>595</v>
      </c>
      <c r="B824" s="9">
        <v>0</v>
      </c>
      <c r="C824" s="9">
        <v>0</v>
      </c>
      <c r="D824" s="9">
        <v>0</v>
      </c>
      <c r="E824" s="9">
        <v>0</v>
      </c>
      <c r="F824" s="9">
        <v>0</v>
      </c>
      <c r="G824" s="13">
        <v>44978</v>
      </c>
    </row>
    <row r="825" spans="1:7" ht="14.5">
      <c r="A825" s="9" t="s">
        <v>601</v>
      </c>
      <c r="B825" s="9">
        <v>2</v>
      </c>
      <c r="C825" s="9">
        <v>0</v>
      </c>
      <c r="D825" s="9">
        <v>0</v>
      </c>
      <c r="E825" s="9">
        <v>0</v>
      </c>
      <c r="F825" s="9">
        <v>0</v>
      </c>
      <c r="G825" s="13">
        <v>44978</v>
      </c>
    </row>
    <row r="826" spans="1:7" ht="14.5">
      <c r="A826" s="9" t="s">
        <v>609</v>
      </c>
      <c r="B826" s="9">
        <v>7</v>
      </c>
      <c r="C826" s="9">
        <v>0</v>
      </c>
      <c r="D826" s="9">
        <v>0</v>
      </c>
      <c r="E826" s="9">
        <v>0</v>
      </c>
      <c r="F826" s="9">
        <v>0</v>
      </c>
      <c r="G826" s="13">
        <v>44978</v>
      </c>
    </row>
    <row r="827" spans="1:7" ht="14.5">
      <c r="A827" s="9" t="s">
        <v>613</v>
      </c>
      <c r="B827" s="9">
        <v>3</v>
      </c>
      <c r="C827" s="9">
        <v>0</v>
      </c>
      <c r="D827" s="9">
        <v>0</v>
      </c>
      <c r="E827" s="9">
        <v>0</v>
      </c>
      <c r="F827" s="9">
        <v>0</v>
      </c>
      <c r="G827" s="13">
        <v>44978</v>
      </c>
    </row>
    <row r="828" spans="1:7" ht="14.5">
      <c r="A828" s="9" t="s">
        <v>620</v>
      </c>
      <c r="B828" s="9">
        <v>19</v>
      </c>
      <c r="C828" s="9">
        <v>4</v>
      </c>
      <c r="D828" s="9">
        <v>0</v>
      </c>
      <c r="E828" s="9">
        <v>0</v>
      </c>
      <c r="F828" s="9">
        <v>1</v>
      </c>
      <c r="G828" s="13">
        <v>44978</v>
      </c>
    </row>
    <row r="829" spans="1:7" ht="14.5">
      <c r="A829" s="9" t="s">
        <v>628</v>
      </c>
      <c r="B829" s="9">
        <v>3</v>
      </c>
      <c r="C829" s="9">
        <v>1</v>
      </c>
      <c r="D829" s="9">
        <v>0</v>
      </c>
      <c r="E829" s="9">
        <v>0</v>
      </c>
      <c r="F829" s="9">
        <v>0</v>
      </c>
      <c r="G829" s="13">
        <v>44978</v>
      </c>
    </row>
    <row r="830" spans="1:7" ht="14.5">
      <c r="A830" s="9" t="s">
        <v>636</v>
      </c>
      <c r="B830" s="9">
        <v>2</v>
      </c>
      <c r="C830" s="9">
        <v>2</v>
      </c>
      <c r="D830" s="9">
        <v>0</v>
      </c>
      <c r="E830" s="9">
        <v>0</v>
      </c>
      <c r="F830" s="9">
        <v>0</v>
      </c>
      <c r="G830" s="13">
        <v>44978</v>
      </c>
    </row>
    <row r="831" spans="1:7" ht="14.5">
      <c r="A831" s="9" t="s">
        <v>643</v>
      </c>
      <c r="B831" s="9">
        <v>11</v>
      </c>
      <c r="C831" s="9">
        <v>0</v>
      </c>
      <c r="D831" s="9">
        <v>0</v>
      </c>
      <c r="E831" s="9">
        <v>0</v>
      </c>
      <c r="F831" s="9">
        <v>0</v>
      </c>
      <c r="G831" s="13">
        <v>44978</v>
      </c>
    </row>
    <row r="832" spans="1:7" ht="14.5">
      <c r="A832" s="9" t="s">
        <v>651</v>
      </c>
      <c r="B832" s="9">
        <v>2</v>
      </c>
      <c r="C832" s="9">
        <v>2</v>
      </c>
      <c r="D832" s="9">
        <v>0</v>
      </c>
      <c r="E832" s="9">
        <v>0</v>
      </c>
      <c r="F832" s="9">
        <v>0</v>
      </c>
      <c r="G832" s="13">
        <v>44978</v>
      </c>
    </row>
    <row r="833" spans="1:7" ht="14.5">
      <c r="A833" s="9" t="s">
        <v>658</v>
      </c>
      <c r="B833" s="9">
        <v>3</v>
      </c>
      <c r="C833" s="9">
        <v>0</v>
      </c>
      <c r="D833" s="9">
        <v>0</v>
      </c>
      <c r="E833" s="9">
        <v>0</v>
      </c>
      <c r="F833" s="9">
        <v>0</v>
      </c>
      <c r="G833" s="13">
        <v>44978</v>
      </c>
    </row>
    <row r="834" spans="1:7" ht="14.5">
      <c r="A834" s="9" t="s">
        <v>665</v>
      </c>
      <c r="B834" s="9">
        <v>13</v>
      </c>
      <c r="C834" s="9">
        <v>3</v>
      </c>
      <c r="D834" s="9">
        <v>0</v>
      </c>
      <c r="E834" s="9">
        <v>0</v>
      </c>
      <c r="F834" s="9">
        <v>5</v>
      </c>
      <c r="G834" s="13">
        <v>44978</v>
      </c>
    </row>
    <row r="835" spans="1:7" ht="14.5">
      <c r="A835" s="9" t="s">
        <v>668</v>
      </c>
      <c r="B835" s="9">
        <v>0</v>
      </c>
      <c r="C835" s="9">
        <v>0</v>
      </c>
      <c r="D835" s="9">
        <v>0</v>
      </c>
      <c r="E835" s="9">
        <v>0</v>
      </c>
      <c r="F835" s="9">
        <v>0</v>
      </c>
      <c r="G835" s="13">
        <v>44978</v>
      </c>
    </row>
    <row r="836" spans="1:7" ht="14.5">
      <c r="A836" s="9" t="s">
        <v>673</v>
      </c>
      <c r="B836" s="9">
        <v>3</v>
      </c>
      <c r="C836" s="9">
        <v>1</v>
      </c>
      <c r="D836" s="9">
        <v>0</v>
      </c>
      <c r="E836" s="9">
        <v>0</v>
      </c>
      <c r="F836" s="9">
        <v>0</v>
      </c>
      <c r="G836" s="13">
        <v>44978</v>
      </c>
    </row>
    <row r="837" spans="1:7" ht="14.5">
      <c r="A837" s="9" t="s">
        <v>679</v>
      </c>
      <c r="B837" s="9">
        <v>0</v>
      </c>
      <c r="C837" s="9">
        <v>0</v>
      </c>
      <c r="D837" s="9">
        <v>0</v>
      </c>
      <c r="E837" s="9">
        <v>0</v>
      </c>
      <c r="F837" s="9">
        <v>0</v>
      </c>
      <c r="G837" s="13">
        <v>44978</v>
      </c>
    </row>
    <row r="838" spans="1:7" ht="14.5">
      <c r="A838" s="9" t="s">
        <v>684</v>
      </c>
      <c r="B838" s="9">
        <v>2</v>
      </c>
      <c r="C838" s="9">
        <v>0</v>
      </c>
      <c r="D838" s="9">
        <v>0</v>
      </c>
      <c r="E838" s="9">
        <v>0</v>
      </c>
      <c r="F838" s="9">
        <v>0</v>
      </c>
      <c r="G838" s="13">
        <v>44978</v>
      </c>
    </row>
    <row r="839" spans="1:7" ht="14.5">
      <c r="A839" s="9" t="s">
        <v>686</v>
      </c>
      <c r="B839" s="9">
        <v>32</v>
      </c>
      <c r="C839" s="9">
        <v>2</v>
      </c>
      <c r="D839" s="9">
        <v>0</v>
      </c>
      <c r="E839" s="9">
        <v>0</v>
      </c>
      <c r="F839" s="9">
        <v>0</v>
      </c>
      <c r="G839" s="13">
        <v>44978</v>
      </c>
    </row>
    <row r="840" spans="1:7" ht="14.5">
      <c r="A840" s="9" t="s">
        <v>693</v>
      </c>
      <c r="B840" s="9">
        <v>1</v>
      </c>
      <c r="C840" s="9">
        <v>0</v>
      </c>
      <c r="D840" s="9">
        <v>0</v>
      </c>
      <c r="E840" s="9">
        <v>0</v>
      </c>
      <c r="F840" s="9">
        <v>0</v>
      </c>
      <c r="G840" s="13">
        <v>44978</v>
      </c>
    </row>
    <row r="841" spans="1:7" ht="14.5">
      <c r="A841" s="9" t="s">
        <v>699</v>
      </c>
      <c r="B841" s="9">
        <v>1</v>
      </c>
      <c r="C841" s="9">
        <v>0</v>
      </c>
      <c r="D841" s="9">
        <v>0</v>
      </c>
      <c r="E841" s="9">
        <v>0</v>
      </c>
      <c r="F841" s="9">
        <v>0</v>
      </c>
      <c r="G841" s="13">
        <v>44978</v>
      </c>
    </row>
    <row r="842" spans="1:7" ht="14.5">
      <c r="A842" s="9" t="s">
        <v>707</v>
      </c>
      <c r="B842" s="9">
        <v>6</v>
      </c>
      <c r="C842" s="9">
        <v>0</v>
      </c>
      <c r="D842" s="9">
        <v>0</v>
      </c>
      <c r="E842" s="9">
        <v>0</v>
      </c>
      <c r="F842" s="9">
        <v>0</v>
      </c>
      <c r="G842" s="13">
        <v>44978</v>
      </c>
    </row>
    <row r="843" spans="1:7" ht="14.5">
      <c r="A843" s="9" t="s">
        <v>713</v>
      </c>
      <c r="B843" s="9">
        <v>5</v>
      </c>
      <c r="C843" s="9">
        <v>0</v>
      </c>
      <c r="D843" s="9">
        <v>0</v>
      </c>
      <c r="E843" s="9">
        <v>0</v>
      </c>
      <c r="F843" s="9">
        <v>0</v>
      </c>
      <c r="G843" s="13">
        <v>44978</v>
      </c>
    </row>
    <row r="844" spans="1:7" ht="14.5">
      <c r="A844" s="9" t="s">
        <v>720</v>
      </c>
      <c r="B844" s="9">
        <v>2</v>
      </c>
      <c r="C844" s="9">
        <v>0</v>
      </c>
      <c r="D844" s="9">
        <v>0</v>
      </c>
      <c r="E844" s="9">
        <v>0</v>
      </c>
      <c r="F844" s="9">
        <v>0</v>
      </c>
      <c r="G844" s="13">
        <v>44978</v>
      </c>
    </row>
    <row r="845" spans="1:7" ht="14.5">
      <c r="A845" s="9" t="s">
        <v>727</v>
      </c>
      <c r="B845" s="9">
        <v>2</v>
      </c>
      <c r="C845" s="9">
        <v>0</v>
      </c>
      <c r="D845" s="9">
        <v>0</v>
      </c>
      <c r="E845" s="9">
        <v>0</v>
      </c>
      <c r="F845" s="9">
        <v>0</v>
      </c>
      <c r="G845" s="13">
        <v>44978</v>
      </c>
    </row>
    <row r="846" spans="1:7" ht="14.5">
      <c r="A846" s="9" t="s">
        <v>735</v>
      </c>
      <c r="B846" s="9">
        <v>0</v>
      </c>
      <c r="C846" s="9">
        <v>0</v>
      </c>
      <c r="D846" s="9">
        <v>0</v>
      </c>
      <c r="E846" s="9">
        <v>0</v>
      </c>
      <c r="F846" s="9">
        <v>0</v>
      </c>
      <c r="G846" s="13">
        <v>44978</v>
      </c>
    </row>
    <row r="847" spans="1:7" ht="14.5">
      <c r="A847" s="9" t="s">
        <v>742</v>
      </c>
      <c r="B847" s="9">
        <v>0</v>
      </c>
      <c r="C847" s="9">
        <v>0</v>
      </c>
      <c r="D847" s="9">
        <v>0</v>
      </c>
      <c r="E847" s="9">
        <v>0</v>
      </c>
      <c r="F847" s="9">
        <v>0</v>
      </c>
      <c r="G847" s="13">
        <v>44978</v>
      </c>
    </row>
    <row r="848" spans="1:7" ht="14.5">
      <c r="A848" s="9" t="s">
        <v>751</v>
      </c>
      <c r="B848" s="9">
        <v>7</v>
      </c>
      <c r="C848" s="9">
        <v>0</v>
      </c>
      <c r="D848" s="9">
        <v>0</v>
      </c>
      <c r="E848" s="9">
        <v>0</v>
      </c>
      <c r="F848" s="9">
        <v>0</v>
      </c>
      <c r="G848" s="13">
        <v>44978</v>
      </c>
    </row>
    <row r="849" spans="1:7" ht="14.5">
      <c r="A849" s="9" t="s">
        <v>759</v>
      </c>
      <c r="B849" s="9">
        <v>3</v>
      </c>
      <c r="C849" s="9">
        <v>0</v>
      </c>
      <c r="D849" s="9">
        <v>0</v>
      </c>
      <c r="E849" s="9">
        <v>0</v>
      </c>
      <c r="F849" s="9">
        <v>0</v>
      </c>
      <c r="G849" s="13">
        <v>44978</v>
      </c>
    </row>
    <row r="850" spans="1:7" ht="14.5">
      <c r="A850" s="9" t="s">
        <v>764</v>
      </c>
      <c r="B850" s="9">
        <v>1</v>
      </c>
      <c r="C850" s="9">
        <v>0</v>
      </c>
      <c r="D850" s="9">
        <v>0</v>
      </c>
      <c r="E850" s="9">
        <v>0</v>
      </c>
      <c r="F850" s="9">
        <v>0</v>
      </c>
      <c r="G850" s="13">
        <v>44978</v>
      </c>
    </row>
    <row r="851" spans="1:7" ht="14.5">
      <c r="A851" s="9" t="s">
        <v>770</v>
      </c>
      <c r="B851" s="9">
        <v>3</v>
      </c>
      <c r="C851" s="9">
        <v>0</v>
      </c>
      <c r="D851" s="9">
        <v>0</v>
      </c>
      <c r="E851" s="9">
        <v>0</v>
      </c>
      <c r="F851" s="9">
        <v>0</v>
      </c>
      <c r="G851" s="13">
        <v>44978</v>
      </c>
    </row>
    <row r="852" spans="1:7" ht="14.5">
      <c r="A852" s="9" t="s">
        <v>777</v>
      </c>
      <c r="B852" s="9">
        <v>2</v>
      </c>
      <c r="C852" s="9">
        <v>0</v>
      </c>
      <c r="D852" s="9">
        <v>0</v>
      </c>
      <c r="E852" s="9">
        <v>0</v>
      </c>
      <c r="F852" s="9">
        <v>0</v>
      </c>
      <c r="G852" s="13">
        <v>44978</v>
      </c>
    </row>
    <row r="853" spans="1:7" ht="14.5">
      <c r="A853" s="9" t="s">
        <v>784</v>
      </c>
      <c r="B853" s="9">
        <v>7</v>
      </c>
      <c r="C853" s="9">
        <v>0</v>
      </c>
      <c r="D853" s="9">
        <v>0</v>
      </c>
      <c r="E853" s="9">
        <v>0</v>
      </c>
      <c r="F853" s="9">
        <v>0</v>
      </c>
      <c r="G853" s="13">
        <v>44978</v>
      </c>
    </row>
    <row r="854" spans="1:7" ht="14.5">
      <c r="A854" s="9" t="s">
        <v>792</v>
      </c>
      <c r="B854" s="9">
        <v>2</v>
      </c>
      <c r="C854" s="9">
        <v>1</v>
      </c>
      <c r="D854" s="9">
        <v>0</v>
      </c>
      <c r="E854" s="9">
        <v>0</v>
      </c>
      <c r="F854" s="9">
        <v>1</v>
      </c>
      <c r="G854" s="13">
        <v>44978</v>
      </c>
    </row>
    <row r="855" spans="1:7" ht="14.5">
      <c r="A855" s="9" t="s">
        <v>798</v>
      </c>
      <c r="B855" s="9">
        <v>1</v>
      </c>
      <c r="C855" s="9">
        <v>0</v>
      </c>
      <c r="D855" s="9">
        <v>0</v>
      </c>
      <c r="E855" s="9">
        <v>0</v>
      </c>
      <c r="F855" s="9">
        <v>0</v>
      </c>
      <c r="G855" s="13">
        <v>44978</v>
      </c>
    </row>
    <row r="856" spans="1:7" ht="14.5">
      <c r="A856" s="9" t="s">
        <v>801</v>
      </c>
      <c r="B856" s="9">
        <v>0</v>
      </c>
      <c r="C856" s="9">
        <v>0</v>
      </c>
      <c r="D856" s="9">
        <v>0</v>
      </c>
      <c r="E856" s="9">
        <v>0</v>
      </c>
      <c r="F856" s="9">
        <v>0</v>
      </c>
      <c r="G856" s="13">
        <v>44978</v>
      </c>
    </row>
    <row r="857" spans="1:7" ht="14.5">
      <c r="A857" s="9" t="s">
        <v>806</v>
      </c>
      <c r="B857" s="9">
        <v>9</v>
      </c>
      <c r="C857" s="9">
        <v>0</v>
      </c>
      <c r="D857" s="9">
        <v>0</v>
      </c>
      <c r="E857" s="9">
        <v>0</v>
      </c>
      <c r="F857" s="9">
        <v>0</v>
      </c>
      <c r="G857" s="13">
        <v>44978</v>
      </c>
    </row>
    <row r="858" spans="1:7" ht="14.5">
      <c r="A858" s="9" t="s">
        <v>814</v>
      </c>
      <c r="B858" s="9">
        <v>3</v>
      </c>
      <c r="C858" s="9">
        <v>0</v>
      </c>
      <c r="D858" s="9">
        <v>0</v>
      </c>
      <c r="E858" s="9">
        <v>0</v>
      </c>
      <c r="F858" s="9">
        <v>0</v>
      </c>
      <c r="G858" s="13">
        <v>44978</v>
      </c>
    </row>
    <row r="859" spans="1:7" ht="14.5">
      <c r="A859" s="9" t="s">
        <v>820</v>
      </c>
      <c r="B859" s="9">
        <v>5</v>
      </c>
      <c r="C859" s="9">
        <v>0</v>
      </c>
      <c r="D859" s="9">
        <v>0</v>
      </c>
      <c r="E859" s="9">
        <v>0</v>
      </c>
      <c r="F859" s="9">
        <v>0</v>
      </c>
      <c r="G859" s="13">
        <v>44978</v>
      </c>
    </row>
    <row r="860" spans="1:7" ht="14.5">
      <c r="A860" s="9" t="s">
        <v>825</v>
      </c>
      <c r="B860" s="9">
        <v>2</v>
      </c>
      <c r="C860" s="9">
        <v>0</v>
      </c>
      <c r="D860" s="9">
        <v>0</v>
      </c>
      <c r="E860" s="9">
        <v>0</v>
      </c>
      <c r="F860" s="9">
        <v>0</v>
      </c>
      <c r="G860" s="13">
        <v>44978</v>
      </c>
    </row>
    <row r="861" spans="1:7" ht="14.5">
      <c r="A861" s="9" t="s">
        <v>829</v>
      </c>
      <c r="B861" s="9">
        <v>5</v>
      </c>
      <c r="C861" s="9">
        <v>0</v>
      </c>
      <c r="D861" s="9">
        <v>0</v>
      </c>
      <c r="E861" s="9">
        <v>0</v>
      </c>
      <c r="F861" s="9">
        <v>0</v>
      </c>
      <c r="G861" s="13">
        <v>44978</v>
      </c>
    </row>
    <row r="862" spans="1:7" ht="14.5">
      <c r="A862" s="9" t="s">
        <v>837</v>
      </c>
      <c r="B862" s="9">
        <v>1</v>
      </c>
      <c r="C862" s="9">
        <v>0</v>
      </c>
      <c r="D862" s="9">
        <v>0</v>
      </c>
      <c r="E862" s="9">
        <v>0</v>
      </c>
      <c r="F862" s="9">
        <v>0</v>
      </c>
      <c r="G862" s="13">
        <v>44978</v>
      </c>
    </row>
    <row r="863" spans="1:7" ht="14.5">
      <c r="A863" s="9" t="s">
        <v>844</v>
      </c>
      <c r="B863" s="9">
        <v>0</v>
      </c>
      <c r="C863" s="9">
        <v>0</v>
      </c>
      <c r="D863" s="9">
        <v>0</v>
      </c>
      <c r="E863" s="9">
        <v>0</v>
      </c>
      <c r="F863" s="9">
        <v>0</v>
      </c>
      <c r="G863" s="13">
        <v>44978</v>
      </c>
    </row>
    <row r="864" spans="1:7" ht="14.5">
      <c r="A864" s="9" t="s">
        <v>852</v>
      </c>
      <c r="B864" s="9">
        <v>0</v>
      </c>
      <c r="C864" s="9">
        <v>0</v>
      </c>
      <c r="D864" s="9">
        <v>0</v>
      </c>
      <c r="E864" s="9">
        <v>0</v>
      </c>
      <c r="F864" s="9">
        <v>0</v>
      </c>
      <c r="G864" s="13">
        <v>44978</v>
      </c>
    </row>
    <row r="865" spans="1:7" ht="14.5">
      <c r="A865" s="9" t="s">
        <v>860</v>
      </c>
      <c r="B865" s="9">
        <v>3</v>
      </c>
      <c r="C865" s="9">
        <v>0</v>
      </c>
      <c r="D865" s="9">
        <v>0</v>
      </c>
      <c r="E865" s="9">
        <v>0</v>
      </c>
      <c r="F865" s="9">
        <v>0</v>
      </c>
      <c r="G865" s="13">
        <v>44978</v>
      </c>
    </row>
    <row r="866" spans="1:7" ht="14.5">
      <c r="A866" s="9" t="s">
        <v>14050</v>
      </c>
      <c r="B866" s="9">
        <v>58</v>
      </c>
      <c r="C866" s="9">
        <v>80</v>
      </c>
      <c r="D866" s="9">
        <v>40</v>
      </c>
      <c r="E866" s="9">
        <v>0</v>
      </c>
      <c r="F866" s="9">
        <v>0</v>
      </c>
      <c r="G866" s="13">
        <v>44978</v>
      </c>
    </row>
    <row r="867" spans="1:7" ht="14.5">
      <c r="A867" s="9" t="s">
        <v>14051</v>
      </c>
      <c r="B867" s="9">
        <v>86</v>
      </c>
      <c r="C867" s="9">
        <v>21</v>
      </c>
      <c r="D867" s="9">
        <v>72</v>
      </c>
      <c r="E867" s="9">
        <v>0</v>
      </c>
      <c r="F867" s="9">
        <v>2</v>
      </c>
      <c r="G867" s="13">
        <v>44978</v>
      </c>
    </row>
    <row r="868" spans="1:7" ht="14.5">
      <c r="A868" s="9" t="s">
        <v>14052</v>
      </c>
      <c r="B868" s="9">
        <v>344</v>
      </c>
      <c r="C868" s="9">
        <v>101</v>
      </c>
      <c r="D868" s="9">
        <v>630</v>
      </c>
      <c r="E868" s="9">
        <v>99</v>
      </c>
      <c r="F868" s="9">
        <v>9</v>
      </c>
      <c r="G868" s="13">
        <v>44978</v>
      </c>
    </row>
    <row r="869" spans="1:7" ht="14.5">
      <c r="A869" s="9" t="s">
        <v>14053</v>
      </c>
      <c r="B869" s="9">
        <v>1</v>
      </c>
      <c r="C869" s="9">
        <v>2</v>
      </c>
      <c r="D869" s="9">
        <v>0</v>
      </c>
      <c r="E869" s="9">
        <v>6</v>
      </c>
      <c r="F869" s="9">
        <v>0</v>
      </c>
      <c r="G869" s="13">
        <v>44978</v>
      </c>
    </row>
    <row r="870" spans="1:7" ht="14.5">
      <c r="A870" s="9" t="s">
        <v>14054</v>
      </c>
      <c r="B870" s="9">
        <v>78</v>
      </c>
      <c r="C870" s="9">
        <v>26</v>
      </c>
      <c r="D870" s="9">
        <v>13</v>
      </c>
      <c r="E870" s="9">
        <v>35</v>
      </c>
      <c r="F870" s="9">
        <v>0</v>
      </c>
      <c r="G870" s="13">
        <v>44978</v>
      </c>
    </row>
    <row r="871" spans="1:7" ht="14.5">
      <c r="A871" s="9" t="s">
        <v>14055</v>
      </c>
      <c r="B871" s="9">
        <v>144</v>
      </c>
      <c r="C871" s="9">
        <v>31</v>
      </c>
      <c r="D871" s="9">
        <v>36</v>
      </c>
      <c r="E871" s="9">
        <v>0</v>
      </c>
      <c r="F871" s="9">
        <v>0</v>
      </c>
      <c r="G871" s="13">
        <v>44978</v>
      </c>
    </row>
    <row r="872" spans="1:7" ht="14.5">
      <c r="A872" s="9" t="s">
        <v>14056</v>
      </c>
      <c r="B872" s="9">
        <v>45</v>
      </c>
      <c r="C872" s="9">
        <v>7</v>
      </c>
      <c r="D872" s="9">
        <v>8</v>
      </c>
      <c r="E872" s="9">
        <v>121</v>
      </c>
      <c r="F872" s="9">
        <v>0</v>
      </c>
      <c r="G872" s="13">
        <v>44978</v>
      </c>
    </row>
    <row r="873" spans="1:7" ht="14.5">
      <c r="A873" s="9" t="s">
        <v>14057</v>
      </c>
      <c r="B873" s="9">
        <v>31</v>
      </c>
      <c r="C873" s="9">
        <v>9</v>
      </c>
      <c r="D873" s="9">
        <v>37</v>
      </c>
      <c r="E873" s="9">
        <v>0</v>
      </c>
      <c r="F873" s="9">
        <v>0</v>
      </c>
      <c r="G873" s="13">
        <v>44978</v>
      </c>
    </row>
    <row r="874" spans="1:7" ht="14.5">
      <c r="A874" s="9" t="s">
        <v>14058</v>
      </c>
      <c r="B874" s="9">
        <v>31</v>
      </c>
      <c r="C874" s="9">
        <v>7</v>
      </c>
      <c r="D874" s="9">
        <v>55</v>
      </c>
      <c r="E874" s="9">
        <v>0</v>
      </c>
      <c r="F874" s="9">
        <v>0</v>
      </c>
      <c r="G874" s="13">
        <v>44978</v>
      </c>
    </row>
    <row r="875" spans="1:7" ht="14.5">
      <c r="A875" s="9" t="s">
        <v>14059</v>
      </c>
      <c r="B875" s="9">
        <v>49</v>
      </c>
      <c r="C875" s="9">
        <v>10</v>
      </c>
      <c r="D875" s="9">
        <v>11</v>
      </c>
      <c r="E875" s="9">
        <v>0</v>
      </c>
      <c r="F875" s="9">
        <v>0</v>
      </c>
      <c r="G875" s="13">
        <v>44978</v>
      </c>
    </row>
    <row r="876" spans="1:7" ht="14.5">
      <c r="A876" s="9" t="s">
        <v>14060</v>
      </c>
      <c r="B876" s="9">
        <v>49</v>
      </c>
      <c r="C876" s="9">
        <v>91</v>
      </c>
      <c r="D876" s="9">
        <v>8</v>
      </c>
      <c r="E876" s="9">
        <v>343</v>
      </c>
      <c r="F876" s="9">
        <v>0</v>
      </c>
      <c r="G876" s="13">
        <v>44978</v>
      </c>
    </row>
    <row r="877" spans="1:7" ht="14.5">
      <c r="A877" s="9" t="s">
        <v>14061</v>
      </c>
      <c r="B877" s="9">
        <v>55</v>
      </c>
      <c r="C877" s="9">
        <v>79</v>
      </c>
      <c r="D877" s="9">
        <v>3</v>
      </c>
      <c r="E877" s="9">
        <v>14</v>
      </c>
      <c r="F877" s="9">
        <v>0</v>
      </c>
      <c r="G877" s="13">
        <v>44978</v>
      </c>
    </row>
    <row r="878" spans="1:7" ht="14.5">
      <c r="A878" s="9" t="s">
        <v>14062</v>
      </c>
      <c r="B878" s="9">
        <v>45</v>
      </c>
      <c r="C878" s="9">
        <v>18</v>
      </c>
      <c r="D878" s="9">
        <v>25</v>
      </c>
      <c r="E878" s="9">
        <v>100</v>
      </c>
      <c r="F878" s="9">
        <v>0</v>
      </c>
      <c r="G878" s="13">
        <v>44978</v>
      </c>
    </row>
    <row r="879" spans="1:7" ht="14.5">
      <c r="A879" s="9" t="s">
        <v>14063</v>
      </c>
      <c r="B879" s="9">
        <v>215</v>
      </c>
      <c r="C879" s="9">
        <v>51</v>
      </c>
      <c r="D879" s="9">
        <v>5</v>
      </c>
      <c r="E879" s="9">
        <v>133</v>
      </c>
      <c r="F879" s="9">
        <v>1</v>
      </c>
      <c r="G879" s="13">
        <v>44978</v>
      </c>
    </row>
    <row r="880" spans="1:7" ht="14.5">
      <c r="A880" s="9" t="s">
        <v>14064</v>
      </c>
      <c r="B880" s="9">
        <v>7</v>
      </c>
      <c r="C880" s="9">
        <v>6</v>
      </c>
      <c r="D880" s="9">
        <v>3</v>
      </c>
      <c r="E880" s="9">
        <v>21</v>
      </c>
      <c r="F880" s="9">
        <v>0</v>
      </c>
      <c r="G880" s="13">
        <v>44978</v>
      </c>
    </row>
    <row r="881" spans="1:7" ht="14.5">
      <c r="A881" s="9" t="s">
        <v>14065</v>
      </c>
      <c r="B881" s="9">
        <v>47</v>
      </c>
      <c r="C881" s="9">
        <v>7</v>
      </c>
      <c r="D881" s="9">
        <v>8</v>
      </c>
      <c r="E881" s="9">
        <v>76</v>
      </c>
      <c r="F881" s="9">
        <v>0</v>
      </c>
      <c r="G881" s="13">
        <v>44978</v>
      </c>
    </row>
    <row r="882" spans="1:7" ht="14.5">
      <c r="A882" s="9" t="s">
        <v>14066</v>
      </c>
      <c r="B882" s="9">
        <v>111</v>
      </c>
      <c r="C882" s="9">
        <v>13</v>
      </c>
      <c r="D882" s="9">
        <v>20</v>
      </c>
      <c r="E882" s="9">
        <v>0</v>
      </c>
      <c r="F882" s="9">
        <v>0</v>
      </c>
      <c r="G882" s="13">
        <v>44978</v>
      </c>
    </row>
    <row r="883" spans="1:7" ht="14.5">
      <c r="A883" s="9" t="s">
        <v>14067</v>
      </c>
      <c r="B883" s="9">
        <v>1</v>
      </c>
      <c r="C883" s="9">
        <v>1</v>
      </c>
      <c r="D883" s="9">
        <v>0</v>
      </c>
      <c r="E883" s="9">
        <v>6</v>
      </c>
      <c r="F883" s="9">
        <v>0</v>
      </c>
      <c r="G883" s="13">
        <v>44978</v>
      </c>
    </row>
    <row r="884" spans="1:7" ht="14.5">
      <c r="A884" s="9" t="s">
        <v>14068</v>
      </c>
      <c r="B884" s="9">
        <v>3</v>
      </c>
      <c r="C884" s="9">
        <v>0</v>
      </c>
      <c r="D884" s="9">
        <v>0</v>
      </c>
      <c r="E884" s="9">
        <v>0</v>
      </c>
      <c r="F884" s="9">
        <v>0</v>
      </c>
      <c r="G884" s="13">
        <v>44978</v>
      </c>
    </row>
    <row r="885" spans="1:7" ht="14.5">
      <c r="A885" s="9" t="s">
        <v>14069</v>
      </c>
      <c r="B885" s="9">
        <v>2</v>
      </c>
      <c r="C885" s="9">
        <v>14</v>
      </c>
      <c r="D885" s="9">
        <v>0</v>
      </c>
      <c r="E885" s="9">
        <v>20</v>
      </c>
      <c r="F885" s="9">
        <v>0</v>
      </c>
      <c r="G885" s="13">
        <v>44978</v>
      </c>
    </row>
    <row r="886" spans="1:7" ht="14.5">
      <c r="A886" s="9" t="s">
        <v>14070</v>
      </c>
      <c r="B886" s="9">
        <v>1</v>
      </c>
      <c r="C886" s="9">
        <v>0</v>
      </c>
      <c r="D886" s="9">
        <v>0</v>
      </c>
      <c r="E886" s="9">
        <v>0</v>
      </c>
      <c r="F886" s="9">
        <v>0</v>
      </c>
      <c r="G886" s="13">
        <v>44978</v>
      </c>
    </row>
    <row r="887" spans="1:7" ht="14.5">
      <c r="A887" s="9" t="s">
        <v>14071</v>
      </c>
      <c r="B887" s="9">
        <v>22</v>
      </c>
      <c r="C887" s="9">
        <v>5</v>
      </c>
      <c r="D887" s="9">
        <v>23</v>
      </c>
      <c r="E887" s="9">
        <v>12</v>
      </c>
      <c r="F887" s="9">
        <v>0</v>
      </c>
      <c r="G887" s="13">
        <v>44978</v>
      </c>
    </row>
    <row r="888" spans="1:7" ht="14.5">
      <c r="A888" s="9" t="s">
        <v>14072</v>
      </c>
      <c r="B888" s="9">
        <v>36</v>
      </c>
      <c r="C888" s="9">
        <v>95</v>
      </c>
      <c r="D888" s="9">
        <v>150</v>
      </c>
      <c r="E888" s="9">
        <v>53</v>
      </c>
      <c r="F888" s="9">
        <v>0</v>
      </c>
      <c r="G888" s="13">
        <v>44978</v>
      </c>
    </row>
    <row r="889" spans="1:7" ht="14.5">
      <c r="A889" s="9" t="s">
        <v>14073</v>
      </c>
      <c r="B889" s="9">
        <v>29</v>
      </c>
      <c r="C889" s="9">
        <v>1</v>
      </c>
      <c r="D889" s="9">
        <v>6</v>
      </c>
      <c r="E889" s="9">
        <v>0</v>
      </c>
      <c r="F889" s="9">
        <v>0</v>
      </c>
      <c r="G889" s="13">
        <v>44978</v>
      </c>
    </row>
    <row r="890" spans="1:7" ht="14.5">
      <c r="A890" s="9" t="s">
        <v>14074</v>
      </c>
      <c r="B890" s="9">
        <v>32</v>
      </c>
      <c r="C890" s="9">
        <v>7</v>
      </c>
      <c r="D890" s="9">
        <v>11</v>
      </c>
      <c r="E890" s="9">
        <v>0</v>
      </c>
      <c r="F890" s="9">
        <v>0</v>
      </c>
      <c r="G890" s="13">
        <v>44978</v>
      </c>
    </row>
    <row r="891" spans="1:7" ht="14.5">
      <c r="A891" s="9" t="s">
        <v>14075</v>
      </c>
      <c r="B891" s="9">
        <v>63</v>
      </c>
      <c r="C891" s="9">
        <v>36</v>
      </c>
      <c r="D891" s="9">
        <v>27</v>
      </c>
      <c r="E891" s="9">
        <v>38</v>
      </c>
      <c r="F891" s="9">
        <v>0</v>
      </c>
      <c r="G891" s="13">
        <v>44978</v>
      </c>
    </row>
    <row r="892" spans="1:7" ht="14.5">
      <c r="A892" s="9" t="s">
        <v>14076</v>
      </c>
      <c r="B892" s="9">
        <v>57</v>
      </c>
      <c r="C892" s="9">
        <v>15</v>
      </c>
      <c r="D892" s="9">
        <v>18</v>
      </c>
      <c r="E892" s="9">
        <v>167</v>
      </c>
      <c r="F892" s="9">
        <v>0</v>
      </c>
      <c r="G892" s="13">
        <v>44978</v>
      </c>
    </row>
    <row r="893" spans="1:7" ht="14.5">
      <c r="A893" s="9" t="s">
        <v>14077</v>
      </c>
      <c r="B893" s="9">
        <v>23</v>
      </c>
      <c r="C893" s="9">
        <v>2</v>
      </c>
      <c r="D893" s="9">
        <v>0</v>
      </c>
      <c r="E893" s="9">
        <v>0</v>
      </c>
      <c r="F893" s="9">
        <v>0</v>
      </c>
      <c r="G893" s="13">
        <v>44978</v>
      </c>
    </row>
    <row r="894" spans="1:7" ht="14.5">
      <c r="A894" s="9" t="s">
        <v>14078</v>
      </c>
      <c r="B894" s="9">
        <v>2</v>
      </c>
      <c r="C894" s="9">
        <v>4</v>
      </c>
      <c r="D894" s="9">
        <v>0</v>
      </c>
      <c r="E894" s="9">
        <v>0</v>
      </c>
      <c r="F894" s="9">
        <v>0</v>
      </c>
      <c r="G894" s="13">
        <v>44978</v>
      </c>
    </row>
    <row r="895" spans="1:7" ht="14.5">
      <c r="A895" s="9" t="s">
        <v>14079</v>
      </c>
      <c r="B895" s="9">
        <v>149</v>
      </c>
      <c r="C895" s="9">
        <v>42</v>
      </c>
      <c r="D895" s="9">
        <v>0</v>
      </c>
      <c r="E895" s="9">
        <v>558</v>
      </c>
      <c r="F895" s="9">
        <v>0</v>
      </c>
      <c r="G895" s="13">
        <v>44978</v>
      </c>
    </row>
    <row r="896" spans="1:7" ht="14.5">
      <c r="A896" s="9" t="s">
        <v>14080</v>
      </c>
      <c r="B896" s="9">
        <v>5</v>
      </c>
      <c r="C896" s="9">
        <v>1</v>
      </c>
      <c r="D896" s="9">
        <v>0</v>
      </c>
      <c r="E896" s="9">
        <v>0</v>
      </c>
      <c r="F896" s="9">
        <v>0</v>
      </c>
      <c r="G896" s="13">
        <v>44978</v>
      </c>
    </row>
    <row r="897" spans="1:7" ht="14.5">
      <c r="A897" s="9" t="s">
        <v>14081</v>
      </c>
      <c r="B897" s="9">
        <v>122</v>
      </c>
      <c r="C897" s="9">
        <v>37</v>
      </c>
      <c r="D897" s="9">
        <v>6</v>
      </c>
      <c r="E897" s="9">
        <v>97</v>
      </c>
      <c r="F897" s="9">
        <v>0</v>
      </c>
      <c r="G897" s="13">
        <v>44978</v>
      </c>
    </row>
    <row r="898" spans="1:7" ht="14.5">
      <c r="A898" s="9" t="s">
        <v>14082</v>
      </c>
      <c r="B898" s="9">
        <v>43</v>
      </c>
      <c r="C898" s="9">
        <v>14</v>
      </c>
      <c r="D898" s="9">
        <v>10</v>
      </c>
      <c r="E898" s="9">
        <v>129</v>
      </c>
      <c r="F898" s="9">
        <v>0</v>
      </c>
      <c r="G898" s="13">
        <v>44978</v>
      </c>
    </row>
    <row r="899" spans="1:7" ht="14.5">
      <c r="A899" s="9" t="s">
        <v>14083</v>
      </c>
      <c r="B899" s="9">
        <v>25</v>
      </c>
      <c r="C899" s="9">
        <v>9</v>
      </c>
      <c r="D899" s="9">
        <v>1</v>
      </c>
      <c r="E899" s="9">
        <v>0</v>
      </c>
      <c r="F899" s="9">
        <v>0</v>
      </c>
      <c r="G899" s="13">
        <v>44978</v>
      </c>
    </row>
    <row r="900" spans="1:7" ht="14.5">
      <c r="A900" s="9" t="s">
        <v>14084</v>
      </c>
      <c r="B900" s="9">
        <v>8</v>
      </c>
      <c r="C900" s="9">
        <v>4</v>
      </c>
      <c r="D900" s="9">
        <v>1</v>
      </c>
      <c r="E900" s="9">
        <v>0</v>
      </c>
      <c r="F900" s="9">
        <v>0</v>
      </c>
      <c r="G900" s="13">
        <v>44978</v>
      </c>
    </row>
    <row r="901" spans="1:7" ht="14.5">
      <c r="A901" s="9" t="s">
        <v>14085</v>
      </c>
      <c r="B901" s="9">
        <v>39</v>
      </c>
      <c r="C901" s="9">
        <v>333</v>
      </c>
      <c r="D901" s="9">
        <v>4</v>
      </c>
      <c r="E901" s="9">
        <v>16</v>
      </c>
      <c r="F901" s="9">
        <v>0</v>
      </c>
      <c r="G901" s="13">
        <v>44978</v>
      </c>
    </row>
    <row r="902" spans="1:7" ht="14.5">
      <c r="A902" s="9" t="s">
        <v>14086</v>
      </c>
      <c r="B902" s="9">
        <v>117</v>
      </c>
      <c r="C902" s="9">
        <v>25</v>
      </c>
      <c r="D902" s="9">
        <v>11</v>
      </c>
      <c r="E902" s="9">
        <v>0</v>
      </c>
      <c r="F902" s="9">
        <v>1</v>
      </c>
      <c r="G902" s="13">
        <v>44978</v>
      </c>
    </row>
    <row r="903" spans="1:7" ht="14.5">
      <c r="A903" s="9" t="s">
        <v>14087</v>
      </c>
      <c r="B903" s="9">
        <v>182</v>
      </c>
      <c r="C903" s="9">
        <v>41</v>
      </c>
      <c r="D903" s="9">
        <v>0</v>
      </c>
      <c r="E903" s="9">
        <v>219</v>
      </c>
      <c r="F903" s="9">
        <v>0</v>
      </c>
      <c r="G903" s="13">
        <v>44978</v>
      </c>
    </row>
    <row r="904" spans="1:7" ht="14.5">
      <c r="A904" s="9" t="s">
        <v>14088</v>
      </c>
      <c r="B904" s="9">
        <v>13</v>
      </c>
      <c r="C904" s="9">
        <v>13</v>
      </c>
      <c r="D904" s="9">
        <v>0</v>
      </c>
      <c r="E904" s="9">
        <v>45</v>
      </c>
      <c r="F904" s="9">
        <v>0</v>
      </c>
      <c r="G904" s="13">
        <v>44978</v>
      </c>
    </row>
    <row r="905" spans="1:7" ht="14.5">
      <c r="A905" s="9" t="s">
        <v>14089</v>
      </c>
      <c r="B905" s="9">
        <v>23</v>
      </c>
      <c r="C905" s="9">
        <v>12</v>
      </c>
      <c r="D905" s="9">
        <v>2</v>
      </c>
      <c r="E905" s="9">
        <v>121</v>
      </c>
      <c r="F905" s="9">
        <v>0</v>
      </c>
      <c r="G905" s="13">
        <v>44978</v>
      </c>
    </row>
    <row r="906" spans="1:7" ht="14.5">
      <c r="A906" s="9" t="s">
        <v>14090</v>
      </c>
      <c r="B906" s="9">
        <v>52</v>
      </c>
      <c r="C906" s="9">
        <v>29</v>
      </c>
      <c r="D906" s="9">
        <v>10</v>
      </c>
      <c r="E906" s="9">
        <v>276</v>
      </c>
      <c r="F906" s="9">
        <v>0</v>
      </c>
      <c r="G906" s="13">
        <v>44978</v>
      </c>
    </row>
    <row r="907" spans="1:7" ht="14.5">
      <c r="A907" s="9" t="s">
        <v>14091</v>
      </c>
      <c r="B907" s="9">
        <v>30</v>
      </c>
      <c r="C907" s="9">
        <v>4</v>
      </c>
      <c r="D907" s="9">
        <v>3</v>
      </c>
      <c r="E907" s="9">
        <v>0</v>
      </c>
      <c r="F907" s="9">
        <v>0</v>
      </c>
      <c r="G907" s="13">
        <v>44978</v>
      </c>
    </row>
    <row r="908" spans="1:7" ht="14.5">
      <c r="A908" s="9" t="s">
        <v>14092</v>
      </c>
      <c r="B908" s="9">
        <v>64</v>
      </c>
      <c r="C908" s="9">
        <v>25</v>
      </c>
      <c r="D908" s="9">
        <v>48</v>
      </c>
      <c r="E908" s="9">
        <v>0</v>
      </c>
      <c r="F908" s="9">
        <v>1</v>
      </c>
      <c r="G908" s="13">
        <v>44978</v>
      </c>
    </row>
    <row r="909" spans="1:7" ht="14.5">
      <c r="A909" s="9" t="s">
        <v>14093</v>
      </c>
      <c r="B909" s="9">
        <v>13</v>
      </c>
      <c r="C909" s="9">
        <v>3</v>
      </c>
      <c r="D909" s="9">
        <v>34</v>
      </c>
      <c r="E909" s="9">
        <v>0</v>
      </c>
      <c r="F909" s="9">
        <v>0</v>
      </c>
      <c r="G909" s="13">
        <v>44978</v>
      </c>
    </row>
    <row r="910" spans="1:7" ht="14.5">
      <c r="A910" s="9" t="s">
        <v>14094</v>
      </c>
      <c r="B910" s="9">
        <v>36</v>
      </c>
      <c r="C910" s="9">
        <v>3</v>
      </c>
      <c r="D910" s="9">
        <v>12</v>
      </c>
      <c r="E910" s="9">
        <v>65</v>
      </c>
      <c r="F910" s="9">
        <v>0</v>
      </c>
      <c r="G910" s="13">
        <v>44978</v>
      </c>
    </row>
    <row r="911" spans="1:7" ht="14.5">
      <c r="A911" s="9" t="s">
        <v>14095</v>
      </c>
      <c r="B911" s="9">
        <v>50</v>
      </c>
      <c r="C911" s="9">
        <v>8</v>
      </c>
      <c r="D911" s="9">
        <v>83</v>
      </c>
      <c r="E911" s="9">
        <v>81</v>
      </c>
      <c r="F911" s="9">
        <v>0</v>
      </c>
      <c r="G911" s="13">
        <v>44978</v>
      </c>
    </row>
    <row r="912" spans="1:7" ht="14.5">
      <c r="A912" s="9" t="s">
        <v>14096</v>
      </c>
      <c r="B912" s="9">
        <v>65</v>
      </c>
      <c r="C912" s="9">
        <v>13</v>
      </c>
      <c r="D912" s="9">
        <v>20</v>
      </c>
      <c r="E912" s="9">
        <v>51</v>
      </c>
      <c r="F912" s="9">
        <v>1</v>
      </c>
      <c r="G912" s="13">
        <v>44978</v>
      </c>
    </row>
    <row r="913" spans="1:7" ht="14.5">
      <c r="A913" s="9" t="s">
        <v>14097</v>
      </c>
      <c r="B913" s="9">
        <v>61</v>
      </c>
      <c r="C913" s="9">
        <v>32</v>
      </c>
      <c r="D913" s="9">
        <v>27</v>
      </c>
      <c r="E913" s="9">
        <v>37</v>
      </c>
      <c r="F913" s="9">
        <v>0</v>
      </c>
      <c r="G913" s="13">
        <v>44978</v>
      </c>
    </row>
    <row r="914" spans="1:7" ht="14.5">
      <c r="A914" s="9" t="s">
        <v>14098</v>
      </c>
      <c r="B914" s="9">
        <v>7</v>
      </c>
      <c r="C914" s="9">
        <v>0</v>
      </c>
      <c r="D914" s="9">
        <v>0</v>
      </c>
      <c r="E914" s="9">
        <v>0</v>
      </c>
      <c r="F914" s="9">
        <v>0</v>
      </c>
      <c r="G914" s="13">
        <v>44978</v>
      </c>
    </row>
    <row r="915" spans="1:7" ht="14.5">
      <c r="A915" s="9" t="s">
        <v>14099</v>
      </c>
      <c r="B915" s="9">
        <v>31</v>
      </c>
      <c r="C915" s="9">
        <v>15</v>
      </c>
      <c r="D915" s="9">
        <v>0</v>
      </c>
      <c r="E915" s="9">
        <v>20</v>
      </c>
      <c r="F915" s="9">
        <v>0</v>
      </c>
      <c r="G915" s="13">
        <v>44978</v>
      </c>
    </row>
    <row r="916" spans="1:7" ht="14.5">
      <c r="A916" s="9" t="s">
        <v>14100</v>
      </c>
      <c r="B916" s="9">
        <v>10</v>
      </c>
      <c r="C916" s="9">
        <v>5</v>
      </c>
      <c r="D916" s="9">
        <v>0</v>
      </c>
      <c r="E916" s="9">
        <v>0</v>
      </c>
      <c r="F916" s="9">
        <v>0</v>
      </c>
      <c r="G916" s="13">
        <v>44978</v>
      </c>
    </row>
    <row r="917" spans="1:7" ht="14.5">
      <c r="A917" s="9" t="s">
        <v>14101</v>
      </c>
      <c r="B917" s="9">
        <v>41</v>
      </c>
      <c r="C917" s="9">
        <v>5</v>
      </c>
      <c r="D917" s="9">
        <v>1</v>
      </c>
      <c r="E917" s="9">
        <v>47</v>
      </c>
      <c r="F917" s="9">
        <v>0</v>
      </c>
      <c r="G917" s="13">
        <v>44978</v>
      </c>
    </row>
    <row r="918" spans="1:7" ht="14.5">
      <c r="A918" s="9" t="s">
        <v>14102</v>
      </c>
      <c r="B918" s="9">
        <v>72</v>
      </c>
      <c r="C918" s="9">
        <v>7</v>
      </c>
      <c r="D918" s="9">
        <v>40</v>
      </c>
      <c r="E918" s="9">
        <v>102</v>
      </c>
      <c r="F918" s="9">
        <v>0</v>
      </c>
      <c r="G918" s="13">
        <v>44978</v>
      </c>
    </row>
    <row r="919" spans="1:7" ht="14.5">
      <c r="A919" s="9" t="s">
        <v>14103</v>
      </c>
      <c r="B919" s="9">
        <v>51</v>
      </c>
      <c r="C919" s="9">
        <v>49</v>
      </c>
      <c r="D919" s="9">
        <v>12</v>
      </c>
      <c r="E919" s="9">
        <v>0</v>
      </c>
      <c r="F919" s="9">
        <v>1</v>
      </c>
      <c r="G919" s="13">
        <v>44978</v>
      </c>
    </row>
    <row r="920" spans="1:7" ht="14.5">
      <c r="A920" s="9" t="s">
        <v>14104</v>
      </c>
      <c r="B920" s="9">
        <v>92</v>
      </c>
      <c r="C920" s="9">
        <v>26</v>
      </c>
      <c r="D920" s="9">
        <v>18</v>
      </c>
      <c r="E920" s="9">
        <v>270</v>
      </c>
      <c r="F920" s="9">
        <v>0</v>
      </c>
      <c r="G920" s="13">
        <v>44978</v>
      </c>
    </row>
    <row r="921" spans="1:7" ht="14.5">
      <c r="A921" s="9" t="s">
        <v>14105</v>
      </c>
      <c r="B921" s="9">
        <v>67</v>
      </c>
      <c r="C921" s="9">
        <v>26</v>
      </c>
      <c r="D921" s="9">
        <v>0</v>
      </c>
      <c r="E921" s="9">
        <v>44</v>
      </c>
      <c r="F921" s="9">
        <v>0</v>
      </c>
      <c r="G921" s="13">
        <v>44978</v>
      </c>
    </row>
    <row r="922" spans="1:7" ht="14.5">
      <c r="A922" s="9" t="s">
        <v>14106</v>
      </c>
      <c r="B922" s="9">
        <v>33</v>
      </c>
      <c r="C922" s="9">
        <v>10</v>
      </c>
      <c r="D922" s="9">
        <v>71</v>
      </c>
      <c r="E922" s="9">
        <v>41</v>
      </c>
      <c r="F922" s="9">
        <v>1</v>
      </c>
      <c r="G922" s="13">
        <v>44978</v>
      </c>
    </row>
    <row r="923" spans="1:7" ht="14.5">
      <c r="A923" s="9" t="s">
        <v>14107</v>
      </c>
      <c r="B923" s="9">
        <v>12</v>
      </c>
      <c r="C923" s="9">
        <v>0</v>
      </c>
      <c r="D923" s="9">
        <v>2</v>
      </c>
      <c r="E923" s="9">
        <v>0</v>
      </c>
      <c r="F923" s="9">
        <v>0</v>
      </c>
      <c r="G923" s="13">
        <v>44978</v>
      </c>
    </row>
    <row r="924" spans="1:7" ht="14.5">
      <c r="A924" s="9" t="s">
        <v>14108</v>
      </c>
      <c r="B924" s="9">
        <v>51</v>
      </c>
      <c r="C924" s="9">
        <v>13</v>
      </c>
      <c r="D924" s="9">
        <v>11</v>
      </c>
      <c r="E924" s="9">
        <v>468</v>
      </c>
      <c r="F924" s="9">
        <v>0</v>
      </c>
      <c r="G924" s="13">
        <v>44978</v>
      </c>
    </row>
    <row r="925" spans="1:7" ht="14.5">
      <c r="A925" s="9" t="s">
        <v>14109</v>
      </c>
      <c r="B925" s="9">
        <v>197</v>
      </c>
      <c r="C925" s="9">
        <v>104</v>
      </c>
      <c r="D925" s="9">
        <v>11</v>
      </c>
      <c r="E925" s="9">
        <v>0</v>
      </c>
      <c r="F925" s="9">
        <v>0</v>
      </c>
      <c r="G925" s="13">
        <v>44978</v>
      </c>
    </row>
    <row r="926" spans="1:7" ht="14.5">
      <c r="A926" s="9" t="s">
        <v>14110</v>
      </c>
      <c r="B926" s="9">
        <v>142</v>
      </c>
      <c r="C926" s="9">
        <v>21</v>
      </c>
      <c r="D926" s="9">
        <v>303</v>
      </c>
      <c r="E926" s="9">
        <v>0</v>
      </c>
      <c r="F926" s="9">
        <v>25</v>
      </c>
      <c r="G926" s="13">
        <v>44978</v>
      </c>
    </row>
    <row r="927" spans="1:7" ht="14.5">
      <c r="A927" s="9" t="s">
        <v>14111</v>
      </c>
      <c r="B927" s="9">
        <v>34</v>
      </c>
      <c r="C927" s="9">
        <v>13</v>
      </c>
      <c r="D927" s="9">
        <v>99</v>
      </c>
      <c r="E927" s="9">
        <v>0</v>
      </c>
      <c r="F927" s="9">
        <v>0</v>
      </c>
      <c r="G927" s="13">
        <v>44978</v>
      </c>
    </row>
    <row r="928" spans="1:7" ht="14.5">
      <c r="A928" s="9" t="s">
        <v>14112</v>
      </c>
      <c r="B928" s="9">
        <v>117</v>
      </c>
      <c r="C928" s="9">
        <v>114</v>
      </c>
      <c r="D928" s="9">
        <v>133</v>
      </c>
      <c r="E928" s="9">
        <v>666</v>
      </c>
      <c r="F928" s="9">
        <v>0</v>
      </c>
      <c r="G928" s="13">
        <v>44978</v>
      </c>
    </row>
    <row r="929" spans="1:7" ht="14.5">
      <c r="A929" s="9" t="s">
        <v>14113</v>
      </c>
      <c r="B929" s="9">
        <v>137</v>
      </c>
      <c r="C929" s="9">
        <v>63</v>
      </c>
      <c r="D929" s="9">
        <v>134</v>
      </c>
      <c r="E929" s="9">
        <v>84</v>
      </c>
      <c r="F929" s="9">
        <v>0</v>
      </c>
      <c r="G929" s="13">
        <v>44978</v>
      </c>
    </row>
    <row r="930" spans="1:7" ht="14.5">
      <c r="A930" s="9" t="s">
        <v>14114</v>
      </c>
      <c r="B930" s="9">
        <v>67</v>
      </c>
      <c r="C930" s="9">
        <v>24</v>
      </c>
      <c r="D930" s="9">
        <v>5</v>
      </c>
      <c r="E930" s="9">
        <v>65</v>
      </c>
      <c r="F930" s="9">
        <v>0</v>
      </c>
      <c r="G930" s="13">
        <v>44978</v>
      </c>
    </row>
    <row r="931" spans="1:7" ht="14.5">
      <c r="A931" s="9" t="s">
        <v>14115</v>
      </c>
      <c r="B931" s="9">
        <v>28</v>
      </c>
      <c r="C931" s="9">
        <v>6</v>
      </c>
      <c r="D931" s="9">
        <v>4</v>
      </c>
      <c r="E931" s="9">
        <v>0</v>
      </c>
      <c r="F931" s="9">
        <v>0</v>
      </c>
      <c r="G931" s="13">
        <v>44978</v>
      </c>
    </row>
    <row r="932" spans="1:7" ht="14.5">
      <c r="A932" s="9" t="s">
        <v>14116</v>
      </c>
      <c r="B932" s="9">
        <v>113</v>
      </c>
      <c r="C932" s="9">
        <v>16</v>
      </c>
      <c r="D932" s="9">
        <v>0</v>
      </c>
      <c r="E932" s="9">
        <v>104</v>
      </c>
      <c r="F932" s="9">
        <v>0</v>
      </c>
      <c r="G932" s="13">
        <v>44978</v>
      </c>
    </row>
    <row r="933" spans="1:7" ht="14.5">
      <c r="A933" s="9" t="s">
        <v>14117</v>
      </c>
      <c r="B933" s="9">
        <v>21</v>
      </c>
      <c r="C933" s="9">
        <v>9</v>
      </c>
      <c r="D933" s="9">
        <v>1</v>
      </c>
      <c r="E933" s="9">
        <v>0</v>
      </c>
      <c r="F933" s="9">
        <v>0</v>
      </c>
      <c r="G933" s="13">
        <v>44978</v>
      </c>
    </row>
    <row r="934" spans="1:7" ht="14.5">
      <c r="A934" s="9" t="s">
        <v>14118</v>
      </c>
      <c r="B934" s="9">
        <v>6</v>
      </c>
      <c r="C934" s="9">
        <v>13</v>
      </c>
      <c r="D934" s="9">
        <v>5</v>
      </c>
      <c r="E934" s="9">
        <v>13</v>
      </c>
      <c r="F934" s="9">
        <v>0</v>
      </c>
      <c r="G934" s="13">
        <v>44978</v>
      </c>
    </row>
    <row r="935" spans="1:7" ht="14.5">
      <c r="A935" s="9" t="s">
        <v>14119</v>
      </c>
      <c r="B935" s="9">
        <v>8</v>
      </c>
      <c r="C935" s="9">
        <v>2</v>
      </c>
      <c r="D935" s="9">
        <v>1</v>
      </c>
      <c r="E935" s="9">
        <v>29</v>
      </c>
      <c r="F935" s="9">
        <v>0</v>
      </c>
      <c r="G935" s="13">
        <v>44978</v>
      </c>
    </row>
    <row r="936" spans="1:7" ht="14.5">
      <c r="A936" s="9" t="s">
        <v>14120</v>
      </c>
      <c r="B936" s="9">
        <v>28</v>
      </c>
      <c r="C936" s="9">
        <v>25</v>
      </c>
      <c r="D936" s="9">
        <v>4</v>
      </c>
      <c r="E936" s="9">
        <v>18</v>
      </c>
      <c r="F936" s="9">
        <v>0</v>
      </c>
      <c r="G936" s="13">
        <v>44978</v>
      </c>
    </row>
    <row r="937" spans="1:7" ht="14.5">
      <c r="A937" s="9" t="s">
        <v>14121</v>
      </c>
      <c r="B937" s="9">
        <v>79</v>
      </c>
      <c r="C937" s="9">
        <v>294</v>
      </c>
      <c r="D937" s="9">
        <v>14</v>
      </c>
      <c r="E937" s="9">
        <v>0</v>
      </c>
      <c r="F937" s="9">
        <v>0</v>
      </c>
      <c r="G937" s="13">
        <v>44978</v>
      </c>
    </row>
    <row r="938" spans="1:7" ht="14.5">
      <c r="A938" s="9" t="s">
        <v>14122</v>
      </c>
      <c r="B938" s="9">
        <v>17</v>
      </c>
      <c r="C938" s="9">
        <v>9</v>
      </c>
      <c r="D938" s="9">
        <v>0</v>
      </c>
      <c r="E938" s="9">
        <v>8</v>
      </c>
      <c r="F938" s="9">
        <v>0</v>
      </c>
      <c r="G938" s="13">
        <v>44978</v>
      </c>
    </row>
    <row r="939" spans="1:7" ht="14.5">
      <c r="A939" s="9" t="s">
        <v>14123</v>
      </c>
      <c r="B939" s="9">
        <v>11</v>
      </c>
      <c r="C939" s="9">
        <v>8</v>
      </c>
      <c r="D939" s="9">
        <v>0</v>
      </c>
      <c r="E939" s="9">
        <v>0</v>
      </c>
      <c r="F939" s="9">
        <v>0</v>
      </c>
      <c r="G939" s="13">
        <v>44978</v>
      </c>
    </row>
    <row r="940" spans="1:7" ht="14.5">
      <c r="A940" s="9" t="s">
        <v>14124</v>
      </c>
      <c r="B940" s="9">
        <v>4</v>
      </c>
      <c r="C940" s="9">
        <v>1</v>
      </c>
      <c r="D940" s="9">
        <v>0</v>
      </c>
      <c r="E940" s="9">
        <v>0</v>
      </c>
      <c r="F940" s="9">
        <v>0</v>
      </c>
      <c r="G940" s="13">
        <v>44978</v>
      </c>
    </row>
    <row r="941" spans="1:7" ht="14.5">
      <c r="A941" s="9" t="s">
        <v>14125</v>
      </c>
      <c r="B941" s="9">
        <v>39</v>
      </c>
      <c r="C941" s="9">
        <v>13</v>
      </c>
      <c r="D941" s="9">
        <v>6</v>
      </c>
      <c r="E941" s="9">
        <v>294</v>
      </c>
      <c r="F941" s="9">
        <v>0</v>
      </c>
      <c r="G941" s="13">
        <v>44978</v>
      </c>
    </row>
    <row r="942" spans="1:7" ht="14.5">
      <c r="A942" s="9" t="s">
        <v>14126</v>
      </c>
      <c r="B942" s="9">
        <v>761</v>
      </c>
      <c r="C942" s="9">
        <v>173</v>
      </c>
      <c r="D942" s="9">
        <v>145</v>
      </c>
      <c r="E942" s="9">
        <v>340</v>
      </c>
      <c r="F942" s="9">
        <v>2</v>
      </c>
      <c r="G942" s="13">
        <v>44978</v>
      </c>
    </row>
    <row r="943" spans="1:7" ht="14.5">
      <c r="A943" s="9" t="s">
        <v>14127</v>
      </c>
      <c r="B943" s="9">
        <v>188</v>
      </c>
      <c r="C943" s="9">
        <v>11</v>
      </c>
      <c r="D943" s="9">
        <v>0</v>
      </c>
      <c r="E943" s="9">
        <v>158</v>
      </c>
      <c r="F943" s="9">
        <v>0</v>
      </c>
      <c r="G943" s="13">
        <v>44978</v>
      </c>
    </row>
    <row r="944" spans="1:7" ht="14.5">
      <c r="A944" s="9" t="s">
        <v>14128</v>
      </c>
      <c r="B944" s="9">
        <v>44</v>
      </c>
      <c r="C944" s="9">
        <v>7</v>
      </c>
      <c r="D944" s="9">
        <v>0</v>
      </c>
      <c r="E944" s="9">
        <v>72</v>
      </c>
      <c r="F944" s="9">
        <v>0</v>
      </c>
      <c r="G944" s="13">
        <v>44978</v>
      </c>
    </row>
    <row r="945" spans="1:7" ht="14.5">
      <c r="A945" s="9" t="s">
        <v>14129</v>
      </c>
      <c r="B945" s="9">
        <v>19</v>
      </c>
      <c r="C945" s="9">
        <v>10</v>
      </c>
      <c r="D945" s="9">
        <v>13</v>
      </c>
      <c r="E945" s="9">
        <v>47</v>
      </c>
      <c r="F945" s="9">
        <v>0</v>
      </c>
      <c r="G945" s="13">
        <v>44978</v>
      </c>
    </row>
    <row r="946" spans="1:7" ht="14.5">
      <c r="A946" s="9" t="s">
        <v>14130</v>
      </c>
      <c r="B946" s="9">
        <v>21</v>
      </c>
      <c r="C946" s="9">
        <v>2</v>
      </c>
      <c r="D946" s="9">
        <v>7</v>
      </c>
      <c r="E946" s="9">
        <v>47</v>
      </c>
      <c r="F946" s="9">
        <v>0</v>
      </c>
      <c r="G946" s="13">
        <v>44978</v>
      </c>
    </row>
    <row r="947" spans="1:7" ht="14.5">
      <c r="A947" s="9" t="s">
        <v>14131</v>
      </c>
      <c r="B947" s="9">
        <v>83</v>
      </c>
      <c r="C947" s="9">
        <v>21</v>
      </c>
      <c r="D947" s="9">
        <v>6</v>
      </c>
      <c r="E947" s="9">
        <v>0</v>
      </c>
      <c r="F947" s="9">
        <v>0</v>
      </c>
      <c r="G947" s="13">
        <v>44978</v>
      </c>
    </row>
    <row r="948" spans="1:7" ht="14.5">
      <c r="A948" s="9" t="s">
        <v>14132</v>
      </c>
      <c r="B948" s="9">
        <v>70</v>
      </c>
      <c r="C948" s="9">
        <v>12</v>
      </c>
      <c r="D948" s="9">
        <v>2</v>
      </c>
      <c r="E948" s="9">
        <v>162</v>
      </c>
      <c r="F948" s="9">
        <v>0</v>
      </c>
      <c r="G948" s="13">
        <v>44978</v>
      </c>
    </row>
    <row r="949" spans="1:7" ht="14.5">
      <c r="A949" s="9" t="s">
        <v>14133</v>
      </c>
      <c r="B949" s="9">
        <v>98</v>
      </c>
      <c r="C949" s="9">
        <v>29</v>
      </c>
      <c r="D949" s="9">
        <v>3</v>
      </c>
      <c r="E949" s="9">
        <v>52</v>
      </c>
      <c r="F949" s="9">
        <v>0</v>
      </c>
      <c r="G949" s="13">
        <v>44978</v>
      </c>
    </row>
    <row r="950" spans="1:7" ht="14.5">
      <c r="A950" s="9" t="s">
        <v>14134</v>
      </c>
      <c r="B950" s="9">
        <v>26</v>
      </c>
      <c r="C950" s="9">
        <v>6</v>
      </c>
      <c r="D950" s="9">
        <v>1</v>
      </c>
      <c r="E950" s="9">
        <v>0</v>
      </c>
      <c r="F950" s="9">
        <v>0</v>
      </c>
      <c r="G950" s="13">
        <v>44978</v>
      </c>
    </row>
    <row r="951" spans="1:7" ht="14.5">
      <c r="A951" s="9" t="s">
        <v>14135</v>
      </c>
      <c r="B951" s="9">
        <v>500</v>
      </c>
      <c r="C951" s="9">
        <v>32</v>
      </c>
      <c r="D951" s="9">
        <v>189</v>
      </c>
      <c r="E951" s="9">
        <v>43</v>
      </c>
      <c r="F951" s="9">
        <v>0</v>
      </c>
      <c r="G951" s="13">
        <v>44978</v>
      </c>
    </row>
    <row r="952" spans="1:7" ht="14.5">
      <c r="A952" s="9" t="s">
        <v>14136</v>
      </c>
      <c r="B952" s="9">
        <v>18</v>
      </c>
      <c r="C952" s="9">
        <v>9</v>
      </c>
      <c r="D952" s="9">
        <v>0</v>
      </c>
      <c r="E952" s="9">
        <v>0</v>
      </c>
      <c r="F952" s="9">
        <v>0</v>
      </c>
      <c r="G952" s="13">
        <v>44978</v>
      </c>
    </row>
    <row r="953" spans="1:7" ht="14.5">
      <c r="A953" s="9" t="s">
        <v>14137</v>
      </c>
      <c r="B953" s="9">
        <v>29</v>
      </c>
      <c r="C953" s="9">
        <v>16</v>
      </c>
      <c r="D953" s="9">
        <v>172</v>
      </c>
      <c r="E953" s="9">
        <v>29</v>
      </c>
      <c r="F953" s="9">
        <v>8</v>
      </c>
      <c r="G953" s="13">
        <v>44978</v>
      </c>
    </row>
    <row r="954" spans="1:7" ht="14.5">
      <c r="A954" s="9" t="s">
        <v>14138</v>
      </c>
      <c r="B954" s="9">
        <v>20</v>
      </c>
      <c r="C954" s="9">
        <v>6</v>
      </c>
      <c r="D954" s="9">
        <v>40</v>
      </c>
      <c r="E954" s="9">
        <v>38</v>
      </c>
      <c r="F954" s="9">
        <v>0</v>
      </c>
      <c r="G954" s="13">
        <v>44978</v>
      </c>
    </row>
    <row r="955" spans="1:7" ht="14.5">
      <c r="A955" s="9" t="s">
        <v>14139</v>
      </c>
      <c r="B955" s="9">
        <v>1</v>
      </c>
      <c r="C955" s="9">
        <v>10</v>
      </c>
      <c r="D955" s="9">
        <v>0</v>
      </c>
      <c r="E955" s="9">
        <v>8</v>
      </c>
      <c r="F955" s="9">
        <v>0</v>
      </c>
      <c r="G955" s="13">
        <v>44978</v>
      </c>
    </row>
    <row r="956" spans="1:7" ht="14.5">
      <c r="A956" s="9" t="s">
        <v>14140</v>
      </c>
      <c r="B956" s="9">
        <v>269</v>
      </c>
      <c r="C956" s="9">
        <v>37</v>
      </c>
      <c r="D956" s="9">
        <v>131</v>
      </c>
      <c r="E956" s="9">
        <v>1864</v>
      </c>
      <c r="F956" s="9">
        <v>1</v>
      </c>
      <c r="G956" s="13">
        <v>44978</v>
      </c>
    </row>
    <row r="957" spans="1:7" ht="14.5">
      <c r="A957" s="9" t="s">
        <v>14141</v>
      </c>
      <c r="B957" s="9">
        <v>16</v>
      </c>
      <c r="C957" s="9">
        <v>6</v>
      </c>
      <c r="D957" s="9">
        <v>0</v>
      </c>
      <c r="E957" s="9">
        <v>15</v>
      </c>
      <c r="F957" s="9">
        <v>0</v>
      </c>
      <c r="G957" s="13">
        <v>44978</v>
      </c>
    </row>
    <row r="958" spans="1:7" ht="14.5">
      <c r="A958" s="9" t="s">
        <v>14142</v>
      </c>
      <c r="B958" s="9">
        <v>57</v>
      </c>
      <c r="C958" s="9">
        <v>14</v>
      </c>
      <c r="D958" s="9">
        <v>0</v>
      </c>
      <c r="E958" s="9">
        <v>215</v>
      </c>
      <c r="F958" s="9">
        <v>0</v>
      </c>
      <c r="G958" s="13">
        <v>44978</v>
      </c>
    </row>
    <row r="959" spans="1:7" ht="14.5">
      <c r="A959" s="9" t="s">
        <v>14143</v>
      </c>
      <c r="B959" s="9">
        <v>118</v>
      </c>
      <c r="C959" s="9">
        <v>3</v>
      </c>
      <c r="D959" s="9">
        <v>54</v>
      </c>
      <c r="E959" s="9">
        <v>107</v>
      </c>
      <c r="F959" s="9">
        <v>0</v>
      </c>
      <c r="G959" s="13">
        <v>44978</v>
      </c>
    </row>
    <row r="960" spans="1:7" ht="14.5">
      <c r="A960" s="9" t="s">
        <v>14144</v>
      </c>
      <c r="B960" s="9">
        <v>19</v>
      </c>
      <c r="C960" s="9">
        <v>6</v>
      </c>
      <c r="D960" s="9">
        <v>16</v>
      </c>
      <c r="E960" s="9">
        <v>0</v>
      </c>
      <c r="F960" s="9">
        <v>0</v>
      </c>
      <c r="G960" s="13">
        <v>44978</v>
      </c>
    </row>
    <row r="961" spans="1:7" ht="14.5">
      <c r="A961" s="9" t="s">
        <v>14145</v>
      </c>
      <c r="B961" s="9">
        <v>39</v>
      </c>
      <c r="C961" s="9">
        <v>13</v>
      </c>
      <c r="D961" s="9">
        <v>4</v>
      </c>
      <c r="E961" s="9">
        <v>0</v>
      </c>
      <c r="F961" s="9">
        <v>0</v>
      </c>
      <c r="G961" s="13">
        <v>44978</v>
      </c>
    </row>
    <row r="962" spans="1:7" ht="14.5">
      <c r="A962" s="9" t="s">
        <v>14146</v>
      </c>
      <c r="B962" s="9">
        <v>211</v>
      </c>
      <c r="C962" s="9">
        <v>29</v>
      </c>
      <c r="D962" s="9">
        <v>0</v>
      </c>
      <c r="E962" s="9">
        <v>285</v>
      </c>
      <c r="F962" s="9">
        <v>0</v>
      </c>
      <c r="G962" s="13">
        <v>44978</v>
      </c>
    </row>
    <row r="963" spans="1:7" ht="14.5">
      <c r="A963" s="9" t="s">
        <v>14147</v>
      </c>
      <c r="B963" s="9">
        <v>82</v>
      </c>
      <c r="C963" s="9">
        <v>11</v>
      </c>
      <c r="D963" s="9">
        <v>0</v>
      </c>
      <c r="E963" s="9">
        <v>138</v>
      </c>
      <c r="F963" s="9">
        <v>0</v>
      </c>
      <c r="G963" s="13">
        <v>44978</v>
      </c>
    </row>
    <row r="964" spans="1:7" ht="14.5">
      <c r="A964" s="9" t="s">
        <v>14148</v>
      </c>
      <c r="B964" s="9">
        <v>76</v>
      </c>
      <c r="C964" s="9">
        <v>4</v>
      </c>
      <c r="D964" s="9">
        <v>72</v>
      </c>
      <c r="E964" s="9">
        <v>301</v>
      </c>
      <c r="F964" s="9">
        <v>0</v>
      </c>
      <c r="G964" s="13">
        <v>44978</v>
      </c>
    </row>
    <row r="965" spans="1:7" ht="14.5">
      <c r="A965" s="9" t="s">
        <v>14149</v>
      </c>
      <c r="B965" s="9">
        <v>17</v>
      </c>
      <c r="C965" s="9">
        <v>7</v>
      </c>
      <c r="D965" s="9">
        <v>0</v>
      </c>
      <c r="E965" s="9">
        <v>0</v>
      </c>
      <c r="F965" s="9">
        <v>0</v>
      </c>
      <c r="G965" s="13">
        <v>44978</v>
      </c>
    </row>
    <row r="966" spans="1:7" ht="14.5">
      <c r="A966" s="9" t="s">
        <v>14150</v>
      </c>
      <c r="B966" s="9">
        <v>20</v>
      </c>
      <c r="C966" s="9">
        <v>4</v>
      </c>
      <c r="D966" s="9">
        <v>7</v>
      </c>
      <c r="E966" s="9">
        <v>0</v>
      </c>
      <c r="F966" s="9">
        <v>0</v>
      </c>
      <c r="G966" s="13">
        <v>44978</v>
      </c>
    </row>
    <row r="967" spans="1:7" ht="14.5">
      <c r="A967" s="9" t="s">
        <v>14151</v>
      </c>
      <c r="B967" s="9">
        <v>38</v>
      </c>
      <c r="C967" s="9">
        <v>22</v>
      </c>
      <c r="D967" s="9">
        <v>53</v>
      </c>
      <c r="E967" s="9">
        <v>32</v>
      </c>
      <c r="F967" s="9">
        <v>0</v>
      </c>
      <c r="G967" s="13">
        <v>44978</v>
      </c>
    </row>
    <row r="968" spans="1:7" ht="14.5">
      <c r="A968" s="9" t="s">
        <v>14152</v>
      </c>
      <c r="B968" s="9">
        <v>26</v>
      </c>
      <c r="C968" s="9">
        <v>4</v>
      </c>
      <c r="D968" s="9">
        <v>0</v>
      </c>
      <c r="E968" s="9">
        <v>15</v>
      </c>
      <c r="F968" s="9">
        <v>0</v>
      </c>
      <c r="G968" s="13">
        <v>44978</v>
      </c>
    </row>
    <row r="969" spans="1:7" ht="14.5">
      <c r="A969" s="9" t="s">
        <v>14153</v>
      </c>
      <c r="B969" s="9">
        <v>52</v>
      </c>
      <c r="C969" s="9">
        <v>7</v>
      </c>
      <c r="D969" s="9">
        <v>0</v>
      </c>
      <c r="E969" s="9">
        <v>41</v>
      </c>
      <c r="F969" s="9">
        <v>0</v>
      </c>
      <c r="G969" s="13">
        <v>44978</v>
      </c>
    </row>
    <row r="970" spans="1:7" ht="14.5">
      <c r="A970" s="9" t="s">
        <v>14154</v>
      </c>
      <c r="B970" s="9">
        <v>113</v>
      </c>
      <c r="C970" s="9">
        <v>22</v>
      </c>
      <c r="D970" s="9">
        <v>9</v>
      </c>
      <c r="E970" s="9">
        <v>119</v>
      </c>
      <c r="F970" s="9">
        <v>2</v>
      </c>
      <c r="G970" s="13">
        <v>44978</v>
      </c>
    </row>
    <row r="971" spans="1:7" ht="14.5">
      <c r="A971" s="9" t="s">
        <v>14155</v>
      </c>
      <c r="B971" s="9">
        <v>141</v>
      </c>
      <c r="C971" s="9">
        <v>42</v>
      </c>
      <c r="D971" s="9">
        <v>0</v>
      </c>
      <c r="E971" s="9">
        <v>305</v>
      </c>
      <c r="F971" s="9">
        <v>0</v>
      </c>
      <c r="G971" s="13">
        <v>44978</v>
      </c>
    </row>
    <row r="972" spans="1:7" ht="14.5">
      <c r="A972" s="9" t="s">
        <v>14156</v>
      </c>
      <c r="B972" s="9">
        <v>182</v>
      </c>
      <c r="C972" s="9">
        <v>28</v>
      </c>
      <c r="D972" s="9">
        <v>49</v>
      </c>
      <c r="E972" s="9">
        <v>310</v>
      </c>
      <c r="F972" s="9">
        <v>0</v>
      </c>
      <c r="G972" s="13">
        <v>44978</v>
      </c>
    </row>
    <row r="973" spans="1:7" ht="14.5">
      <c r="A973" s="9" t="s">
        <v>14157</v>
      </c>
      <c r="B973" s="9">
        <v>68</v>
      </c>
      <c r="C973" s="9">
        <v>15</v>
      </c>
      <c r="D973" s="9">
        <v>30</v>
      </c>
      <c r="E973" s="9">
        <v>14</v>
      </c>
      <c r="F973" s="9">
        <v>4</v>
      </c>
      <c r="G973" s="13">
        <v>44978</v>
      </c>
    </row>
    <row r="974" spans="1:7" ht="14.5">
      <c r="A974" s="9" t="s">
        <v>14158</v>
      </c>
      <c r="B974" s="9">
        <v>98</v>
      </c>
      <c r="C974" s="9">
        <v>46</v>
      </c>
      <c r="D974" s="9">
        <v>12</v>
      </c>
      <c r="E974" s="9">
        <v>50</v>
      </c>
      <c r="F974" s="9">
        <v>2</v>
      </c>
      <c r="G974" s="13">
        <v>44978</v>
      </c>
    </row>
    <row r="975" spans="1:7" ht="14.5">
      <c r="A975" s="9" t="s">
        <v>14159</v>
      </c>
      <c r="B975" s="9">
        <v>54</v>
      </c>
      <c r="C975" s="9">
        <v>29</v>
      </c>
      <c r="D975" s="9">
        <v>94</v>
      </c>
      <c r="E975" s="9">
        <v>25</v>
      </c>
      <c r="F975" s="9">
        <v>3</v>
      </c>
      <c r="G975" s="13">
        <v>44978</v>
      </c>
    </row>
    <row r="976" spans="1:7" ht="14.5">
      <c r="A976" s="9" t="s">
        <v>14160</v>
      </c>
      <c r="B976" s="9">
        <v>57</v>
      </c>
      <c r="C976" s="9">
        <v>17</v>
      </c>
      <c r="D976" s="9">
        <v>38</v>
      </c>
      <c r="E976" s="9">
        <v>0</v>
      </c>
      <c r="F976" s="9">
        <v>1</v>
      </c>
      <c r="G976" s="13">
        <v>44978</v>
      </c>
    </row>
    <row r="977" spans="1:7" ht="14.5">
      <c r="A977" s="9" t="s">
        <v>14161</v>
      </c>
      <c r="B977" s="9">
        <v>16</v>
      </c>
      <c r="C977" s="9">
        <v>2</v>
      </c>
      <c r="D977" s="9">
        <v>0</v>
      </c>
      <c r="E977" s="9">
        <v>465</v>
      </c>
      <c r="F977" s="9">
        <v>0</v>
      </c>
      <c r="G977" s="13">
        <v>44978</v>
      </c>
    </row>
    <row r="978" spans="1:7" ht="14.5">
      <c r="A978" s="9" t="s">
        <v>14162</v>
      </c>
      <c r="B978" s="9">
        <v>3</v>
      </c>
      <c r="C978" s="9">
        <v>8</v>
      </c>
      <c r="D978" s="9">
        <v>6</v>
      </c>
      <c r="E978" s="9">
        <v>0</v>
      </c>
      <c r="F978" s="9">
        <v>0</v>
      </c>
      <c r="G978" s="13">
        <v>44978</v>
      </c>
    </row>
    <row r="979" spans="1:7" ht="14.5">
      <c r="A979" s="9" t="s">
        <v>14163</v>
      </c>
      <c r="B979" s="9">
        <v>114</v>
      </c>
      <c r="C979" s="9">
        <v>25</v>
      </c>
      <c r="D979" s="9">
        <v>0</v>
      </c>
      <c r="E979" s="9">
        <v>811</v>
      </c>
      <c r="F979" s="9">
        <v>0</v>
      </c>
      <c r="G979" s="13">
        <v>44978</v>
      </c>
    </row>
    <row r="980" spans="1:7" ht="14.5">
      <c r="A980" s="9" t="s">
        <v>14164</v>
      </c>
      <c r="B980" s="9">
        <v>37</v>
      </c>
      <c r="C980" s="9">
        <v>17</v>
      </c>
      <c r="D980" s="9">
        <v>0</v>
      </c>
      <c r="E980" s="9">
        <v>0</v>
      </c>
      <c r="F980" s="9">
        <v>0</v>
      </c>
      <c r="G980" s="13">
        <v>44978</v>
      </c>
    </row>
    <row r="981" spans="1:7" ht="14.5">
      <c r="A981" s="9" t="s">
        <v>14165</v>
      </c>
      <c r="B981" s="9">
        <v>187</v>
      </c>
      <c r="C981" s="9">
        <v>113</v>
      </c>
      <c r="D981" s="9">
        <v>3</v>
      </c>
      <c r="E981" s="9">
        <v>609</v>
      </c>
      <c r="F981" s="9">
        <v>0</v>
      </c>
      <c r="G981" s="13">
        <v>44978</v>
      </c>
    </row>
    <row r="982" spans="1:7" ht="14.5">
      <c r="A982" s="9" t="s">
        <v>14166</v>
      </c>
      <c r="B982" s="9">
        <v>171</v>
      </c>
      <c r="C982" s="9">
        <v>35</v>
      </c>
      <c r="D982" s="9">
        <v>67</v>
      </c>
      <c r="E982" s="9">
        <v>752</v>
      </c>
      <c r="F982" s="9">
        <v>0</v>
      </c>
      <c r="G982" s="13">
        <v>44978</v>
      </c>
    </row>
    <row r="983" spans="1:7" ht="14.5">
      <c r="A983" s="9" t="s">
        <v>14167</v>
      </c>
      <c r="B983" s="9">
        <v>38</v>
      </c>
      <c r="C983" s="9">
        <v>12</v>
      </c>
      <c r="D983" s="9">
        <v>8</v>
      </c>
      <c r="E983" s="9">
        <v>0</v>
      </c>
      <c r="F983" s="9">
        <v>0</v>
      </c>
      <c r="G983" s="13">
        <v>44978</v>
      </c>
    </row>
    <row r="984" spans="1:7" ht="14.5">
      <c r="A984" s="9" t="s">
        <v>14168</v>
      </c>
      <c r="B984" s="9">
        <v>93</v>
      </c>
      <c r="C984" s="9">
        <v>18</v>
      </c>
      <c r="D984" s="9">
        <v>1</v>
      </c>
      <c r="E984" s="9">
        <v>0</v>
      </c>
      <c r="F984" s="9">
        <v>0</v>
      </c>
      <c r="G984" s="13">
        <v>44978</v>
      </c>
    </row>
    <row r="985" spans="1:7" ht="14.5">
      <c r="A985" s="9" t="s">
        <v>14169</v>
      </c>
      <c r="B985" s="9">
        <v>16</v>
      </c>
      <c r="C985" s="9">
        <v>9</v>
      </c>
      <c r="D985" s="9">
        <v>0</v>
      </c>
      <c r="E985" s="9">
        <v>14</v>
      </c>
      <c r="F985" s="9">
        <v>1</v>
      </c>
      <c r="G985" s="13">
        <v>44978</v>
      </c>
    </row>
    <row r="986" spans="1:7" ht="14.5">
      <c r="A986" s="9" t="s">
        <v>14170</v>
      </c>
      <c r="B986" s="9">
        <v>17</v>
      </c>
      <c r="C986" s="9">
        <v>3</v>
      </c>
      <c r="D986" s="9">
        <v>28</v>
      </c>
      <c r="E986" s="9">
        <v>0</v>
      </c>
      <c r="F986" s="9">
        <v>0</v>
      </c>
      <c r="G986" s="13">
        <v>44978</v>
      </c>
    </row>
    <row r="987" spans="1:7" ht="14.5">
      <c r="A987" s="9" t="s">
        <v>14171</v>
      </c>
      <c r="B987" s="9">
        <v>174</v>
      </c>
      <c r="C987" s="9">
        <v>40</v>
      </c>
      <c r="D987" s="9">
        <v>21</v>
      </c>
      <c r="E987" s="9">
        <v>445</v>
      </c>
      <c r="F987" s="9">
        <v>0</v>
      </c>
      <c r="G987" s="13">
        <v>44978</v>
      </c>
    </row>
    <row r="988" spans="1:7" ht="14.5">
      <c r="A988" s="9" t="s">
        <v>14172</v>
      </c>
      <c r="B988" s="9">
        <v>15</v>
      </c>
      <c r="C988" s="9">
        <v>35</v>
      </c>
      <c r="D988" s="9">
        <v>2</v>
      </c>
      <c r="E988" s="9">
        <v>19</v>
      </c>
      <c r="F988" s="9">
        <v>1</v>
      </c>
      <c r="G988" s="13">
        <v>44978</v>
      </c>
    </row>
    <row r="989" spans="1:7" ht="14.5">
      <c r="A989" s="9" t="s">
        <v>14173</v>
      </c>
      <c r="B989" s="9">
        <v>43</v>
      </c>
      <c r="C989" s="9">
        <v>12</v>
      </c>
      <c r="D989" s="9">
        <v>6</v>
      </c>
      <c r="E989" s="9">
        <v>0</v>
      </c>
      <c r="F989" s="9">
        <v>13</v>
      </c>
      <c r="G989" s="13">
        <v>44978</v>
      </c>
    </row>
    <row r="990" spans="1:7" ht="14.5">
      <c r="A990" s="9" t="s">
        <v>14174</v>
      </c>
      <c r="B990" s="9">
        <v>44</v>
      </c>
      <c r="C990" s="9">
        <v>6</v>
      </c>
      <c r="D990" s="9">
        <v>3</v>
      </c>
      <c r="E990" s="9">
        <v>38</v>
      </c>
      <c r="F990" s="9">
        <v>0</v>
      </c>
      <c r="G990" s="13">
        <v>44978</v>
      </c>
    </row>
    <row r="991" spans="1:7" ht="14.5">
      <c r="A991" s="9" t="s">
        <v>14175</v>
      </c>
      <c r="B991" s="9">
        <v>165</v>
      </c>
      <c r="C991" s="9">
        <v>29</v>
      </c>
      <c r="D991" s="9">
        <v>5</v>
      </c>
      <c r="E991" s="9">
        <v>214</v>
      </c>
      <c r="F991" s="9">
        <v>0</v>
      </c>
      <c r="G991" s="13">
        <v>44978</v>
      </c>
    </row>
    <row r="992" spans="1:7" ht="14.5">
      <c r="A992" s="9" t="s">
        <v>14176</v>
      </c>
      <c r="B992" s="9">
        <v>24</v>
      </c>
      <c r="C992" s="9">
        <v>5</v>
      </c>
      <c r="D992" s="9">
        <v>2</v>
      </c>
      <c r="E992" s="9">
        <v>17</v>
      </c>
      <c r="F992" s="9">
        <v>0</v>
      </c>
      <c r="G992" s="13">
        <v>44978</v>
      </c>
    </row>
    <row r="993" spans="1:7" ht="14.5">
      <c r="A993" s="9" t="s">
        <v>14177</v>
      </c>
      <c r="B993" s="9">
        <v>61</v>
      </c>
      <c r="C993" s="9">
        <v>28</v>
      </c>
      <c r="D993" s="9">
        <v>2</v>
      </c>
      <c r="E993" s="9">
        <v>25</v>
      </c>
      <c r="F993" s="9">
        <v>1</v>
      </c>
      <c r="G993" s="13">
        <v>44978</v>
      </c>
    </row>
    <row r="994" spans="1:7" ht="14.5">
      <c r="A994" s="9" t="s">
        <v>14178</v>
      </c>
      <c r="B994" s="9">
        <v>120</v>
      </c>
      <c r="C994" s="9">
        <v>25</v>
      </c>
      <c r="D994" s="9">
        <v>198</v>
      </c>
      <c r="E994" s="9">
        <v>51</v>
      </c>
      <c r="F994" s="9">
        <v>0</v>
      </c>
      <c r="G994" s="13">
        <v>44978</v>
      </c>
    </row>
    <row r="995" spans="1:7" ht="14.5">
      <c r="A995" s="9" t="s">
        <v>14179</v>
      </c>
      <c r="B995" s="9">
        <v>20</v>
      </c>
      <c r="C995" s="9">
        <v>6</v>
      </c>
      <c r="D995" s="9">
        <v>4</v>
      </c>
      <c r="E995" s="9">
        <v>0</v>
      </c>
      <c r="F995" s="9">
        <v>0</v>
      </c>
      <c r="G995" s="13">
        <v>44978</v>
      </c>
    </row>
    <row r="996" spans="1:7" ht="14.5">
      <c r="A996" s="9" t="s">
        <v>14180</v>
      </c>
      <c r="B996" s="9">
        <v>15</v>
      </c>
      <c r="C996" s="9">
        <v>4</v>
      </c>
      <c r="D996" s="9">
        <v>21</v>
      </c>
      <c r="E996" s="9">
        <v>0</v>
      </c>
      <c r="F996" s="9">
        <v>0</v>
      </c>
      <c r="G996" s="13">
        <v>44978</v>
      </c>
    </row>
    <row r="997" spans="1:7" ht="14.5">
      <c r="A997" s="9" t="s">
        <v>14181</v>
      </c>
      <c r="B997" s="9">
        <v>31</v>
      </c>
      <c r="C997" s="9">
        <v>14</v>
      </c>
      <c r="D997" s="9">
        <v>30</v>
      </c>
      <c r="E997" s="9">
        <v>2</v>
      </c>
      <c r="F997" s="9">
        <v>7</v>
      </c>
      <c r="G997" s="13">
        <v>44978</v>
      </c>
    </row>
    <row r="998" spans="1:7" ht="14.5">
      <c r="A998" s="9" t="s">
        <v>14182</v>
      </c>
      <c r="B998" s="9">
        <v>5</v>
      </c>
      <c r="C998" s="9">
        <v>2</v>
      </c>
      <c r="D998" s="9">
        <v>0</v>
      </c>
      <c r="E998" s="9">
        <v>0</v>
      </c>
      <c r="F998" s="9">
        <v>0</v>
      </c>
      <c r="G998" s="13">
        <v>44978</v>
      </c>
    </row>
    <row r="999" spans="1:7" ht="14.5">
      <c r="A999" s="9" t="s">
        <v>14183</v>
      </c>
      <c r="B999" s="9">
        <v>142</v>
      </c>
      <c r="C999" s="9">
        <v>20</v>
      </c>
      <c r="D999" s="9">
        <v>163</v>
      </c>
      <c r="E999" s="9">
        <v>979</v>
      </c>
      <c r="F999" s="9">
        <v>3</v>
      </c>
      <c r="G999" s="13">
        <v>44978</v>
      </c>
    </row>
    <row r="1000" spans="1:7" ht="14.5">
      <c r="A1000" s="9" t="s">
        <v>14184</v>
      </c>
      <c r="B1000" s="9">
        <v>32</v>
      </c>
      <c r="C1000" s="9">
        <v>2</v>
      </c>
      <c r="D1000" s="9">
        <v>34</v>
      </c>
      <c r="E1000" s="9">
        <v>0</v>
      </c>
      <c r="F1000" s="9">
        <v>0</v>
      </c>
      <c r="G1000" s="13">
        <v>44978</v>
      </c>
    </row>
    <row r="1001" spans="1:7" ht="14.5">
      <c r="A1001" s="9" t="s">
        <v>14185</v>
      </c>
      <c r="B1001" s="9">
        <v>35</v>
      </c>
      <c r="C1001" s="9">
        <v>11</v>
      </c>
      <c r="D1001" s="9">
        <v>1</v>
      </c>
      <c r="E1001" s="9">
        <v>233</v>
      </c>
      <c r="F1001" s="9">
        <v>0</v>
      </c>
      <c r="G1001" s="13">
        <v>44978</v>
      </c>
    </row>
    <row r="1002" spans="1:7" ht="14.5">
      <c r="A1002" s="85" t="s">
        <v>1992</v>
      </c>
      <c r="B1002" s="86">
        <v>40</v>
      </c>
      <c r="C1002" s="86">
        <v>52</v>
      </c>
      <c r="D1002" s="86">
        <v>10</v>
      </c>
      <c r="E1002" s="86">
        <v>135</v>
      </c>
      <c r="F1002" s="86">
        <v>1</v>
      </c>
      <c r="G1002" s="13">
        <v>44978</v>
      </c>
    </row>
    <row r="1003" spans="1:7" ht="14.5">
      <c r="A1003" s="85" t="s">
        <v>2002</v>
      </c>
      <c r="B1003" s="86">
        <v>20</v>
      </c>
      <c r="C1003" s="86">
        <v>54</v>
      </c>
      <c r="D1003" s="86">
        <v>1</v>
      </c>
      <c r="E1003" s="86">
        <v>487</v>
      </c>
      <c r="F1003" s="85">
        <v>0</v>
      </c>
      <c r="G1003" s="13">
        <v>44978</v>
      </c>
    </row>
    <row r="1004" spans="1:7" ht="14.5">
      <c r="A1004" s="85" t="s">
        <v>2006</v>
      </c>
      <c r="B1004" s="86">
        <v>49</v>
      </c>
      <c r="C1004" s="86">
        <v>62</v>
      </c>
      <c r="D1004" s="86">
        <v>13</v>
      </c>
      <c r="E1004" s="86">
        <v>332</v>
      </c>
      <c r="F1004" s="85">
        <v>0</v>
      </c>
      <c r="G1004" s="13">
        <v>44978</v>
      </c>
    </row>
    <row r="1005" spans="1:7" ht="14.5">
      <c r="A1005" s="85" t="s">
        <v>2010</v>
      </c>
      <c r="B1005" s="86">
        <v>16</v>
      </c>
      <c r="C1005" s="86">
        <v>25</v>
      </c>
      <c r="D1005" s="86">
        <v>10</v>
      </c>
      <c r="E1005" s="85">
        <v>0</v>
      </c>
      <c r="F1005" s="85">
        <v>0</v>
      </c>
      <c r="G1005" s="13">
        <v>44978</v>
      </c>
    </row>
    <row r="1006" spans="1:7" ht="14.5">
      <c r="A1006" s="85" t="s">
        <v>2015</v>
      </c>
      <c r="B1006" s="86">
        <v>253</v>
      </c>
      <c r="C1006" s="86">
        <v>58</v>
      </c>
      <c r="D1006" s="86">
        <v>771</v>
      </c>
      <c r="E1006" s="85">
        <v>0</v>
      </c>
      <c r="F1006" s="86">
        <v>11</v>
      </c>
      <c r="G1006" s="13">
        <v>44978</v>
      </c>
    </row>
    <row r="1007" spans="1:7" ht="14.5">
      <c r="A1007" s="85" t="s">
        <v>2024</v>
      </c>
      <c r="B1007" s="86">
        <v>6</v>
      </c>
      <c r="C1007" s="86">
        <v>49</v>
      </c>
      <c r="D1007" s="86">
        <v>10</v>
      </c>
      <c r="E1007" s="85">
        <v>0</v>
      </c>
      <c r="F1007" s="85">
        <v>0</v>
      </c>
      <c r="G1007" s="13">
        <v>44978</v>
      </c>
    </row>
    <row r="1008" spans="1:7" ht="14.5">
      <c r="A1008" s="85" t="s">
        <v>2029</v>
      </c>
      <c r="B1008" s="86">
        <v>31</v>
      </c>
      <c r="C1008" s="86">
        <v>115</v>
      </c>
      <c r="D1008" s="86">
        <v>121</v>
      </c>
      <c r="E1008" s="85">
        <v>0</v>
      </c>
      <c r="F1008" s="86">
        <v>8</v>
      </c>
      <c r="G1008" s="13">
        <v>44978</v>
      </c>
    </row>
    <row r="1009" spans="1:7" ht="14.5">
      <c r="A1009" s="85" t="s">
        <v>2033</v>
      </c>
      <c r="B1009" s="86">
        <v>97</v>
      </c>
      <c r="C1009" s="86">
        <v>76</v>
      </c>
      <c r="D1009" s="86">
        <v>11</v>
      </c>
      <c r="E1009" s="85">
        <v>0</v>
      </c>
      <c r="F1009" s="86">
        <v>3</v>
      </c>
      <c r="G1009" s="13">
        <v>44978</v>
      </c>
    </row>
    <row r="1010" spans="1:7" ht="14.5">
      <c r="A1010" s="85" t="s">
        <v>2037</v>
      </c>
      <c r="B1010" s="86">
        <v>42</v>
      </c>
      <c r="C1010" s="86">
        <v>11</v>
      </c>
      <c r="D1010" s="86">
        <v>53</v>
      </c>
      <c r="E1010" s="85">
        <v>0</v>
      </c>
      <c r="F1010" s="85">
        <v>0</v>
      </c>
      <c r="G1010" s="13">
        <v>44978</v>
      </c>
    </row>
    <row r="1011" spans="1:7" ht="14.5">
      <c r="A1011" s="85" t="s">
        <v>2043</v>
      </c>
      <c r="B1011" s="86">
        <v>79</v>
      </c>
      <c r="C1011" s="86">
        <v>128</v>
      </c>
      <c r="D1011" s="86">
        <v>23</v>
      </c>
      <c r="E1011" s="85">
        <v>0</v>
      </c>
      <c r="F1011" s="85">
        <v>0</v>
      </c>
      <c r="G1011" s="13">
        <v>44978</v>
      </c>
    </row>
    <row r="1012" spans="1:7" ht="14.5">
      <c r="A1012" s="85" t="s">
        <v>2047</v>
      </c>
      <c r="B1012" s="86">
        <v>28</v>
      </c>
      <c r="C1012" s="86">
        <v>113</v>
      </c>
      <c r="D1012" s="86">
        <v>26</v>
      </c>
      <c r="E1012" s="85">
        <v>0</v>
      </c>
      <c r="F1012" s="86">
        <v>1</v>
      </c>
      <c r="G1012" s="13">
        <v>44978</v>
      </c>
    </row>
    <row r="1013" spans="1:7" ht="14.5">
      <c r="A1013" s="85" t="s">
        <v>2051</v>
      </c>
      <c r="B1013" s="86">
        <v>231</v>
      </c>
      <c r="C1013" s="86">
        <v>39</v>
      </c>
      <c r="D1013" s="86">
        <v>50</v>
      </c>
      <c r="E1013" s="85">
        <v>0</v>
      </c>
      <c r="F1013" s="86">
        <v>3</v>
      </c>
      <c r="G1013" s="13">
        <v>44978</v>
      </c>
    </row>
    <row r="1014" spans="1:7" ht="14.5">
      <c r="A1014" s="85" t="s">
        <v>2055</v>
      </c>
      <c r="B1014" s="86">
        <v>189</v>
      </c>
      <c r="C1014" s="86">
        <v>7</v>
      </c>
      <c r="D1014" s="86">
        <v>164</v>
      </c>
      <c r="E1014" s="85">
        <v>0</v>
      </c>
      <c r="F1014" s="86">
        <v>3</v>
      </c>
      <c r="G1014" s="13">
        <v>44978</v>
      </c>
    </row>
    <row r="1015" spans="1:7" ht="14.5">
      <c r="A1015" s="85" t="s">
        <v>2064</v>
      </c>
      <c r="B1015" s="86">
        <v>4</v>
      </c>
      <c r="C1015" s="85">
        <v>0</v>
      </c>
      <c r="D1015" s="86">
        <v>4</v>
      </c>
      <c r="E1015" s="85">
        <v>0</v>
      </c>
      <c r="F1015" s="85">
        <v>0</v>
      </c>
      <c r="G1015" s="13">
        <v>44978</v>
      </c>
    </row>
    <row r="1016" spans="1:7" ht="14.5">
      <c r="A1016" s="85" t="s">
        <v>2072</v>
      </c>
      <c r="B1016" s="86">
        <v>49</v>
      </c>
      <c r="C1016" s="86">
        <v>34</v>
      </c>
      <c r="D1016" s="86">
        <v>20</v>
      </c>
      <c r="E1016" s="85">
        <v>0</v>
      </c>
      <c r="F1016" s="85">
        <v>0</v>
      </c>
      <c r="G1016" s="13">
        <v>44978</v>
      </c>
    </row>
    <row r="1017" spans="1:7" ht="14.5">
      <c r="A1017" s="85" t="s">
        <v>2075</v>
      </c>
      <c r="B1017" s="86">
        <v>20</v>
      </c>
      <c r="C1017" s="86">
        <v>69</v>
      </c>
      <c r="D1017" s="86">
        <v>23</v>
      </c>
      <c r="E1017" s="85">
        <v>0</v>
      </c>
      <c r="F1017" s="85">
        <v>0</v>
      </c>
      <c r="G1017" s="13">
        <v>44978</v>
      </c>
    </row>
    <row r="1018" spans="1:7" ht="14.5">
      <c r="A1018" s="85" t="s">
        <v>2078</v>
      </c>
      <c r="B1018" s="86">
        <v>39</v>
      </c>
      <c r="C1018" s="86">
        <v>74</v>
      </c>
      <c r="D1018" s="86">
        <v>6</v>
      </c>
      <c r="E1018" s="85">
        <v>0</v>
      </c>
      <c r="F1018" s="85">
        <v>0</v>
      </c>
      <c r="G1018" s="13">
        <v>44978</v>
      </c>
    </row>
    <row r="1019" spans="1:7" ht="14.5">
      <c r="A1019" s="85" t="s">
        <v>2083</v>
      </c>
      <c r="B1019" s="86">
        <v>12</v>
      </c>
      <c r="C1019" s="86">
        <v>56</v>
      </c>
      <c r="D1019" s="86">
        <v>10</v>
      </c>
      <c r="E1019" s="85">
        <v>0</v>
      </c>
      <c r="F1019" s="85">
        <v>0</v>
      </c>
      <c r="G1019" s="13">
        <v>44978</v>
      </c>
    </row>
    <row r="1020" spans="1:7" ht="14.5">
      <c r="A1020" s="85" t="s">
        <v>2088</v>
      </c>
      <c r="B1020" s="86">
        <v>19</v>
      </c>
      <c r="C1020" s="86">
        <v>88</v>
      </c>
      <c r="D1020" s="86">
        <v>5</v>
      </c>
      <c r="E1020" s="85">
        <v>0</v>
      </c>
      <c r="F1020" s="85">
        <v>0</v>
      </c>
      <c r="G1020" s="13">
        <v>44978</v>
      </c>
    </row>
    <row r="1021" spans="1:7" ht="14.5">
      <c r="A1021" s="85" t="s">
        <v>2094</v>
      </c>
      <c r="B1021" s="86">
        <v>22</v>
      </c>
      <c r="C1021" s="86">
        <v>81</v>
      </c>
      <c r="D1021" s="86">
        <v>26</v>
      </c>
      <c r="E1021" s="85">
        <v>0</v>
      </c>
      <c r="F1021" s="86">
        <v>4</v>
      </c>
      <c r="G1021" s="13">
        <v>44978</v>
      </c>
    </row>
    <row r="1022" spans="1:7" ht="14.5">
      <c r="A1022" s="85" t="s">
        <v>2099</v>
      </c>
      <c r="B1022" s="86">
        <v>23</v>
      </c>
      <c r="C1022" s="86">
        <v>65</v>
      </c>
      <c r="D1022" s="86">
        <v>5</v>
      </c>
      <c r="E1022" s="85">
        <v>0</v>
      </c>
      <c r="F1022" s="86">
        <v>1</v>
      </c>
      <c r="G1022" s="13">
        <v>44978</v>
      </c>
    </row>
    <row r="1023" spans="1:7" ht="14.5">
      <c r="A1023" s="85" t="s">
        <v>2105</v>
      </c>
      <c r="B1023" s="86">
        <v>48</v>
      </c>
      <c r="C1023" s="86">
        <v>86</v>
      </c>
      <c r="D1023" s="86">
        <v>2</v>
      </c>
      <c r="E1023" s="85">
        <v>0</v>
      </c>
      <c r="F1023" s="85">
        <v>0</v>
      </c>
      <c r="G1023" s="13">
        <v>44978</v>
      </c>
    </row>
    <row r="1024" spans="1:7" ht="14.5">
      <c r="A1024" s="85" t="s">
        <v>2109</v>
      </c>
      <c r="B1024" s="86">
        <v>31</v>
      </c>
      <c r="C1024" s="86">
        <v>1</v>
      </c>
      <c r="D1024" s="86">
        <v>5</v>
      </c>
      <c r="E1024" s="85">
        <v>0</v>
      </c>
      <c r="F1024" s="85">
        <v>0</v>
      </c>
      <c r="G1024" s="13">
        <v>44978</v>
      </c>
    </row>
    <row r="1025" spans="1:7" ht="14.5">
      <c r="A1025" s="85" t="s">
        <v>2116</v>
      </c>
      <c r="B1025" s="86">
        <v>5</v>
      </c>
      <c r="C1025" s="86">
        <v>47</v>
      </c>
      <c r="D1025" s="86">
        <v>6</v>
      </c>
      <c r="E1025" s="85">
        <v>0</v>
      </c>
      <c r="F1025" s="85">
        <v>0</v>
      </c>
      <c r="G1025" s="13">
        <v>44978</v>
      </c>
    </row>
    <row r="1026" spans="1:7" ht="14.5">
      <c r="A1026" s="85" t="s">
        <v>2122</v>
      </c>
      <c r="B1026" s="86">
        <v>34</v>
      </c>
      <c r="C1026" s="86">
        <v>33</v>
      </c>
      <c r="D1026" s="86">
        <v>10</v>
      </c>
      <c r="E1026" s="85">
        <v>0</v>
      </c>
      <c r="F1026" s="85">
        <v>0</v>
      </c>
      <c r="G1026" s="13">
        <v>44978</v>
      </c>
    </row>
    <row r="1027" spans="1:7" ht="14.5">
      <c r="A1027" s="85" t="s">
        <v>2127</v>
      </c>
      <c r="B1027" s="86">
        <v>26</v>
      </c>
      <c r="C1027" s="86">
        <v>46</v>
      </c>
      <c r="D1027" s="85">
        <v>0</v>
      </c>
      <c r="E1027" s="85">
        <v>0</v>
      </c>
      <c r="F1027" s="85">
        <v>0</v>
      </c>
      <c r="G1027" s="13">
        <v>44978</v>
      </c>
    </row>
    <row r="1028" spans="1:7" ht="14.5">
      <c r="A1028" s="85" t="s">
        <v>2132</v>
      </c>
      <c r="B1028" s="86">
        <v>3</v>
      </c>
      <c r="C1028" s="85">
        <v>0</v>
      </c>
      <c r="D1028" s="86">
        <v>4</v>
      </c>
      <c r="E1028" s="85">
        <v>0</v>
      </c>
      <c r="F1028" s="85">
        <v>0</v>
      </c>
      <c r="G1028" s="13">
        <v>44978</v>
      </c>
    </row>
    <row r="1029" spans="1:7" ht="14.5">
      <c r="A1029" s="85" t="s">
        <v>2140</v>
      </c>
      <c r="B1029" s="86">
        <v>4</v>
      </c>
      <c r="C1029" s="86">
        <v>26</v>
      </c>
      <c r="D1029" s="86">
        <v>13</v>
      </c>
      <c r="E1029" s="85">
        <v>0</v>
      </c>
      <c r="F1029" s="85">
        <v>0</v>
      </c>
      <c r="G1029" s="13">
        <v>44978</v>
      </c>
    </row>
    <row r="1030" spans="1:7" ht="14.5">
      <c r="A1030" s="85" t="s">
        <v>2145</v>
      </c>
      <c r="B1030" s="86">
        <v>11</v>
      </c>
      <c r="C1030" s="86">
        <v>28</v>
      </c>
      <c r="D1030" s="86">
        <v>13</v>
      </c>
      <c r="E1030" s="85">
        <v>0</v>
      </c>
      <c r="F1030" s="85">
        <v>0</v>
      </c>
      <c r="G1030" s="13">
        <v>44978</v>
      </c>
    </row>
    <row r="1031" spans="1:7" ht="14.5">
      <c r="A1031" s="85" t="s">
        <v>2150</v>
      </c>
      <c r="B1031" s="86">
        <v>2</v>
      </c>
      <c r="C1031" s="86">
        <v>58</v>
      </c>
      <c r="D1031" s="86">
        <v>7</v>
      </c>
      <c r="E1031" s="85">
        <v>0</v>
      </c>
      <c r="F1031" s="86">
        <v>1</v>
      </c>
      <c r="G1031" s="13">
        <v>44978</v>
      </c>
    </row>
    <row r="1032" spans="1:7" ht="14.5">
      <c r="A1032" s="85" t="s">
        <v>2156</v>
      </c>
      <c r="B1032" s="86">
        <v>15</v>
      </c>
      <c r="C1032" s="86">
        <v>79</v>
      </c>
      <c r="D1032" s="86">
        <v>13</v>
      </c>
      <c r="E1032" s="85">
        <v>0</v>
      </c>
      <c r="F1032" s="85">
        <v>0</v>
      </c>
      <c r="G1032" s="13">
        <v>44978</v>
      </c>
    </row>
    <row r="1033" spans="1:7" ht="14.5">
      <c r="A1033" s="85" t="s">
        <v>2158</v>
      </c>
      <c r="B1033" s="86">
        <v>15</v>
      </c>
      <c r="C1033" s="86">
        <v>68</v>
      </c>
      <c r="D1033" s="86">
        <v>71</v>
      </c>
      <c r="E1033" s="85">
        <v>0</v>
      </c>
      <c r="F1033" s="85">
        <v>0</v>
      </c>
      <c r="G1033" s="13">
        <v>44978</v>
      </c>
    </row>
    <row r="1034" spans="1:7" ht="14.5">
      <c r="A1034" s="85" t="s">
        <v>2164</v>
      </c>
      <c r="B1034" s="86">
        <v>18</v>
      </c>
      <c r="C1034" s="86">
        <v>1</v>
      </c>
      <c r="D1034" s="86">
        <v>73</v>
      </c>
      <c r="E1034" s="85">
        <v>0</v>
      </c>
      <c r="F1034" s="85">
        <v>0</v>
      </c>
      <c r="G1034" s="13">
        <v>44978</v>
      </c>
    </row>
    <row r="1035" spans="1:7" ht="14.5">
      <c r="A1035" s="85" t="s">
        <v>2170</v>
      </c>
      <c r="B1035" s="86">
        <v>20</v>
      </c>
      <c r="C1035" s="86">
        <v>2</v>
      </c>
      <c r="D1035" s="85">
        <v>0</v>
      </c>
      <c r="E1035" s="85">
        <v>0</v>
      </c>
      <c r="F1035" s="85">
        <v>0</v>
      </c>
      <c r="G1035" s="13">
        <v>44978</v>
      </c>
    </row>
    <row r="1036" spans="1:7" ht="14.5">
      <c r="A1036" s="85" t="s">
        <v>2177</v>
      </c>
      <c r="B1036" s="86">
        <v>12</v>
      </c>
      <c r="C1036" s="86">
        <v>50</v>
      </c>
      <c r="D1036" s="86">
        <v>14</v>
      </c>
      <c r="E1036" s="85">
        <v>0</v>
      </c>
      <c r="F1036" s="85">
        <v>0</v>
      </c>
      <c r="G1036" s="13">
        <v>44978</v>
      </c>
    </row>
    <row r="1037" spans="1:7" ht="14.5">
      <c r="A1037" s="85" t="s">
        <v>2181</v>
      </c>
      <c r="B1037" s="86">
        <v>2</v>
      </c>
      <c r="C1037" s="86">
        <v>46</v>
      </c>
      <c r="D1037" s="86">
        <v>4</v>
      </c>
      <c r="E1037" s="85">
        <v>0</v>
      </c>
      <c r="F1037" s="85">
        <v>0</v>
      </c>
      <c r="G1037" s="13">
        <v>44978</v>
      </c>
    </row>
    <row r="1038" spans="1:7" ht="14.5">
      <c r="A1038" s="85" t="s">
        <v>2185</v>
      </c>
      <c r="B1038" s="86">
        <v>48</v>
      </c>
      <c r="C1038" s="86">
        <v>51</v>
      </c>
      <c r="D1038" s="86">
        <v>29</v>
      </c>
      <c r="E1038" s="85">
        <v>0</v>
      </c>
      <c r="F1038" s="85">
        <v>0</v>
      </c>
      <c r="G1038" s="13">
        <v>44978</v>
      </c>
    </row>
    <row r="1039" spans="1:7" ht="14.5">
      <c r="A1039" s="85" t="s">
        <v>2191</v>
      </c>
      <c r="B1039" s="86">
        <v>39</v>
      </c>
      <c r="C1039" s="86">
        <v>35</v>
      </c>
      <c r="D1039" s="86">
        <v>25</v>
      </c>
      <c r="E1039" s="85">
        <v>0</v>
      </c>
      <c r="F1039" s="85">
        <v>0</v>
      </c>
      <c r="G1039" s="13">
        <v>44978</v>
      </c>
    </row>
    <row r="1040" spans="1:7" ht="14.5">
      <c r="A1040" s="85" t="s">
        <v>2196</v>
      </c>
      <c r="B1040" s="86">
        <v>15</v>
      </c>
      <c r="C1040" s="86">
        <v>165</v>
      </c>
      <c r="D1040" s="86">
        <v>460</v>
      </c>
      <c r="E1040" s="85">
        <v>0</v>
      </c>
      <c r="F1040" s="86">
        <v>31</v>
      </c>
      <c r="G1040" s="13">
        <v>44978</v>
      </c>
    </row>
    <row r="1041" spans="1:7" ht="14.5">
      <c r="A1041" s="85" t="s">
        <v>2201</v>
      </c>
      <c r="B1041" s="86">
        <v>5</v>
      </c>
      <c r="C1041" s="86">
        <v>63</v>
      </c>
      <c r="D1041" s="85">
        <v>0</v>
      </c>
      <c r="E1041" s="85">
        <v>0</v>
      </c>
      <c r="F1041" s="85">
        <v>0</v>
      </c>
      <c r="G1041" s="13">
        <v>44978</v>
      </c>
    </row>
    <row r="1042" spans="1:7" ht="14.5">
      <c r="A1042" s="85" t="s">
        <v>14186</v>
      </c>
      <c r="B1042" s="86">
        <v>67</v>
      </c>
      <c r="C1042" s="86">
        <v>37</v>
      </c>
      <c r="D1042" s="86">
        <v>10</v>
      </c>
      <c r="E1042" s="86">
        <v>14</v>
      </c>
      <c r="F1042" s="86">
        <v>4</v>
      </c>
      <c r="G1042" s="13">
        <v>44978</v>
      </c>
    </row>
    <row r="1043" spans="1:7" ht="14.5">
      <c r="A1043" s="85" t="s">
        <v>14187</v>
      </c>
      <c r="B1043" s="86">
        <v>24</v>
      </c>
      <c r="C1043" s="86">
        <v>6</v>
      </c>
      <c r="D1043" s="86">
        <v>21</v>
      </c>
      <c r="E1043" s="85">
        <v>0</v>
      </c>
      <c r="F1043" s="86">
        <v>1</v>
      </c>
      <c r="G1043" s="13">
        <v>44978</v>
      </c>
    </row>
    <row r="1044" spans="1:7" ht="14.5">
      <c r="A1044" s="85" t="s">
        <v>14188</v>
      </c>
      <c r="B1044" s="86">
        <v>66</v>
      </c>
      <c r="C1044" s="86">
        <v>19</v>
      </c>
      <c r="D1044" s="86">
        <v>6</v>
      </c>
      <c r="E1044" s="85">
        <v>0</v>
      </c>
      <c r="F1044" s="85">
        <v>0</v>
      </c>
      <c r="G1044" s="13">
        <v>44978</v>
      </c>
    </row>
    <row r="1045" spans="1:7" ht="14.5">
      <c r="A1045" s="85" t="s">
        <v>14189</v>
      </c>
      <c r="B1045" s="86">
        <v>291</v>
      </c>
      <c r="C1045" s="86">
        <v>88</v>
      </c>
      <c r="D1045" s="86">
        <v>67</v>
      </c>
      <c r="E1045" s="86">
        <v>19</v>
      </c>
      <c r="F1045" s="86">
        <v>3</v>
      </c>
      <c r="G1045" s="13">
        <v>44978</v>
      </c>
    </row>
    <row r="1046" spans="1:7" ht="14.5">
      <c r="A1046" s="85" t="s">
        <v>14190</v>
      </c>
      <c r="B1046" s="86">
        <v>205</v>
      </c>
      <c r="C1046" s="86">
        <v>25</v>
      </c>
      <c r="D1046" s="86">
        <v>4248</v>
      </c>
      <c r="E1046" s="85">
        <v>0</v>
      </c>
      <c r="F1046" s="86">
        <v>34</v>
      </c>
      <c r="G1046" s="13">
        <v>44978</v>
      </c>
    </row>
    <row r="1047" spans="1:7" ht="14.5">
      <c r="A1047" s="85" t="s">
        <v>14191</v>
      </c>
      <c r="B1047" s="86">
        <v>23</v>
      </c>
      <c r="C1047" s="86">
        <v>9</v>
      </c>
      <c r="D1047" s="86">
        <v>1</v>
      </c>
      <c r="E1047" s="85">
        <v>0</v>
      </c>
      <c r="F1047" s="85">
        <v>0</v>
      </c>
      <c r="G1047" s="13">
        <v>44978</v>
      </c>
    </row>
    <row r="1048" spans="1:7" ht="14.5">
      <c r="A1048" s="85" t="s">
        <v>14192</v>
      </c>
      <c r="B1048" s="86">
        <v>88</v>
      </c>
      <c r="C1048" s="86">
        <v>39</v>
      </c>
      <c r="D1048" s="86">
        <v>4</v>
      </c>
      <c r="E1048" s="86">
        <v>75</v>
      </c>
      <c r="F1048" s="86">
        <v>3</v>
      </c>
      <c r="G1048" s="13">
        <v>44978</v>
      </c>
    </row>
    <row r="1049" spans="1:7" ht="14.5">
      <c r="A1049" s="85" t="s">
        <v>14193</v>
      </c>
      <c r="B1049" s="86">
        <v>31</v>
      </c>
      <c r="C1049" s="86">
        <v>10</v>
      </c>
      <c r="D1049" s="86">
        <v>48</v>
      </c>
      <c r="E1049" s="85">
        <v>0</v>
      </c>
      <c r="F1049" s="86">
        <v>5</v>
      </c>
      <c r="G1049" s="13">
        <v>44978</v>
      </c>
    </row>
    <row r="1050" spans="1:7" ht="14.5">
      <c r="A1050" s="85" t="s">
        <v>14194</v>
      </c>
      <c r="B1050" s="86">
        <v>60</v>
      </c>
      <c r="C1050" s="86">
        <v>14</v>
      </c>
      <c r="D1050" s="86">
        <v>24</v>
      </c>
      <c r="E1050" s="85">
        <v>0</v>
      </c>
      <c r="F1050" s="85">
        <v>0</v>
      </c>
      <c r="G1050" s="13">
        <v>44978</v>
      </c>
    </row>
    <row r="1051" spans="1:7" ht="14.5">
      <c r="A1051" s="85" t="s">
        <v>14195</v>
      </c>
      <c r="B1051" s="86">
        <v>48</v>
      </c>
      <c r="C1051" s="86">
        <v>11</v>
      </c>
      <c r="D1051" s="86">
        <v>40</v>
      </c>
      <c r="E1051" s="85">
        <v>0</v>
      </c>
      <c r="F1051" s="86">
        <v>6</v>
      </c>
      <c r="G1051" s="13">
        <v>44978</v>
      </c>
    </row>
    <row r="1052" spans="1:7" ht="14.5">
      <c r="A1052" s="85" t="s">
        <v>14196</v>
      </c>
      <c r="B1052" s="86">
        <v>45</v>
      </c>
      <c r="C1052" s="86">
        <v>9</v>
      </c>
      <c r="D1052" s="86">
        <v>20</v>
      </c>
      <c r="E1052" s="85">
        <v>0</v>
      </c>
      <c r="F1052" s="86">
        <v>3</v>
      </c>
      <c r="G1052" s="13">
        <v>44978</v>
      </c>
    </row>
    <row r="1053" spans="1:7" ht="14.5">
      <c r="A1053" s="85" t="s">
        <v>14197</v>
      </c>
      <c r="B1053" s="86">
        <v>45</v>
      </c>
      <c r="C1053" s="86">
        <v>23</v>
      </c>
      <c r="D1053" s="86">
        <v>83</v>
      </c>
      <c r="E1053" s="85">
        <v>0</v>
      </c>
      <c r="F1053" s="86">
        <v>5</v>
      </c>
      <c r="G1053" s="13">
        <v>44978</v>
      </c>
    </row>
    <row r="1054" spans="1:7" ht="14.5">
      <c r="A1054" s="85" t="s">
        <v>10805</v>
      </c>
      <c r="B1054" s="86">
        <v>15</v>
      </c>
      <c r="C1054" s="86">
        <v>6</v>
      </c>
      <c r="D1054" s="86">
        <v>28</v>
      </c>
      <c r="E1054" s="85">
        <v>0</v>
      </c>
      <c r="F1054" s="86">
        <v>1</v>
      </c>
      <c r="G1054" s="13">
        <v>44978</v>
      </c>
    </row>
    <row r="1055" spans="1:7" ht="14.5">
      <c r="A1055" s="85" t="s">
        <v>14198</v>
      </c>
      <c r="B1055" s="86">
        <v>24</v>
      </c>
      <c r="C1055" s="86">
        <v>5</v>
      </c>
      <c r="D1055" s="86">
        <v>29</v>
      </c>
      <c r="E1055" s="85">
        <v>0</v>
      </c>
      <c r="F1055" s="85">
        <v>0</v>
      </c>
      <c r="G1055" s="13">
        <v>44978</v>
      </c>
    </row>
    <row r="1056" spans="1:7" ht="14.5">
      <c r="A1056" s="85" t="s">
        <v>2206</v>
      </c>
      <c r="B1056" s="86">
        <v>680</v>
      </c>
      <c r="C1056" s="86">
        <v>171</v>
      </c>
      <c r="D1056" s="86">
        <v>1727</v>
      </c>
      <c r="E1056" s="85">
        <v>0</v>
      </c>
      <c r="F1056" s="86">
        <v>74</v>
      </c>
      <c r="G1056" s="13">
        <v>44978</v>
      </c>
    </row>
    <row r="1057" spans="1:7" ht="14.5">
      <c r="A1057" s="85" t="s">
        <v>14199</v>
      </c>
      <c r="B1057" s="86">
        <v>46</v>
      </c>
      <c r="C1057" s="86">
        <v>4</v>
      </c>
      <c r="D1057" s="86">
        <v>192</v>
      </c>
      <c r="E1057" s="85">
        <v>0</v>
      </c>
      <c r="F1057" s="86">
        <v>7</v>
      </c>
      <c r="G1057" s="13">
        <v>44978</v>
      </c>
    </row>
    <row r="1058" spans="1:7" ht="14.5">
      <c r="A1058" s="85" t="s">
        <v>14200</v>
      </c>
      <c r="B1058" s="86">
        <v>34</v>
      </c>
      <c r="C1058" s="86">
        <v>5</v>
      </c>
      <c r="D1058" s="86">
        <v>399</v>
      </c>
      <c r="E1058" s="85">
        <v>0</v>
      </c>
      <c r="F1058" s="85">
        <v>0</v>
      </c>
      <c r="G1058" s="13">
        <v>44978</v>
      </c>
    </row>
    <row r="1059" spans="1:7" ht="14.5">
      <c r="A1059" s="85" t="s">
        <v>14201</v>
      </c>
      <c r="B1059" s="86">
        <v>93</v>
      </c>
      <c r="C1059" s="86">
        <v>12</v>
      </c>
      <c r="D1059" s="86">
        <v>1</v>
      </c>
      <c r="E1059" s="85">
        <v>0</v>
      </c>
      <c r="F1059" s="86">
        <v>2</v>
      </c>
      <c r="G1059" s="13">
        <v>44978</v>
      </c>
    </row>
    <row r="1060" spans="1:7" ht="14.5">
      <c r="A1060" s="85" t="s">
        <v>14202</v>
      </c>
      <c r="B1060" s="86">
        <v>6</v>
      </c>
      <c r="C1060" s="86">
        <v>8</v>
      </c>
      <c r="D1060" s="86">
        <v>9</v>
      </c>
      <c r="E1060" s="85">
        <v>0</v>
      </c>
      <c r="F1060" s="85">
        <v>0</v>
      </c>
      <c r="G1060" s="13">
        <v>44978</v>
      </c>
    </row>
    <row r="1061" spans="1:7" ht="14.5">
      <c r="A1061" s="85" t="s">
        <v>14203</v>
      </c>
      <c r="B1061" s="86">
        <v>58</v>
      </c>
      <c r="C1061" s="86">
        <v>11</v>
      </c>
      <c r="D1061" s="86">
        <v>63</v>
      </c>
      <c r="E1061" s="85">
        <v>0</v>
      </c>
      <c r="F1061" s="86">
        <v>2</v>
      </c>
      <c r="G1061" s="13">
        <v>44978</v>
      </c>
    </row>
    <row r="1062" spans="1:7" ht="14.5">
      <c r="A1062" s="85" t="s">
        <v>14204</v>
      </c>
      <c r="B1062" s="86">
        <v>57</v>
      </c>
      <c r="C1062" s="86">
        <v>10</v>
      </c>
      <c r="D1062" s="86">
        <v>6</v>
      </c>
      <c r="E1062" s="85">
        <v>0</v>
      </c>
      <c r="F1062" s="85">
        <v>0</v>
      </c>
      <c r="G1062" s="13">
        <v>44978</v>
      </c>
    </row>
    <row r="1063" spans="1:7" ht="14.5">
      <c r="A1063" s="85" t="s">
        <v>14205</v>
      </c>
      <c r="B1063" s="86">
        <v>183</v>
      </c>
      <c r="C1063" s="86">
        <v>86</v>
      </c>
      <c r="D1063" s="86">
        <v>24</v>
      </c>
      <c r="E1063" s="86">
        <v>13</v>
      </c>
      <c r="F1063" s="86">
        <v>4</v>
      </c>
      <c r="G1063" s="13">
        <v>44978</v>
      </c>
    </row>
    <row r="1064" spans="1:7" ht="14.5">
      <c r="A1064" s="85" t="s">
        <v>14206</v>
      </c>
      <c r="B1064" s="86">
        <v>37</v>
      </c>
      <c r="C1064" s="86">
        <v>6</v>
      </c>
      <c r="D1064" s="86">
        <v>10</v>
      </c>
      <c r="E1064" s="85">
        <v>0</v>
      </c>
      <c r="F1064" s="86">
        <v>3</v>
      </c>
      <c r="G1064" s="13">
        <v>44978</v>
      </c>
    </row>
    <row r="1065" spans="1:7" ht="14.5">
      <c r="A1065" s="85" t="s">
        <v>14207</v>
      </c>
      <c r="B1065" s="86">
        <v>54</v>
      </c>
      <c r="C1065" s="86">
        <v>27</v>
      </c>
      <c r="D1065" s="86">
        <v>5</v>
      </c>
      <c r="E1065" s="85">
        <v>0</v>
      </c>
      <c r="F1065" s="85">
        <v>0</v>
      </c>
      <c r="G1065" s="13">
        <v>44978</v>
      </c>
    </row>
    <row r="1066" spans="1:7" ht="14.5">
      <c r="A1066" s="85" t="s">
        <v>14208</v>
      </c>
      <c r="B1066" s="86">
        <v>103</v>
      </c>
      <c r="C1066" s="86">
        <v>28</v>
      </c>
      <c r="D1066" s="86">
        <v>14</v>
      </c>
      <c r="E1066" s="86">
        <v>15</v>
      </c>
      <c r="F1066" s="86">
        <v>5</v>
      </c>
      <c r="G1066" s="13">
        <v>44978</v>
      </c>
    </row>
    <row r="1067" spans="1:7" ht="14.5">
      <c r="A1067" s="85" t="s">
        <v>14209</v>
      </c>
      <c r="B1067" s="86">
        <v>195</v>
      </c>
      <c r="C1067" s="86">
        <v>67</v>
      </c>
      <c r="D1067" s="86">
        <v>139</v>
      </c>
      <c r="E1067" s="86">
        <v>38</v>
      </c>
      <c r="F1067" s="86">
        <v>15</v>
      </c>
      <c r="G1067" s="13">
        <v>44978</v>
      </c>
    </row>
    <row r="1068" spans="1:7" ht="14.5">
      <c r="A1068" s="85" t="s">
        <v>14210</v>
      </c>
      <c r="B1068" s="86">
        <v>40</v>
      </c>
      <c r="C1068" s="86">
        <v>52</v>
      </c>
      <c r="D1068" s="86">
        <v>21</v>
      </c>
      <c r="E1068" s="85">
        <v>0</v>
      </c>
      <c r="F1068" s="86">
        <v>3</v>
      </c>
      <c r="G1068" s="13">
        <v>44978</v>
      </c>
    </row>
    <row r="1069" spans="1:7" ht="14.5">
      <c r="A1069" s="85" t="s">
        <v>14211</v>
      </c>
      <c r="B1069" s="86">
        <v>182</v>
      </c>
      <c r="C1069" s="86">
        <v>88</v>
      </c>
      <c r="D1069" s="86">
        <v>130</v>
      </c>
      <c r="E1069" s="86">
        <v>47</v>
      </c>
      <c r="F1069" s="86">
        <v>20</v>
      </c>
      <c r="G1069" s="13">
        <v>44978</v>
      </c>
    </row>
    <row r="1070" spans="1:7" ht="14.5">
      <c r="A1070" s="85" t="s">
        <v>14212</v>
      </c>
      <c r="B1070" s="86">
        <v>57</v>
      </c>
      <c r="C1070" s="86">
        <v>23</v>
      </c>
      <c r="D1070" s="86">
        <v>2</v>
      </c>
      <c r="E1070" s="86">
        <v>7</v>
      </c>
      <c r="F1070" s="86">
        <v>2</v>
      </c>
      <c r="G1070" s="13">
        <v>44978</v>
      </c>
    </row>
    <row r="1071" spans="1:7" ht="14.5">
      <c r="A1071" s="85" t="s">
        <v>14213</v>
      </c>
      <c r="B1071" s="86">
        <v>224</v>
      </c>
      <c r="C1071" s="86">
        <v>81</v>
      </c>
      <c r="D1071" s="86">
        <v>46</v>
      </c>
      <c r="E1071" s="86">
        <v>11</v>
      </c>
      <c r="F1071" s="86">
        <v>2</v>
      </c>
      <c r="G1071" s="13">
        <v>44978</v>
      </c>
    </row>
    <row r="1072" spans="1:7" ht="14.5">
      <c r="A1072" s="85" t="s">
        <v>14214</v>
      </c>
      <c r="B1072" s="86">
        <v>50</v>
      </c>
      <c r="C1072" s="86">
        <v>44</v>
      </c>
      <c r="D1072" s="86">
        <v>13</v>
      </c>
      <c r="E1072" s="86">
        <v>143</v>
      </c>
      <c r="F1072" s="86">
        <v>3</v>
      </c>
      <c r="G1072" s="13">
        <v>44978</v>
      </c>
    </row>
    <row r="1073" spans="1:7" ht="14.5">
      <c r="A1073" s="85" t="s">
        <v>14215</v>
      </c>
      <c r="B1073" s="86">
        <v>99</v>
      </c>
      <c r="C1073" s="86">
        <v>69</v>
      </c>
      <c r="D1073" s="86">
        <v>5</v>
      </c>
      <c r="E1073" s="86">
        <v>34</v>
      </c>
      <c r="F1073" s="85">
        <v>0</v>
      </c>
      <c r="G1073" s="13">
        <v>44978</v>
      </c>
    </row>
    <row r="1074" spans="1:7" ht="14.5">
      <c r="A1074" s="85" t="s">
        <v>14216</v>
      </c>
      <c r="B1074" s="86">
        <v>275</v>
      </c>
      <c r="C1074" s="86">
        <v>114</v>
      </c>
      <c r="D1074" s="86">
        <v>680</v>
      </c>
      <c r="E1074" s="86">
        <v>150</v>
      </c>
      <c r="F1074" s="86">
        <v>16</v>
      </c>
      <c r="G1074" s="13">
        <v>44978</v>
      </c>
    </row>
    <row r="1075" spans="1:7" ht="14.5">
      <c r="A1075" s="85" t="s">
        <v>14217</v>
      </c>
      <c r="B1075" s="86">
        <v>88</v>
      </c>
      <c r="C1075" s="86">
        <v>39</v>
      </c>
      <c r="D1075" s="86">
        <v>15</v>
      </c>
      <c r="E1075" s="86">
        <v>10</v>
      </c>
      <c r="F1075" s="86">
        <v>2</v>
      </c>
      <c r="G1075" s="13">
        <v>44978</v>
      </c>
    </row>
    <row r="1076" spans="1:7" ht="14.5">
      <c r="A1076" s="85" t="s">
        <v>14218</v>
      </c>
      <c r="B1076" s="86">
        <v>81</v>
      </c>
      <c r="C1076" s="86">
        <v>40</v>
      </c>
      <c r="D1076" s="86">
        <v>4</v>
      </c>
      <c r="E1076" s="86">
        <v>23</v>
      </c>
      <c r="F1076" s="86">
        <v>1</v>
      </c>
      <c r="G1076" s="13">
        <v>44978</v>
      </c>
    </row>
    <row r="1077" spans="1:7" ht="14.5">
      <c r="A1077" s="85" t="s">
        <v>14219</v>
      </c>
      <c r="B1077" s="86">
        <v>752</v>
      </c>
      <c r="C1077" s="86">
        <v>78</v>
      </c>
      <c r="D1077" s="86">
        <v>50</v>
      </c>
      <c r="E1077" s="86">
        <v>189</v>
      </c>
      <c r="F1077" s="86">
        <v>2</v>
      </c>
      <c r="G1077" s="13">
        <v>44978</v>
      </c>
    </row>
    <row r="1078" spans="1:7" ht="14.5">
      <c r="A1078" s="85" t="s">
        <v>14220</v>
      </c>
      <c r="B1078" s="86">
        <v>239</v>
      </c>
      <c r="C1078" s="86">
        <v>125</v>
      </c>
      <c r="D1078" s="86">
        <v>227</v>
      </c>
      <c r="E1078" s="86">
        <v>36</v>
      </c>
      <c r="F1078" s="86">
        <v>4</v>
      </c>
      <c r="G1078" s="13">
        <v>44978</v>
      </c>
    </row>
    <row r="1079" spans="1:7" ht="14.5">
      <c r="A1079" s="85" t="s">
        <v>14221</v>
      </c>
      <c r="B1079" s="86">
        <v>129</v>
      </c>
      <c r="C1079" s="86">
        <v>18</v>
      </c>
      <c r="D1079" s="85">
        <v>0</v>
      </c>
      <c r="E1079" s="86">
        <v>70</v>
      </c>
      <c r="F1079" s="85">
        <v>0</v>
      </c>
      <c r="G1079" s="13">
        <v>44978</v>
      </c>
    </row>
    <row r="1080" spans="1:7" ht="14.5">
      <c r="A1080" s="85" t="s">
        <v>14222</v>
      </c>
      <c r="B1080" s="86">
        <v>62</v>
      </c>
      <c r="C1080" s="86">
        <v>24</v>
      </c>
      <c r="D1080" s="86">
        <v>21</v>
      </c>
      <c r="E1080" s="85">
        <v>0</v>
      </c>
      <c r="F1080" s="86">
        <v>1</v>
      </c>
      <c r="G1080" s="13">
        <v>44978</v>
      </c>
    </row>
    <row r="1081" spans="1:7" ht="14.5">
      <c r="A1081" s="85" t="s">
        <v>14223</v>
      </c>
      <c r="B1081" s="86">
        <v>197</v>
      </c>
      <c r="C1081" s="86">
        <v>64</v>
      </c>
      <c r="D1081" s="86">
        <v>8</v>
      </c>
      <c r="E1081" s="86">
        <v>287</v>
      </c>
      <c r="F1081" s="86">
        <v>6</v>
      </c>
      <c r="G1081" s="13">
        <v>44978</v>
      </c>
    </row>
    <row r="1082" spans="1:7" ht="14.5">
      <c r="A1082" s="85" t="s">
        <v>14224</v>
      </c>
      <c r="B1082" s="86">
        <v>84</v>
      </c>
      <c r="C1082" s="86">
        <v>54</v>
      </c>
      <c r="D1082" s="86">
        <v>5</v>
      </c>
      <c r="E1082" s="86">
        <v>58</v>
      </c>
      <c r="F1082" s="86">
        <v>2</v>
      </c>
      <c r="G1082" s="13">
        <v>44978</v>
      </c>
    </row>
    <row r="1083" spans="1:7" ht="14.5">
      <c r="A1083" s="85" t="s">
        <v>14225</v>
      </c>
      <c r="B1083" s="86">
        <v>181</v>
      </c>
      <c r="C1083" s="86">
        <v>131</v>
      </c>
      <c r="D1083" s="86">
        <v>80</v>
      </c>
      <c r="E1083" s="86">
        <v>38</v>
      </c>
      <c r="F1083" s="85">
        <v>0</v>
      </c>
      <c r="G1083" s="13">
        <v>44978</v>
      </c>
    </row>
    <row r="1084" spans="1:7" ht="14.5">
      <c r="A1084" s="85" t="s">
        <v>14226</v>
      </c>
      <c r="B1084" s="86">
        <v>53</v>
      </c>
      <c r="C1084" s="86">
        <v>28</v>
      </c>
      <c r="D1084" s="86">
        <v>25</v>
      </c>
      <c r="E1084" s="85">
        <v>0</v>
      </c>
      <c r="F1084" s="86">
        <v>3</v>
      </c>
      <c r="G1084" s="13">
        <v>44978</v>
      </c>
    </row>
    <row r="1085" spans="1:7" ht="14.5">
      <c r="A1085" s="85" t="s">
        <v>2216</v>
      </c>
      <c r="B1085" s="86">
        <v>118</v>
      </c>
      <c r="C1085" s="86">
        <v>27</v>
      </c>
      <c r="D1085" s="86">
        <v>2</v>
      </c>
      <c r="E1085" s="85">
        <v>0</v>
      </c>
      <c r="F1085" s="86">
        <v>1</v>
      </c>
      <c r="G1085" s="13">
        <v>44978</v>
      </c>
    </row>
    <row r="1086" spans="1:7" ht="14.5">
      <c r="A1086" s="85" t="s">
        <v>2224</v>
      </c>
      <c r="B1086" s="86">
        <v>9</v>
      </c>
      <c r="C1086" s="86">
        <v>2</v>
      </c>
      <c r="D1086" s="85">
        <v>0</v>
      </c>
      <c r="E1086" s="85">
        <v>0</v>
      </c>
      <c r="F1086" s="85">
        <v>0</v>
      </c>
      <c r="G1086" s="13">
        <v>44978</v>
      </c>
    </row>
    <row r="1087" spans="1:7" ht="14.5">
      <c r="A1087" s="85" t="s">
        <v>2229</v>
      </c>
      <c r="B1087" s="86">
        <v>15</v>
      </c>
      <c r="C1087" s="86">
        <v>2</v>
      </c>
      <c r="D1087" s="85">
        <v>0</v>
      </c>
      <c r="E1087" s="85">
        <v>0</v>
      </c>
      <c r="F1087" s="85">
        <v>0</v>
      </c>
      <c r="G1087" s="13">
        <v>44978</v>
      </c>
    </row>
    <row r="1088" spans="1:7" ht="14.5">
      <c r="A1088" s="85" t="s">
        <v>2235</v>
      </c>
      <c r="B1088" s="86">
        <v>14</v>
      </c>
      <c r="C1088" s="86">
        <v>7</v>
      </c>
      <c r="D1088" s="85">
        <v>0</v>
      </c>
      <c r="E1088" s="85">
        <v>0</v>
      </c>
      <c r="F1088" s="85">
        <v>0</v>
      </c>
      <c r="G1088" s="13">
        <v>44978</v>
      </c>
    </row>
    <row r="1089" spans="1:7" ht="14.5">
      <c r="A1089" s="85" t="s">
        <v>2238</v>
      </c>
      <c r="B1089" s="86">
        <v>21</v>
      </c>
      <c r="C1089" s="86">
        <v>11</v>
      </c>
      <c r="D1089" s="85">
        <v>0</v>
      </c>
      <c r="E1089" s="85">
        <v>0</v>
      </c>
      <c r="F1089" s="86">
        <v>1</v>
      </c>
      <c r="G1089" s="13">
        <v>44978</v>
      </c>
    </row>
    <row r="1090" spans="1:7" ht="14.5">
      <c r="A1090" s="85" t="s">
        <v>2242</v>
      </c>
      <c r="B1090" s="86">
        <v>15</v>
      </c>
      <c r="C1090" s="86">
        <v>4</v>
      </c>
      <c r="D1090" s="85">
        <v>0</v>
      </c>
      <c r="E1090" s="85">
        <v>0</v>
      </c>
      <c r="F1090" s="85">
        <v>0</v>
      </c>
      <c r="G1090" s="13">
        <v>44978</v>
      </c>
    </row>
    <row r="1091" spans="1:7" ht="14.5">
      <c r="A1091" s="85" t="s">
        <v>2246</v>
      </c>
      <c r="B1091" s="86">
        <v>13</v>
      </c>
      <c r="C1091" s="86">
        <v>2</v>
      </c>
      <c r="D1091" s="85">
        <v>0</v>
      </c>
      <c r="E1091" s="85">
        <v>0</v>
      </c>
      <c r="F1091" s="85">
        <v>0</v>
      </c>
      <c r="G1091" s="13">
        <v>44978</v>
      </c>
    </row>
    <row r="1092" spans="1:7" ht="14.5">
      <c r="A1092" s="85" t="s">
        <v>2252</v>
      </c>
      <c r="B1092" s="86">
        <v>3</v>
      </c>
      <c r="C1092" s="85">
        <v>0</v>
      </c>
      <c r="D1092" s="85">
        <v>0</v>
      </c>
      <c r="E1092" s="85">
        <v>0</v>
      </c>
      <c r="F1092" s="85">
        <v>0</v>
      </c>
      <c r="G1092" s="13">
        <v>44978</v>
      </c>
    </row>
    <row r="1093" spans="1:7" ht="14.5">
      <c r="A1093" s="85" t="s">
        <v>2259</v>
      </c>
      <c r="B1093" s="86">
        <v>3</v>
      </c>
      <c r="C1093" s="85">
        <v>0</v>
      </c>
      <c r="D1093" s="85">
        <v>0</v>
      </c>
      <c r="E1093" s="85">
        <v>0</v>
      </c>
      <c r="F1093" s="85">
        <v>0</v>
      </c>
      <c r="G1093" s="13">
        <v>44978</v>
      </c>
    </row>
    <row r="1094" spans="1:7" ht="14.5">
      <c r="A1094" s="85" t="s">
        <v>14227</v>
      </c>
      <c r="B1094" s="86">
        <v>38</v>
      </c>
      <c r="C1094" s="86">
        <v>26</v>
      </c>
      <c r="D1094" s="86">
        <v>5</v>
      </c>
      <c r="E1094" s="86">
        <v>293</v>
      </c>
      <c r="F1094" s="86">
        <v>2</v>
      </c>
      <c r="G1094" s="13">
        <v>44978</v>
      </c>
    </row>
    <row r="1095" spans="1:7" ht="14.5">
      <c r="A1095" s="85" t="s">
        <v>14228</v>
      </c>
      <c r="B1095" s="86">
        <v>150</v>
      </c>
      <c r="C1095" s="86">
        <v>69</v>
      </c>
      <c r="D1095" s="86">
        <v>13</v>
      </c>
      <c r="E1095" s="86">
        <v>48</v>
      </c>
      <c r="F1095" s="86">
        <v>7</v>
      </c>
      <c r="G1095" s="13">
        <v>44978</v>
      </c>
    </row>
    <row r="1096" spans="1:7" ht="14.5">
      <c r="A1096" s="85" t="s">
        <v>14229</v>
      </c>
      <c r="B1096" s="86">
        <v>171</v>
      </c>
      <c r="C1096" s="86">
        <v>41</v>
      </c>
      <c r="D1096" s="86">
        <v>21</v>
      </c>
      <c r="E1096" s="86">
        <v>28</v>
      </c>
      <c r="F1096" s="86">
        <v>13</v>
      </c>
      <c r="G1096" s="13">
        <v>44978</v>
      </c>
    </row>
    <row r="1097" spans="1:7" ht="14.5">
      <c r="A1097" s="85" t="s">
        <v>14230</v>
      </c>
      <c r="B1097" s="86">
        <v>64</v>
      </c>
      <c r="C1097" s="86">
        <v>9</v>
      </c>
      <c r="D1097" s="86">
        <v>14</v>
      </c>
      <c r="E1097" s="86">
        <v>42</v>
      </c>
      <c r="F1097" s="86">
        <v>4</v>
      </c>
      <c r="G1097" s="13">
        <v>44978</v>
      </c>
    </row>
    <row r="1098" spans="1:7" ht="14.5">
      <c r="A1098" s="85" t="s">
        <v>14231</v>
      </c>
      <c r="B1098" s="86">
        <v>7</v>
      </c>
      <c r="C1098" s="86">
        <v>2</v>
      </c>
      <c r="D1098" s="86">
        <v>2</v>
      </c>
      <c r="E1098" s="85">
        <v>0</v>
      </c>
      <c r="F1098" s="85">
        <v>0</v>
      </c>
      <c r="G1098" s="13">
        <v>44978</v>
      </c>
    </row>
    <row r="1099" spans="1:7" ht="14.5">
      <c r="A1099" s="85" t="s">
        <v>14232</v>
      </c>
      <c r="B1099" s="86">
        <v>15</v>
      </c>
      <c r="C1099" s="86">
        <v>10</v>
      </c>
      <c r="D1099" s="86">
        <v>22</v>
      </c>
      <c r="E1099" s="86">
        <v>5</v>
      </c>
      <c r="F1099" s="85">
        <v>0</v>
      </c>
      <c r="G1099" s="13">
        <v>44978</v>
      </c>
    </row>
    <row r="1100" spans="1:7" ht="14.5">
      <c r="A1100" s="85" t="s">
        <v>14233</v>
      </c>
      <c r="B1100" s="86">
        <v>59</v>
      </c>
      <c r="C1100" s="86">
        <v>46</v>
      </c>
      <c r="D1100" s="86">
        <v>7</v>
      </c>
      <c r="E1100" s="85">
        <v>0</v>
      </c>
      <c r="F1100" s="85">
        <v>0</v>
      </c>
      <c r="G1100" s="13">
        <v>44978</v>
      </c>
    </row>
    <row r="1101" spans="1:7" ht="14.5">
      <c r="A1101" s="85" t="s">
        <v>14234</v>
      </c>
      <c r="B1101" s="86">
        <v>13</v>
      </c>
      <c r="C1101" s="86">
        <v>45</v>
      </c>
      <c r="D1101" s="86">
        <v>88</v>
      </c>
      <c r="E1101" s="86">
        <v>335</v>
      </c>
      <c r="F1101" s="85">
        <v>0</v>
      </c>
      <c r="G1101" s="13">
        <v>44978</v>
      </c>
    </row>
    <row r="1102" spans="1:7" ht="14.5">
      <c r="A1102" s="85" t="s">
        <v>14235</v>
      </c>
      <c r="B1102" s="86">
        <v>30</v>
      </c>
      <c r="C1102" s="86">
        <v>16</v>
      </c>
      <c r="D1102" s="86">
        <v>83</v>
      </c>
      <c r="E1102" s="86">
        <v>5</v>
      </c>
      <c r="F1102" s="86">
        <v>5</v>
      </c>
      <c r="G1102" s="13">
        <v>44978</v>
      </c>
    </row>
    <row r="1103" spans="1:7" ht="14.5">
      <c r="A1103" s="85" t="s">
        <v>14236</v>
      </c>
      <c r="B1103" s="86">
        <v>31</v>
      </c>
      <c r="C1103" s="86">
        <v>18</v>
      </c>
      <c r="D1103" s="86">
        <v>5</v>
      </c>
      <c r="E1103" s="85">
        <v>0</v>
      </c>
      <c r="F1103" s="85">
        <v>0</v>
      </c>
      <c r="G1103" s="13">
        <v>44978</v>
      </c>
    </row>
    <row r="1104" spans="1:7" ht="14.5">
      <c r="A1104" s="85" t="s">
        <v>14237</v>
      </c>
      <c r="B1104" s="86">
        <v>8</v>
      </c>
      <c r="C1104" s="86">
        <v>1</v>
      </c>
      <c r="D1104" s="86">
        <v>1</v>
      </c>
      <c r="E1104" s="85">
        <v>0</v>
      </c>
      <c r="F1104" s="85">
        <v>0</v>
      </c>
      <c r="G1104" s="13">
        <v>44978</v>
      </c>
    </row>
    <row r="1105" spans="1:7" ht="14.5">
      <c r="A1105" s="85" t="s">
        <v>14238</v>
      </c>
      <c r="B1105" s="86">
        <v>9</v>
      </c>
      <c r="C1105" s="86">
        <v>2</v>
      </c>
      <c r="D1105" s="86">
        <v>7</v>
      </c>
      <c r="E1105" s="85">
        <v>0</v>
      </c>
      <c r="F1105" s="85">
        <v>0</v>
      </c>
      <c r="G1105" s="13">
        <v>44978</v>
      </c>
    </row>
    <row r="1106" spans="1:7" ht="14.5">
      <c r="A1106" s="85" t="s">
        <v>14239</v>
      </c>
      <c r="B1106" s="86">
        <v>18</v>
      </c>
      <c r="C1106" s="86">
        <v>9</v>
      </c>
      <c r="D1106" s="85">
        <v>0</v>
      </c>
      <c r="E1106" s="85">
        <v>0</v>
      </c>
      <c r="F1106" s="85">
        <v>0</v>
      </c>
      <c r="G1106" s="13">
        <v>44978</v>
      </c>
    </row>
    <row r="1107" spans="1:7" ht="14.5">
      <c r="A1107" s="85" t="s">
        <v>14240</v>
      </c>
      <c r="B1107" s="86">
        <v>44</v>
      </c>
      <c r="C1107" s="86">
        <v>22</v>
      </c>
      <c r="D1107" s="86">
        <v>14</v>
      </c>
      <c r="E1107" s="85">
        <v>0</v>
      </c>
      <c r="F1107" s="85">
        <v>0</v>
      </c>
      <c r="G1107" s="13">
        <v>44978</v>
      </c>
    </row>
    <row r="1108" spans="1:7" ht="14.5">
      <c r="A1108" s="85" t="s">
        <v>14241</v>
      </c>
      <c r="B1108" s="86">
        <v>102</v>
      </c>
      <c r="C1108" s="86">
        <v>9</v>
      </c>
      <c r="D1108" s="86">
        <v>5</v>
      </c>
      <c r="E1108" s="85">
        <v>0</v>
      </c>
      <c r="F1108" s="86">
        <v>6</v>
      </c>
      <c r="G1108" s="13">
        <v>44978</v>
      </c>
    </row>
    <row r="1109" spans="1:7" ht="14.5">
      <c r="A1109" s="85" t="s">
        <v>14242</v>
      </c>
      <c r="B1109" s="86">
        <v>6</v>
      </c>
      <c r="C1109" s="86">
        <v>82</v>
      </c>
      <c r="D1109" s="86">
        <v>1</v>
      </c>
      <c r="E1109" s="85">
        <v>0</v>
      </c>
      <c r="F1109" s="85">
        <v>0</v>
      </c>
      <c r="G1109" s="13">
        <v>44978</v>
      </c>
    </row>
    <row r="1110" spans="1:7" ht="14.5">
      <c r="A1110" s="85" t="s">
        <v>14243</v>
      </c>
      <c r="B1110" s="86">
        <v>14</v>
      </c>
      <c r="C1110" s="86">
        <v>3</v>
      </c>
      <c r="D1110" s="86">
        <v>21</v>
      </c>
      <c r="E1110" s="85">
        <v>0</v>
      </c>
      <c r="F1110" s="85">
        <v>0</v>
      </c>
      <c r="G1110" s="13">
        <v>44978</v>
      </c>
    </row>
    <row r="1111" spans="1:7" ht="14.5">
      <c r="A1111" s="85" t="s">
        <v>14244</v>
      </c>
      <c r="B1111" s="86">
        <v>30</v>
      </c>
      <c r="C1111" s="86">
        <v>5</v>
      </c>
      <c r="D1111" s="86">
        <v>15</v>
      </c>
      <c r="E1111" s="85">
        <v>0</v>
      </c>
      <c r="F1111" s="85">
        <v>0</v>
      </c>
      <c r="G1111" s="13">
        <v>44978</v>
      </c>
    </row>
    <row r="1112" spans="1:7" ht="14.5">
      <c r="A1112" s="85" t="s">
        <v>14245</v>
      </c>
      <c r="B1112" s="86">
        <v>26</v>
      </c>
      <c r="C1112" s="86">
        <v>3</v>
      </c>
      <c r="D1112" s="86">
        <v>19</v>
      </c>
      <c r="E1112" s="85">
        <v>0</v>
      </c>
      <c r="F1112" s="85">
        <v>0</v>
      </c>
      <c r="G1112" s="13">
        <v>44978</v>
      </c>
    </row>
    <row r="1113" spans="1:7" ht="14.5">
      <c r="A1113" s="85" t="s">
        <v>14246</v>
      </c>
      <c r="B1113" s="86">
        <v>22</v>
      </c>
      <c r="C1113" s="86">
        <v>6</v>
      </c>
      <c r="D1113" s="86">
        <v>114</v>
      </c>
      <c r="E1113" s="85">
        <v>0</v>
      </c>
      <c r="F1113" s="86">
        <v>2</v>
      </c>
      <c r="G1113" s="13">
        <v>44978</v>
      </c>
    </row>
    <row r="1114" spans="1:7" ht="14.5">
      <c r="A1114" s="85" t="s">
        <v>14247</v>
      </c>
      <c r="B1114" s="86">
        <v>7</v>
      </c>
      <c r="C1114" s="86">
        <v>3</v>
      </c>
      <c r="D1114" s="86">
        <v>9</v>
      </c>
      <c r="E1114" s="85">
        <v>0</v>
      </c>
      <c r="F1114" s="86">
        <v>1</v>
      </c>
      <c r="G1114" s="13">
        <v>44978</v>
      </c>
    </row>
    <row r="1115" spans="1:7" ht="14.5">
      <c r="A1115" s="85" t="s">
        <v>14248</v>
      </c>
      <c r="B1115" s="86">
        <v>4</v>
      </c>
      <c r="C1115" s="85">
        <v>0</v>
      </c>
      <c r="D1115" s="86">
        <v>14</v>
      </c>
      <c r="E1115" s="85">
        <v>0</v>
      </c>
      <c r="F1115" s="85">
        <v>0</v>
      </c>
      <c r="G1115" s="13">
        <v>44978</v>
      </c>
    </row>
    <row r="1116" spans="1:7" ht="14.5">
      <c r="A1116" s="85" t="s">
        <v>14249</v>
      </c>
      <c r="B1116" s="86">
        <v>9</v>
      </c>
      <c r="C1116" s="86">
        <v>2</v>
      </c>
      <c r="D1116" s="86">
        <v>6</v>
      </c>
      <c r="E1116" s="85">
        <v>0</v>
      </c>
      <c r="F1116" s="85">
        <v>0</v>
      </c>
      <c r="G1116" s="13">
        <v>44978</v>
      </c>
    </row>
    <row r="1117" spans="1:7" ht="14.5">
      <c r="A1117" s="85" t="s">
        <v>14250</v>
      </c>
      <c r="B1117" s="86">
        <v>7</v>
      </c>
      <c r="C1117" s="86">
        <v>3</v>
      </c>
      <c r="D1117" s="86">
        <v>105</v>
      </c>
      <c r="E1117" s="85">
        <v>0</v>
      </c>
      <c r="F1117" s="85">
        <v>0</v>
      </c>
      <c r="G1117" s="13">
        <v>44978</v>
      </c>
    </row>
    <row r="1118" spans="1:7" ht="14.5">
      <c r="A1118" s="85" t="s">
        <v>14251</v>
      </c>
      <c r="B1118" s="86">
        <v>43</v>
      </c>
      <c r="C1118" s="86">
        <v>17</v>
      </c>
      <c r="D1118" s="86">
        <v>24</v>
      </c>
      <c r="E1118" s="85">
        <v>0</v>
      </c>
      <c r="F1118" s="85">
        <v>0</v>
      </c>
      <c r="G1118" s="13">
        <v>44978</v>
      </c>
    </row>
    <row r="1119" spans="1:7" ht="14.5">
      <c r="A1119" s="85" t="s">
        <v>13796</v>
      </c>
      <c r="B1119" s="85">
        <v>0</v>
      </c>
      <c r="C1119" s="85">
        <v>0</v>
      </c>
      <c r="D1119" s="85">
        <v>0</v>
      </c>
      <c r="E1119" s="85">
        <v>0</v>
      </c>
      <c r="F1119" s="85">
        <v>0</v>
      </c>
      <c r="G1119" s="13">
        <v>44978</v>
      </c>
    </row>
    <row r="1120" spans="1:7" ht="14.5">
      <c r="A1120" s="85" t="s">
        <v>14252</v>
      </c>
      <c r="B1120" s="86">
        <v>11</v>
      </c>
      <c r="C1120" s="86">
        <v>36</v>
      </c>
      <c r="D1120" s="86">
        <v>4</v>
      </c>
      <c r="E1120" s="85">
        <v>0</v>
      </c>
      <c r="F1120" s="86">
        <v>1</v>
      </c>
      <c r="G1120" s="13">
        <v>44978</v>
      </c>
    </row>
    <row r="1121" spans="1:7" ht="14.5">
      <c r="A1121" s="85" t="s">
        <v>14253</v>
      </c>
      <c r="B1121" s="86">
        <v>50</v>
      </c>
      <c r="C1121" s="86">
        <v>15</v>
      </c>
      <c r="D1121" s="86">
        <v>15</v>
      </c>
      <c r="E1121" s="85">
        <v>0</v>
      </c>
      <c r="F1121" s="85">
        <v>0</v>
      </c>
      <c r="G1121" s="13">
        <v>44978</v>
      </c>
    </row>
    <row r="1122" spans="1:7" ht="14.5">
      <c r="A1122" s="85" t="s">
        <v>2266</v>
      </c>
      <c r="B1122" s="86">
        <v>36</v>
      </c>
      <c r="C1122" s="86">
        <v>8</v>
      </c>
      <c r="D1122" s="86">
        <v>5</v>
      </c>
      <c r="E1122" s="85">
        <v>0</v>
      </c>
      <c r="F1122" s="85">
        <v>0</v>
      </c>
      <c r="G1122" s="13">
        <v>44978</v>
      </c>
    </row>
    <row r="1123" spans="1:7" ht="14.5">
      <c r="A1123" s="85" t="s">
        <v>14254</v>
      </c>
      <c r="B1123" s="86">
        <v>55</v>
      </c>
      <c r="C1123" s="86">
        <v>11</v>
      </c>
      <c r="D1123" s="86">
        <v>3</v>
      </c>
      <c r="E1123" s="85">
        <v>0</v>
      </c>
      <c r="F1123" s="85">
        <v>0</v>
      </c>
      <c r="G1123" s="13">
        <v>44978</v>
      </c>
    </row>
    <row r="1124" spans="1:7" ht="14.5">
      <c r="A1124" s="85" t="s">
        <v>2274</v>
      </c>
      <c r="B1124" s="86">
        <v>15</v>
      </c>
      <c r="C1124" s="86">
        <v>4</v>
      </c>
      <c r="D1124" s="86">
        <v>4</v>
      </c>
      <c r="E1124" s="85">
        <v>0</v>
      </c>
      <c r="F1124" s="85">
        <v>0</v>
      </c>
      <c r="G1124" s="13">
        <v>44978</v>
      </c>
    </row>
    <row r="1125" spans="1:7" ht="14.5">
      <c r="A1125" s="85" t="s">
        <v>2279</v>
      </c>
      <c r="B1125" s="86">
        <v>14</v>
      </c>
      <c r="C1125" s="86">
        <v>5</v>
      </c>
      <c r="D1125" s="86">
        <v>5</v>
      </c>
      <c r="E1125" s="85">
        <v>0</v>
      </c>
      <c r="F1125" s="85">
        <v>0</v>
      </c>
      <c r="G1125" s="13">
        <v>44978</v>
      </c>
    </row>
    <row r="1126" spans="1:7" ht="14.5">
      <c r="A1126" s="85" t="s">
        <v>2282</v>
      </c>
      <c r="B1126" s="86">
        <v>5</v>
      </c>
      <c r="C1126" s="86">
        <v>2</v>
      </c>
      <c r="D1126" s="86">
        <v>15</v>
      </c>
      <c r="E1126" s="85">
        <v>0</v>
      </c>
      <c r="F1126" s="85">
        <v>0</v>
      </c>
      <c r="G1126" s="13">
        <v>44978</v>
      </c>
    </row>
    <row r="1127" spans="1:7" ht="14.5">
      <c r="A1127" s="85" t="s">
        <v>2284</v>
      </c>
      <c r="B1127" s="86">
        <v>15</v>
      </c>
      <c r="C1127" s="86">
        <v>7</v>
      </c>
      <c r="D1127" s="85">
        <v>0</v>
      </c>
      <c r="E1127" s="85">
        <v>0</v>
      </c>
      <c r="F1127" s="85">
        <v>0</v>
      </c>
      <c r="G1127" s="13">
        <v>44978</v>
      </c>
    </row>
    <row r="1128" spans="1:7" ht="14.5">
      <c r="A1128" s="85" t="s">
        <v>2291</v>
      </c>
      <c r="B1128" s="86">
        <v>4</v>
      </c>
      <c r="C1128" s="86">
        <v>1</v>
      </c>
      <c r="D1128" s="86">
        <v>5</v>
      </c>
      <c r="E1128" s="85">
        <v>0</v>
      </c>
      <c r="F1128" s="85">
        <v>0</v>
      </c>
      <c r="G1128" s="13">
        <v>44978</v>
      </c>
    </row>
    <row r="1129" spans="1:7" ht="14.5">
      <c r="A1129" s="85" t="s">
        <v>2296</v>
      </c>
      <c r="B1129" s="86">
        <v>16</v>
      </c>
      <c r="C1129" s="86">
        <v>13</v>
      </c>
      <c r="D1129" s="86">
        <v>18</v>
      </c>
      <c r="E1129" s="85">
        <v>0</v>
      </c>
      <c r="F1129" s="85">
        <v>0</v>
      </c>
      <c r="G1129" s="13">
        <v>44978</v>
      </c>
    </row>
    <row r="1130" spans="1:7" ht="14.5">
      <c r="A1130" s="85" t="s">
        <v>2298</v>
      </c>
      <c r="B1130" s="86">
        <v>15</v>
      </c>
      <c r="C1130" s="86">
        <v>10</v>
      </c>
      <c r="D1130" s="86">
        <v>21</v>
      </c>
      <c r="E1130" s="85">
        <v>0</v>
      </c>
      <c r="F1130" s="85">
        <v>0</v>
      </c>
      <c r="G1130" s="13">
        <v>44978</v>
      </c>
    </row>
    <row r="1131" spans="1:7" ht="14.5">
      <c r="A1131" s="85" t="s">
        <v>2303</v>
      </c>
      <c r="B1131" s="86">
        <v>17</v>
      </c>
      <c r="C1131" s="86">
        <v>7</v>
      </c>
      <c r="D1131" s="85">
        <v>0</v>
      </c>
      <c r="E1131" s="85">
        <v>0</v>
      </c>
      <c r="F1131" s="85">
        <v>0</v>
      </c>
      <c r="G1131" s="13">
        <v>44978</v>
      </c>
    </row>
    <row r="1132" spans="1:7" ht="14.5">
      <c r="A1132" s="85" t="s">
        <v>2306</v>
      </c>
      <c r="B1132" s="86">
        <v>11</v>
      </c>
      <c r="C1132" s="86">
        <v>8</v>
      </c>
      <c r="D1132" s="86">
        <v>2</v>
      </c>
      <c r="E1132" s="85">
        <v>0</v>
      </c>
      <c r="F1132" s="85">
        <v>0</v>
      </c>
      <c r="G1132" s="13">
        <v>44978</v>
      </c>
    </row>
    <row r="1133" spans="1:7" ht="14.5">
      <c r="A1133" s="85" t="s">
        <v>2312</v>
      </c>
      <c r="B1133" s="86">
        <v>184</v>
      </c>
      <c r="C1133" s="86">
        <v>52</v>
      </c>
      <c r="D1133" s="85">
        <v>0</v>
      </c>
      <c r="E1133" s="85">
        <v>0</v>
      </c>
      <c r="F1133" s="85">
        <v>0</v>
      </c>
      <c r="G1133" s="13">
        <v>44978</v>
      </c>
    </row>
    <row r="1134" spans="1:7" ht="14.5">
      <c r="A1134" s="85" t="s">
        <v>2317</v>
      </c>
      <c r="B1134" s="86">
        <v>165</v>
      </c>
      <c r="C1134" s="86">
        <v>62</v>
      </c>
      <c r="D1134" s="86">
        <v>6</v>
      </c>
      <c r="E1134" s="85">
        <v>0</v>
      </c>
      <c r="F1134" s="85">
        <v>0</v>
      </c>
      <c r="G1134" s="13">
        <v>44978</v>
      </c>
    </row>
    <row r="1135" spans="1:7" ht="14.5">
      <c r="A1135" s="85" t="s">
        <v>2323</v>
      </c>
      <c r="B1135" s="86">
        <v>16</v>
      </c>
      <c r="C1135" s="86">
        <v>10</v>
      </c>
      <c r="D1135" s="86">
        <v>15</v>
      </c>
      <c r="E1135" s="85">
        <v>0</v>
      </c>
      <c r="F1135" s="85">
        <v>0</v>
      </c>
      <c r="G1135" s="13">
        <v>44978</v>
      </c>
    </row>
    <row r="1136" spans="1:7" ht="14.5">
      <c r="A1136" s="85" t="s">
        <v>2326</v>
      </c>
      <c r="B1136" s="86">
        <v>9</v>
      </c>
      <c r="C1136" s="86">
        <v>6</v>
      </c>
      <c r="D1136" s="86">
        <v>6</v>
      </c>
      <c r="E1136" s="85">
        <v>0</v>
      </c>
      <c r="F1136" s="85">
        <v>0</v>
      </c>
      <c r="G1136" s="13">
        <v>44978</v>
      </c>
    </row>
    <row r="1137" spans="1:7" ht="14.5">
      <c r="A1137" s="85" t="s">
        <v>2329</v>
      </c>
      <c r="B1137" s="86">
        <v>35</v>
      </c>
      <c r="C1137" s="86">
        <v>14</v>
      </c>
      <c r="D1137" s="85">
        <v>0</v>
      </c>
      <c r="E1137" s="85">
        <v>0</v>
      </c>
      <c r="F1137" s="86">
        <v>3</v>
      </c>
      <c r="G1137" s="13">
        <v>44978</v>
      </c>
    </row>
    <row r="1138" spans="1:7" ht="14.5">
      <c r="A1138" s="85" t="s">
        <v>2334</v>
      </c>
      <c r="B1138" s="86">
        <v>28</v>
      </c>
      <c r="C1138" s="86">
        <v>25</v>
      </c>
      <c r="D1138" s="86">
        <v>15</v>
      </c>
      <c r="E1138" s="85">
        <v>0</v>
      </c>
      <c r="F1138" s="86">
        <v>1</v>
      </c>
      <c r="G1138" s="13">
        <v>44978</v>
      </c>
    </row>
    <row r="1139" spans="1:7" ht="14.5">
      <c r="A1139" s="85" t="s">
        <v>2337</v>
      </c>
      <c r="B1139" s="86">
        <v>9</v>
      </c>
      <c r="C1139" s="86">
        <v>4</v>
      </c>
      <c r="D1139" s="86">
        <v>23</v>
      </c>
      <c r="E1139" s="85">
        <v>0</v>
      </c>
      <c r="F1139" s="85">
        <v>0</v>
      </c>
      <c r="G1139" s="13">
        <v>44978</v>
      </c>
    </row>
    <row r="1140" spans="1:7" ht="14.5">
      <c r="A1140" s="85" t="s">
        <v>2340</v>
      </c>
      <c r="B1140" s="86">
        <v>15</v>
      </c>
      <c r="C1140" s="86">
        <v>9</v>
      </c>
      <c r="D1140" s="86">
        <v>1</v>
      </c>
      <c r="E1140" s="85">
        <v>0</v>
      </c>
      <c r="F1140" s="85">
        <v>0</v>
      </c>
      <c r="G1140" s="13">
        <v>44978</v>
      </c>
    </row>
    <row r="1141" spans="1:7" ht="14.5">
      <c r="A1141" s="85" t="s">
        <v>2344</v>
      </c>
      <c r="B1141" s="86">
        <v>8</v>
      </c>
      <c r="C1141" s="86">
        <v>6</v>
      </c>
      <c r="D1141" s="86">
        <v>6</v>
      </c>
      <c r="E1141" s="85">
        <v>0</v>
      </c>
      <c r="F1141" s="85">
        <v>0</v>
      </c>
      <c r="G1141" s="13">
        <v>44978</v>
      </c>
    </row>
    <row r="1142" spans="1:7" ht="14.5">
      <c r="A1142" s="85" t="s">
        <v>2349</v>
      </c>
      <c r="B1142" s="86">
        <v>18</v>
      </c>
      <c r="C1142" s="86">
        <v>7</v>
      </c>
      <c r="D1142" s="85">
        <v>0</v>
      </c>
      <c r="E1142" s="85">
        <v>0</v>
      </c>
      <c r="F1142" s="85">
        <v>0</v>
      </c>
      <c r="G1142" s="13">
        <v>44978</v>
      </c>
    </row>
    <row r="1143" spans="1:7" ht="14.5">
      <c r="A1143" s="85" t="s">
        <v>2353</v>
      </c>
      <c r="B1143" s="86">
        <v>9</v>
      </c>
      <c r="C1143" s="86">
        <v>4</v>
      </c>
      <c r="D1143" s="86">
        <v>10</v>
      </c>
      <c r="E1143" s="85">
        <v>0</v>
      </c>
      <c r="F1143" s="85">
        <v>0</v>
      </c>
      <c r="G1143" s="13">
        <v>44978</v>
      </c>
    </row>
    <row r="1144" spans="1:7" ht="14.5">
      <c r="A1144" s="85" t="s">
        <v>2355</v>
      </c>
      <c r="B1144" s="86">
        <v>16</v>
      </c>
      <c r="C1144" s="86">
        <v>6</v>
      </c>
      <c r="D1144" s="86">
        <v>8</v>
      </c>
      <c r="E1144" s="85">
        <v>0</v>
      </c>
      <c r="F1144" s="85">
        <v>0</v>
      </c>
      <c r="G1144" s="13">
        <v>44978</v>
      </c>
    </row>
    <row r="1145" spans="1:7" ht="14.5">
      <c r="A1145" s="85" t="s">
        <v>2360</v>
      </c>
      <c r="B1145" s="86">
        <v>43</v>
      </c>
      <c r="C1145" s="86">
        <v>16</v>
      </c>
      <c r="D1145" s="86">
        <v>24</v>
      </c>
      <c r="E1145" s="85">
        <v>0</v>
      </c>
      <c r="F1145" s="86">
        <v>1</v>
      </c>
      <c r="G1145" s="13">
        <v>44978</v>
      </c>
    </row>
    <row r="1146" spans="1:7" ht="14.5">
      <c r="A1146" s="85" t="s">
        <v>2365</v>
      </c>
      <c r="B1146" s="86">
        <v>9</v>
      </c>
      <c r="C1146" s="86">
        <v>6</v>
      </c>
      <c r="D1146" s="86">
        <v>1</v>
      </c>
      <c r="E1146" s="85">
        <v>0</v>
      </c>
      <c r="F1146" s="85">
        <v>0</v>
      </c>
      <c r="G1146" s="13">
        <v>44978</v>
      </c>
    </row>
    <row r="1147" spans="1:7" ht="14.5">
      <c r="A1147" s="85" t="s">
        <v>2370</v>
      </c>
      <c r="B1147" s="86">
        <v>59</v>
      </c>
      <c r="C1147" s="86">
        <v>32</v>
      </c>
      <c r="D1147" s="85">
        <v>0</v>
      </c>
      <c r="E1147" s="85">
        <v>0</v>
      </c>
      <c r="F1147" s="85">
        <v>0</v>
      </c>
      <c r="G1147" s="13">
        <v>44978</v>
      </c>
    </row>
    <row r="1148" spans="1:7" ht="14.5">
      <c r="A1148" s="85" t="s">
        <v>2373</v>
      </c>
      <c r="B1148" s="86">
        <v>10</v>
      </c>
      <c r="C1148" s="86">
        <v>17</v>
      </c>
      <c r="D1148" s="85">
        <v>0</v>
      </c>
      <c r="E1148" s="85">
        <v>0</v>
      </c>
      <c r="F1148" s="85">
        <v>0</v>
      </c>
      <c r="G1148" s="13">
        <v>44978</v>
      </c>
    </row>
    <row r="1149" spans="1:7" ht="14.5">
      <c r="A1149" s="85" t="s">
        <v>2376</v>
      </c>
      <c r="B1149" s="86">
        <v>14</v>
      </c>
      <c r="C1149" s="86">
        <v>2</v>
      </c>
      <c r="D1149" s="86">
        <v>33</v>
      </c>
      <c r="E1149" s="85">
        <v>0</v>
      </c>
      <c r="F1149" s="85">
        <v>0</v>
      </c>
      <c r="G1149" s="13">
        <v>44978</v>
      </c>
    </row>
    <row r="1150" spans="1:7" ht="14.5">
      <c r="A1150" s="85" t="s">
        <v>2381</v>
      </c>
      <c r="B1150" s="86">
        <v>4</v>
      </c>
      <c r="C1150" s="86">
        <v>3</v>
      </c>
      <c r="D1150" s="86">
        <v>4</v>
      </c>
      <c r="E1150" s="85">
        <v>0</v>
      </c>
      <c r="F1150" s="85">
        <v>0</v>
      </c>
      <c r="G1150" s="13">
        <v>44978</v>
      </c>
    </row>
    <row r="1151" spans="1:7" ht="14.5">
      <c r="A1151" s="85" t="s">
        <v>2384</v>
      </c>
      <c r="B1151" s="86">
        <v>2</v>
      </c>
      <c r="C1151" s="86">
        <v>2</v>
      </c>
      <c r="D1151" s="86">
        <v>4</v>
      </c>
      <c r="E1151" s="85">
        <v>0</v>
      </c>
      <c r="F1151" s="85">
        <v>0</v>
      </c>
      <c r="G1151" s="13">
        <v>44978</v>
      </c>
    </row>
    <row r="1152" spans="1:7" ht="14.5">
      <c r="A1152" s="85" t="s">
        <v>2387</v>
      </c>
      <c r="B1152" s="86">
        <v>17</v>
      </c>
      <c r="C1152" s="86">
        <v>3</v>
      </c>
      <c r="D1152" s="86">
        <v>8</v>
      </c>
      <c r="E1152" s="85">
        <v>0</v>
      </c>
      <c r="F1152" s="85">
        <v>0</v>
      </c>
      <c r="G1152" s="13">
        <v>44978</v>
      </c>
    </row>
    <row r="1153" spans="1:7" ht="14.5">
      <c r="A1153" s="85" t="s">
        <v>2392</v>
      </c>
      <c r="B1153" s="86">
        <v>24</v>
      </c>
      <c r="C1153" s="86">
        <v>6</v>
      </c>
      <c r="D1153" s="86">
        <v>6</v>
      </c>
      <c r="E1153" s="85">
        <v>0</v>
      </c>
      <c r="F1153" s="85">
        <v>0</v>
      </c>
      <c r="G1153" s="13">
        <v>44978</v>
      </c>
    </row>
    <row r="1154" spans="1:7" ht="14.5">
      <c r="A1154" s="85" t="s">
        <v>2397</v>
      </c>
      <c r="B1154" s="86">
        <v>25</v>
      </c>
      <c r="C1154" s="86">
        <v>4</v>
      </c>
      <c r="D1154" s="86">
        <v>1</v>
      </c>
      <c r="E1154" s="85">
        <v>0</v>
      </c>
      <c r="F1154" s="85">
        <v>0</v>
      </c>
      <c r="G1154" s="13">
        <v>44978</v>
      </c>
    </row>
    <row r="1155" spans="1:7" ht="14.5">
      <c r="A1155" s="85" t="s">
        <v>2403</v>
      </c>
      <c r="B1155" s="86">
        <v>88</v>
      </c>
      <c r="C1155" s="86">
        <v>156</v>
      </c>
      <c r="D1155" s="86">
        <v>1</v>
      </c>
      <c r="E1155" s="85">
        <v>0</v>
      </c>
      <c r="F1155" s="85">
        <v>0</v>
      </c>
      <c r="G1155" s="13">
        <v>44978</v>
      </c>
    </row>
    <row r="1156" spans="1:7" ht="14.5">
      <c r="A1156" s="85" t="s">
        <v>2406</v>
      </c>
      <c r="B1156" s="86">
        <v>7</v>
      </c>
      <c r="C1156" s="86">
        <v>5</v>
      </c>
      <c r="D1156" s="85">
        <v>0</v>
      </c>
      <c r="E1156" s="85">
        <v>0</v>
      </c>
      <c r="F1156" s="85">
        <v>0</v>
      </c>
      <c r="G1156" s="13">
        <v>44978</v>
      </c>
    </row>
    <row r="1157" spans="1:7" ht="14.5">
      <c r="A1157" s="85" t="s">
        <v>2408</v>
      </c>
      <c r="B1157" s="86">
        <v>11</v>
      </c>
      <c r="C1157" s="86">
        <v>8</v>
      </c>
      <c r="D1157" s="85">
        <v>0</v>
      </c>
      <c r="E1157" s="85">
        <v>0</v>
      </c>
      <c r="F1157" s="85">
        <v>0</v>
      </c>
      <c r="G1157" s="13">
        <v>44978</v>
      </c>
    </row>
    <row r="1158" spans="1:7" ht="14.5">
      <c r="A1158" s="85" t="s">
        <v>14255</v>
      </c>
      <c r="B1158" s="86">
        <v>59</v>
      </c>
      <c r="C1158" s="86">
        <v>93</v>
      </c>
      <c r="D1158" s="86">
        <v>1</v>
      </c>
      <c r="E1158" s="86">
        <v>1</v>
      </c>
      <c r="F1158" s="85">
        <v>0</v>
      </c>
      <c r="G1158" s="13">
        <v>44978</v>
      </c>
    </row>
    <row r="1159" spans="1:7" ht="14.5">
      <c r="A1159" s="85" t="s">
        <v>14256</v>
      </c>
      <c r="B1159" s="86">
        <v>39</v>
      </c>
      <c r="C1159" s="86">
        <v>18</v>
      </c>
      <c r="D1159" s="86">
        <v>2</v>
      </c>
      <c r="E1159" s="86">
        <v>1</v>
      </c>
      <c r="F1159" s="86">
        <v>1</v>
      </c>
      <c r="G1159" s="13">
        <v>44978</v>
      </c>
    </row>
    <row r="1160" spans="1:7" ht="14.5">
      <c r="A1160" s="85" t="s">
        <v>14257</v>
      </c>
      <c r="B1160" s="86">
        <v>9</v>
      </c>
      <c r="C1160" s="86">
        <v>10</v>
      </c>
      <c r="D1160" s="85">
        <v>0</v>
      </c>
      <c r="E1160" s="86">
        <v>2</v>
      </c>
      <c r="F1160" s="85">
        <v>0</v>
      </c>
      <c r="G1160" s="13">
        <v>44978</v>
      </c>
    </row>
    <row r="1161" spans="1:7" ht="14.5">
      <c r="A1161" s="85" t="s">
        <v>14258</v>
      </c>
      <c r="B1161" s="86">
        <v>47</v>
      </c>
      <c r="C1161" s="86">
        <v>29</v>
      </c>
      <c r="D1161" s="85">
        <v>0</v>
      </c>
      <c r="E1161" s="86">
        <v>2</v>
      </c>
      <c r="F1161" s="85">
        <v>0</v>
      </c>
      <c r="G1161" s="13">
        <v>44978</v>
      </c>
    </row>
    <row r="1162" spans="1:7" ht="14.5">
      <c r="A1162" s="85" t="s">
        <v>14259</v>
      </c>
      <c r="B1162" s="86">
        <v>25</v>
      </c>
      <c r="C1162" s="86">
        <v>20</v>
      </c>
      <c r="D1162" s="85">
        <v>0</v>
      </c>
      <c r="E1162" s="86">
        <v>19</v>
      </c>
      <c r="F1162" s="85">
        <v>0</v>
      </c>
      <c r="G1162" s="13">
        <v>44978</v>
      </c>
    </row>
    <row r="1163" spans="1:7" ht="14.5">
      <c r="A1163" s="85" t="s">
        <v>14260</v>
      </c>
      <c r="B1163" s="86">
        <v>12</v>
      </c>
      <c r="C1163" s="86">
        <v>18</v>
      </c>
      <c r="D1163" s="85">
        <v>0</v>
      </c>
      <c r="E1163" s="86">
        <v>2</v>
      </c>
      <c r="F1163" s="85">
        <v>0</v>
      </c>
      <c r="G1163" s="13">
        <v>44978</v>
      </c>
    </row>
    <row r="1164" spans="1:7" ht="14.5">
      <c r="A1164" s="85" t="s">
        <v>14261</v>
      </c>
      <c r="B1164" s="86">
        <v>88</v>
      </c>
      <c r="C1164" s="86">
        <v>33</v>
      </c>
      <c r="D1164" s="86">
        <v>5</v>
      </c>
      <c r="E1164" s="86">
        <v>1</v>
      </c>
      <c r="F1164" s="86">
        <v>7</v>
      </c>
      <c r="G1164" s="13">
        <v>44978</v>
      </c>
    </row>
    <row r="1165" spans="1:7" ht="14.5">
      <c r="A1165" s="85" t="s">
        <v>14262</v>
      </c>
      <c r="B1165" s="86">
        <v>25</v>
      </c>
      <c r="C1165" s="86">
        <v>23</v>
      </c>
      <c r="D1165" s="85">
        <v>0</v>
      </c>
      <c r="E1165" s="86">
        <v>5</v>
      </c>
      <c r="F1165" s="85">
        <v>0</v>
      </c>
      <c r="G1165" s="13">
        <v>44978</v>
      </c>
    </row>
    <row r="1166" spans="1:7" ht="14.5">
      <c r="A1166" s="85" t="s">
        <v>14263</v>
      </c>
      <c r="B1166" s="86">
        <v>47</v>
      </c>
      <c r="C1166" s="86">
        <v>21</v>
      </c>
      <c r="D1166" s="85">
        <v>0</v>
      </c>
      <c r="E1166" s="86">
        <v>6</v>
      </c>
      <c r="F1166" s="85">
        <v>0</v>
      </c>
      <c r="G1166" s="13">
        <v>44978</v>
      </c>
    </row>
    <row r="1167" spans="1:7" ht="14.5">
      <c r="A1167" s="85" t="s">
        <v>14264</v>
      </c>
      <c r="B1167" s="86">
        <v>33</v>
      </c>
      <c r="C1167" s="86">
        <v>29</v>
      </c>
      <c r="D1167" s="86">
        <v>1</v>
      </c>
      <c r="E1167" s="86">
        <v>2</v>
      </c>
      <c r="F1167" s="85">
        <v>0</v>
      </c>
      <c r="G1167" s="13">
        <v>44978</v>
      </c>
    </row>
    <row r="1168" spans="1:7" ht="14.5">
      <c r="A1168" s="85" t="s">
        <v>14265</v>
      </c>
      <c r="B1168" s="86">
        <v>24</v>
      </c>
      <c r="C1168" s="86">
        <v>11</v>
      </c>
      <c r="D1168" s="85">
        <v>0</v>
      </c>
      <c r="E1168" s="86">
        <v>4</v>
      </c>
      <c r="F1168" s="85">
        <v>0</v>
      </c>
      <c r="G1168" s="13">
        <v>44978</v>
      </c>
    </row>
    <row r="1169" spans="1:7" ht="14.5">
      <c r="A1169" s="85" t="s">
        <v>14266</v>
      </c>
      <c r="B1169" s="86">
        <v>49</v>
      </c>
      <c r="C1169" s="86">
        <v>25</v>
      </c>
      <c r="D1169" s="86">
        <v>22</v>
      </c>
      <c r="E1169" s="86">
        <v>32</v>
      </c>
      <c r="F1169" s="85">
        <v>0</v>
      </c>
      <c r="G1169" s="13">
        <v>44978</v>
      </c>
    </row>
    <row r="1170" spans="1:7" ht="14.5">
      <c r="A1170" s="85" t="s">
        <v>14267</v>
      </c>
      <c r="B1170" s="86">
        <v>29</v>
      </c>
      <c r="C1170" s="86">
        <v>75</v>
      </c>
      <c r="D1170" s="85">
        <v>0</v>
      </c>
      <c r="E1170" s="86">
        <v>2</v>
      </c>
      <c r="F1170" s="85">
        <v>0</v>
      </c>
      <c r="G1170" s="13">
        <v>44978</v>
      </c>
    </row>
    <row r="1171" spans="1:7" ht="14.5">
      <c r="A1171" s="85" t="s">
        <v>2412</v>
      </c>
      <c r="B1171" s="86">
        <v>14</v>
      </c>
      <c r="C1171" s="86">
        <v>3</v>
      </c>
      <c r="D1171" s="86">
        <v>5</v>
      </c>
      <c r="E1171" s="85">
        <v>0</v>
      </c>
      <c r="F1171" s="85">
        <v>0</v>
      </c>
      <c r="G1171" s="13">
        <v>44978</v>
      </c>
    </row>
    <row r="1172" spans="1:7" ht="14.5">
      <c r="A1172" s="85" t="s">
        <v>2416</v>
      </c>
      <c r="B1172" s="86">
        <v>2</v>
      </c>
      <c r="C1172" s="86">
        <v>2</v>
      </c>
      <c r="D1172" s="86">
        <v>1</v>
      </c>
      <c r="E1172" s="85">
        <v>0</v>
      </c>
      <c r="F1172" s="85">
        <v>0</v>
      </c>
      <c r="G1172" s="13">
        <v>44978</v>
      </c>
    </row>
    <row r="1173" spans="1:7" ht="14.5">
      <c r="A1173" s="85" t="s">
        <v>14268</v>
      </c>
      <c r="B1173" s="86">
        <v>36</v>
      </c>
      <c r="C1173" s="86">
        <v>8</v>
      </c>
      <c r="D1173" s="86">
        <v>2</v>
      </c>
      <c r="E1173" s="86">
        <v>2</v>
      </c>
      <c r="F1173" s="85">
        <v>0</v>
      </c>
      <c r="G1173" s="13">
        <v>44978</v>
      </c>
    </row>
    <row r="1174" spans="1:7" ht="14.5">
      <c r="A1174" s="85" t="s">
        <v>14269</v>
      </c>
      <c r="B1174" s="86">
        <v>26</v>
      </c>
      <c r="C1174" s="86">
        <v>34</v>
      </c>
      <c r="D1174" s="86">
        <v>2</v>
      </c>
      <c r="E1174" s="86">
        <v>1</v>
      </c>
      <c r="F1174" s="85">
        <v>0</v>
      </c>
      <c r="G1174" s="13">
        <v>44978</v>
      </c>
    </row>
    <row r="1175" spans="1:7" ht="14.5">
      <c r="A1175" s="85" t="s">
        <v>14270</v>
      </c>
      <c r="B1175" s="86">
        <v>13</v>
      </c>
      <c r="C1175" s="86">
        <v>8</v>
      </c>
      <c r="D1175" s="86">
        <v>3</v>
      </c>
      <c r="E1175" s="85">
        <v>0</v>
      </c>
      <c r="F1175" s="85">
        <v>0</v>
      </c>
      <c r="G1175" s="13">
        <v>44978</v>
      </c>
    </row>
    <row r="1176" spans="1:7" ht="14.5">
      <c r="A1176" s="85" t="s">
        <v>14271</v>
      </c>
      <c r="B1176" s="86">
        <v>10</v>
      </c>
      <c r="C1176" s="86">
        <v>9</v>
      </c>
      <c r="D1176" s="85">
        <v>0</v>
      </c>
      <c r="E1176" s="85">
        <v>0</v>
      </c>
      <c r="F1176" s="85">
        <v>0</v>
      </c>
      <c r="G1176" s="13">
        <v>44978</v>
      </c>
    </row>
    <row r="1177" spans="1:7" ht="14.5">
      <c r="A1177" s="85" t="s">
        <v>14272</v>
      </c>
      <c r="B1177" s="86">
        <v>38</v>
      </c>
      <c r="C1177" s="86">
        <v>21</v>
      </c>
      <c r="D1177" s="86">
        <v>207</v>
      </c>
      <c r="E1177" s="86">
        <v>3</v>
      </c>
      <c r="F1177" s="85">
        <v>0</v>
      </c>
      <c r="G1177" s="13">
        <v>44978</v>
      </c>
    </row>
    <row r="1178" spans="1:7" ht="14.5">
      <c r="A1178" s="85" t="s">
        <v>14273</v>
      </c>
      <c r="B1178" s="86">
        <v>3</v>
      </c>
      <c r="C1178" s="86">
        <v>2</v>
      </c>
      <c r="D1178" s="85">
        <v>0</v>
      </c>
      <c r="E1178" s="85">
        <v>0</v>
      </c>
      <c r="F1178" s="85">
        <v>0</v>
      </c>
      <c r="G1178" s="13">
        <v>44978</v>
      </c>
    </row>
    <row r="1179" spans="1:7" ht="14.5">
      <c r="A1179" s="85" t="s">
        <v>14274</v>
      </c>
      <c r="B1179" s="86">
        <v>65</v>
      </c>
      <c r="C1179" s="86">
        <v>36</v>
      </c>
      <c r="D1179" s="85">
        <v>0</v>
      </c>
      <c r="E1179" s="86">
        <v>3</v>
      </c>
      <c r="F1179" s="85">
        <v>0</v>
      </c>
      <c r="G1179" s="13">
        <v>44978</v>
      </c>
    </row>
    <row r="1180" spans="1:7" ht="14.5">
      <c r="A1180" s="85" t="s">
        <v>14275</v>
      </c>
      <c r="B1180" s="86">
        <v>17</v>
      </c>
      <c r="C1180" s="86">
        <v>10</v>
      </c>
      <c r="D1180" s="85">
        <v>0</v>
      </c>
      <c r="E1180" s="86">
        <v>17</v>
      </c>
      <c r="F1180" s="85">
        <v>0</v>
      </c>
      <c r="G1180" s="13">
        <v>44978</v>
      </c>
    </row>
    <row r="1181" spans="1:7" ht="14.5">
      <c r="A1181" s="85" t="s">
        <v>14276</v>
      </c>
      <c r="B1181" s="86">
        <v>18</v>
      </c>
      <c r="C1181" s="86">
        <v>20</v>
      </c>
      <c r="D1181" s="85">
        <v>0</v>
      </c>
      <c r="E1181" s="85">
        <v>0</v>
      </c>
      <c r="F1181" s="85">
        <v>0</v>
      </c>
      <c r="G1181" s="13">
        <v>44978</v>
      </c>
    </row>
    <row r="1182" spans="1:7" ht="14.5">
      <c r="A1182" s="85" t="s">
        <v>14277</v>
      </c>
      <c r="B1182" s="86">
        <v>45</v>
      </c>
      <c r="C1182" s="86">
        <v>44</v>
      </c>
      <c r="D1182" s="86">
        <v>2</v>
      </c>
      <c r="E1182" s="86">
        <v>9</v>
      </c>
      <c r="F1182" s="85">
        <v>0</v>
      </c>
      <c r="G1182" s="13">
        <v>44978</v>
      </c>
    </row>
    <row r="1183" spans="1:7" ht="14.5">
      <c r="A1183" s="85" t="s">
        <v>14278</v>
      </c>
      <c r="B1183" s="86">
        <v>31</v>
      </c>
      <c r="C1183" s="86">
        <v>10</v>
      </c>
      <c r="D1183" s="86">
        <v>10</v>
      </c>
      <c r="E1183" s="86">
        <v>3</v>
      </c>
      <c r="F1183" s="86">
        <v>3</v>
      </c>
      <c r="G1183" s="13">
        <v>44978</v>
      </c>
    </row>
    <row r="1184" spans="1:7" ht="14.5">
      <c r="A1184" s="85" t="s">
        <v>14279</v>
      </c>
      <c r="B1184" s="86">
        <v>14</v>
      </c>
      <c r="C1184" s="86">
        <v>16</v>
      </c>
      <c r="D1184" s="86">
        <v>1</v>
      </c>
      <c r="E1184" s="85">
        <v>0</v>
      </c>
      <c r="F1184" s="85">
        <v>0</v>
      </c>
      <c r="G1184" s="13">
        <v>44978</v>
      </c>
    </row>
    <row r="1185" spans="1:7" ht="14.5">
      <c r="A1185" s="85" t="s">
        <v>14280</v>
      </c>
      <c r="B1185" s="86">
        <v>41</v>
      </c>
      <c r="C1185" s="86">
        <v>26</v>
      </c>
      <c r="D1185" s="85">
        <v>0</v>
      </c>
      <c r="E1185" s="86">
        <v>3</v>
      </c>
      <c r="F1185" s="85">
        <v>0</v>
      </c>
      <c r="G1185" s="13">
        <v>44978</v>
      </c>
    </row>
    <row r="1186" spans="1:7" ht="14.5">
      <c r="A1186" s="85" t="s">
        <v>14281</v>
      </c>
      <c r="B1186" s="86">
        <v>38</v>
      </c>
      <c r="C1186" s="86">
        <v>18</v>
      </c>
      <c r="D1186" s="85">
        <v>0</v>
      </c>
      <c r="E1186" s="85">
        <v>0</v>
      </c>
      <c r="F1186" s="85">
        <v>0</v>
      </c>
      <c r="G1186" s="13">
        <v>44978</v>
      </c>
    </row>
    <row r="1187" spans="1:7" ht="14.5">
      <c r="A1187" s="85" t="s">
        <v>14282</v>
      </c>
      <c r="B1187" s="86">
        <v>6</v>
      </c>
      <c r="C1187" s="86">
        <v>1</v>
      </c>
      <c r="D1187" s="86">
        <v>5</v>
      </c>
      <c r="E1187" s="85">
        <v>0</v>
      </c>
      <c r="F1187" s="85">
        <v>0</v>
      </c>
      <c r="G1187" s="13">
        <v>44978</v>
      </c>
    </row>
    <row r="1188" spans="1:7" ht="14.5">
      <c r="A1188" s="85" t="s">
        <v>14283</v>
      </c>
      <c r="B1188" s="86">
        <v>17</v>
      </c>
      <c r="C1188" s="86">
        <v>7</v>
      </c>
      <c r="D1188" s="85">
        <v>0</v>
      </c>
      <c r="E1188" s="85">
        <v>0</v>
      </c>
      <c r="F1188" s="85">
        <v>0</v>
      </c>
      <c r="G1188" s="13">
        <v>44978</v>
      </c>
    </row>
    <row r="1189" spans="1:7" ht="14.5">
      <c r="A1189" s="85" t="s">
        <v>14284</v>
      </c>
      <c r="B1189" s="86">
        <v>8</v>
      </c>
      <c r="C1189" s="86">
        <v>7</v>
      </c>
      <c r="D1189" s="86">
        <v>3</v>
      </c>
      <c r="E1189" s="85">
        <v>0</v>
      </c>
      <c r="F1189" s="85">
        <v>0</v>
      </c>
      <c r="G1189" s="13">
        <v>44978</v>
      </c>
    </row>
    <row r="1190" spans="1:7" ht="14.5">
      <c r="A1190" s="85" t="s">
        <v>14285</v>
      </c>
      <c r="B1190" s="86">
        <v>29</v>
      </c>
      <c r="C1190" s="86">
        <v>29</v>
      </c>
      <c r="D1190" s="85">
        <v>0</v>
      </c>
      <c r="E1190" s="85">
        <v>0</v>
      </c>
      <c r="F1190" s="86">
        <v>1</v>
      </c>
      <c r="G1190" s="13">
        <v>44978</v>
      </c>
    </row>
    <row r="1191" spans="1:7" ht="14.5">
      <c r="A1191" s="85" t="s">
        <v>14286</v>
      </c>
      <c r="B1191" s="86">
        <v>22</v>
      </c>
      <c r="C1191" s="86">
        <v>13</v>
      </c>
      <c r="D1191" s="86">
        <v>1</v>
      </c>
      <c r="E1191" s="85">
        <v>0</v>
      </c>
      <c r="F1191" s="85">
        <v>0</v>
      </c>
      <c r="G1191" s="13">
        <v>44978</v>
      </c>
    </row>
    <row r="1192" spans="1:7" ht="14.5">
      <c r="A1192" s="85" t="s">
        <v>2418</v>
      </c>
      <c r="B1192" s="86">
        <v>11</v>
      </c>
      <c r="C1192" s="86">
        <v>3</v>
      </c>
      <c r="D1192" s="85">
        <v>0</v>
      </c>
      <c r="E1192" s="85">
        <v>0</v>
      </c>
      <c r="F1192" s="85">
        <v>0</v>
      </c>
      <c r="G1192" s="13">
        <v>44978</v>
      </c>
    </row>
    <row r="1193" spans="1:7" ht="14.5">
      <c r="A1193" s="85" t="s">
        <v>2422</v>
      </c>
      <c r="B1193" s="86">
        <v>6</v>
      </c>
      <c r="C1193" s="86">
        <v>3</v>
      </c>
      <c r="D1193" s="85">
        <v>0</v>
      </c>
      <c r="E1193" s="85">
        <v>0</v>
      </c>
      <c r="F1193" s="85">
        <v>0</v>
      </c>
      <c r="G1193" s="13">
        <v>44978</v>
      </c>
    </row>
    <row r="1194" spans="1:7" ht="14.5">
      <c r="A1194" s="85" t="s">
        <v>2425</v>
      </c>
      <c r="B1194" s="86">
        <v>9</v>
      </c>
      <c r="C1194" s="86">
        <v>2</v>
      </c>
      <c r="D1194" s="85">
        <v>0</v>
      </c>
      <c r="E1194" s="85">
        <v>0</v>
      </c>
      <c r="F1194" s="85">
        <v>0</v>
      </c>
      <c r="G1194" s="13">
        <v>44978</v>
      </c>
    </row>
    <row r="1195" spans="1:7" ht="14.5">
      <c r="A1195" s="85" t="s">
        <v>2428</v>
      </c>
      <c r="B1195" s="86">
        <v>5</v>
      </c>
      <c r="C1195" s="86">
        <v>7</v>
      </c>
      <c r="D1195" s="86">
        <v>5</v>
      </c>
      <c r="E1195" s="85">
        <v>0</v>
      </c>
      <c r="F1195" s="85">
        <v>0</v>
      </c>
      <c r="G1195" s="13">
        <v>44978</v>
      </c>
    </row>
    <row r="1196" spans="1:7" ht="14.5">
      <c r="A1196" s="85" t="s">
        <v>2433</v>
      </c>
      <c r="B1196" s="86">
        <v>5</v>
      </c>
      <c r="C1196" s="86">
        <v>2</v>
      </c>
      <c r="D1196" s="86">
        <v>5</v>
      </c>
      <c r="E1196" s="85">
        <v>0</v>
      </c>
      <c r="F1196" s="86">
        <v>1</v>
      </c>
      <c r="G1196" s="13">
        <v>44978</v>
      </c>
    </row>
    <row r="1197" spans="1:7" ht="14.5">
      <c r="A1197" s="85" t="s">
        <v>2436</v>
      </c>
      <c r="B1197" s="86">
        <v>6</v>
      </c>
      <c r="C1197" s="86">
        <v>1</v>
      </c>
      <c r="D1197" s="86">
        <v>5</v>
      </c>
      <c r="E1197" s="85">
        <v>0</v>
      </c>
      <c r="F1197" s="85">
        <v>0</v>
      </c>
      <c r="G1197" s="13">
        <v>44978</v>
      </c>
    </row>
    <row r="1198" spans="1:7" ht="14.5">
      <c r="A1198" s="85" t="s">
        <v>2441</v>
      </c>
      <c r="B1198" s="86">
        <v>7</v>
      </c>
      <c r="C1198" s="86">
        <v>2</v>
      </c>
      <c r="D1198" s="86">
        <v>3</v>
      </c>
      <c r="E1198" s="85">
        <v>0</v>
      </c>
      <c r="F1198" s="85">
        <v>0</v>
      </c>
      <c r="G1198" s="13">
        <v>44978</v>
      </c>
    </row>
    <row r="1199" spans="1:7" ht="14.5">
      <c r="A1199" s="85" t="s">
        <v>2444</v>
      </c>
      <c r="B1199" s="86">
        <v>1</v>
      </c>
      <c r="C1199" s="86">
        <v>1</v>
      </c>
      <c r="D1199" s="85">
        <v>0</v>
      </c>
      <c r="E1199" s="85">
        <v>0</v>
      </c>
      <c r="F1199" s="85">
        <v>0</v>
      </c>
      <c r="G1199" s="13">
        <v>44978</v>
      </c>
    </row>
    <row r="1200" spans="1:7" ht="14.5">
      <c r="A1200" s="85" t="s">
        <v>2448</v>
      </c>
      <c r="B1200" s="86">
        <v>6</v>
      </c>
      <c r="C1200" s="86">
        <v>7</v>
      </c>
      <c r="D1200" s="86">
        <v>20</v>
      </c>
      <c r="E1200" s="85">
        <v>0</v>
      </c>
      <c r="F1200" s="85">
        <v>0</v>
      </c>
      <c r="G1200" s="13">
        <v>44978</v>
      </c>
    </row>
    <row r="1201" spans="1:7" ht="14.5">
      <c r="A1201" s="85" t="s">
        <v>2451</v>
      </c>
      <c r="B1201" s="86">
        <v>3</v>
      </c>
      <c r="C1201" s="86">
        <v>2</v>
      </c>
      <c r="D1201" s="86">
        <v>19</v>
      </c>
      <c r="E1201" s="85">
        <v>0</v>
      </c>
      <c r="F1201" s="85">
        <v>0</v>
      </c>
      <c r="G1201" s="13">
        <v>44978</v>
      </c>
    </row>
    <row r="1202" spans="1:7" ht="14.5">
      <c r="A1202" s="85" t="s">
        <v>2454</v>
      </c>
      <c r="B1202" s="86">
        <v>38</v>
      </c>
      <c r="C1202" s="86">
        <v>7</v>
      </c>
      <c r="D1202" s="86">
        <v>39</v>
      </c>
      <c r="E1202" s="85">
        <v>0</v>
      </c>
      <c r="F1202" s="85">
        <v>0</v>
      </c>
      <c r="G1202" s="13">
        <v>44978</v>
      </c>
    </row>
    <row r="1203" spans="1:7" ht="14.5">
      <c r="A1203" s="85" t="s">
        <v>2457</v>
      </c>
      <c r="B1203" s="86">
        <v>6</v>
      </c>
      <c r="C1203" s="85">
        <v>0</v>
      </c>
      <c r="D1203" s="85">
        <v>0</v>
      </c>
      <c r="E1203" s="85">
        <v>0</v>
      </c>
      <c r="F1203" s="85">
        <v>0</v>
      </c>
      <c r="G1203" s="13">
        <v>44978</v>
      </c>
    </row>
    <row r="1204" spans="1:7" ht="14.5">
      <c r="A1204" s="85" t="s">
        <v>2461</v>
      </c>
      <c r="B1204" s="86">
        <v>14</v>
      </c>
      <c r="C1204" s="86">
        <v>1</v>
      </c>
      <c r="D1204" s="86">
        <v>9</v>
      </c>
      <c r="E1204" s="85">
        <v>0</v>
      </c>
      <c r="F1204" s="85">
        <v>0</v>
      </c>
      <c r="G1204" s="13">
        <v>44978</v>
      </c>
    </row>
    <row r="1205" spans="1:7" ht="14.5">
      <c r="A1205" s="85" t="s">
        <v>2464</v>
      </c>
      <c r="B1205" s="86">
        <v>24</v>
      </c>
      <c r="C1205" s="86">
        <v>3</v>
      </c>
      <c r="D1205" s="86">
        <v>32</v>
      </c>
      <c r="E1205" s="85">
        <v>0</v>
      </c>
      <c r="F1205" s="85">
        <v>0</v>
      </c>
      <c r="G1205" s="13">
        <v>44978</v>
      </c>
    </row>
    <row r="1206" spans="1:7" ht="14.5">
      <c r="A1206" s="85" t="s">
        <v>2468</v>
      </c>
      <c r="B1206" s="86">
        <v>2</v>
      </c>
      <c r="C1206" s="86">
        <v>1</v>
      </c>
      <c r="D1206" s="86">
        <v>8</v>
      </c>
      <c r="E1206" s="85">
        <v>0</v>
      </c>
      <c r="F1206" s="85">
        <v>0</v>
      </c>
      <c r="G1206" s="13">
        <v>44978</v>
      </c>
    </row>
    <row r="1207" spans="1:7" ht="14.5">
      <c r="A1207" s="85" t="s">
        <v>2471</v>
      </c>
      <c r="B1207" s="86">
        <v>5</v>
      </c>
      <c r="C1207" s="86">
        <v>2</v>
      </c>
      <c r="D1207" s="85">
        <v>0</v>
      </c>
      <c r="E1207" s="85">
        <v>0</v>
      </c>
      <c r="F1207" s="85">
        <v>0</v>
      </c>
      <c r="G1207" s="13">
        <v>44978</v>
      </c>
    </row>
    <row r="1208" spans="1:7" ht="14.5">
      <c r="A1208" s="85" t="s">
        <v>2474</v>
      </c>
      <c r="B1208" s="86">
        <v>4</v>
      </c>
      <c r="C1208" s="85">
        <v>0</v>
      </c>
      <c r="D1208" s="85">
        <v>0</v>
      </c>
      <c r="E1208" s="85">
        <v>0</v>
      </c>
      <c r="F1208" s="85">
        <v>0</v>
      </c>
      <c r="G1208" s="13">
        <v>44978</v>
      </c>
    </row>
    <row r="1209" spans="1:7" ht="14.5">
      <c r="A1209" s="85" t="s">
        <v>2477</v>
      </c>
      <c r="B1209" s="85">
        <v>0</v>
      </c>
      <c r="C1209" s="85">
        <v>0</v>
      </c>
      <c r="D1209" s="85">
        <v>0</v>
      </c>
      <c r="E1209" s="85">
        <v>0</v>
      </c>
      <c r="F1209" s="85">
        <v>0</v>
      </c>
      <c r="G1209" s="13">
        <v>44978</v>
      </c>
    </row>
    <row r="1210" spans="1:7" ht="14.5">
      <c r="A1210" s="85" t="s">
        <v>2484</v>
      </c>
      <c r="B1210" s="86">
        <v>1</v>
      </c>
      <c r="C1210" s="85">
        <v>0</v>
      </c>
      <c r="D1210" s="86">
        <v>2</v>
      </c>
      <c r="E1210" s="85">
        <v>0</v>
      </c>
      <c r="F1210" s="85">
        <v>0</v>
      </c>
      <c r="G1210" s="13">
        <v>44978</v>
      </c>
    </row>
    <row r="1211" spans="1:7" ht="14.5">
      <c r="A1211" s="85" t="s">
        <v>2487</v>
      </c>
      <c r="B1211" s="86">
        <v>2</v>
      </c>
      <c r="C1211" s="85">
        <v>0</v>
      </c>
      <c r="D1211" s="85">
        <v>0</v>
      </c>
      <c r="E1211" s="85">
        <v>0</v>
      </c>
      <c r="F1211" s="85">
        <v>0</v>
      </c>
      <c r="G1211" s="13">
        <v>44978</v>
      </c>
    </row>
    <row r="1212" spans="1:7" ht="14.5">
      <c r="A1212" s="85" t="s">
        <v>2489</v>
      </c>
      <c r="B1212" s="86">
        <v>8</v>
      </c>
      <c r="C1212" s="86">
        <v>2</v>
      </c>
      <c r="D1212" s="86">
        <v>49</v>
      </c>
      <c r="E1212" s="85">
        <v>0</v>
      </c>
      <c r="F1212" s="85">
        <v>0</v>
      </c>
      <c r="G1212" s="13">
        <v>44978</v>
      </c>
    </row>
    <row r="1213" spans="1:7" ht="14.5">
      <c r="A1213" s="85" t="s">
        <v>2496</v>
      </c>
      <c r="B1213" s="86">
        <v>42</v>
      </c>
      <c r="C1213" s="86">
        <v>12</v>
      </c>
      <c r="D1213" s="86">
        <v>68</v>
      </c>
      <c r="E1213" s="85">
        <v>0</v>
      </c>
      <c r="F1213" s="86">
        <v>4</v>
      </c>
      <c r="G1213" s="13">
        <v>44978</v>
      </c>
    </row>
    <row r="1214" spans="1:7" ht="14.5">
      <c r="A1214" s="85" t="s">
        <v>2501</v>
      </c>
      <c r="B1214" s="86">
        <v>13</v>
      </c>
      <c r="C1214" s="86">
        <v>2</v>
      </c>
      <c r="D1214" s="86">
        <v>8</v>
      </c>
      <c r="E1214" s="85">
        <v>0</v>
      </c>
      <c r="F1214" s="85">
        <v>0</v>
      </c>
      <c r="G1214" s="13">
        <v>44978</v>
      </c>
    </row>
    <row r="1215" spans="1:7" ht="14.5">
      <c r="A1215" s="85" t="s">
        <v>2504</v>
      </c>
      <c r="B1215" s="86">
        <v>12</v>
      </c>
      <c r="C1215" s="85">
        <v>0</v>
      </c>
      <c r="D1215" s="86">
        <v>3</v>
      </c>
      <c r="E1215" s="85">
        <v>0</v>
      </c>
      <c r="F1215" s="85">
        <v>0</v>
      </c>
      <c r="G1215" s="13">
        <v>44978</v>
      </c>
    </row>
    <row r="1216" spans="1:7" ht="14.5">
      <c r="A1216" s="85" t="s">
        <v>2507</v>
      </c>
      <c r="B1216" s="86">
        <v>9</v>
      </c>
      <c r="C1216" s="85">
        <v>0</v>
      </c>
      <c r="D1216" s="86">
        <v>15</v>
      </c>
      <c r="E1216" s="85">
        <v>0</v>
      </c>
      <c r="F1216" s="85">
        <v>0</v>
      </c>
      <c r="G1216" s="13">
        <v>44978</v>
      </c>
    </row>
    <row r="1217" spans="1:7" ht="14.5">
      <c r="A1217" s="85" t="s">
        <v>2513</v>
      </c>
      <c r="B1217" s="86">
        <v>14</v>
      </c>
      <c r="C1217" s="86">
        <v>4</v>
      </c>
      <c r="D1217" s="86">
        <v>8</v>
      </c>
      <c r="E1217" s="85">
        <v>0</v>
      </c>
      <c r="F1217" s="85">
        <v>0</v>
      </c>
      <c r="G1217" s="13">
        <v>44978</v>
      </c>
    </row>
    <row r="1218" spans="1:7" ht="14.5">
      <c r="A1218" s="85" t="s">
        <v>2518</v>
      </c>
      <c r="B1218" s="86">
        <v>9</v>
      </c>
      <c r="C1218" s="85">
        <v>0</v>
      </c>
      <c r="D1218" s="86">
        <v>5</v>
      </c>
      <c r="E1218" s="85">
        <v>0</v>
      </c>
      <c r="F1218" s="86">
        <v>1</v>
      </c>
      <c r="G1218" s="13">
        <v>44978</v>
      </c>
    </row>
    <row r="1219" spans="1:7" ht="14.5">
      <c r="A1219" s="85" t="s">
        <v>2524</v>
      </c>
      <c r="B1219" s="86">
        <v>17</v>
      </c>
      <c r="C1219" s="86">
        <v>11</v>
      </c>
      <c r="D1219" s="86">
        <v>19</v>
      </c>
      <c r="E1219" s="85">
        <v>0</v>
      </c>
      <c r="F1219" s="85">
        <v>0</v>
      </c>
      <c r="G1219" s="13">
        <v>44978</v>
      </c>
    </row>
    <row r="1220" spans="1:7" ht="14.5">
      <c r="A1220" s="85" t="s">
        <v>2530</v>
      </c>
      <c r="B1220" s="86">
        <v>20</v>
      </c>
      <c r="C1220" s="86">
        <v>1</v>
      </c>
      <c r="D1220" s="86">
        <v>27</v>
      </c>
      <c r="E1220" s="85">
        <v>0</v>
      </c>
      <c r="F1220" s="85">
        <v>0</v>
      </c>
      <c r="G1220" s="13">
        <v>44978</v>
      </c>
    </row>
    <row r="1221" spans="1:7" ht="14.5">
      <c r="A1221" s="85" t="s">
        <v>2536</v>
      </c>
      <c r="B1221" s="86">
        <v>6</v>
      </c>
      <c r="C1221" s="85">
        <v>0</v>
      </c>
      <c r="D1221" s="86">
        <v>32</v>
      </c>
      <c r="E1221" s="85">
        <v>0</v>
      </c>
      <c r="F1221" s="85">
        <v>0</v>
      </c>
      <c r="G1221" s="13">
        <v>44978</v>
      </c>
    </row>
    <row r="1222" spans="1:7" ht="14.5">
      <c r="A1222" s="85" t="s">
        <v>2543</v>
      </c>
      <c r="B1222" s="86">
        <v>40</v>
      </c>
      <c r="C1222" s="86">
        <v>7</v>
      </c>
      <c r="D1222" s="86">
        <v>14</v>
      </c>
      <c r="E1222" s="85">
        <v>0</v>
      </c>
      <c r="F1222" s="86">
        <v>1</v>
      </c>
      <c r="G1222" s="13">
        <v>44978</v>
      </c>
    </row>
    <row r="1223" spans="1:7" ht="14.5">
      <c r="A1223" s="85" t="s">
        <v>2549</v>
      </c>
      <c r="B1223" s="86">
        <v>125</v>
      </c>
      <c r="C1223" s="86">
        <v>25</v>
      </c>
      <c r="D1223" s="86">
        <v>49</v>
      </c>
      <c r="E1223" s="85">
        <v>0</v>
      </c>
      <c r="F1223" s="85">
        <v>0</v>
      </c>
      <c r="G1223" s="13">
        <v>44978</v>
      </c>
    </row>
    <row r="1224" spans="1:7" ht="14.5">
      <c r="A1224" s="85" t="s">
        <v>2555</v>
      </c>
      <c r="B1224" s="86">
        <v>82</v>
      </c>
      <c r="C1224" s="86">
        <v>12</v>
      </c>
      <c r="D1224" s="86">
        <v>49</v>
      </c>
      <c r="E1224" s="85">
        <v>0</v>
      </c>
      <c r="F1224" s="85">
        <v>0</v>
      </c>
      <c r="G1224" s="13">
        <v>44978</v>
      </c>
    </row>
    <row r="1225" spans="1:7" ht="14.5">
      <c r="A1225" s="85" t="s">
        <v>2558</v>
      </c>
      <c r="B1225" s="86">
        <v>32</v>
      </c>
      <c r="C1225" s="86">
        <v>25</v>
      </c>
      <c r="D1225" s="86">
        <v>29</v>
      </c>
      <c r="E1225" s="85">
        <v>0</v>
      </c>
      <c r="F1225" s="85">
        <v>0</v>
      </c>
      <c r="G1225" s="13">
        <v>44978</v>
      </c>
    </row>
    <row r="1226" spans="1:7" ht="14.5">
      <c r="A1226" s="85" t="s">
        <v>2561</v>
      </c>
      <c r="B1226" s="86">
        <v>27</v>
      </c>
      <c r="C1226" s="86">
        <v>2</v>
      </c>
      <c r="D1226" s="86">
        <v>11</v>
      </c>
      <c r="E1226" s="85">
        <v>0</v>
      </c>
      <c r="F1226" s="85">
        <v>0</v>
      </c>
      <c r="G1226" s="13">
        <v>44978</v>
      </c>
    </row>
    <row r="1227" spans="1:7" ht="14.5">
      <c r="A1227" s="85" t="s">
        <v>2564</v>
      </c>
      <c r="B1227" s="86">
        <v>60</v>
      </c>
      <c r="C1227" s="86">
        <v>66</v>
      </c>
      <c r="D1227" s="86">
        <v>87</v>
      </c>
      <c r="E1227" s="86">
        <v>1</v>
      </c>
      <c r="F1227" s="85">
        <v>0</v>
      </c>
      <c r="G1227" s="13">
        <v>44978</v>
      </c>
    </row>
    <row r="1228" spans="1:7" ht="14.5">
      <c r="A1228" s="85" t="s">
        <v>2567</v>
      </c>
      <c r="B1228" s="86">
        <v>43</v>
      </c>
      <c r="C1228" s="86">
        <v>39</v>
      </c>
      <c r="D1228" s="86">
        <v>48</v>
      </c>
      <c r="E1228" s="85">
        <v>0</v>
      </c>
      <c r="F1228" s="86">
        <v>1</v>
      </c>
      <c r="G1228" s="13">
        <v>44978</v>
      </c>
    </row>
    <row r="1229" spans="1:7" ht="14.5">
      <c r="A1229" s="85" t="s">
        <v>2573</v>
      </c>
      <c r="B1229" s="86">
        <v>22</v>
      </c>
      <c r="C1229" s="86">
        <v>36</v>
      </c>
      <c r="D1229" s="86">
        <v>11</v>
      </c>
      <c r="E1229" s="85">
        <v>0</v>
      </c>
      <c r="F1229" s="86">
        <v>1</v>
      </c>
      <c r="G1229" s="13">
        <v>44978</v>
      </c>
    </row>
    <row r="1230" spans="1:7" ht="14.5">
      <c r="A1230" s="85" t="s">
        <v>2576</v>
      </c>
      <c r="B1230" s="86">
        <v>36</v>
      </c>
      <c r="C1230" s="86">
        <v>49</v>
      </c>
      <c r="D1230" s="86">
        <v>13</v>
      </c>
      <c r="E1230" s="85">
        <v>0</v>
      </c>
      <c r="F1230" s="85">
        <v>0</v>
      </c>
      <c r="G1230" s="13">
        <v>44978</v>
      </c>
    </row>
    <row r="1231" spans="1:7" ht="14.5">
      <c r="A1231" s="85" t="s">
        <v>2579</v>
      </c>
      <c r="B1231" s="86">
        <v>25</v>
      </c>
      <c r="C1231" s="86">
        <v>31</v>
      </c>
      <c r="D1231" s="86">
        <v>14</v>
      </c>
      <c r="E1231" s="85">
        <v>0</v>
      </c>
      <c r="F1231" s="86">
        <v>1</v>
      </c>
      <c r="G1231" s="13">
        <v>44978</v>
      </c>
    </row>
    <row r="1232" spans="1:7" ht="14.5">
      <c r="A1232" s="85" t="s">
        <v>2582</v>
      </c>
      <c r="B1232" s="86">
        <v>15</v>
      </c>
      <c r="C1232" s="86">
        <v>50</v>
      </c>
      <c r="D1232" s="86">
        <v>11</v>
      </c>
      <c r="E1232" s="85">
        <v>0</v>
      </c>
      <c r="F1232" s="86">
        <v>1</v>
      </c>
      <c r="G1232" s="13">
        <v>44978</v>
      </c>
    </row>
    <row r="1233" spans="1:7" ht="14.5">
      <c r="A1233" s="85" t="s">
        <v>2585</v>
      </c>
      <c r="B1233" s="86">
        <v>13</v>
      </c>
      <c r="C1233" s="86">
        <v>36</v>
      </c>
      <c r="D1233" s="86">
        <v>17</v>
      </c>
      <c r="E1233" s="85">
        <v>0</v>
      </c>
      <c r="F1233" s="85">
        <v>0</v>
      </c>
      <c r="G1233" s="13">
        <v>44978</v>
      </c>
    </row>
    <row r="1234" spans="1:7" ht="14.5">
      <c r="A1234" s="85" t="s">
        <v>2588</v>
      </c>
      <c r="B1234" s="86">
        <v>9</v>
      </c>
      <c r="C1234" s="85">
        <v>0</v>
      </c>
      <c r="D1234" s="86">
        <v>122</v>
      </c>
      <c r="E1234" s="85">
        <v>0</v>
      </c>
      <c r="F1234" s="85">
        <v>0</v>
      </c>
      <c r="G1234" s="13">
        <v>44978</v>
      </c>
    </row>
    <row r="1235" spans="1:7" ht="14.5">
      <c r="A1235" s="85" t="s">
        <v>2593</v>
      </c>
      <c r="B1235" s="86">
        <v>14</v>
      </c>
      <c r="C1235" s="85">
        <v>0</v>
      </c>
      <c r="D1235" s="86">
        <v>6</v>
      </c>
      <c r="E1235" s="85">
        <v>0</v>
      </c>
      <c r="F1235" s="85">
        <v>0</v>
      </c>
      <c r="G1235" s="13">
        <v>44978</v>
      </c>
    </row>
    <row r="1236" spans="1:7" ht="14.5">
      <c r="A1236" s="85" t="s">
        <v>2598</v>
      </c>
      <c r="B1236" s="86">
        <v>13</v>
      </c>
      <c r="C1236" s="86">
        <v>1</v>
      </c>
      <c r="D1236" s="86">
        <v>2</v>
      </c>
      <c r="E1236" s="85">
        <v>0</v>
      </c>
      <c r="F1236" s="85">
        <v>0</v>
      </c>
      <c r="G1236" s="13">
        <v>44978</v>
      </c>
    </row>
    <row r="1237" spans="1:7" ht="14.5">
      <c r="A1237" s="85" t="s">
        <v>2601</v>
      </c>
      <c r="B1237" s="86">
        <v>18</v>
      </c>
      <c r="C1237" s="86">
        <v>3</v>
      </c>
      <c r="D1237" s="86">
        <v>95</v>
      </c>
      <c r="E1237" s="85">
        <v>0</v>
      </c>
      <c r="F1237" s="86">
        <v>2</v>
      </c>
      <c r="G1237" s="13">
        <v>44978</v>
      </c>
    </row>
    <row r="1238" spans="1:7" ht="14.5">
      <c r="A1238" s="85" t="s">
        <v>2606</v>
      </c>
      <c r="B1238" s="86">
        <v>14</v>
      </c>
      <c r="C1238" s="86">
        <v>3</v>
      </c>
      <c r="D1238" s="86">
        <v>2</v>
      </c>
      <c r="E1238" s="85">
        <v>0</v>
      </c>
      <c r="F1238" s="85">
        <v>0</v>
      </c>
      <c r="G1238" s="13">
        <v>44978</v>
      </c>
    </row>
    <row r="1239" spans="1:7" ht="14.5">
      <c r="A1239" s="85" t="s">
        <v>2613</v>
      </c>
      <c r="B1239" s="86">
        <v>30</v>
      </c>
      <c r="C1239" s="86">
        <v>7</v>
      </c>
      <c r="D1239" s="86">
        <v>16</v>
      </c>
      <c r="E1239" s="85">
        <v>0</v>
      </c>
      <c r="F1239" s="85">
        <v>0</v>
      </c>
      <c r="G1239" s="13">
        <v>44978</v>
      </c>
    </row>
    <row r="1240" spans="1:7" ht="14.5">
      <c r="A1240" s="85" t="s">
        <v>2618</v>
      </c>
      <c r="B1240" s="86">
        <v>11</v>
      </c>
      <c r="C1240" s="86">
        <v>2</v>
      </c>
      <c r="D1240" s="86">
        <v>16</v>
      </c>
      <c r="E1240" s="85">
        <v>0</v>
      </c>
      <c r="F1240" s="85">
        <v>0</v>
      </c>
      <c r="G1240" s="13">
        <v>44978</v>
      </c>
    </row>
    <row r="1241" spans="1:7" ht="14.5">
      <c r="A1241" s="85" t="s">
        <v>2621</v>
      </c>
      <c r="B1241" s="86">
        <v>4</v>
      </c>
      <c r="C1241" s="85">
        <v>0</v>
      </c>
      <c r="D1241" s="86">
        <v>10</v>
      </c>
      <c r="E1241" s="85">
        <v>0</v>
      </c>
      <c r="F1241" s="85">
        <v>0</v>
      </c>
      <c r="G1241" s="13">
        <v>44978</v>
      </c>
    </row>
    <row r="1242" spans="1:7" ht="14.5">
      <c r="A1242" s="85" t="s">
        <v>2627</v>
      </c>
      <c r="B1242" s="86">
        <v>1</v>
      </c>
      <c r="C1242" s="85">
        <v>0</v>
      </c>
      <c r="D1242" s="85">
        <v>0</v>
      </c>
      <c r="E1242" s="85">
        <v>0</v>
      </c>
      <c r="F1242" s="85">
        <v>0</v>
      </c>
      <c r="G1242" s="13">
        <v>44978</v>
      </c>
    </row>
    <row r="1243" spans="1:7" ht="14.5">
      <c r="A1243" s="85" t="s">
        <v>2634</v>
      </c>
      <c r="B1243" s="86">
        <v>13</v>
      </c>
      <c r="C1243" s="86">
        <v>3</v>
      </c>
      <c r="D1243" s="85">
        <v>0</v>
      </c>
      <c r="E1243" s="85">
        <v>0</v>
      </c>
      <c r="F1243" s="85">
        <v>0</v>
      </c>
      <c r="G1243" s="13">
        <v>44978</v>
      </c>
    </row>
    <row r="1244" spans="1:7" ht="14.5">
      <c r="A1244" s="85" t="s">
        <v>2639</v>
      </c>
      <c r="B1244" s="85">
        <v>0</v>
      </c>
      <c r="C1244" s="85">
        <v>0</v>
      </c>
      <c r="D1244" s="85">
        <v>0</v>
      </c>
      <c r="E1244" s="85">
        <v>0</v>
      </c>
      <c r="F1244" s="85">
        <v>0</v>
      </c>
      <c r="G1244" s="13">
        <v>44978</v>
      </c>
    </row>
    <row r="1245" spans="1:7" ht="14.5">
      <c r="A1245" s="85" t="s">
        <v>2644</v>
      </c>
      <c r="B1245" s="86">
        <v>70</v>
      </c>
      <c r="C1245" s="86">
        <v>13</v>
      </c>
      <c r="D1245" s="86">
        <v>43</v>
      </c>
      <c r="E1245" s="85">
        <v>0</v>
      </c>
      <c r="F1245" s="85">
        <v>0</v>
      </c>
      <c r="G1245" s="13">
        <v>44978</v>
      </c>
    </row>
    <row r="1246" spans="1:7" ht="14.5">
      <c r="A1246" s="85" t="s">
        <v>2649</v>
      </c>
      <c r="B1246" s="86">
        <v>17</v>
      </c>
      <c r="C1246" s="86">
        <v>4</v>
      </c>
      <c r="D1246" s="86">
        <v>13</v>
      </c>
      <c r="E1246" s="85">
        <v>0</v>
      </c>
      <c r="F1246" s="85">
        <v>0</v>
      </c>
      <c r="G1246" s="13">
        <v>44978</v>
      </c>
    </row>
    <row r="1247" spans="1:7" ht="14.5">
      <c r="A1247" s="85" t="s">
        <v>2654</v>
      </c>
      <c r="B1247" s="86">
        <v>69</v>
      </c>
      <c r="C1247" s="86">
        <v>30</v>
      </c>
      <c r="D1247" s="86">
        <v>158</v>
      </c>
      <c r="E1247" s="85">
        <v>0</v>
      </c>
      <c r="F1247" s="85">
        <v>0</v>
      </c>
      <c r="G1247" s="13">
        <v>44978</v>
      </c>
    </row>
    <row r="1248" spans="1:7" ht="14.5">
      <c r="A1248" s="85" t="s">
        <v>2659</v>
      </c>
      <c r="B1248" s="86">
        <v>14</v>
      </c>
      <c r="C1248" s="86">
        <v>2</v>
      </c>
      <c r="D1248" s="86">
        <v>14</v>
      </c>
      <c r="E1248" s="85">
        <v>0</v>
      </c>
      <c r="F1248" s="85">
        <v>0</v>
      </c>
      <c r="G1248" s="13">
        <v>44978</v>
      </c>
    </row>
    <row r="1249" spans="1:7" ht="14.5">
      <c r="A1249" s="85" t="s">
        <v>2664</v>
      </c>
      <c r="B1249" s="86">
        <v>30</v>
      </c>
      <c r="C1249" s="86">
        <v>4</v>
      </c>
      <c r="D1249" s="86">
        <v>21</v>
      </c>
      <c r="E1249" s="85">
        <v>0</v>
      </c>
      <c r="F1249" s="85">
        <v>0</v>
      </c>
      <c r="G1249" s="13">
        <v>44978</v>
      </c>
    </row>
    <row r="1250" spans="1:7" ht="14.5">
      <c r="A1250" s="85" t="s">
        <v>2670</v>
      </c>
      <c r="B1250" s="86">
        <v>19</v>
      </c>
      <c r="C1250" s="85">
        <v>0</v>
      </c>
      <c r="D1250" s="86">
        <v>20</v>
      </c>
      <c r="E1250" s="85">
        <v>0</v>
      </c>
      <c r="F1250" s="85">
        <v>0</v>
      </c>
      <c r="G1250" s="13">
        <v>44978</v>
      </c>
    </row>
    <row r="1251" spans="1:7" ht="14.5">
      <c r="A1251" s="85" t="s">
        <v>2676</v>
      </c>
      <c r="B1251" s="86">
        <v>71</v>
      </c>
      <c r="C1251" s="86">
        <v>10</v>
      </c>
      <c r="D1251" s="86">
        <v>17</v>
      </c>
      <c r="E1251" s="85">
        <v>0</v>
      </c>
      <c r="F1251" s="86">
        <v>1</v>
      </c>
      <c r="G1251" s="13">
        <v>44978</v>
      </c>
    </row>
    <row r="1252" spans="1:7" ht="14.5">
      <c r="A1252" s="85" t="s">
        <v>2682</v>
      </c>
      <c r="B1252" s="86">
        <v>5</v>
      </c>
      <c r="C1252" s="86">
        <v>5</v>
      </c>
      <c r="D1252" s="86">
        <v>15</v>
      </c>
      <c r="E1252" s="85">
        <v>0</v>
      </c>
      <c r="F1252" s="85">
        <v>0</v>
      </c>
      <c r="G1252" s="13">
        <v>44978</v>
      </c>
    </row>
    <row r="1253" spans="1:7" ht="14.5">
      <c r="A1253" s="85" t="s">
        <v>2687</v>
      </c>
      <c r="B1253" s="86">
        <v>38</v>
      </c>
      <c r="C1253" s="86">
        <v>2</v>
      </c>
      <c r="D1253" s="85">
        <v>0</v>
      </c>
      <c r="E1253" s="85">
        <v>0</v>
      </c>
      <c r="F1253" s="85">
        <v>0</v>
      </c>
      <c r="G1253" s="13">
        <v>44978</v>
      </c>
    </row>
    <row r="1254" spans="1:7" ht="14.5">
      <c r="A1254" s="85" t="s">
        <v>2692</v>
      </c>
      <c r="B1254" s="86">
        <v>61</v>
      </c>
      <c r="C1254" s="86">
        <v>5</v>
      </c>
      <c r="D1254" s="86">
        <v>6</v>
      </c>
      <c r="E1254" s="85">
        <v>0</v>
      </c>
      <c r="F1254" s="86">
        <v>1</v>
      </c>
      <c r="G1254" s="13">
        <v>44978</v>
      </c>
    </row>
    <row r="1255" spans="1:7" ht="14.5">
      <c r="A1255" s="85" t="s">
        <v>2697</v>
      </c>
      <c r="B1255" s="86">
        <v>108</v>
      </c>
      <c r="C1255" s="86">
        <v>75</v>
      </c>
      <c r="D1255" s="86">
        <v>106</v>
      </c>
      <c r="E1255" s="85">
        <v>0</v>
      </c>
      <c r="F1255" s="86">
        <v>1</v>
      </c>
      <c r="G1255" s="13">
        <v>44978</v>
      </c>
    </row>
    <row r="1256" spans="1:7" ht="14.5">
      <c r="A1256" s="85" t="s">
        <v>2700</v>
      </c>
      <c r="B1256" s="86">
        <v>20</v>
      </c>
      <c r="C1256" s="86">
        <v>2</v>
      </c>
      <c r="D1256" s="85">
        <v>0</v>
      </c>
      <c r="E1256" s="85">
        <v>0</v>
      </c>
      <c r="F1256" s="85">
        <v>0</v>
      </c>
      <c r="G1256" s="13">
        <v>44978</v>
      </c>
    </row>
    <row r="1257" spans="1:7" ht="14.5">
      <c r="A1257" s="85" t="s">
        <v>2706</v>
      </c>
      <c r="B1257" s="86">
        <v>7</v>
      </c>
      <c r="C1257" s="85">
        <v>0</v>
      </c>
      <c r="D1257" s="86">
        <v>9</v>
      </c>
      <c r="E1257" s="85">
        <v>0</v>
      </c>
      <c r="F1257" s="85">
        <v>0</v>
      </c>
      <c r="G1257" s="13">
        <v>44978</v>
      </c>
    </row>
    <row r="1258" spans="1:7" ht="14.5">
      <c r="A1258" s="85" t="s">
        <v>2712</v>
      </c>
      <c r="B1258" s="86">
        <v>25</v>
      </c>
      <c r="C1258" s="86">
        <v>4</v>
      </c>
      <c r="D1258" s="85">
        <v>0</v>
      </c>
      <c r="E1258" s="85">
        <v>0</v>
      </c>
      <c r="F1258" s="85">
        <v>0</v>
      </c>
      <c r="G1258" s="13">
        <v>44978</v>
      </c>
    </row>
    <row r="1259" spans="1:7" ht="14.5">
      <c r="A1259" s="85" t="s">
        <v>2717</v>
      </c>
      <c r="B1259" s="86">
        <v>7</v>
      </c>
      <c r="C1259" s="86">
        <v>5</v>
      </c>
      <c r="D1259" s="86">
        <v>9</v>
      </c>
      <c r="E1259" s="85">
        <v>0</v>
      </c>
      <c r="F1259" s="85">
        <v>0</v>
      </c>
      <c r="G1259" s="13">
        <v>44978</v>
      </c>
    </row>
    <row r="1260" spans="1:7" ht="14.5">
      <c r="A1260" s="85" t="s">
        <v>2719</v>
      </c>
      <c r="B1260" s="86">
        <v>11</v>
      </c>
      <c r="C1260" s="86">
        <v>3</v>
      </c>
      <c r="D1260" s="86">
        <v>9</v>
      </c>
      <c r="E1260" s="85">
        <v>0</v>
      </c>
      <c r="F1260" s="85">
        <v>0</v>
      </c>
      <c r="G1260" s="13">
        <v>44978</v>
      </c>
    </row>
    <row r="1261" spans="1:7" ht="14.5">
      <c r="A1261" s="85" t="s">
        <v>2721</v>
      </c>
      <c r="B1261" s="86">
        <v>9</v>
      </c>
      <c r="C1261" s="86">
        <v>4</v>
      </c>
      <c r="D1261" s="85">
        <v>0</v>
      </c>
      <c r="E1261" s="85">
        <v>0</v>
      </c>
      <c r="F1261" s="86">
        <v>1</v>
      </c>
      <c r="G1261" s="13">
        <v>44978</v>
      </c>
    </row>
    <row r="1262" spans="1:7" ht="14.5">
      <c r="A1262" s="85" t="s">
        <v>2726</v>
      </c>
      <c r="B1262" s="86">
        <v>35</v>
      </c>
      <c r="C1262" s="86">
        <v>4</v>
      </c>
      <c r="D1262" s="86">
        <v>50</v>
      </c>
      <c r="E1262" s="85">
        <v>0</v>
      </c>
      <c r="F1262" s="85">
        <v>0</v>
      </c>
      <c r="G1262" s="13">
        <v>44978</v>
      </c>
    </row>
    <row r="1263" spans="1:7" ht="14.5">
      <c r="A1263" s="85" t="s">
        <v>2733</v>
      </c>
      <c r="B1263" s="86">
        <v>1</v>
      </c>
      <c r="C1263" s="85">
        <v>0</v>
      </c>
      <c r="D1263" s="85">
        <v>0</v>
      </c>
      <c r="E1263" s="85">
        <v>0</v>
      </c>
      <c r="F1263" s="85">
        <v>0</v>
      </c>
      <c r="G1263" s="13">
        <v>44978</v>
      </c>
    </row>
    <row r="1264" spans="1:7" ht="14.5">
      <c r="A1264" s="85" t="s">
        <v>2739</v>
      </c>
      <c r="B1264" s="86">
        <v>12</v>
      </c>
      <c r="C1264" s="86">
        <v>1</v>
      </c>
      <c r="D1264" s="85">
        <v>0</v>
      </c>
      <c r="E1264" s="85">
        <v>0</v>
      </c>
      <c r="F1264" s="85">
        <v>0</v>
      </c>
      <c r="G1264" s="13">
        <v>44978</v>
      </c>
    </row>
    <row r="1265" spans="1:7" ht="14.5">
      <c r="A1265" s="85" t="s">
        <v>2742</v>
      </c>
      <c r="B1265" s="86">
        <v>64</v>
      </c>
      <c r="C1265" s="86">
        <v>7</v>
      </c>
      <c r="D1265" s="86">
        <v>4</v>
      </c>
      <c r="E1265" s="85">
        <v>0</v>
      </c>
      <c r="F1265" s="85">
        <v>0</v>
      </c>
      <c r="G1265" s="13">
        <v>44978</v>
      </c>
    </row>
    <row r="1266" spans="1:7" ht="14.5">
      <c r="A1266" s="85" t="s">
        <v>2747</v>
      </c>
      <c r="B1266" s="86">
        <v>2</v>
      </c>
      <c r="C1266" s="86">
        <v>1</v>
      </c>
      <c r="D1266" s="85">
        <v>0</v>
      </c>
      <c r="E1266" s="85">
        <v>0</v>
      </c>
      <c r="F1266" s="85">
        <v>0</v>
      </c>
      <c r="G1266" s="13">
        <v>44978</v>
      </c>
    </row>
    <row r="1267" spans="1:7" ht="14.5">
      <c r="A1267" s="85" t="s">
        <v>2752</v>
      </c>
      <c r="B1267" s="86">
        <v>11</v>
      </c>
      <c r="C1267" s="86">
        <v>1</v>
      </c>
      <c r="D1267" s="86">
        <v>4</v>
      </c>
      <c r="E1267" s="85">
        <v>0</v>
      </c>
      <c r="F1267" s="85">
        <v>0</v>
      </c>
      <c r="G1267" s="13">
        <v>44978</v>
      </c>
    </row>
    <row r="1268" spans="1:7" ht="14.5">
      <c r="A1268" s="85" t="s">
        <v>2754</v>
      </c>
      <c r="B1268" s="86">
        <v>22</v>
      </c>
      <c r="C1268" s="86">
        <v>1</v>
      </c>
      <c r="D1268" s="86">
        <v>22</v>
      </c>
      <c r="E1268" s="85">
        <v>0</v>
      </c>
      <c r="F1268" s="85">
        <v>0</v>
      </c>
      <c r="G1268" s="13">
        <v>44978</v>
      </c>
    </row>
    <row r="1269" spans="1:7" ht="14.5">
      <c r="A1269" s="85" t="s">
        <v>2759</v>
      </c>
      <c r="B1269" s="85">
        <v>0</v>
      </c>
      <c r="C1269" s="85">
        <v>0</v>
      </c>
      <c r="D1269" s="86">
        <v>13</v>
      </c>
      <c r="E1269" s="85">
        <v>0</v>
      </c>
      <c r="F1269" s="85">
        <v>0</v>
      </c>
      <c r="G1269" s="13">
        <v>44978</v>
      </c>
    </row>
    <row r="1270" spans="1:7" ht="14.5">
      <c r="A1270" s="85" t="s">
        <v>2761</v>
      </c>
      <c r="B1270" s="86">
        <v>148</v>
      </c>
      <c r="C1270" s="86">
        <v>39</v>
      </c>
      <c r="D1270" s="86">
        <v>95</v>
      </c>
      <c r="E1270" s="85">
        <v>0</v>
      </c>
      <c r="F1270" s="85">
        <v>0</v>
      </c>
      <c r="G1270" s="13">
        <v>44978</v>
      </c>
    </row>
    <row r="1271" spans="1:7" ht="14.5">
      <c r="A1271" s="85" t="s">
        <v>2765</v>
      </c>
      <c r="B1271" s="86">
        <v>18</v>
      </c>
      <c r="C1271" s="85">
        <v>0</v>
      </c>
      <c r="D1271" s="86">
        <v>18</v>
      </c>
      <c r="E1271" s="85">
        <v>0</v>
      </c>
      <c r="F1271" s="85">
        <v>0</v>
      </c>
      <c r="G1271" s="13">
        <v>44978</v>
      </c>
    </row>
    <row r="1272" spans="1:7" ht="14.5">
      <c r="A1272" s="85" t="s">
        <v>2771</v>
      </c>
      <c r="B1272" s="86">
        <v>144</v>
      </c>
      <c r="C1272" s="86">
        <v>30</v>
      </c>
      <c r="D1272" s="86">
        <v>38</v>
      </c>
      <c r="E1272" s="85">
        <v>0</v>
      </c>
      <c r="F1272" s="85">
        <v>0</v>
      </c>
      <c r="G1272" s="13">
        <v>44978</v>
      </c>
    </row>
    <row r="1273" spans="1:7" ht="14.5">
      <c r="A1273" s="85" t="s">
        <v>2777</v>
      </c>
      <c r="B1273" s="86">
        <v>37</v>
      </c>
      <c r="C1273" s="86">
        <v>6</v>
      </c>
      <c r="D1273" s="86">
        <v>13</v>
      </c>
      <c r="E1273" s="85">
        <v>0</v>
      </c>
      <c r="F1273" s="85">
        <v>0</v>
      </c>
      <c r="G1273" s="13">
        <v>44978</v>
      </c>
    </row>
    <row r="1274" spans="1:7" ht="14.5">
      <c r="A1274" s="85" t="s">
        <v>2780</v>
      </c>
      <c r="B1274" s="86">
        <v>32</v>
      </c>
      <c r="C1274" s="86">
        <v>6</v>
      </c>
      <c r="D1274" s="86">
        <v>51</v>
      </c>
      <c r="E1274" s="85">
        <v>0</v>
      </c>
      <c r="F1274" s="86">
        <v>1</v>
      </c>
      <c r="G1274" s="13">
        <v>44978</v>
      </c>
    </row>
    <row r="1275" spans="1:7" ht="14.5">
      <c r="A1275" s="85" t="s">
        <v>2783</v>
      </c>
      <c r="B1275" s="86">
        <v>13</v>
      </c>
      <c r="C1275" s="85">
        <v>0</v>
      </c>
      <c r="D1275" s="86">
        <v>3</v>
      </c>
      <c r="E1275" s="85">
        <v>0</v>
      </c>
      <c r="F1275" s="85">
        <v>0</v>
      </c>
      <c r="G1275" s="13">
        <v>44978</v>
      </c>
    </row>
    <row r="1276" spans="1:7" ht="14.5">
      <c r="A1276" s="85" t="s">
        <v>2789</v>
      </c>
      <c r="B1276" s="86">
        <v>11</v>
      </c>
      <c r="C1276" s="86">
        <v>1</v>
      </c>
      <c r="D1276" s="86">
        <v>2</v>
      </c>
      <c r="E1276" s="85">
        <v>0</v>
      </c>
      <c r="F1276" s="86">
        <v>1</v>
      </c>
      <c r="G1276" s="13">
        <v>44978</v>
      </c>
    </row>
    <row r="1277" spans="1:7" ht="14.5">
      <c r="A1277" s="85" t="s">
        <v>2794</v>
      </c>
      <c r="B1277" s="86">
        <v>11</v>
      </c>
      <c r="C1277" s="86">
        <v>3</v>
      </c>
      <c r="D1277" s="85">
        <v>0</v>
      </c>
      <c r="E1277" s="85">
        <v>0</v>
      </c>
      <c r="F1277" s="86">
        <v>1</v>
      </c>
      <c r="G1277" s="13">
        <v>44978</v>
      </c>
    </row>
    <row r="1278" spans="1:7" ht="14.5">
      <c r="A1278" s="85" t="s">
        <v>2800</v>
      </c>
      <c r="B1278" s="86">
        <v>29</v>
      </c>
      <c r="C1278" s="86">
        <v>6</v>
      </c>
      <c r="D1278" s="86">
        <v>9</v>
      </c>
      <c r="E1278" s="85">
        <v>0</v>
      </c>
      <c r="F1278" s="85">
        <v>0</v>
      </c>
      <c r="G1278" s="13">
        <v>44978</v>
      </c>
    </row>
    <row r="1279" spans="1:7" ht="14.5">
      <c r="A1279" s="85" t="s">
        <v>2807</v>
      </c>
      <c r="B1279" s="86">
        <v>18</v>
      </c>
      <c r="C1279" s="86">
        <v>32</v>
      </c>
      <c r="D1279" s="86">
        <v>12</v>
      </c>
      <c r="E1279" s="85">
        <v>0</v>
      </c>
      <c r="F1279" s="85">
        <v>0</v>
      </c>
      <c r="G1279" s="13">
        <v>44978</v>
      </c>
    </row>
    <row r="1280" spans="1:7" ht="14.5">
      <c r="A1280" s="85" t="s">
        <v>2812</v>
      </c>
      <c r="B1280" s="86">
        <v>47</v>
      </c>
      <c r="C1280" s="86">
        <v>14</v>
      </c>
      <c r="D1280" s="86">
        <v>48</v>
      </c>
      <c r="E1280" s="85">
        <v>0</v>
      </c>
      <c r="F1280" s="86">
        <v>5</v>
      </c>
      <c r="G1280" s="13">
        <v>44978</v>
      </c>
    </row>
    <row r="1281" spans="1:7" ht="14.5">
      <c r="A1281" s="85" t="s">
        <v>2816</v>
      </c>
      <c r="B1281" s="86">
        <v>122</v>
      </c>
      <c r="C1281" s="86">
        <v>14</v>
      </c>
      <c r="D1281" s="86">
        <v>223</v>
      </c>
      <c r="E1281" s="85">
        <v>0</v>
      </c>
      <c r="F1281" s="86">
        <v>9</v>
      </c>
      <c r="G1281" s="13">
        <v>44978</v>
      </c>
    </row>
    <row r="1282" spans="1:7" ht="14.5">
      <c r="A1282" s="85" t="s">
        <v>2822</v>
      </c>
      <c r="B1282" s="86">
        <v>1</v>
      </c>
      <c r="C1282" s="85">
        <v>0</v>
      </c>
      <c r="D1282" s="85">
        <v>0</v>
      </c>
      <c r="E1282" s="85">
        <v>0</v>
      </c>
      <c r="F1282" s="85">
        <v>0</v>
      </c>
      <c r="G1282" s="13">
        <v>44978</v>
      </c>
    </row>
    <row r="1283" spans="1:7" ht="14.5">
      <c r="A1283" s="85" t="s">
        <v>2826</v>
      </c>
      <c r="B1283" s="86">
        <v>29</v>
      </c>
      <c r="C1283" s="85">
        <v>0</v>
      </c>
      <c r="D1283" s="85">
        <v>0</v>
      </c>
      <c r="E1283" s="85">
        <v>0</v>
      </c>
      <c r="F1283" s="85">
        <v>0</v>
      </c>
      <c r="G1283" s="13">
        <v>44978</v>
      </c>
    </row>
    <row r="1284" spans="1:7" ht="14.5">
      <c r="A1284" s="85" t="s">
        <v>2828</v>
      </c>
      <c r="B1284" s="86">
        <v>500</v>
      </c>
      <c r="C1284" s="86">
        <v>106</v>
      </c>
      <c r="D1284" s="86">
        <v>169</v>
      </c>
      <c r="E1284" s="86">
        <v>606</v>
      </c>
      <c r="F1284" s="85">
        <v>0</v>
      </c>
      <c r="G1284" s="13">
        <v>44978</v>
      </c>
    </row>
    <row r="1285" spans="1:7" ht="14.5">
      <c r="A1285" s="85" t="s">
        <v>2835</v>
      </c>
      <c r="B1285" s="86">
        <v>91</v>
      </c>
      <c r="C1285" s="86">
        <v>56</v>
      </c>
      <c r="D1285" s="86">
        <v>23</v>
      </c>
      <c r="E1285" s="86">
        <v>35</v>
      </c>
      <c r="F1285" s="86">
        <v>1</v>
      </c>
      <c r="G1285" s="13">
        <v>44978</v>
      </c>
    </row>
    <row r="1286" spans="1:7" ht="14.5">
      <c r="A1286" s="85" t="s">
        <v>2839</v>
      </c>
      <c r="B1286" s="86">
        <v>90</v>
      </c>
      <c r="C1286" s="86">
        <v>15</v>
      </c>
      <c r="D1286" s="85">
        <v>0</v>
      </c>
      <c r="E1286" s="85">
        <v>0</v>
      </c>
      <c r="F1286" s="85">
        <v>0</v>
      </c>
      <c r="G1286" s="13">
        <v>44978</v>
      </c>
    </row>
    <row r="1287" spans="1:7" ht="14.5">
      <c r="A1287" s="85" t="s">
        <v>2845</v>
      </c>
      <c r="B1287" s="86">
        <v>9</v>
      </c>
      <c r="C1287" s="86">
        <v>1</v>
      </c>
      <c r="D1287" s="86">
        <v>4</v>
      </c>
      <c r="E1287" s="85">
        <v>0</v>
      </c>
      <c r="F1287" s="85">
        <v>0</v>
      </c>
      <c r="G1287" s="13">
        <v>44978</v>
      </c>
    </row>
    <row r="1288" spans="1:7" ht="14.5">
      <c r="A1288" s="85" t="s">
        <v>2849</v>
      </c>
      <c r="B1288" s="86">
        <v>28</v>
      </c>
      <c r="C1288" s="86">
        <v>31</v>
      </c>
      <c r="D1288" s="86">
        <v>3</v>
      </c>
      <c r="E1288" s="86">
        <v>17</v>
      </c>
      <c r="F1288" s="85">
        <v>0</v>
      </c>
      <c r="G1288" s="13">
        <v>44978</v>
      </c>
    </row>
    <row r="1289" spans="1:7" ht="14.5">
      <c r="A1289" s="85" t="s">
        <v>2853</v>
      </c>
      <c r="B1289" s="86">
        <v>81</v>
      </c>
      <c r="C1289" s="86">
        <v>7</v>
      </c>
      <c r="D1289" s="86">
        <v>2</v>
      </c>
      <c r="E1289" s="86">
        <v>108</v>
      </c>
      <c r="F1289" s="85">
        <v>0</v>
      </c>
      <c r="G1289" s="13">
        <v>44978</v>
      </c>
    </row>
    <row r="1290" spans="1:7" ht="14.5">
      <c r="A1290" s="85" t="s">
        <v>2855</v>
      </c>
      <c r="B1290" s="86">
        <v>87</v>
      </c>
      <c r="C1290" s="86">
        <v>17</v>
      </c>
      <c r="D1290" s="86">
        <v>1</v>
      </c>
      <c r="E1290" s="86">
        <v>646</v>
      </c>
      <c r="F1290" s="85">
        <v>0</v>
      </c>
      <c r="G1290" s="13">
        <v>44978</v>
      </c>
    </row>
    <row r="1291" spans="1:7" ht="14.5">
      <c r="A1291" s="85" t="s">
        <v>2859</v>
      </c>
      <c r="B1291" s="86">
        <v>6</v>
      </c>
      <c r="C1291" s="85">
        <v>0</v>
      </c>
      <c r="D1291" s="85">
        <v>0</v>
      </c>
      <c r="E1291" s="86">
        <v>109</v>
      </c>
      <c r="F1291" s="85">
        <v>0</v>
      </c>
      <c r="G1291" s="13">
        <v>44978</v>
      </c>
    </row>
    <row r="1292" spans="1:7" ht="14.5">
      <c r="A1292" s="85" t="s">
        <v>2863</v>
      </c>
      <c r="B1292" s="86">
        <v>32</v>
      </c>
      <c r="C1292" s="86">
        <v>21</v>
      </c>
      <c r="D1292" s="86">
        <v>53</v>
      </c>
      <c r="E1292" s="85">
        <v>0</v>
      </c>
      <c r="F1292" s="85">
        <v>0</v>
      </c>
      <c r="G1292" s="13">
        <v>44978</v>
      </c>
    </row>
    <row r="1293" spans="1:7" ht="14.5">
      <c r="A1293" s="85" t="s">
        <v>2867</v>
      </c>
      <c r="B1293" s="86">
        <v>109</v>
      </c>
      <c r="C1293" s="86">
        <v>16</v>
      </c>
      <c r="D1293" s="85">
        <v>0</v>
      </c>
      <c r="E1293" s="86">
        <v>295</v>
      </c>
      <c r="F1293" s="85">
        <v>0</v>
      </c>
      <c r="G1293" s="13">
        <v>44978</v>
      </c>
    </row>
    <row r="1294" spans="1:7" ht="14.5">
      <c r="A1294" s="85" t="s">
        <v>2869</v>
      </c>
      <c r="B1294" s="86">
        <v>22</v>
      </c>
      <c r="C1294" s="86">
        <v>5</v>
      </c>
      <c r="D1294" s="86">
        <v>33</v>
      </c>
      <c r="E1294" s="85">
        <v>0</v>
      </c>
      <c r="F1294" s="85">
        <v>0</v>
      </c>
      <c r="G1294" s="13">
        <v>44978</v>
      </c>
    </row>
    <row r="1295" spans="1:7" ht="14.5">
      <c r="A1295" s="85" t="s">
        <v>2874</v>
      </c>
      <c r="B1295" s="86">
        <v>30</v>
      </c>
      <c r="C1295" s="86">
        <v>9</v>
      </c>
      <c r="D1295" s="86">
        <v>66</v>
      </c>
      <c r="E1295" s="85">
        <v>0</v>
      </c>
      <c r="F1295" s="85">
        <v>0</v>
      </c>
      <c r="G1295" s="13">
        <v>44978</v>
      </c>
    </row>
    <row r="1296" spans="1:7" ht="14.5">
      <c r="A1296" s="85" t="s">
        <v>2876</v>
      </c>
      <c r="B1296" s="86">
        <v>33</v>
      </c>
      <c r="C1296" s="86">
        <v>4</v>
      </c>
      <c r="D1296" s="86">
        <v>179</v>
      </c>
      <c r="E1296" s="85">
        <v>0</v>
      </c>
      <c r="F1296" s="86">
        <v>1</v>
      </c>
      <c r="G1296" s="13">
        <v>44978</v>
      </c>
    </row>
    <row r="1297" spans="1:7" ht="14.5">
      <c r="A1297" s="85" t="s">
        <v>2881</v>
      </c>
      <c r="B1297" s="86">
        <v>129</v>
      </c>
      <c r="C1297" s="86">
        <v>17</v>
      </c>
      <c r="D1297" s="86">
        <v>985</v>
      </c>
      <c r="E1297" s="86">
        <v>306</v>
      </c>
      <c r="F1297" s="86">
        <v>47</v>
      </c>
      <c r="G1297" s="13">
        <v>44978</v>
      </c>
    </row>
    <row r="1298" spans="1:7" ht="14.5">
      <c r="A1298" s="85" t="s">
        <v>2885</v>
      </c>
      <c r="B1298" s="86">
        <v>31</v>
      </c>
      <c r="C1298" s="86">
        <v>12</v>
      </c>
      <c r="D1298" s="86">
        <v>83</v>
      </c>
      <c r="E1298" s="85">
        <v>0</v>
      </c>
      <c r="F1298" s="85">
        <v>0</v>
      </c>
      <c r="G1298" s="13">
        <v>44978</v>
      </c>
    </row>
    <row r="1299" spans="1:7" ht="14.5">
      <c r="A1299" s="85" t="s">
        <v>2889</v>
      </c>
      <c r="B1299" s="86">
        <v>6</v>
      </c>
      <c r="C1299" s="86">
        <v>3</v>
      </c>
      <c r="D1299" s="86">
        <v>1</v>
      </c>
      <c r="E1299" s="86">
        <v>65</v>
      </c>
      <c r="F1299" s="85">
        <v>0</v>
      </c>
      <c r="G1299" s="13">
        <v>44978</v>
      </c>
    </row>
    <row r="1300" spans="1:7" ht="14.5">
      <c r="A1300" s="85" t="s">
        <v>2893</v>
      </c>
      <c r="B1300" s="86">
        <v>120</v>
      </c>
      <c r="C1300" s="86">
        <v>30</v>
      </c>
      <c r="D1300" s="86">
        <v>9</v>
      </c>
      <c r="E1300" s="85">
        <v>0</v>
      </c>
      <c r="F1300" s="85">
        <v>0</v>
      </c>
      <c r="G1300" s="13">
        <v>44978</v>
      </c>
    </row>
    <row r="1301" spans="1:7" ht="14.5">
      <c r="A1301" s="85" t="s">
        <v>2897</v>
      </c>
      <c r="B1301" s="86">
        <v>5</v>
      </c>
      <c r="C1301" s="86">
        <v>1</v>
      </c>
      <c r="D1301" s="85">
        <v>0</v>
      </c>
      <c r="E1301" s="86">
        <v>38</v>
      </c>
      <c r="F1301" s="85">
        <v>0</v>
      </c>
      <c r="G1301" s="13">
        <v>44978</v>
      </c>
    </row>
    <row r="1302" spans="1:7" ht="14.5">
      <c r="A1302" s="85" t="s">
        <v>2902</v>
      </c>
      <c r="B1302" s="86">
        <v>400</v>
      </c>
      <c r="C1302" s="86">
        <v>83</v>
      </c>
      <c r="D1302" s="86">
        <v>21</v>
      </c>
      <c r="E1302" s="86">
        <v>666</v>
      </c>
      <c r="F1302" s="85">
        <v>0</v>
      </c>
      <c r="G1302" s="13">
        <v>44978</v>
      </c>
    </row>
    <row r="1303" spans="1:7" ht="14.5">
      <c r="A1303" s="85" t="s">
        <v>2906</v>
      </c>
      <c r="B1303" s="86">
        <v>16</v>
      </c>
      <c r="C1303" s="86">
        <v>9</v>
      </c>
      <c r="D1303" s="86">
        <v>5</v>
      </c>
      <c r="E1303" s="86">
        <v>20</v>
      </c>
      <c r="F1303" s="85">
        <v>0</v>
      </c>
      <c r="G1303" s="13">
        <v>44978</v>
      </c>
    </row>
    <row r="1304" spans="1:7" ht="14.5">
      <c r="A1304" s="85" t="s">
        <v>2908</v>
      </c>
      <c r="B1304" s="86">
        <v>10</v>
      </c>
      <c r="C1304" s="86">
        <v>2</v>
      </c>
      <c r="D1304" s="85">
        <v>0</v>
      </c>
      <c r="E1304" s="85">
        <v>0</v>
      </c>
      <c r="F1304" s="85">
        <v>0</v>
      </c>
      <c r="G1304" s="13">
        <v>44978</v>
      </c>
    </row>
    <row r="1305" spans="1:7" ht="14.5">
      <c r="A1305" s="85" t="s">
        <v>2911</v>
      </c>
      <c r="B1305" s="86">
        <v>27</v>
      </c>
      <c r="C1305" s="86">
        <v>162</v>
      </c>
      <c r="D1305" s="86">
        <v>11</v>
      </c>
      <c r="E1305" s="86">
        <v>107</v>
      </c>
      <c r="F1305" s="85">
        <v>0</v>
      </c>
      <c r="G1305" s="13">
        <v>44978</v>
      </c>
    </row>
    <row r="1306" spans="1:7" ht="14.5">
      <c r="A1306" s="85" t="s">
        <v>2916</v>
      </c>
      <c r="B1306" s="86">
        <v>42</v>
      </c>
      <c r="C1306" s="86">
        <v>4</v>
      </c>
      <c r="D1306" s="85">
        <v>0</v>
      </c>
      <c r="E1306" s="85">
        <v>0</v>
      </c>
      <c r="F1306" s="85">
        <v>0</v>
      </c>
      <c r="G1306" s="13">
        <v>44978</v>
      </c>
    </row>
    <row r="1307" spans="1:7" ht="14.5">
      <c r="A1307" s="85" t="s">
        <v>2920</v>
      </c>
      <c r="B1307" s="86">
        <v>77</v>
      </c>
      <c r="C1307" s="86">
        <v>5</v>
      </c>
      <c r="D1307" s="86">
        <v>4</v>
      </c>
      <c r="E1307" s="86">
        <v>98</v>
      </c>
      <c r="F1307" s="85">
        <v>0</v>
      </c>
      <c r="G1307" s="13">
        <v>44978</v>
      </c>
    </row>
    <row r="1308" spans="1:7" ht="14.5">
      <c r="A1308" s="85" t="s">
        <v>2924</v>
      </c>
      <c r="B1308" s="86">
        <v>154</v>
      </c>
      <c r="C1308" s="86">
        <v>21</v>
      </c>
      <c r="D1308" s="86">
        <v>27</v>
      </c>
      <c r="E1308" s="86">
        <v>186</v>
      </c>
      <c r="F1308" s="85">
        <v>0</v>
      </c>
      <c r="G1308" s="13">
        <v>44978</v>
      </c>
    </row>
    <row r="1309" spans="1:7" ht="14.5">
      <c r="A1309" s="85" t="s">
        <v>2928</v>
      </c>
      <c r="B1309" s="86">
        <v>568</v>
      </c>
      <c r="C1309" s="86">
        <v>208</v>
      </c>
      <c r="D1309" s="86">
        <v>29</v>
      </c>
      <c r="E1309" s="85">
        <v>0</v>
      </c>
      <c r="F1309" s="86">
        <v>1</v>
      </c>
      <c r="G1309" s="13">
        <v>44978</v>
      </c>
    </row>
    <row r="1310" spans="1:7" ht="14.5">
      <c r="A1310" s="85" t="s">
        <v>2932</v>
      </c>
      <c r="B1310" s="85">
        <v>0</v>
      </c>
      <c r="C1310" s="86">
        <v>2</v>
      </c>
      <c r="D1310" s="85">
        <v>0</v>
      </c>
      <c r="E1310" s="86">
        <v>17</v>
      </c>
      <c r="F1310" s="85">
        <v>0</v>
      </c>
      <c r="G1310" s="13">
        <v>44978</v>
      </c>
    </row>
    <row r="1311" spans="1:7" ht="14.5">
      <c r="A1311" s="85" t="s">
        <v>2936</v>
      </c>
      <c r="B1311" s="86">
        <v>11</v>
      </c>
      <c r="C1311" s="86">
        <v>4</v>
      </c>
      <c r="D1311" s="85">
        <v>0</v>
      </c>
      <c r="E1311" s="85">
        <v>0</v>
      </c>
      <c r="F1311" s="85">
        <v>0</v>
      </c>
      <c r="G1311" s="13">
        <v>44978</v>
      </c>
    </row>
    <row r="1312" spans="1:7" ht="14.5">
      <c r="A1312" s="85" t="s">
        <v>2940</v>
      </c>
      <c r="B1312" s="86">
        <v>4</v>
      </c>
      <c r="C1312" s="85">
        <v>0</v>
      </c>
      <c r="D1312" s="86">
        <v>1</v>
      </c>
      <c r="E1312" s="85">
        <v>0</v>
      </c>
      <c r="F1312" s="85">
        <v>0</v>
      </c>
      <c r="G1312" s="13">
        <v>44978</v>
      </c>
    </row>
    <row r="1313" spans="1:7" ht="14.5">
      <c r="A1313" s="85" t="s">
        <v>2944</v>
      </c>
      <c r="B1313" s="86">
        <v>30</v>
      </c>
      <c r="C1313" s="86">
        <v>9</v>
      </c>
      <c r="D1313" s="86">
        <v>165</v>
      </c>
      <c r="E1313" s="86">
        <v>235</v>
      </c>
      <c r="F1313" s="86">
        <v>3</v>
      </c>
      <c r="G1313" s="13">
        <v>44978</v>
      </c>
    </row>
    <row r="1314" spans="1:7" ht="14.5">
      <c r="A1314" s="85" t="s">
        <v>2948</v>
      </c>
      <c r="B1314" s="86">
        <v>81</v>
      </c>
      <c r="C1314" s="86">
        <v>2</v>
      </c>
      <c r="D1314" s="86">
        <v>7</v>
      </c>
      <c r="E1314" s="86">
        <v>472</v>
      </c>
      <c r="F1314" s="85">
        <v>0</v>
      </c>
      <c r="G1314" s="13">
        <v>44978</v>
      </c>
    </row>
    <row r="1315" spans="1:7" ht="14.5">
      <c r="A1315" s="85" t="s">
        <v>2952</v>
      </c>
      <c r="B1315" s="86">
        <v>9</v>
      </c>
      <c r="C1315" s="86">
        <v>3</v>
      </c>
      <c r="D1315" s="85">
        <v>0</v>
      </c>
      <c r="E1315" s="86">
        <v>59</v>
      </c>
      <c r="F1315" s="85">
        <v>0</v>
      </c>
      <c r="G1315" s="13">
        <v>44978</v>
      </c>
    </row>
    <row r="1316" spans="1:7" ht="14.5">
      <c r="A1316" s="85" t="s">
        <v>2956</v>
      </c>
      <c r="B1316" s="86">
        <v>36</v>
      </c>
      <c r="C1316" s="86">
        <v>37</v>
      </c>
      <c r="D1316" s="85">
        <v>0</v>
      </c>
      <c r="E1316" s="86">
        <v>24</v>
      </c>
      <c r="F1316" s="85">
        <v>0</v>
      </c>
      <c r="G1316" s="13">
        <v>44978</v>
      </c>
    </row>
    <row r="1317" spans="1:7" ht="14.5">
      <c r="A1317" s="85" t="s">
        <v>2960</v>
      </c>
      <c r="B1317" s="86">
        <v>23</v>
      </c>
      <c r="C1317" s="86">
        <v>11</v>
      </c>
      <c r="D1317" s="86">
        <v>366</v>
      </c>
      <c r="E1317" s="85">
        <v>0</v>
      </c>
      <c r="F1317" s="86">
        <v>1</v>
      </c>
      <c r="G1317" s="13">
        <v>44978</v>
      </c>
    </row>
    <row r="1318" spans="1:7" ht="14.5">
      <c r="A1318" s="85" t="s">
        <v>2964</v>
      </c>
      <c r="B1318" s="86">
        <v>59</v>
      </c>
      <c r="C1318" s="86">
        <v>15</v>
      </c>
      <c r="D1318" s="86">
        <v>25</v>
      </c>
      <c r="E1318" s="86">
        <v>23</v>
      </c>
      <c r="F1318" s="85">
        <v>0</v>
      </c>
      <c r="G1318" s="13">
        <v>44978</v>
      </c>
    </row>
    <row r="1319" spans="1:7" ht="14.5">
      <c r="A1319" s="85" t="s">
        <v>2968</v>
      </c>
      <c r="B1319" s="86">
        <v>4</v>
      </c>
      <c r="C1319" s="85">
        <v>0</v>
      </c>
      <c r="D1319" s="86">
        <v>3</v>
      </c>
      <c r="E1319" s="85">
        <v>0</v>
      </c>
      <c r="F1319" s="85">
        <v>0</v>
      </c>
      <c r="G1319" s="13">
        <v>44978</v>
      </c>
    </row>
    <row r="1320" spans="1:7" ht="14.5">
      <c r="A1320" s="85" t="s">
        <v>2972</v>
      </c>
      <c r="B1320" s="86">
        <v>36</v>
      </c>
      <c r="C1320" s="86">
        <v>6</v>
      </c>
      <c r="D1320" s="86">
        <v>10</v>
      </c>
      <c r="E1320" s="86">
        <v>26</v>
      </c>
      <c r="F1320" s="85">
        <v>0</v>
      </c>
      <c r="G1320" s="13">
        <v>44978</v>
      </c>
    </row>
    <row r="1321" spans="1:7" ht="14.5">
      <c r="A1321" s="85" t="s">
        <v>2976</v>
      </c>
      <c r="B1321" s="85">
        <v>0</v>
      </c>
      <c r="C1321" s="86">
        <v>13</v>
      </c>
      <c r="D1321" s="86">
        <v>1</v>
      </c>
      <c r="E1321" s="86">
        <v>6</v>
      </c>
      <c r="F1321" s="85">
        <v>0</v>
      </c>
      <c r="G1321" s="13">
        <v>44978</v>
      </c>
    </row>
    <row r="1322" spans="1:7" ht="14.5">
      <c r="A1322" s="85" t="s">
        <v>2980</v>
      </c>
      <c r="B1322" s="86">
        <v>41</v>
      </c>
      <c r="C1322" s="86">
        <v>37</v>
      </c>
      <c r="D1322" s="86">
        <v>2</v>
      </c>
      <c r="E1322" s="85">
        <v>0</v>
      </c>
      <c r="F1322" s="85">
        <v>0</v>
      </c>
      <c r="G1322" s="13">
        <v>44978</v>
      </c>
    </row>
    <row r="1323" spans="1:7" ht="14.5">
      <c r="A1323" s="85" t="s">
        <v>2982</v>
      </c>
      <c r="B1323" s="86">
        <v>76</v>
      </c>
      <c r="C1323" s="86">
        <v>7</v>
      </c>
      <c r="D1323" s="86">
        <v>14</v>
      </c>
      <c r="E1323" s="86">
        <v>234</v>
      </c>
      <c r="F1323" s="85">
        <v>0</v>
      </c>
      <c r="G1323" s="13">
        <v>44978</v>
      </c>
    </row>
    <row r="1324" spans="1:7" ht="14.5">
      <c r="A1324" s="85" t="s">
        <v>2986</v>
      </c>
      <c r="B1324" s="86">
        <v>40</v>
      </c>
      <c r="C1324" s="86">
        <v>6</v>
      </c>
      <c r="D1324" s="86">
        <v>28</v>
      </c>
      <c r="E1324" s="86">
        <v>34</v>
      </c>
      <c r="F1324" s="85">
        <v>0</v>
      </c>
      <c r="G1324" s="13">
        <v>44978</v>
      </c>
    </row>
    <row r="1325" spans="1:7" ht="14.5">
      <c r="A1325" s="85" t="s">
        <v>2991</v>
      </c>
      <c r="B1325" s="86">
        <v>159</v>
      </c>
      <c r="C1325" s="86">
        <v>25</v>
      </c>
      <c r="D1325" s="86">
        <v>5</v>
      </c>
      <c r="E1325" s="86">
        <v>358</v>
      </c>
      <c r="F1325" s="86">
        <v>1</v>
      </c>
      <c r="G1325" s="13">
        <v>44978</v>
      </c>
    </row>
    <row r="1326" spans="1:7" ht="14.5">
      <c r="A1326" s="85" t="s">
        <v>2993</v>
      </c>
      <c r="B1326" s="86">
        <v>18</v>
      </c>
      <c r="C1326" s="86">
        <v>4</v>
      </c>
      <c r="D1326" s="86">
        <v>22</v>
      </c>
      <c r="E1326" s="86">
        <v>152</v>
      </c>
      <c r="F1326" s="85">
        <v>0</v>
      </c>
      <c r="G1326" s="13">
        <v>44978</v>
      </c>
    </row>
    <row r="1327" spans="1:7" ht="14.5">
      <c r="A1327" s="85" t="s">
        <v>2997</v>
      </c>
      <c r="B1327" s="86">
        <v>2</v>
      </c>
      <c r="C1327" s="86">
        <v>1</v>
      </c>
      <c r="D1327" s="85">
        <v>0</v>
      </c>
      <c r="E1327" s="85">
        <v>0</v>
      </c>
      <c r="F1327" s="85">
        <v>0</v>
      </c>
      <c r="G1327" s="13">
        <v>44978</v>
      </c>
    </row>
    <row r="1328" spans="1:7" ht="14.5">
      <c r="A1328" s="85" t="s">
        <v>3001</v>
      </c>
      <c r="B1328" s="86">
        <v>20</v>
      </c>
      <c r="C1328" s="86">
        <v>1</v>
      </c>
      <c r="D1328" s="86">
        <v>1</v>
      </c>
      <c r="E1328" s="86">
        <v>620</v>
      </c>
      <c r="F1328" s="85">
        <v>0</v>
      </c>
      <c r="G1328" s="13">
        <v>44978</v>
      </c>
    </row>
    <row r="1329" spans="1:7" ht="14.5">
      <c r="A1329" s="85" t="s">
        <v>3003</v>
      </c>
      <c r="B1329" s="86">
        <v>1</v>
      </c>
      <c r="C1329" s="86">
        <v>2</v>
      </c>
      <c r="D1329" s="86">
        <v>1</v>
      </c>
      <c r="E1329" s="85">
        <v>0</v>
      </c>
      <c r="F1329" s="86">
        <v>2</v>
      </c>
      <c r="G1329" s="13">
        <v>44978</v>
      </c>
    </row>
    <row r="1330" spans="1:7" ht="14.5">
      <c r="A1330" s="85" t="s">
        <v>3008</v>
      </c>
      <c r="B1330" s="86">
        <v>10</v>
      </c>
      <c r="C1330" s="85">
        <v>0</v>
      </c>
      <c r="D1330" s="85">
        <v>0</v>
      </c>
      <c r="E1330" s="85">
        <v>0</v>
      </c>
      <c r="F1330" s="85">
        <v>0</v>
      </c>
      <c r="G1330" s="13">
        <v>44978</v>
      </c>
    </row>
    <row r="1331" spans="1:7" ht="14.5">
      <c r="A1331" s="85" t="s">
        <v>3012</v>
      </c>
      <c r="B1331" s="86">
        <v>122</v>
      </c>
      <c r="C1331" s="86">
        <v>6</v>
      </c>
      <c r="D1331" s="86">
        <v>49</v>
      </c>
      <c r="E1331" s="86">
        <v>369</v>
      </c>
      <c r="F1331" s="85">
        <v>0</v>
      </c>
      <c r="G1331" s="13">
        <v>44978</v>
      </c>
    </row>
    <row r="1332" spans="1:7" ht="14.5">
      <c r="A1332" s="85" t="s">
        <v>3014</v>
      </c>
      <c r="B1332" s="86">
        <v>24</v>
      </c>
      <c r="C1332" s="86">
        <v>4</v>
      </c>
      <c r="D1332" s="86">
        <v>10</v>
      </c>
      <c r="E1332" s="85">
        <v>0</v>
      </c>
      <c r="F1332" s="85">
        <v>0</v>
      </c>
      <c r="G1332" s="13">
        <v>44978</v>
      </c>
    </row>
    <row r="1333" spans="1:7" ht="14.5">
      <c r="A1333" s="85" t="s">
        <v>3018</v>
      </c>
      <c r="B1333" s="86">
        <v>10</v>
      </c>
      <c r="C1333" s="86">
        <v>2</v>
      </c>
      <c r="D1333" s="86">
        <v>7</v>
      </c>
      <c r="E1333" s="85">
        <v>0</v>
      </c>
      <c r="F1333" s="85">
        <v>0</v>
      </c>
      <c r="G1333" s="13">
        <v>44978</v>
      </c>
    </row>
    <row r="1334" spans="1:7" ht="14.5">
      <c r="A1334" s="85" t="s">
        <v>3022</v>
      </c>
      <c r="B1334" s="86">
        <v>9</v>
      </c>
      <c r="C1334" s="86">
        <v>3</v>
      </c>
      <c r="D1334" s="86">
        <v>2</v>
      </c>
      <c r="E1334" s="85">
        <v>0</v>
      </c>
      <c r="F1334" s="85">
        <v>0</v>
      </c>
      <c r="G1334" s="13">
        <v>44978</v>
      </c>
    </row>
    <row r="1335" spans="1:7" ht="14.5">
      <c r="A1335" s="85" t="s">
        <v>3026</v>
      </c>
      <c r="B1335" s="86">
        <v>3</v>
      </c>
      <c r="C1335" s="86">
        <v>1</v>
      </c>
      <c r="D1335" s="85">
        <v>0</v>
      </c>
      <c r="E1335" s="85">
        <v>0</v>
      </c>
      <c r="F1335" s="85">
        <v>0</v>
      </c>
      <c r="G1335" s="13">
        <v>44978</v>
      </c>
    </row>
    <row r="1336" spans="1:7" ht="14.5">
      <c r="A1336" s="85" t="s">
        <v>3030</v>
      </c>
      <c r="B1336" s="86">
        <v>55</v>
      </c>
      <c r="C1336" s="86">
        <v>47</v>
      </c>
      <c r="D1336" s="86">
        <v>1</v>
      </c>
      <c r="E1336" s="85">
        <v>0</v>
      </c>
      <c r="F1336" s="85">
        <v>0</v>
      </c>
      <c r="G1336" s="13">
        <v>44978</v>
      </c>
    </row>
    <row r="1337" spans="1:7" ht="14.5">
      <c r="A1337" s="85" t="s">
        <v>3033</v>
      </c>
      <c r="B1337" s="86">
        <v>15</v>
      </c>
      <c r="C1337" s="86">
        <v>4</v>
      </c>
      <c r="D1337" s="86">
        <v>1</v>
      </c>
      <c r="E1337" s="85">
        <v>0</v>
      </c>
      <c r="F1337" s="85">
        <v>0</v>
      </c>
      <c r="G1337" s="13">
        <v>44978</v>
      </c>
    </row>
    <row r="1338" spans="1:7" ht="14.5">
      <c r="A1338" s="85" t="s">
        <v>3038</v>
      </c>
      <c r="B1338" s="86">
        <v>182</v>
      </c>
      <c r="C1338" s="86">
        <v>8</v>
      </c>
      <c r="D1338" s="86">
        <v>3</v>
      </c>
      <c r="E1338" s="86">
        <v>963</v>
      </c>
      <c r="F1338" s="86">
        <v>1</v>
      </c>
      <c r="G1338" s="13">
        <v>44978</v>
      </c>
    </row>
    <row r="1339" spans="1:7" ht="14.5">
      <c r="A1339" s="85" t="s">
        <v>3040</v>
      </c>
      <c r="B1339" s="86">
        <v>4</v>
      </c>
      <c r="C1339" s="86">
        <v>7</v>
      </c>
      <c r="D1339" s="86">
        <v>296</v>
      </c>
      <c r="E1339" s="85">
        <v>0</v>
      </c>
      <c r="F1339" s="85">
        <v>0</v>
      </c>
      <c r="G1339" s="13">
        <v>44978</v>
      </c>
    </row>
    <row r="1340" spans="1:7" ht="14.5">
      <c r="A1340" s="85" t="s">
        <v>3044</v>
      </c>
      <c r="B1340" s="86">
        <v>2</v>
      </c>
      <c r="C1340" s="86">
        <v>2</v>
      </c>
      <c r="D1340" s="85">
        <v>0</v>
      </c>
      <c r="E1340" s="85">
        <v>0</v>
      </c>
      <c r="F1340" s="85">
        <v>0</v>
      </c>
      <c r="G1340" s="13">
        <v>44978</v>
      </c>
    </row>
    <row r="1341" spans="1:7" ht="14.5">
      <c r="A1341" s="85" t="s">
        <v>3048</v>
      </c>
      <c r="B1341" s="86">
        <v>35</v>
      </c>
      <c r="C1341" s="86">
        <v>5</v>
      </c>
      <c r="D1341" s="86">
        <v>6</v>
      </c>
      <c r="E1341" s="86">
        <v>19</v>
      </c>
      <c r="F1341" s="85">
        <v>0</v>
      </c>
      <c r="G1341" s="13">
        <v>44978</v>
      </c>
    </row>
    <row r="1342" spans="1:7" ht="14.5">
      <c r="A1342" s="85" t="s">
        <v>3050</v>
      </c>
      <c r="B1342" s="86">
        <v>19</v>
      </c>
      <c r="C1342" s="86">
        <v>6</v>
      </c>
      <c r="D1342" s="86">
        <v>7</v>
      </c>
      <c r="E1342" s="85">
        <v>0</v>
      </c>
      <c r="F1342" s="85">
        <v>0</v>
      </c>
      <c r="G1342" s="13">
        <v>44978</v>
      </c>
    </row>
    <row r="1343" spans="1:7" ht="14.5">
      <c r="A1343" s="85" t="s">
        <v>3052</v>
      </c>
      <c r="B1343" s="86">
        <v>225</v>
      </c>
      <c r="C1343" s="86">
        <v>32</v>
      </c>
      <c r="D1343" s="85">
        <v>0</v>
      </c>
      <c r="E1343" s="85">
        <v>0</v>
      </c>
      <c r="F1343" s="85">
        <v>0</v>
      </c>
      <c r="G1343" s="13">
        <v>44978</v>
      </c>
    </row>
    <row r="1344" spans="1:7" ht="14.5">
      <c r="A1344" s="85" t="s">
        <v>3058</v>
      </c>
      <c r="B1344" s="86">
        <v>11</v>
      </c>
      <c r="C1344" s="86">
        <v>2</v>
      </c>
      <c r="D1344" s="85">
        <v>0</v>
      </c>
      <c r="E1344" s="85">
        <v>0</v>
      </c>
      <c r="F1344" s="85">
        <v>0</v>
      </c>
      <c r="G1344" s="13">
        <v>44978</v>
      </c>
    </row>
    <row r="1345" spans="1:7" ht="14.5">
      <c r="A1345" s="85" t="s">
        <v>3063</v>
      </c>
      <c r="B1345" s="86">
        <v>46</v>
      </c>
      <c r="C1345" s="86">
        <v>22</v>
      </c>
      <c r="D1345" s="86">
        <v>15</v>
      </c>
      <c r="E1345" s="85">
        <v>0</v>
      </c>
      <c r="F1345" s="86">
        <v>1</v>
      </c>
      <c r="G1345" s="13">
        <v>44978</v>
      </c>
    </row>
    <row r="1346" spans="1:7" ht="14.5">
      <c r="A1346" s="85" t="s">
        <v>3066</v>
      </c>
      <c r="B1346" s="86">
        <v>41</v>
      </c>
      <c r="C1346" s="86">
        <v>13</v>
      </c>
      <c r="D1346" s="85">
        <v>0</v>
      </c>
      <c r="E1346" s="85">
        <v>0</v>
      </c>
      <c r="F1346" s="85">
        <v>0</v>
      </c>
      <c r="G1346" s="13">
        <v>44978</v>
      </c>
    </row>
    <row r="1347" spans="1:7" ht="14.5">
      <c r="A1347" s="85" t="s">
        <v>3068</v>
      </c>
      <c r="B1347" s="86">
        <v>1</v>
      </c>
      <c r="C1347" s="86">
        <v>5</v>
      </c>
      <c r="D1347" s="85">
        <v>0</v>
      </c>
      <c r="E1347" s="85">
        <v>0</v>
      </c>
      <c r="F1347" s="85">
        <v>0</v>
      </c>
      <c r="G1347" s="13">
        <v>44978</v>
      </c>
    </row>
    <row r="1348" spans="1:7" ht="14.5">
      <c r="A1348" s="85" t="s">
        <v>3072</v>
      </c>
      <c r="B1348" s="86">
        <v>23</v>
      </c>
      <c r="C1348" s="86">
        <v>2</v>
      </c>
      <c r="D1348" s="86">
        <v>43</v>
      </c>
      <c r="E1348" s="85">
        <v>0</v>
      </c>
      <c r="F1348" s="85">
        <v>0</v>
      </c>
      <c r="G1348" s="13">
        <v>44978</v>
      </c>
    </row>
    <row r="1349" spans="1:7" ht="14.5">
      <c r="A1349" s="85" t="s">
        <v>3076</v>
      </c>
      <c r="B1349" s="86">
        <v>3</v>
      </c>
      <c r="C1349" s="86">
        <v>2</v>
      </c>
      <c r="D1349" s="86">
        <v>1</v>
      </c>
      <c r="E1349" s="85">
        <v>0</v>
      </c>
      <c r="F1349" s="85">
        <v>0</v>
      </c>
      <c r="G1349" s="13">
        <v>44978</v>
      </c>
    </row>
    <row r="1350" spans="1:7" ht="14.5">
      <c r="A1350" s="85" t="s">
        <v>3078</v>
      </c>
      <c r="B1350" s="86">
        <v>2</v>
      </c>
      <c r="C1350" s="86">
        <v>3</v>
      </c>
      <c r="D1350" s="86">
        <v>5</v>
      </c>
      <c r="E1350" s="85">
        <v>0</v>
      </c>
      <c r="F1350" s="86">
        <v>2</v>
      </c>
      <c r="G1350" s="13">
        <v>44978</v>
      </c>
    </row>
    <row r="1351" spans="1:7" ht="14.5">
      <c r="A1351" s="85" t="s">
        <v>3080</v>
      </c>
      <c r="B1351" s="86">
        <v>49</v>
      </c>
      <c r="C1351" s="86">
        <v>17</v>
      </c>
      <c r="D1351" s="86">
        <v>317</v>
      </c>
      <c r="E1351" s="85">
        <v>0</v>
      </c>
      <c r="F1351" s="85">
        <v>0</v>
      </c>
      <c r="G1351" s="13">
        <v>44978</v>
      </c>
    </row>
    <row r="1352" spans="1:7" ht="14.5">
      <c r="A1352" s="85" t="s">
        <v>3083</v>
      </c>
      <c r="B1352" s="86">
        <v>8</v>
      </c>
      <c r="C1352" s="86">
        <v>70</v>
      </c>
      <c r="D1352" s="86">
        <v>2</v>
      </c>
      <c r="E1352" s="85">
        <v>0</v>
      </c>
      <c r="F1352" s="85">
        <v>0</v>
      </c>
      <c r="G1352" s="13">
        <v>44978</v>
      </c>
    </row>
    <row r="1353" spans="1:7" ht="14.5">
      <c r="A1353" s="85" t="s">
        <v>3086</v>
      </c>
      <c r="B1353" s="86">
        <v>44</v>
      </c>
      <c r="C1353" s="86">
        <v>18</v>
      </c>
      <c r="D1353" s="86">
        <v>27</v>
      </c>
      <c r="E1353" s="85">
        <v>0</v>
      </c>
      <c r="F1353" s="85">
        <v>0</v>
      </c>
      <c r="G1353" s="13">
        <v>44978</v>
      </c>
    </row>
    <row r="1354" spans="1:7" ht="14.5">
      <c r="A1354" s="85" t="s">
        <v>3090</v>
      </c>
      <c r="B1354" s="86">
        <v>97</v>
      </c>
      <c r="C1354" s="86">
        <v>77</v>
      </c>
      <c r="D1354" s="86">
        <v>52</v>
      </c>
      <c r="E1354" s="85">
        <v>0</v>
      </c>
      <c r="F1354" s="85">
        <v>0</v>
      </c>
      <c r="G1354" s="13">
        <v>44978</v>
      </c>
    </row>
    <row r="1355" spans="1:7" ht="14.5">
      <c r="A1355" s="85" t="s">
        <v>3092</v>
      </c>
      <c r="B1355" s="86">
        <v>163</v>
      </c>
      <c r="C1355" s="86">
        <v>37</v>
      </c>
      <c r="D1355" s="86">
        <v>178</v>
      </c>
      <c r="E1355" s="85">
        <v>0</v>
      </c>
      <c r="F1355" s="86">
        <v>14</v>
      </c>
      <c r="G1355" s="13">
        <v>44978</v>
      </c>
    </row>
    <row r="1356" spans="1:7" ht="14.5">
      <c r="A1356" s="85" t="s">
        <v>3096</v>
      </c>
      <c r="B1356" s="86">
        <v>446</v>
      </c>
      <c r="C1356" s="86">
        <v>24</v>
      </c>
      <c r="D1356" s="86">
        <v>381</v>
      </c>
      <c r="E1356" s="85">
        <v>0</v>
      </c>
      <c r="F1356" s="86">
        <v>1</v>
      </c>
      <c r="G1356" s="13">
        <v>44978</v>
      </c>
    </row>
    <row r="1357" spans="1:7" ht="14.5">
      <c r="A1357" s="85" t="s">
        <v>3098</v>
      </c>
      <c r="B1357" s="86">
        <v>34</v>
      </c>
      <c r="C1357" s="86">
        <v>24</v>
      </c>
      <c r="D1357" s="85">
        <v>0</v>
      </c>
      <c r="E1357" s="86">
        <v>17</v>
      </c>
      <c r="F1357" s="85">
        <v>0</v>
      </c>
      <c r="G1357" s="13">
        <v>44978</v>
      </c>
    </row>
    <row r="1358" spans="1:7" ht="14.5">
      <c r="A1358" s="85" t="s">
        <v>3102</v>
      </c>
      <c r="B1358" s="86">
        <v>12</v>
      </c>
      <c r="C1358" s="86">
        <v>7</v>
      </c>
      <c r="D1358" s="86">
        <v>1</v>
      </c>
      <c r="E1358" s="85">
        <v>0</v>
      </c>
      <c r="F1358" s="85">
        <v>0</v>
      </c>
      <c r="G1358" s="13">
        <v>44978</v>
      </c>
    </row>
    <row r="1359" spans="1:7" ht="14.5">
      <c r="A1359" s="85" t="s">
        <v>3104</v>
      </c>
      <c r="B1359" s="86">
        <v>89</v>
      </c>
      <c r="C1359" s="86">
        <v>20</v>
      </c>
      <c r="D1359" s="86">
        <v>3</v>
      </c>
      <c r="E1359" s="85">
        <v>0</v>
      </c>
      <c r="F1359" s="85">
        <v>0</v>
      </c>
      <c r="G1359" s="13">
        <v>44978</v>
      </c>
    </row>
    <row r="1360" spans="1:7" ht="14.5">
      <c r="A1360" s="85" t="s">
        <v>3108</v>
      </c>
      <c r="B1360" s="86">
        <v>46</v>
      </c>
      <c r="C1360" s="86">
        <v>50</v>
      </c>
      <c r="D1360" s="86">
        <v>19</v>
      </c>
      <c r="E1360" s="86">
        <v>10</v>
      </c>
      <c r="F1360" s="85">
        <v>0</v>
      </c>
      <c r="G1360" s="13">
        <v>44978</v>
      </c>
    </row>
    <row r="1361" spans="1:7" ht="14.5">
      <c r="A1361" s="85" t="s">
        <v>3110</v>
      </c>
      <c r="B1361" s="86">
        <v>74</v>
      </c>
      <c r="C1361" s="86">
        <v>13</v>
      </c>
      <c r="D1361" s="86">
        <v>51</v>
      </c>
      <c r="E1361" s="86">
        <v>635</v>
      </c>
      <c r="F1361" s="85">
        <v>0</v>
      </c>
      <c r="G1361" s="13">
        <v>44978</v>
      </c>
    </row>
    <row r="1362" spans="1:7" ht="14.5">
      <c r="A1362" s="85" t="s">
        <v>3114</v>
      </c>
      <c r="B1362" s="86">
        <v>97</v>
      </c>
      <c r="C1362" s="86">
        <v>37</v>
      </c>
      <c r="D1362" s="86">
        <v>97</v>
      </c>
      <c r="E1362" s="86">
        <v>380</v>
      </c>
      <c r="F1362" s="86">
        <v>1</v>
      </c>
      <c r="G1362" s="13">
        <v>44978</v>
      </c>
    </row>
    <row r="1363" spans="1:7" ht="14.5">
      <c r="A1363" s="85" t="s">
        <v>3118</v>
      </c>
      <c r="B1363" s="86">
        <v>2</v>
      </c>
      <c r="C1363" s="86">
        <v>1</v>
      </c>
      <c r="D1363" s="85">
        <v>0</v>
      </c>
      <c r="E1363" s="85">
        <v>0</v>
      </c>
      <c r="F1363" s="85">
        <v>0</v>
      </c>
      <c r="G1363" s="13">
        <v>44978</v>
      </c>
    </row>
    <row r="1364" spans="1:7" ht="14.5">
      <c r="A1364" s="85" t="s">
        <v>3120</v>
      </c>
      <c r="B1364" s="85">
        <v>0</v>
      </c>
      <c r="C1364" s="86">
        <v>1</v>
      </c>
      <c r="D1364" s="85">
        <v>0</v>
      </c>
      <c r="E1364" s="85">
        <v>0</v>
      </c>
      <c r="F1364" s="85">
        <v>0</v>
      </c>
      <c r="G1364" s="13">
        <v>44978</v>
      </c>
    </row>
    <row r="1365" spans="1:7" ht="14.5">
      <c r="A1365" s="85" t="s">
        <v>3124</v>
      </c>
      <c r="B1365" s="86">
        <v>14</v>
      </c>
      <c r="C1365" s="86">
        <v>5</v>
      </c>
      <c r="D1365" s="86">
        <v>8</v>
      </c>
      <c r="E1365" s="85">
        <v>0</v>
      </c>
      <c r="F1365" s="85">
        <v>0</v>
      </c>
      <c r="G1365" s="13">
        <v>44978</v>
      </c>
    </row>
    <row r="1366" spans="1:7" ht="14.5">
      <c r="A1366" s="85" t="s">
        <v>3128</v>
      </c>
      <c r="B1366" s="86">
        <v>9</v>
      </c>
      <c r="C1366" s="86">
        <v>4</v>
      </c>
      <c r="D1366" s="85">
        <v>0</v>
      </c>
      <c r="E1366" s="86">
        <v>30</v>
      </c>
      <c r="F1366" s="85">
        <v>0</v>
      </c>
      <c r="G1366" s="13">
        <v>44978</v>
      </c>
    </row>
    <row r="1367" spans="1:7" ht="14.5">
      <c r="A1367" s="85" t="s">
        <v>3130</v>
      </c>
      <c r="B1367" s="86">
        <v>180</v>
      </c>
      <c r="C1367" s="86">
        <v>17</v>
      </c>
      <c r="D1367" s="86">
        <v>18</v>
      </c>
      <c r="E1367" s="86">
        <v>82</v>
      </c>
      <c r="F1367" s="85">
        <v>0</v>
      </c>
      <c r="G1367" s="13">
        <v>44978</v>
      </c>
    </row>
    <row r="1368" spans="1:7" ht="14.5">
      <c r="A1368" s="85" t="s">
        <v>3134</v>
      </c>
      <c r="B1368" s="86">
        <v>45</v>
      </c>
      <c r="C1368" s="86">
        <v>31</v>
      </c>
      <c r="D1368" s="86">
        <v>1</v>
      </c>
      <c r="E1368" s="85">
        <v>0</v>
      </c>
      <c r="F1368" s="85">
        <v>0</v>
      </c>
      <c r="G1368" s="13">
        <v>44978</v>
      </c>
    </row>
    <row r="1369" spans="1:7" ht="14.5">
      <c r="A1369" s="85" t="s">
        <v>3136</v>
      </c>
      <c r="B1369" s="86">
        <v>32</v>
      </c>
      <c r="C1369" s="86">
        <v>9</v>
      </c>
      <c r="D1369" s="86">
        <v>45</v>
      </c>
      <c r="E1369" s="85">
        <v>0</v>
      </c>
      <c r="F1369" s="85">
        <v>0</v>
      </c>
      <c r="G1369" s="13">
        <v>44978</v>
      </c>
    </row>
    <row r="1370" spans="1:7" ht="14.5">
      <c r="A1370" s="85" t="s">
        <v>3141</v>
      </c>
      <c r="B1370" s="86">
        <v>47</v>
      </c>
      <c r="C1370" s="86">
        <v>14</v>
      </c>
      <c r="D1370" s="86">
        <v>39</v>
      </c>
      <c r="E1370" s="85">
        <v>0</v>
      </c>
      <c r="F1370" s="85">
        <v>0</v>
      </c>
      <c r="G1370" s="13">
        <v>44978</v>
      </c>
    </row>
    <row r="1371" spans="1:7" ht="14.5">
      <c r="A1371" s="85" t="s">
        <v>3146</v>
      </c>
      <c r="B1371" s="86">
        <v>16</v>
      </c>
      <c r="C1371" s="86">
        <v>3</v>
      </c>
      <c r="D1371" s="86">
        <v>81</v>
      </c>
      <c r="E1371" s="86">
        <v>243</v>
      </c>
      <c r="F1371" s="85">
        <v>0</v>
      </c>
      <c r="G1371" s="13">
        <v>44978</v>
      </c>
    </row>
    <row r="1372" spans="1:7" ht="14.5">
      <c r="A1372" s="85" t="s">
        <v>3150</v>
      </c>
      <c r="B1372" s="86">
        <v>4</v>
      </c>
      <c r="C1372" s="85">
        <v>0</v>
      </c>
      <c r="D1372" s="85">
        <v>0</v>
      </c>
      <c r="E1372" s="85">
        <v>0</v>
      </c>
      <c r="F1372" s="85">
        <v>0</v>
      </c>
      <c r="G1372" s="13">
        <v>44978</v>
      </c>
    </row>
    <row r="1373" spans="1:7" ht="14.5">
      <c r="A1373" s="85" t="s">
        <v>3154</v>
      </c>
      <c r="B1373" s="86">
        <v>146</v>
      </c>
      <c r="C1373" s="86">
        <v>21</v>
      </c>
      <c r="D1373" s="86">
        <v>49</v>
      </c>
      <c r="E1373" s="86">
        <v>107</v>
      </c>
      <c r="F1373" s="86">
        <v>2</v>
      </c>
      <c r="G1373" s="13">
        <v>44978</v>
      </c>
    </row>
    <row r="1374" spans="1:7" ht="14.5">
      <c r="A1374" s="85" t="s">
        <v>3158</v>
      </c>
      <c r="B1374" s="86">
        <v>1</v>
      </c>
      <c r="C1374" s="86">
        <v>2</v>
      </c>
      <c r="D1374" s="85">
        <v>0</v>
      </c>
      <c r="E1374" s="85">
        <v>0</v>
      </c>
      <c r="F1374" s="85">
        <v>0</v>
      </c>
      <c r="G1374" s="13">
        <v>44978</v>
      </c>
    </row>
    <row r="1375" spans="1:7" ht="14.5">
      <c r="A1375" s="85" t="s">
        <v>3162</v>
      </c>
      <c r="B1375" s="86">
        <v>34</v>
      </c>
      <c r="C1375" s="86">
        <v>66</v>
      </c>
      <c r="D1375" s="86">
        <v>1</v>
      </c>
      <c r="E1375" s="86">
        <v>39</v>
      </c>
      <c r="F1375" s="86">
        <v>2</v>
      </c>
      <c r="G1375" s="13">
        <v>44978</v>
      </c>
    </row>
    <row r="1376" spans="1:7" ht="14.5">
      <c r="A1376" s="85" t="s">
        <v>3166</v>
      </c>
      <c r="B1376" s="85">
        <v>0</v>
      </c>
      <c r="C1376" s="86">
        <v>3</v>
      </c>
      <c r="D1376" s="85">
        <v>0</v>
      </c>
      <c r="E1376" s="85">
        <v>0</v>
      </c>
      <c r="F1376" s="85">
        <v>0</v>
      </c>
      <c r="G1376" s="13">
        <v>44978</v>
      </c>
    </row>
    <row r="1377" spans="1:7" ht="14.5">
      <c r="A1377" s="85" t="s">
        <v>3168</v>
      </c>
      <c r="B1377" s="86">
        <v>14</v>
      </c>
      <c r="C1377" s="85">
        <v>0</v>
      </c>
      <c r="D1377" s="86">
        <v>6</v>
      </c>
      <c r="E1377" s="85">
        <v>0</v>
      </c>
      <c r="F1377" s="85">
        <v>0</v>
      </c>
      <c r="G1377" s="13">
        <v>44978</v>
      </c>
    </row>
    <row r="1378" spans="1:7" ht="14.5">
      <c r="A1378" s="85" t="s">
        <v>3171</v>
      </c>
      <c r="B1378" s="86">
        <v>33</v>
      </c>
      <c r="C1378" s="86">
        <v>4</v>
      </c>
      <c r="D1378" s="86">
        <v>67</v>
      </c>
      <c r="E1378" s="85">
        <v>0</v>
      </c>
      <c r="F1378" s="86">
        <v>1</v>
      </c>
      <c r="G1378" s="13">
        <v>44978</v>
      </c>
    </row>
    <row r="1379" spans="1:7" ht="14.5">
      <c r="A1379" s="85" t="s">
        <v>3173</v>
      </c>
      <c r="B1379" s="86">
        <v>33</v>
      </c>
      <c r="C1379" s="86">
        <v>19</v>
      </c>
      <c r="D1379" s="86">
        <v>3</v>
      </c>
      <c r="E1379" s="85">
        <v>0</v>
      </c>
      <c r="F1379" s="85">
        <v>0</v>
      </c>
      <c r="G1379" s="13">
        <v>44978</v>
      </c>
    </row>
    <row r="1380" spans="1:7" ht="14.5">
      <c r="A1380" s="85" t="s">
        <v>3177</v>
      </c>
      <c r="B1380" s="86">
        <v>173</v>
      </c>
      <c r="C1380" s="86">
        <v>43</v>
      </c>
      <c r="D1380" s="86">
        <v>18</v>
      </c>
      <c r="E1380" s="85">
        <v>0</v>
      </c>
      <c r="F1380" s="85">
        <v>0</v>
      </c>
      <c r="G1380" s="13">
        <v>44978</v>
      </c>
    </row>
    <row r="1381" spans="1:7" ht="14.5">
      <c r="A1381" s="85" t="s">
        <v>3181</v>
      </c>
      <c r="B1381" s="86">
        <v>2</v>
      </c>
      <c r="C1381" s="86">
        <v>4</v>
      </c>
      <c r="D1381" s="85">
        <v>0</v>
      </c>
      <c r="E1381" s="85">
        <v>0</v>
      </c>
      <c r="F1381" s="85">
        <v>0</v>
      </c>
      <c r="G1381" s="13">
        <v>44978</v>
      </c>
    </row>
    <row r="1382" spans="1:7" ht="14.5">
      <c r="A1382" s="85" t="s">
        <v>3183</v>
      </c>
      <c r="B1382" s="86">
        <v>108</v>
      </c>
      <c r="C1382" s="86">
        <v>15</v>
      </c>
      <c r="D1382" s="86">
        <v>70</v>
      </c>
      <c r="E1382" s="86">
        <v>49</v>
      </c>
      <c r="F1382" s="86">
        <v>5</v>
      </c>
      <c r="G1382" s="13">
        <v>44978</v>
      </c>
    </row>
    <row r="1383" spans="1:7" ht="14.5">
      <c r="A1383" s="85" t="s">
        <v>3185</v>
      </c>
      <c r="B1383" s="86">
        <v>179</v>
      </c>
      <c r="C1383" s="86">
        <v>54</v>
      </c>
      <c r="D1383" s="86">
        <v>23</v>
      </c>
      <c r="E1383" s="86">
        <v>83</v>
      </c>
      <c r="F1383" s="85">
        <v>0</v>
      </c>
      <c r="G1383" s="13">
        <v>44978</v>
      </c>
    </row>
    <row r="1384" spans="1:7" ht="14.5">
      <c r="A1384" s="85" t="s">
        <v>3187</v>
      </c>
      <c r="B1384" s="86">
        <v>3</v>
      </c>
      <c r="C1384" s="86">
        <v>2</v>
      </c>
      <c r="D1384" s="86">
        <v>43</v>
      </c>
      <c r="E1384" s="85">
        <v>0</v>
      </c>
      <c r="F1384" s="85">
        <v>0</v>
      </c>
      <c r="G1384" s="13">
        <v>44978</v>
      </c>
    </row>
    <row r="1385" spans="1:7" ht="14.5">
      <c r="A1385" s="85" t="s">
        <v>3191</v>
      </c>
      <c r="B1385" s="86">
        <v>212</v>
      </c>
      <c r="C1385" s="86">
        <v>22</v>
      </c>
      <c r="D1385" s="86">
        <v>24</v>
      </c>
      <c r="E1385" s="86">
        <v>1688</v>
      </c>
      <c r="F1385" s="86">
        <v>1</v>
      </c>
      <c r="G1385" s="13">
        <v>44978</v>
      </c>
    </row>
    <row r="1386" spans="1:7" ht="14.5">
      <c r="A1386" s="85" t="s">
        <v>3193</v>
      </c>
      <c r="B1386" s="86">
        <v>46</v>
      </c>
      <c r="C1386" s="86">
        <v>10</v>
      </c>
      <c r="D1386" s="86">
        <v>10</v>
      </c>
      <c r="E1386" s="86">
        <v>360</v>
      </c>
      <c r="F1386" s="86">
        <v>1</v>
      </c>
      <c r="G1386" s="13">
        <v>44978</v>
      </c>
    </row>
    <row r="1387" spans="1:7" ht="14.5">
      <c r="A1387" s="85" t="s">
        <v>3197</v>
      </c>
      <c r="B1387" s="86">
        <v>157</v>
      </c>
      <c r="C1387" s="86">
        <v>13</v>
      </c>
      <c r="D1387" s="86">
        <v>4</v>
      </c>
      <c r="E1387" s="86">
        <v>1208</v>
      </c>
      <c r="F1387" s="85">
        <v>0</v>
      </c>
      <c r="G1387" s="13">
        <v>44978</v>
      </c>
    </row>
    <row r="1388" spans="1:7" ht="14.5">
      <c r="A1388" s="85" t="s">
        <v>3199</v>
      </c>
      <c r="B1388" s="86">
        <v>36</v>
      </c>
      <c r="C1388" s="86">
        <v>4</v>
      </c>
      <c r="D1388" s="86">
        <v>14</v>
      </c>
      <c r="E1388" s="85">
        <v>0</v>
      </c>
      <c r="F1388" s="85">
        <v>0</v>
      </c>
      <c r="G1388" s="13">
        <v>44978</v>
      </c>
    </row>
    <row r="1389" spans="1:7" ht="14.5">
      <c r="A1389" s="85" t="s">
        <v>3203</v>
      </c>
      <c r="B1389" s="86">
        <v>104</v>
      </c>
      <c r="C1389" s="86">
        <v>21</v>
      </c>
      <c r="D1389" s="86">
        <v>29</v>
      </c>
      <c r="E1389" s="85">
        <v>0</v>
      </c>
      <c r="F1389" s="86">
        <v>1</v>
      </c>
      <c r="G1389" s="13">
        <v>44978</v>
      </c>
    </row>
    <row r="1390" spans="1:7" ht="14.5">
      <c r="A1390" s="85" t="s">
        <v>3205</v>
      </c>
      <c r="B1390" s="86">
        <v>64</v>
      </c>
      <c r="C1390" s="86">
        <v>43</v>
      </c>
      <c r="D1390" s="86">
        <v>8</v>
      </c>
      <c r="E1390" s="85">
        <v>0</v>
      </c>
      <c r="F1390" s="85">
        <v>0</v>
      </c>
      <c r="G1390" s="13">
        <v>44978</v>
      </c>
    </row>
    <row r="1391" spans="1:7" ht="14.5">
      <c r="A1391" s="85" t="s">
        <v>3209</v>
      </c>
      <c r="B1391" s="86">
        <v>7</v>
      </c>
      <c r="C1391" s="86">
        <v>56</v>
      </c>
      <c r="D1391" s="86">
        <v>16</v>
      </c>
      <c r="E1391" s="86">
        <v>298</v>
      </c>
      <c r="F1391" s="85">
        <v>0</v>
      </c>
      <c r="G1391" s="13">
        <v>44978</v>
      </c>
    </row>
    <row r="1392" spans="1:7" ht="14.5">
      <c r="A1392" s="85" t="s">
        <v>3213</v>
      </c>
      <c r="B1392" s="86">
        <v>20</v>
      </c>
      <c r="C1392" s="86">
        <v>14</v>
      </c>
      <c r="D1392" s="86">
        <v>50</v>
      </c>
      <c r="E1392" s="86">
        <v>60</v>
      </c>
      <c r="F1392" s="85">
        <v>0</v>
      </c>
      <c r="G1392" s="13">
        <v>44978</v>
      </c>
    </row>
    <row r="1393" spans="1:7" ht="14.5">
      <c r="A1393" s="85" t="s">
        <v>3215</v>
      </c>
      <c r="B1393" s="86">
        <v>42</v>
      </c>
      <c r="C1393" s="86">
        <v>3</v>
      </c>
      <c r="D1393" s="85">
        <v>0</v>
      </c>
      <c r="E1393" s="86">
        <v>94</v>
      </c>
      <c r="F1393" s="85">
        <v>0</v>
      </c>
      <c r="G1393" s="13">
        <v>44978</v>
      </c>
    </row>
    <row r="1394" spans="1:7" ht="14.5">
      <c r="A1394" s="85" t="s">
        <v>3219</v>
      </c>
      <c r="B1394" s="86">
        <v>48</v>
      </c>
      <c r="C1394" s="86">
        <v>27</v>
      </c>
      <c r="D1394" s="86">
        <v>11</v>
      </c>
      <c r="E1394" s="86">
        <v>75</v>
      </c>
      <c r="F1394" s="85">
        <v>0</v>
      </c>
      <c r="G1394" s="13">
        <v>44978</v>
      </c>
    </row>
    <row r="1395" spans="1:7" ht="14.5">
      <c r="A1395" s="85" t="s">
        <v>3223</v>
      </c>
      <c r="B1395" s="86">
        <v>13</v>
      </c>
      <c r="C1395" s="86">
        <v>9</v>
      </c>
      <c r="D1395" s="86">
        <v>2</v>
      </c>
      <c r="E1395" s="85">
        <v>0</v>
      </c>
      <c r="F1395" s="85">
        <v>0</v>
      </c>
      <c r="G1395" s="13">
        <v>44978</v>
      </c>
    </row>
    <row r="1396" spans="1:7" ht="14.5">
      <c r="A1396" s="85" t="s">
        <v>3227</v>
      </c>
      <c r="B1396" s="86">
        <v>59</v>
      </c>
      <c r="C1396" s="86">
        <v>16</v>
      </c>
      <c r="D1396" s="86">
        <v>9</v>
      </c>
      <c r="E1396" s="86">
        <v>55</v>
      </c>
      <c r="F1396" s="86">
        <v>1</v>
      </c>
      <c r="G1396" s="13">
        <v>44978</v>
      </c>
    </row>
    <row r="1397" spans="1:7" ht="14.5">
      <c r="A1397" s="85" t="s">
        <v>3229</v>
      </c>
      <c r="B1397" s="86">
        <v>59</v>
      </c>
      <c r="C1397" s="86">
        <v>33</v>
      </c>
      <c r="D1397" s="85">
        <v>0</v>
      </c>
      <c r="E1397" s="85">
        <v>0</v>
      </c>
      <c r="F1397" s="85">
        <v>0</v>
      </c>
      <c r="G1397" s="13">
        <v>44978</v>
      </c>
    </row>
    <row r="1398" spans="1:7" ht="14.5">
      <c r="A1398" s="85" t="s">
        <v>3231</v>
      </c>
      <c r="B1398" s="86">
        <v>34</v>
      </c>
      <c r="C1398" s="86">
        <v>9</v>
      </c>
      <c r="D1398" s="86">
        <v>1</v>
      </c>
      <c r="E1398" s="86">
        <v>21</v>
      </c>
      <c r="F1398" s="85">
        <v>0</v>
      </c>
      <c r="G1398" s="13">
        <v>44978</v>
      </c>
    </row>
    <row r="1399" spans="1:7" ht="14.5">
      <c r="A1399" s="85" t="s">
        <v>3233</v>
      </c>
      <c r="B1399" s="86">
        <v>66</v>
      </c>
      <c r="C1399" s="86">
        <v>10</v>
      </c>
      <c r="D1399" s="86">
        <v>3</v>
      </c>
      <c r="E1399" s="86">
        <v>60</v>
      </c>
      <c r="F1399" s="85">
        <v>0</v>
      </c>
      <c r="G1399" s="13">
        <v>44978</v>
      </c>
    </row>
    <row r="1400" spans="1:7" ht="14.5">
      <c r="A1400" s="85" t="s">
        <v>3236</v>
      </c>
      <c r="B1400" s="86">
        <v>13</v>
      </c>
      <c r="C1400" s="86">
        <v>4</v>
      </c>
      <c r="D1400" s="86">
        <v>1</v>
      </c>
      <c r="E1400" s="85">
        <v>0</v>
      </c>
      <c r="F1400" s="85">
        <v>0</v>
      </c>
      <c r="G1400" s="13">
        <v>44978</v>
      </c>
    </row>
    <row r="1401" spans="1:7" ht="14.5">
      <c r="A1401" s="85" t="s">
        <v>3241</v>
      </c>
      <c r="B1401" s="86">
        <v>87</v>
      </c>
      <c r="C1401" s="86">
        <v>17</v>
      </c>
      <c r="D1401" s="86">
        <v>9</v>
      </c>
      <c r="E1401" s="86">
        <v>404</v>
      </c>
      <c r="F1401" s="85">
        <v>0</v>
      </c>
      <c r="G1401" s="13">
        <v>44978</v>
      </c>
    </row>
    <row r="1402" spans="1:7" ht="14.5">
      <c r="A1402" s="85" t="s">
        <v>3245</v>
      </c>
      <c r="B1402" s="86">
        <v>12</v>
      </c>
      <c r="C1402" s="86">
        <v>3</v>
      </c>
      <c r="D1402" s="86">
        <v>58</v>
      </c>
      <c r="E1402" s="85">
        <v>0</v>
      </c>
      <c r="F1402" s="85">
        <v>0</v>
      </c>
      <c r="G1402" s="13">
        <v>44978</v>
      </c>
    </row>
    <row r="1403" spans="1:7" ht="14.5">
      <c r="A1403" s="85" t="s">
        <v>3249</v>
      </c>
      <c r="B1403" s="86">
        <v>412</v>
      </c>
      <c r="C1403" s="86">
        <v>100</v>
      </c>
      <c r="D1403" s="85">
        <v>0</v>
      </c>
      <c r="E1403" s="86">
        <v>6</v>
      </c>
      <c r="F1403" s="85">
        <v>0</v>
      </c>
      <c r="G1403" s="13">
        <v>44978</v>
      </c>
    </row>
    <row r="1404" spans="1:7" ht="14.5">
      <c r="A1404" s="85" t="s">
        <v>3251</v>
      </c>
      <c r="B1404" s="86">
        <v>7</v>
      </c>
      <c r="C1404" s="86">
        <v>1</v>
      </c>
      <c r="D1404" s="86">
        <v>56</v>
      </c>
      <c r="E1404" s="85">
        <v>0</v>
      </c>
      <c r="F1404" s="86">
        <v>6</v>
      </c>
      <c r="G1404" s="13">
        <v>44978</v>
      </c>
    </row>
    <row r="1405" spans="1:7" ht="14.5">
      <c r="A1405" s="85" t="s">
        <v>3254</v>
      </c>
      <c r="B1405" s="86">
        <v>8</v>
      </c>
      <c r="C1405" s="86">
        <v>3</v>
      </c>
      <c r="D1405" s="86">
        <v>63</v>
      </c>
      <c r="E1405" s="86">
        <v>6</v>
      </c>
      <c r="F1405" s="85">
        <v>0</v>
      </c>
      <c r="G1405" s="13">
        <v>44978</v>
      </c>
    </row>
    <row r="1406" spans="1:7" ht="14.5">
      <c r="A1406" s="85" t="s">
        <v>3258</v>
      </c>
      <c r="B1406" s="86">
        <v>47</v>
      </c>
      <c r="C1406" s="86">
        <v>7</v>
      </c>
      <c r="D1406" s="86">
        <v>3</v>
      </c>
      <c r="E1406" s="86">
        <v>7</v>
      </c>
      <c r="F1406" s="85">
        <v>0</v>
      </c>
      <c r="G1406" s="13">
        <v>44978</v>
      </c>
    </row>
    <row r="1407" spans="1:7" ht="14.5">
      <c r="A1407" s="85" t="s">
        <v>3262</v>
      </c>
      <c r="B1407" s="86">
        <v>6</v>
      </c>
      <c r="C1407" s="86">
        <v>38</v>
      </c>
      <c r="D1407" s="86">
        <v>2</v>
      </c>
      <c r="E1407" s="86">
        <v>30</v>
      </c>
      <c r="F1407" s="85">
        <v>0</v>
      </c>
      <c r="G1407" s="13">
        <v>44978</v>
      </c>
    </row>
    <row r="1408" spans="1:7" ht="14.5">
      <c r="A1408" s="85" t="s">
        <v>3266</v>
      </c>
      <c r="B1408" s="86">
        <v>63</v>
      </c>
      <c r="C1408" s="86">
        <v>13</v>
      </c>
      <c r="D1408" s="86">
        <v>6</v>
      </c>
      <c r="E1408" s="86">
        <v>2</v>
      </c>
      <c r="F1408" s="85">
        <v>0</v>
      </c>
      <c r="G1408" s="13">
        <v>44978</v>
      </c>
    </row>
    <row r="1409" spans="1:7" ht="14.5">
      <c r="A1409" s="85" t="s">
        <v>3271</v>
      </c>
      <c r="B1409" s="86">
        <v>3</v>
      </c>
      <c r="C1409" s="85">
        <v>0</v>
      </c>
      <c r="D1409" s="85">
        <v>0</v>
      </c>
      <c r="E1409" s="85">
        <v>0</v>
      </c>
      <c r="F1409" s="85">
        <v>0</v>
      </c>
      <c r="G1409" s="13">
        <v>44978</v>
      </c>
    </row>
    <row r="1410" spans="1:7" ht="14.5">
      <c r="A1410" s="85" t="s">
        <v>3276</v>
      </c>
      <c r="B1410" s="86">
        <v>79</v>
      </c>
      <c r="C1410" s="86">
        <v>3</v>
      </c>
      <c r="D1410" s="85">
        <v>0</v>
      </c>
      <c r="E1410" s="86">
        <v>243</v>
      </c>
      <c r="F1410" s="85">
        <v>0</v>
      </c>
      <c r="G1410" s="13">
        <v>44978</v>
      </c>
    </row>
    <row r="1411" spans="1:7" ht="14.5">
      <c r="A1411" s="85" t="s">
        <v>3280</v>
      </c>
      <c r="B1411" s="86">
        <v>2</v>
      </c>
      <c r="C1411" s="86">
        <v>2</v>
      </c>
      <c r="D1411" s="85">
        <v>0</v>
      </c>
      <c r="E1411" s="86">
        <v>18</v>
      </c>
      <c r="F1411" s="85">
        <v>0</v>
      </c>
      <c r="G1411" s="13">
        <v>44978</v>
      </c>
    </row>
    <row r="1412" spans="1:7" ht="14.5">
      <c r="A1412" s="85" t="s">
        <v>3284</v>
      </c>
      <c r="B1412" s="86">
        <v>1</v>
      </c>
      <c r="C1412" s="85">
        <v>0</v>
      </c>
      <c r="D1412" s="85">
        <v>0</v>
      </c>
      <c r="E1412" s="85">
        <v>0</v>
      </c>
      <c r="F1412" s="85">
        <v>0</v>
      </c>
      <c r="G1412" s="13">
        <v>44978</v>
      </c>
    </row>
    <row r="1413" spans="1:7" ht="14.5">
      <c r="A1413" s="85" t="s">
        <v>3288</v>
      </c>
      <c r="B1413" s="86">
        <v>6</v>
      </c>
      <c r="C1413" s="86">
        <v>7</v>
      </c>
      <c r="D1413" s="86">
        <v>1</v>
      </c>
      <c r="E1413" s="85">
        <v>0</v>
      </c>
      <c r="F1413" s="85">
        <v>0</v>
      </c>
      <c r="G1413" s="13">
        <v>44978</v>
      </c>
    </row>
    <row r="1414" spans="1:7" ht="14.5">
      <c r="A1414" s="85" t="s">
        <v>3291</v>
      </c>
      <c r="B1414" s="86">
        <v>4</v>
      </c>
      <c r="C1414" s="86">
        <v>2</v>
      </c>
      <c r="D1414" s="85">
        <v>0</v>
      </c>
      <c r="E1414" s="85">
        <v>0</v>
      </c>
      <c r="F1414" s="85">
        <v>0</v>
      </c>
      <c r="G1414" s="13">
        <v>44978</v>
      </c>
    </row>
    <row r="1415" spans="1:7" ht="14.5">
      <c r="A1415" s="85" t="s">
        <v>3295</v>
      </c>
      <c r="B1415" s="86">
        <v>1</v>
      </c>
      <c r="C1415" s="85">
        <v>0</v>
      </c>
      <c r="D1415" s="85">
        <v>0</v>
      </c>
      <c r="E1415" s="86">
        <v>6</v>
      </c>
      <c r="F1415" s="85">
        <v>0</v>
      </c>
      <c r="G1415" s="13">
        <v>44978</v>
      </c>
    </row>
    <row r="1416" spans="1:7" ht="14.5">
      <c r="A1416" s="85" t="s">
        <v>3299</v>
      </c>
      <c r="B1416" s="86">
        <v>36</v>
      </c>
      <c r="C1416" s="86">
        <v>19</v>
      </c>
      <c r="D1416" s="86">
        <v>3</v>
      </c>
      <c r="E1416" s="86">
        <v>70</v>
      </c>
      <c r="F1416" s="85">
        <v>0</v>
      </c>
      <c r="G1416" s="13">
        <v>44978</v>
      </c>
    </row>
    <row r="1417" spans="1:7" ht="14.5">
      <c r="A1417" s="85" t="s">
        <v>3301</v>
      </c>
      <c r="B1417" s="86">
        <v>23</v>
      </c>
      <c r="C1417" s="86">
        <v>1</v>
      </c>
      <c r="D1417" s="86">
        <v>23</v>
      </c>
      <c r="E1417" s="85">
        <v>0</v>
      </c>
      <c r="F1417" s="85">
        <v>0</v>
      </c>
      <c r="G1417" s="13">
        <v>44978</v>
      </c>
    </row>
    <row r="1418" spans="1:7" ht="14.5">
      <c r="A1418" s="85" t="s">
        <v>3306</v>
      </c>
      <c r="B1418" s="86">
        <v>491</v>
      </c>
      <c r="C1418" s="86">
        <v>99</v>
      </c>
      <c r="D1418" s="86">
        <v>61</v>
      </c>
      <c r="E1418" s="86">
        <v>1663</v>
      </c>
      <c r="F1418" s="86">
        <v>3</v>
      </c>
      <c r="G1418" s="13">
        <v>44978</v>
      </c>
    </row>
    <row r="1419" spans="1:7" ht="14.5">
      <c r="A1419" s="85" t="s">
        <v>3308</v>
      </c>
      <c r="B1419" s="86">
        <v>24</v>
      </c>
      <c r="C1419" s="86">
        <v>3</v>
      </c>
      <c r="D1419" s="86">
        <v>5</v>
      </c>
      <c r="E1419" s="85">
        <v>0</v>
      </c>
      <c r="F1419" s="85">
        <v>0</v>
      </c>
      <c r="G1419" s="13">
        <v>44978</v>
      </c>
    </row>
    <row r="1420" spans="1:7" ht="14.5">
      <c r="A1420" s="85" t="s">
        <v>3312</v>
      </c>
      <c r="B1420" s="86">
        <v>5</v>
      </c>
      <c r="C1420" s="86">
        <v>13</v>
      </c>
      <c r="D1420" s="85">
        <v>0</v>
      </c>
      <c r="E1420" s="86">
        <v>3</v>
      </c>
      <c r="F1420" s="85">
        <v>0</v>
      </c>
      <c r="G1420" s="13">
        <v>44978</v>
      </c>
    </row>
    <row r="1421" spans="1:7" ht="14.5">
      <c r="A1421" s="85" t="s">
        <v>3316</v>
      </c>
      <c r="B1421" s="86">
        <v>14</v>
      </c>
      <c r="C1421" s="86">
        <v>4</v>
      </c>
      <c r="D1421" s="85">
        <v>0</v>
      </c>
      <c r="E1421" s="86">
        <v>168</v>
      </c>
      <c r="F1421" s="85">
        <v>0</v>
      </c>
      <c r="G1421" s="13">
        <v>44978</v>
      </c>
    </row>
    <row r="1422" spans="1:7" ht="14.5">
      <c r="A1422" s="85" t="s">
        <v>3320</v>
      </c>
      <c r="B1422" s="86">
        <v>57</v>
      </c>
      <c r="C1422" s="86">
        <v>6</v>
      </c>
      <c r="D1422" s="86">
        <v>34</v>
      </c>
      <c r="E1422" s="85">
        <v>0</v>
      </c>
      <c r="F1422" s="85">
        <v>0</v>
      </c>
      <c r="G1422" s="13">
        <v>44978</v>
      </c>
    </row>
    <row r="1423" spans="1:7" ht="14.5">
      <c r="A1423" s="85" t="s">
        <v>3322</v>
      </c>
      <c r="B1423" s="86">
        <v>2</v>
      </c>
      <c r="C1423" s="86">
        <v>1</v>
      </c>
      <c r="D1423" s="85">
        <v>0</v>
      </c>
      <c r="E1423" s="85">
        <v>0</v>
      </c>
      <c r="F1423" s="85">
        <v>0</v>
      </c>
      <c r="G1423" s="13">
        <v>44978</v>
      </c>
    </row>
    <row r="1424" spans="1:7" ht="14.5">
      <c r="A1424" s="85" t="s">
        <v>3326</v>
      </c>
      <c r="B1424" s="86">
        <v>89</v>
      </c>
      <c r="C1424" s="86">
        <v>24</v>
      </c>
      <c r="D1424" s="86">
        <v>2</v>
      </c>
      <c r="E1424" s="86">
        <v>196</v>
      </c>
      <c r="F1424" s="85">
        <v>0</v>
      </c>
      <c r="G1424" s="13">
        <v>44978</v>
      </c>
    </row>
    <row r="1425" spans="1:7" ht="14.5">
      <c r="A1425" s="85" t="s">
        <v>3328</v>
      </c>
      <c r="B1425" s="86">
        <v>5</v>
      </c>
      <c r="C1425" s="86">
        <v>3</v>
      </c>
      <c r="D1425" s="86">
        <v>1</v>
      </c>
      <c r="E1425" s="86">
        <v>24</v>
      </c>
      <c r="F1425" s="85">
        <v>0</v>
      </c>
      <c r="G1425" s="13">
        <v>44978</v>
      </c>
    </row>
    <row r="1426" spans="1:7" ht="14.5">
      <c r="A1426" s="85" t="s">
        <v>3330</v>
      </c>
      <c r="B1426" s="86">
        <v>27</v>
      </c>
      <c r="C1426" s="86">
        <v>97</v>
      </c>
      <c r="D1426" s="86">
        <v>66</v>
      </c>
      <c r="E1426" s="85">
        <v>0</v>
      </c>
      <c r="F1426" s="85">
        <v>0</v>
      </c>
      <c r="G1426" s="13">
        <v>44978</v>
      </c>
    </row>
    <row r="1427" spans="1:7" ht="14.5">
      <c r="A1427" s="85" t="s">
        <v>3332</v>
      </c>
      <c r="B1427" s="86">
        <v>13</v>
      </c>
      <c r="C1427" s="86">
        <v>3</v>
      </c>
      <c r="D1427" s="86">
        <v>13</v>
      </c>
      <c r="E1427" s="85">
        <v>0</v>
      </c>
      <c r="F1427" s="85">
        <v>0</v>
      </c>
      <c r="G1427" s="13">
        <v>44978</v>
      </c>
    </row>
    <row r="1428" spans="1:7" ht="14.5">
      <c r="A1428" s="85" t="s">
        <v>3336</v>
      </c>
      <c r="B1428" s="86">
        <v>29</v>
      </c>
      <c r="C1428" s="85">
        <v>0</v>
      </c>
      <c r="D1428" s="86">
        <v>9</v>
      </c>
      <c r="E1428" s="86">
        <v>434</v>
      </c>
      <c r="F1428" s="85">
        <v>0</v>
      </c>
      <c r="G1428" s="13">
        <v>44978</v>
      </c>
    </row>
    <row r="1429" spans="1:7" ht="14.5">
      <c r="A1429" s="85" t="s">
        <v>3340</v>
      </c>
      <c r="B1429" s="86">
        <v>3</v>
      </c>
      <c r="C1429" s="85">
        <v>0</v>
      </c>
      <c r="D1429" s="85">
        <v>0</v>
      </c>
      <c r="E1429" s="85">
        <v>0</v>
      </c>
      <c r="F1429" s="85">
        <v>0</v>
      </c>
      <c r="G1429" s="13">
        <v>44978</v>
      </c>
    </row>
    <row r="1430" spans="1:7" ht="14.5">
      <c r="A1430" s="85" t="s">
        <v>3344</v>
      </c>
      <c r="B1430" s="86">
        <v>54</v>
      </c>
      <c r="C1430" s="86">
        <v>5</v>
      </c>
      <c r="D1430" s="86">
        <v>35</v>
      </c>
      <c r="E1430" s="85">
        <v>0</v>
      </c>
      <c r="F1430" s="86">
        <v>7</v>
      </c>
      <c r="G1430" s="13">
        <v>44978</v>
      </c>
    </row>
    <row r="1431" spans="1:7" ht="14.5">
      <c r="A1431" s="85" t="s">
        <v>3346</v>
      </c>
      <c r="B1431" s="86">
        <v>14</v>
      </c>
      <c r="C1431" s="86">
        <v>7</v>
      </c>
      <c r="D1431" s="86">
        <v>3</v>
      </c>
      <c r="E1431" s="86">
        <v>12</v>
      </c>
      <c r="F1431" s="85">
        <v>0</v>
      </c>
      <c r="G1431" s="13">
        <v>44978</v>
      </c>
    </row>
    <row r="1432" spans="1:7" ht="14.5">
      <c r="A1432" s="85" t="s">
        <v>3350</v>
      </c>
      <c r="B1432" s="86">
        <v>15</v>
      </c>
      <c r="C1432" s="86">
        <v>52</v>
      </c>
      <c r="D1432" s="86">
        <v>4</v>
      </c>
      <c r="E1432" s="86">
        <v>9</v>
      </c>
      <c r="F1432" s="85">
        <v>0</v>
      </c>
      <c r="G1432" s="13">
        <v>44978</v>
      </c>
    </row>
    <row r="1433" spans="1:7" ht="14.5">
      <c r="A1433" s="85" t="s">
        <v>3354</v>
      </c>
      <c r="B1433" s="86">
        <v>190</v>
      </c>
      <c r="C1433" s="86">
        <v>30</v>
      </c>
      <c r="D1433" s="86">
        <v>31</v>
      </c>
      <c r="E1433" s="86">
        <v>57</v>
      </c>
      <c r="F1433" s="86">
        <v>1</v>
      </c>
      <c r="G1433" s="13">
        <v>44978</v>
      </c>
    </row>
    <row r="1434" spans="1:7" ht="14.5">
      <c r="A1434" s="85" t="s">
        <v>3357</v>
      </c>
      <c r="B1434" s="86">
        <v>13</v>
      </c>
      <c r="C1434" s="86">
        <v>4</v>
      </c>
      <c r="D1434" s="86">
        <v>1</v>
      </c>
      <c r="E1434" s="86">
        <v>89</v>
      </c>
      <c r="F1434" s="85">
        <v>0</v>
      </c>
      <c r="G1434" s="13">
        <v>44978</v>
      </c>
    </row>
    <row r="1435" spans="1:7" ht="14.5">
      <c r="A1435" s="85" t="s">
        <v>3359</v>
      </c>
      <c r="B1435" s="86">
        <v>5</v>
      </c>
      <c r="C1435" s="86">
        <v>2</v>
      </c>
      <c r="D1435" s="86">
        <v>28</v>
      </c>
      <c r="E1435" s="86">
        <v>184</v>
      </c>
      <c r="F1435" s="85">
        <v>0</v>
      </c>
      <c r="G1435" s="13">
        <v>44978</v>
      </c>
    </row>
    <row r="1436" spans="1:7" ht="14.5">
      <c r="A1436" s="85" t="s">
        <v>3361</v>
      </c>
      <c r="B1436" s="86">
        <v>4</v>
      </c>
      <c r="C1436" s="86">
        <v>10</v>
      </c>
      <c r="D1436" s="85">
        <v>0</v>
      </c>
      <c r="E1436" s="85">
        <v>0</v>
      </c>
      <c r="F1436" s="85">
        <v>0</v>
      </c>
      <c r="G1436" s="13">
        <v>44978</v>
      </c>
    </row>
    <row r="1437" spans="1:7" ht="14.5">
      <c r="A1437" s="85" t="s">
        <v>3365</v>
      </c>
      <c r="B1437" s="86">
        <v>51</v>
      </c>
      <c r="C1437" s="86">
        <v>15</v>
      </c>
      <c r="D1437" s="86">
        <v>72</v>
      </c>
      <c r="E1437" s="86">
        <v>8</v>
      </c>
      <c r="F1437" s="85">
        <v>0</v>
      </c>
      <c r="G1437" s="13">
        <v>44978</v>
      </c>
    </row>
    <row r="1438" spans="1:7" ht="14.5">
      <c r="A1438" s="85" t="s">
        <v>3369</v>
      </c>
      <c r="B1438" s="86">
        <v>4</v>
      </c>
      <c r="C1438" s="85">
        <v>0</v>
      </c>
      <c r="D1438" s="85">
        <v>0</v>
      </c>
      <c r="E1438" s="85">
        <v>0</v>
      </c>
      <c r="F1438" s="85">
        <v>0</v>
      </c>
      <c r="G1438" s="13">
        <v>44978</v>
      </c>
    </row>
    <row r="1439" spans="1:7" ht="14.5">
      <c r="A1439" s="85" t="s">
        <v>3374</v>
      </c>
      <c r="B1439" s="86">
        <v>8</v>
      </c>
      <c r="C1439" s="86">
        <v>7</v>
      </c>
      <c r="D1439" s="86">
        <v>5</v>
      </c>
      <c r="E1439" s="86">
        <v>3</v>
      </c>
      <c r="F1439" s="85">
        <v>0</v>
      </c>
      <c r="G1439" s="13">
        <v>44978</v>
      </c>
    </row>
    <row r="1440" spans="1:7" ht="14.5">
      <c r="A1440" s="85" t="s">
        <v>3377</v>
      </c>
      <c r="B1440" s="86">
        <v>8</v>
      </c>
      <c r="C1440" s="86">
        <v>1</v>
      </c>
      <c r="D1440" s="85">
        <v>0</v>
      </c>
      <c r="E1440" s="85">
        <v>0</v>
      </c>
      <c r="F1440" s="85">
        <v>0</v>
      </c>
      <c r="G1440" s="13">
        <v>44978</v>
      </c>
    </row>
    <row r="1441" spans="1:7" ht="14.5">
      <c r="A1441" s="85" t="s">
        <v>3382</v>
      </c>
      <c r="B1441" s="86">
        <v>67</v>
      </c>
      <c r="C1441" s="86">
        <v>22</v>
      </c>
      <c r="D1441" s="86">
        <v>57</v>
      </c>
      <c r="E1441" s="86">
        <v>10</v>
      </c>
      <c r="F1441" s="85">
        <v>0</v>
      </c>
      <c r="G1441" s="13">
        <v>44978</v>
      </c>
    </row>
    <row r="1442" spans="1:7" ht="14.5">
      <c r="A1442" s="85" t="s">
        <v>3384</v>
      </c>
      <c r="B1442" s="86">
        <v>35</v>
      </c>
      <c r="C1442" s="86">
        <v>7</v>
      </c>
      <c r="D1442" s="86">
        <v>8</v>
      </c>
      <c r="E1442" s="85">
        <v>0</v>
      </c>
      <c r="F1442" s="85">
        <v>0</v>
      </c>
      <c r="G1442" s="13">
        <v>44978</v>
      </c>
    </row>
    <row r="1443" spans="1:7" ht="14.5">
      <c r="A1443" s="85" t="s">
        <v>3388</v>
      </c>
      <c r="B1443" s="86">
        <v>50</v>
      </c>
      <c r="C1443" s="86">
        <v>12</v>
      </c>
      <c r="D1443" s="86">
        <v>59</v>
      </c>
      <c r="E1443" s="86">
        <v>12</v>
      </c>
      <c r="F1443" s="85">
        <v>0</v>
      </c>
      <c r="G1443" s="13">
        <v>44978</v>
      </c>
    </row>
    <row r="1444" spans="1:7" ht="14.5">
      <c r="A1444" s="85" t="s">
        <v>3392</v>
      </c>
      <c r="B1444" s="86">
        <v>56</v>
      </c>
      <c r="C1444" s="86">
        <v>9</v>
      </c>
      <c r="D1444" s="86">
        <v>172</v>
      </c>
      <c r="E1444" s="86">
        <v>206</v>
      </c>
      <c r="F1444" s="85">
        <v>0</v>
      </c>
      <c r="G1444" s="13">
        <v>44978</v>
      </c>
    </row>
    <row r="1445" spans="1:7" ht="14.5">
      <c r="A1445" s="85" t="s">
        <v>3397</v>
      </c>
      <c r="B1445" s="86">
        <v>8</v>
      </c>
      <c r="C1445" s="86">
        <v>7</v>
      </c>
      <c r="D1445" s="86">
        <v>5</v>
      </c>
      <c r="E1445" s="86">
        <v>12</v>
      </c>
      <c r="F1445" s="85">
        <v>0</v>
      </c>
      <c r="G1445" s="13">
        <v>44978</v>
      </c>
    </row>
    <row r="1446" spans="1:7" ht="14.5">
      <c r="A1446" s="85" t="s">
        <v>3399</v>
      </c>
      <c r="B1446" s="86">
        <v>16</v>
      </c>
      <c r="C1446" s="86">
        <v>2</v>
      </c>
      <c r="D1446" s="86">
        <v>7</v>
      </c>
      <c r="E1446" s="85">
        <v>0</v>
      </c>
      <c r="F1446" s="85">
        <v>0</v>
      </c>
      <c r="G1446" s="13">
        <v>44978</v>
      </c>
    </row>
    <row r="1447" spans="1:7" ht="14.5">
      <c r="A1447" s="85" t="s">
        <v>3401</v>
      </c>
      <c r="B1447" s="86">
        <v>3</v>
      </c>
      <c r="C1447" s="86">
        <v>7</v>
      </c>
      <c r="D1447" s="86">
        <v>59</v>
      </c>
      <c r="E1447" s="86">
        <v>27</v>
      </c>
      <c r="F1447" s="85">
        <v>0</v>
      </c>
      <c r="G1447" s="13">
        <v>44978</v>
      </c>
    </row>
    <row r="1448" spans="1:7" ht="14.5">
      <c r="A1448" s="85" t="s">
        <v>3405</v>
      </c>
      <c r="B1448" s="86">
        <v>17</v>
      </c>
      <c r="C1448" s="86">
        <v>2</v>
      </c>
      <c r="D1448" s="86">
        <v>15</v>
      </c>
      <c r="E1448" s="86">
        <v>37</v>
      </c>
      <c r="F1448" s="85">
        <v>0</v>
      </c>
      <c r="G1448" s="13">
        <v>44978</v>
      </c>
    </row>
    <row r="1449" spans="1:7" ht="14.5">
      <c r="A1449" s="85" t="s">
        <v>3407</v>
      </c>
      <c r="B1449" s="86">
        <v>7</v>
      </c>
      <c r="C1449" s="86">
        <v>1</v>
      </c>
      <c r="D1449" s="85">
        <v>0</v>
      </c>
      <c r="E1449" s="86">
        <v>14</v>
      </c>
      <c r="F1449" s="85">
        <v>0</v>
      </c>
      <c r="G1449" s="13">
        <v>44978</v>
      </c>
    </row>
    <row r="1450" spans="1:7" ht="14.5">
      <c r="A1450" s="85" t="s">
        <v>3411</v>
      </c>
      <c r="B1450" s="86">
        <v>59</v>
      </c>
      <c r="C1450" s="86">
        <v>23</v>
      </c>
      <c r="D1450" s="85">
        <v>0</v>
      </c>
      <c r="E1450" s="86">
        <v>38</v>
      </c>
      <c r="F1450" s="85">
        <v>0</v>
      </c>
      <c r="G1450" s="13">
        <v>44978</v>
      </c>
    </row>
    <row r="1451" spans="1:7" ht="14.5">
      <c r="A1451" s="85" t="s">
        <v>3415</v>
      </c>
      <c r="B1451" s="86">
        <v>3</v>
      </c>
      <c r="C1451" s="86">
        <v>10</v>
      </c>
      <c r="D1451" s="85">
        <v>0</v>
      </c>
      <c r="E1451" s="86">
        <v>13</v>
      </c>
      <c r="F1451" s="85">
        <v>0</v>
      </c>
      <c r="G1451" s="13">
        <v>44978</v>
      </c>
    </row>
    <row r="1452" spans="1:7" ht="14.5">
      <c r="A1452" s="85" t="s">
        <v>3417</v>
      </c>
      <c r="B1452" s="86">
        <v>6</v>
      </c>
      <c r="C1452" s="86">
        <v>11</v>
      </c>
      <c r="D1452" s="86">
        <v>1</v>
      </c>
      <c r="E1452" s="86">
        <v>49</v>
      </c>
      <c r="F1452" s="85">
        <v>0</v>
      </c>
      <c r="G1452" s="13">
        <v>44978</v>
      </c>
    </row>
    <row r="1453" spans="1:7" ht="14.5">
      <c r="A1453" s="85" t="s">
        <v>3419</v>
      </c>
      <c r="B1453" s="86">
        <v>60</v>
      </c>
      <c r="C1453" s="86">
        <v>4</v>
      </c>
      <c r="D1453" s="85">
        <v>0</v>
      </c>
      <c r="E1453" s="86">
        <v>369</v>
      </c>
      <c r="F1453" s="85">
        <v>0</v>
      </c>
      <c r="G1453" s="13">
        <v>44978</v>
      </c>
    </row>
    <row r="1454" spans="1:7" ht="14.5">
      <c r="A1454" s="85" t="s">
        <v>3423</v>
      </c>
      <c r="B1454" s="86">
        <v>54</v>
      </c>
      <c r="C1454" s="86">
        <v>11</v>
      </c>
      <c r="D1454" s="86">
        <v>28</v>
      </c>
      <c r="E1454" s="86">
        <v>33</v>
      </c>
      <c r="F1454" s="85">
        <v>0</v>
      </c>
      <c r="G1454" s="13">
        <v>44978</v>
      </c>
    </row>
    <row r="1455" spans="1:7" ht="14.5">
      <c r="A1455" s="85" t="s">
        <v>3427</v>
      </c>
      <c r="B1455" s="86">
        <v>236</v>
      </c>
      <c r="C1455" s="86">
        <v>66</v>
      </c>
      <c r="D1455" s="86">
        <v>30</v>
      </c>
      <c r="E1455" s="86">
        <v>227</v>
      </c>
      <c r="F1455" s="86">
        <v>1</v>
      </c>
      <c r="G1455" s="13">
        <v>44978</v>
      </c>
    </row>
    <row r="1456" spans="1:7" ht="14.5">
      <c r="A1456" s="85" t="s">
        <v>3429</v>
      </c>
      <c r="B1456" s="86">
        <v>148</v>
      </c>
      <c r="C1456" s="86">
        <v>39</v>
      </c>
      <c r="D1456" s="85">
        <v>0</v>
      </c>
      <c r="E1456" s="86">
        <v>10</v>
      </c>
      <c r="F1456" s="85">
        <v>0</v>
      </c>
      <c r="G1456" s="13">
        <v>44978</v>
      </c>
    </row>
    <row r="1457" spans="1:7" ht="14.5">
      <c r="A1457" s="85" t="s">
        <v>3431</v>
      </c>
      <c r="B1457" s="86">
        <v>39</v>
      </c>
      <c r="C1457" s="86">
        <v>9</v>
      </c>
      <c r="D1457" s="86">
        <v>75</v>
      </c>
      <c r="E1457" s="86">
        <v>24</v>
      </c>
      <c r="F1457" s="85">
        <v>0</v>
      </c>
      <c r="G1457" s="13">
        <v>44978</v>
      </c>
    </row>
    <row r="1458" spans="1:7" ht="14.5">
      <c r="A1458" s="85" t="s">
        <v>3433</v>
      </c>
      <c r="B1458" s="86">
        <v>290</v>
      </c>
      <c r="C1458" s="86">
        <v>46</v>
      </c>
      <c r="D1458" s="86">
        <v>54</v>
      </c>
      <c r="E1458" s="86">
        <v>2093</v>
      </c>
      <c r="F1458" s="85">
        <v>0</v>
      </c>
      <c r="G1458" s="13">
        <v>44978</v>
      </c>
    </row>
    <row r="1459" spans="1:7" ht="14.5">
      <c r="A1459" s="85" t="s">
        <v>3437</v>
      </c>
      <c r="B1459" s="86">
        <v>17</v>
      </c>
      <c r="C1459" s="86">
        <v>8</v>
      </c>
      <c r="D1459" s="85">
        <v>0</v>
      </c>
      <c r="E1459" s="86">
        <v>64</v>
      </c>
      <c r="F1459" s="85">
        <v>0</v>
      </c>
      <c r="G1459" s="13">
        <v>44978</v>
      </c>
    </row>
    <row r="1460" spans="1:7" ht="14.5">
      <c r="A1460" s="85" t="s">
        <v>3441</v>
      </c>
      <c r="B1460" s="86">
        <v>1</v>
      </c>
      <c r="C1460" s="86">
        <v>5</v>
      </c>
      <c r="D1460" s="86">
        <v>3</v>
      </c>
      <c r="E1460" s="86">
        <v>10</v>
      </c>
      <c r="F1460" s="85">
        <v>0</v>
      </c>
      <c r="G1460" s="13">
        <v>44978</v>
      </c>
    </row>
    <row r="1461" spans="1:7" ht="14.5">
      <c r="A1461" s="85" t="s">
        <v>3443</v>
      </c>
      <c r="B1461" s="86">
        <v>6</v>
      </c>
      <c r="C1461" s="86">
        <v>3</v>
      </c>
      <c r="D1461" s="85">
        <v>0</v>
      </c>
      <c r="E1461" s="86">
        <v>8</v>
      </c>
      <c r="F1461" s="85">
        <v>0</v>
      </c>
      <c r="G1461" s="13">
        <v>44978</v>
      </c>
    </row>
    <row r="1462" spans="1:7" ht="14.5">
      <c r="A1462" s="85" t="s">
        <v>3445</v>
      </c>
      <c r="B1462" s="86">
        <v>43</v>
      </c>
      <c r="C1462" s="86">
        <v>21</v>
      </c>
      <c r="D1462" s="86">
        <v>4</v>
      </c>
      <c r="E1462" s="86">
        <v>21</v>
      </c>
      <c r="F1462" s="85">
        <v>0</v>
      </c>
      <c r="G1462" s="13">
        <v>44978</v>
      </c>
    </row>
    <row r="1463" spans="1:7" ht="14.5">
      <c r="A1463" s="85" t="s">
        <v>3449</v>
      </c>
      <c r="B1463" s="86">
        <v>32</v>
      </c>
      <c r="C1463" s="86">
        <v>3</v>
      </c>
      <c r="D1463" s="86">
        <v>2</v>
      </c>
      <c r="E1463" s="86">
        <v>72</v>
      </c>
      <c r="F1463" s="85">
        <v>0</v>
      </c>
      <c r="G1463" s="13">
        <v>44978</v>
      </c>
    </row>
    <row r="1464" spans="1:7" ht="14.5">
      <c r="A1464" s="85" t="s">
        <v>3454</v>
      </c>
      <c r="B1464" s="86">
        <v>104</v>
      </c>
      <c r="C1464" s="86">
        <v>14</v>
      </c>
      <c r="D1464" s="86">
        <v>2</v>
      </c>
      <c r="E1464" s="86">
        <v>189</v>
      </c>
      <c r="F1464" s="86">
        <v>1</v>
      </c>
      <c r="G1464" s="13">
        <v>44978</v>
      </c>
    </row>
    <row r="1465" spans="1:7" ht="14.5">
      <c r="A1465" s="85" t="s">
        <v>3458</v>
      </c>
      <c r="B1465" s="86">
        <v>131</v>
      </c>
      <c r="C1465" s="86">
        <v>14</v>
      </c>
      <c r="D1465" s="86">
        <v>9</v>
      </c>
      <c r="E1465" s="86">
        <v>1218</v>
      </c>
      <c r="F1465" s="85">
        <v>0</v>
      </c>
      <c r="G1465" s="13">
        <v>44978</v>
      </c>
    </row>
    <row r="1466" spans="1:7" ht="14.5">
      <c r="A1466" s="85" t="s">
        <v>3460</v>
      </c>
      <c r="B1466" s="86">
        <v>13</v>
      </c>
      <c r="C1466" s="85">
        <v>0</v>
      </c>
      <c r="D1466" s="85">
        <v>0</v>
      </c>
      <c r="E1466" s="85">
        <v>0</v>
      </c>
      <c r="F1466" s="85">
        <v>0</v>
      </c>
      <c r="G1466" s="13">
        <v>44978</v>
      </c>
    </row>
    <row r="1467" spans="1:7" ht="14.5">
      <c r="A1467" s="85" t="s">
        <v>3463</v>
      </c>
      <c r="B1467" s="86">
        <v>5</v>
      </c>
      <c r="C1467" s="86">
        <v>16</v>
      </c>
      <c r="D1467" s="86">
        <v>19</v>
      </c>
      <c r="E1467" s="85">
        <v>0</v>
      </c>
      <c r="F1467" s="85">
        <v>0</v>
      </c>
      <c r="G1467" s="13">
        <v>44978</v>
      </c>
    </row>
    <row r="1468" spans="1:7" ht="14.5">
      <c r="A1468" s="85" t="s">
        <v>3465</v>
      </c>
      <c r="B1468" s="86">
        <v>8</v>
      </c>
      <c r="C1468" s="86">
        <v>4</v>
      </c>
      <c r="D1468" s="86">
        <v>4</v>
      </c>
      <c r="E1468" s="85">
        <v>0</v>
      </c>
      <c r="F1468" s="85">
        <v>0</v>
      </c>
      <c r="G1468" s="13">
        <v>44978</v>
      </c>
    </row>
    <row r="1469" spans="1:7" ht="14.5">
      <c r="A1469" s="85" t="s">
        <v>3467</v>
      </c>
      <c r="B1469" s="86">
        <v>146</v>
      </c>
      <c r="C1469" s="86">
        <v>45</v>
      </c>
      <c r="D1469" s="86">
        <v>76</v>
      </c>
      <c r="E1469" s="85">
        <v>0</v>
      </c>
      <c r="F1469" s="85">
        <v>0</v>
      </c>
      <c r="G1469" s="13">
        <v>44978</v>
      </c>
    </row>
    <row r="1470" spans="1:7" ht="14.5">
      <c r="A1470" s="85" t="s">
        <v>3469</v>
      </c>
      <c r="B1470" s="86">
        <v>5</v>
      </c>
      <c r="C1470" s="86">
        <v>1</v>
      </c>
      <c r="D1470" s="85">
        <v>0</v>
      </c>
      <c r="E1470" s="85">
        <v>0</v>
      </c>
      <c r="F1470" s="85">
        <v>0</v>
      </c>
      <c r="G1470" s="13">
        <v>44978</v>
      </c>
    </row>
    <row r="1471" spans="1:7" ht="14.5">
      <c r="A1471" s="85" t="s">
        <v>3473</v>
      </c>
      <c r="B1471" s="86">
        <v>18</v>
      </c>
      <c r="C1471" s="86">
        <v>3</v>
      </c>
      <c r="D1471" s="86">
        <v>5</v>
      </c>
      <c r="E1471" s="86">
        <v>4</v>
      </c>
      <c r="F1471" s="85">
        <v>0</v>
      </c>
      <c r="G1471" s="13">
        <v>44978</v>
      </c>
    </row>
    <row r="1472" spans="1:7" ht="14.5">
      <c r="A1472" s="85" t="s">
        <v>3476</v>
      </c>
      <c r="B1472" s="86">
        <v>31</v>
      </c>
      <c r="C1472" s="86">
        <v>26</v>
      </c>
      <c r="D1472" s="86">
        <v>24</v>
      </c>
      <c r="E1472" s="86">
        <v>36</v>
      </c>
      <c r="F1472" s="86">
        <v>2</v>
      </c>
      <c r="G1472" s="13">
        <v>44978</v>
      </c>
    </row>
    <row r="1473" spans="1:7" ht="14.5">
      <c r="A1473" s="85" t="s">
        <v>3478</v>
      </c>
      <c r="B1473" s="86">
        <v>84</v>
      </c>
      <c r="C1473" s="86">
        <v>14</v>
      </c>
      <c r="D1473" s="86">
        <v>85</v>
      </c>
      <c r="E1473" s="86">
        <v>275</v>
      </c>
      <c r="F1473" s="86">
        <v>3</v>
      </c>
      <c r="G1473" s="13">
        <v>44978</v>
      </c>
    </row>
    <row r="1474" spans="1:7" ht="14.5">
      <c r="A1474" s="85" t="s">
        <v>3480</v>
      </c>
      <c r="B1474" s="86">
        <v>96</v>
      </c>
      <c r="C1474" s="86">
        <v>29</v>
      </c>
      <c r="D1474" s="86">
        <v>155</v>
      </c>
      <c r="E1474" s="86">
        <v>19</v>
      </c>
      <c r="F1474" s="85">
        <v>0</v>
      </c>
      <c r="G1474" s="13">
        <v>44978</v>
      </c>
    </row>
    <row r="1475" spans="1:7" ht="14.5">
      <c r="A1475" s="85" t="s">
        <v>3484</v>
      </c>
      <c r="B1475" s="86">
        <v>2</v>
      </c>
      <c r="C1475" s="86">
        <v>8</v>
      </c>
      <c r="D1475" s="86">
        <v>5</v>
      </c>
      <c r="E1475" s="86">
        <v>123</v>
      </c>
      <c r="F1475" s="85">
        <v>0</v>
      </c>
      <c r="G1475" s="13">
        <v>44978</v>
      </c>
    </row>
    <row r="1476" spans="1:7" ht="14.5">
      <c r="A1476" s="85" t="s">
        <v>3486</v>
      </c>
      <c r="B1476" s="86">
        <v>162</v>
      </c>
      <c r="C1476" s="86">
        <v>14</v>
      </c>
      <c r="D1476" s="86">
        <v>4</v>
      </c>
      <c r="E1476" s="86">
        <v>226</v>
      </c>
      <c r="F1476" s="85">
        <v>0</v>
      </c>
      <c r="G1476" s="13">
        <v>44978</v>
      </c>
    </row>
    <row r="1477" spans="1:7" ht="14.5">
      <c r="A1477" s="85" t="s">
        <v>3490</v>
      </c>
      <c r="B1477" s="86">
        <v>85</v>
      </c>
      <c r="C1477" s="86">
        <v>10</v>
      </c>
      <c r="D1477" s="86">
        <v>5</v>
      </c>
      <c r="E1477" s="86">
        <v>86</v>
      </c>
      <c r="F1477" s="85">
        <v>0</v>
      </c>
      <c r="G1477" s="13">
        <v>44978</v>
      </c>
    </row>
    <row r="1478" spans="1:7" ht="14.5">
      <c r="A1478" s="85" t="s">
        <v>3494</v>
      </c>
      <c r="B1478" s="86">
        <v>23</v>
      </c>
      <c r="C1478" s="86">
        <v>6</v>
      </c>
      <c r="D1478" s="86">
        <v>39</v>
      </c>
      <c r="E1478" s="86">
        <v>32</v>
      </c>
      <c r="F1478" s="85">
        <v>0</v>
      </c>
      <c r="G1478" s="13">
        <v>44978</v>
      </c>
    </row>
    <row r="1479" spans="1:7" ht="14.5">
      <c r="A1479" s="85" t="s">
        <v>3498</v>
      </c>
      <c r="B1479" s="86">
        <v>3</v>
      </c>
      <c r="C1479" s="86">
        <v>2</v>
      </c>
      <c r="D1479" s="86">
        <v>1</v>
      </c>
      <c r="E1479" s="86">
        <v>7</v>
      </c>
      <c r="F1479" s="85">
        <v>0</v>
      </c>
      <c r="G1479" s="13">
        <v>44978</v>
      </c>
    </row>
    <row r="1480" spans="1:7" ht="14.5">
      <c r="A1480" s="85" t="s">
        <v>3502</v>
      </c>
      <c r="B1480" s="86">
        <v>54</v>
      </c>
      <c r="C1480" s="86">
        <v>9</v>
      </c>
      <c r="D1480" s="86">
        <v>42</v>
      </c>
      <c r="E1480" s="86">
        <v>99</v>
      </c>
      <c r="F1480" s="85">
        <v>0</v>
      </c>
      <c r="G1480" s="13">
        <v>44978</v>
      </c>
    </row>
    <row r="1481" spans="1:7" ht="14.5">
      <c r="A1481" s="85" t="s">
        <v>3504</v>
      </c>
      <c r="B1481" s="86">
        <v>5</v>
      </c>
      <c r="C1481" s="86">
        <v>5</v>
      </c>
      <c r="D1481" s="85">
        <v>0</v>
      </c>
      <c r="E1481" s="85">
        <v>0</v>
      </c>
      <c r="F1481" s="85">
        <v>0</v>
      </c>
      <c r="G1481" s="13">
        <v>44978</v>
      </c>
    </row>
    <row r="1482" spans="1:7" ht="14.5">
      <c r="A1482" s="85" t="s">
        <v>3508</v>
      </c>
      <c r="B1482" s="86">
        <v>88</v>
      </c>
      <c r="C1482" s="86">
        <v>18</v>
      </c>
      <c r="D1482" s="86">
        <v>19</v>
      </c>
      <c r="E1482" s="86">
        <v>313</v>
      </c>
      <c r="F1482" s="86">
        <v>1</v>
      </c>
      <c r="G1482" s="13">
        <v>44978</v>
      </c>
    </row>
    <row r="1483" spans="1:7" ht="14.5">
      <c r="A1483" s="85" t="s">
        <v>3510</v>
      </c>
      <c r="B1483" s="86">
        <v>28</v>
      </c>
      <c r="C1483" s="86">
        <v>2</v>
      </c>
      <c r="D1483" s="86">
        <v>159</v>
      </c>
      <c r="E1483" s="86">
        <v>34</v>
      </c>
      <c r="F1483" s="85">
        <v>0</v>
      </c>
      <c r="G1483" s="13">
        <v>44978</v>
      </c>
    </row>
    <row r="1484" spans="1:7" ht="14.5">
      <c r="A1484" s="85" t="s">
        <v>3514</v>
      </c>
      <c r="B1484" s="86">
        <v>24</v>
      </c>
      <c r="C1484" s="85">
        <v>0</v>
      </c>
      <c r="D1484" s="86">
        <v>8</v>
      </c>
      <c r="E1484" s="86">
        <v>23</v>
      </c>
      <c r="F1484" s="85">
        <v>0</v>
      </c>
      <c r="G1484" s="13">
        <v>44978</v>
      </c>
    </row>
    <row r="1485" spans="1:7" ht="14.5">
      <c r="A1485" s="85" t="s">
        <v>3518</v>
      </c>
      <c r="B1485" s="86">
        <v>10</v>
      </c>
      <c r="C1485" s="86">
        <v>11</v>
      </c>
      <c r="D1485" s="86">
        <v>2</v>
      </c>
      <c r="E1485" s="86">
        <v>9</v>
      </c>
      <c r="F1485" s="85">
        <v>0</v>
      </c>
      <c r="G1485" s="13">
        <v>44978</v>
      </c>
    </row>
    <row r="1486" spans="1:7" ht="14.5">
      <c r="A1486" s="85" t="s">
        <v>3520</v>
      </c>
      <c r="B1486" s="86">
        <v>250</v>
      </c>
      <c r="C1486" s="86">
        <v>92</v>
      </c>
      <c r="D1486" s="86">
        <v>73</v>
      </c>
      <c r="E1486" s="86">
        <v>83</v>
      </c>
      <c r="F1486" s="85">
        <v>0</v>
      </c>
      <c r="G1486" s="13">
        <v>44978</v>
      </c>
    </row>
    <row r="1487" spans="1:7" ht="14.5">
      <c r="A1487" s="85" t="s">
        <v>3522</v>
      </c>
      <c r="B1487" s="86">
        <v>180</v>
      </c>
      <c r="C1487" s="86">
        <v>38</v>
      </c>
      <c r="D1487" s="86">
        <v>14</v>
      </c>
      <c r="E1487" s="86">
        <v>261</v>
      </c>
      <c r="F1487" s="85">
        <v>0</v>
      </c>
      <c r="G1487" s="13">
        <v>44978</v>
      </c>
    </row>
    <row r="1488" spans="1:7" ht="14.5">
      <c r="A1488" s="85" t="s">
        <v>3526</v>
      </c>
      <c r="B1488" s="86">
        <v>236</v>
      </c>
      <c r="C1488" s="86">
        <v>77</v>
      </c>
      <c r="D1488" s="86">
        <v>59</v>
      </c>
      <c r="E1488" s="86">
        <v>860</v>
      </c>
      <c r="F1488" s="85">
        <v>0</v>
      </c>
      <c r="G1488" s="13">
        <v>44978</v>
      </c>
    </row>
    <row r="1489" spans="1:7" ht="14.5">
      <c r="A1489" s="85" t="s">
        <v>3528</v>
      </c>
      <c r="B1489" s="86">
        <v>20</v>
      </c>
      <c r="C1489" s="86">
        <v>3</v>
      </c>
      <c r="D1489" s="86">
        <v>8</v>
      </c>
      <c r="E1489" s="86">
        <v>43</v>
      </c>
      <c r="F1489" s="85">
        <v>0</v>
      </c>
      <c r="G1489" s="13">
        <v>44978</v>
      </c>
    </row>
    <row r="1490" spans="1:7" ht="14.5">
      <c r="A1490" s="85" t="s">
        <v>3531</v>
      </c>
      <c r="B1490" s="86">
        <v>62</v>
      </c>
      <c r="C1490" s="86">
        <v>12</v>
      </c>
      <c r="D1490" s="86">
        <v>64</v>
      </c>
      <c r="E1490" s="86">
        <v>247</v>
      </c>
      <c r="F1490" s="85">
        <v>0</v>
      </c>
      <c r="G1490" s="13">
        <v>44978</v>
      </c>
    </row>
    <row r="1491" spans="1:7" ht="14.5">
      <c r="A1491" s="85" t="s">
        <v>3535</v>
      </c>
      <c r="B1491" s="86">
        <v>36</v>
      </c>
      <c r="C1491" s="86">
        <v>4</v>
      </c>
      <c r="D1491" s="86">
        <v>48</v>
      </c>
      <c r="E1491" s="86">
        <v>108</v>
      </c>
      <c r="F1491" s="85">
        <v>0</v>
      </c>
      <c r="G1491" s="13">
        <v>44978</v>
      </c>
    </row>
    <row r="1492" spans="1:7" ht="14.5">
      <c r="A1492" s="85" t="s">
        <v>3537</v>
      </c>
      <c r="B1492" s="86">
        <v>12</v>
      </c>
      <c r="C1492" s="86">
        <v>6</v>
      </c>
      <c r="D1492" s="85">
        <v>0</v>
      </c>
      <c r="E1492" s="86">
        <v>19</v>
      </c>
      <c r="F1492" s="85">
        <v>0</v>
      </c>
      <c r="G1492" s="13">
        <v>44978</v>
      </c>
    </row>
    <row r="1493" spans="1:7" ht="14.5">
      <c r="A1493" s="85" t="s">
        <v>3539</v>
      </c>
      <c r="B1493" s="86">
        <v>38</v>
      </c>
      <c r="C1493" s="86">
        <v>8</v>
      </c>
      <c r="D1493" s="86">
        <v>9</v>
      </c>
      <c r="E1493" s="85">
        <v>0</v>
      </c>
      <c r="F1493" s="85">
        <v>0</v>
      </c>
      <c r="G1493" s="13">
        <v>44978</v>
      </c>
    </row>
    <row r="1494" spans="1:7" ht="14.5">
      <c r="A1494" s="85" t="s">
        <v>3543</v>
      </c>
      <c r="B1494" s="86">
        <v>18</v>
      </c>
      <c r="C1494" s="86">
        <v>4</v>
      </c>
      <c r="D1494" s="86">
        <v>114</v>
      </c>
      <c r="E1494" s="85">
        <v>0</v>
      </c>
      <c r="F1494" s="85">
        <v>0</v>
      </c>
      <c r="G1494" s="13">
        <v>44978</v>
      </c>
    </row>
    <row r="1495" spans="1:7" ht="14.5">
      <c r="A1495" s="85" t="s">
        <v>3547</v>
      </c>
      <c r="B1495" s="86">
        <v>60</v>
      </c>
      <c r="C1495" s="86">
        <v>13</v>
      </c>
      <c r="D1495" s="85">
        <v>0</v>
      </c>
      <c r="E1495" s="85">
        <v>0</v>
      </c>
      <c r="F1495" s="85">
        <v>0</v>
      </c>
      <c r="G1495" s="13">
        <v>44978</v>
      </c>
    </row>
    <row r="1496" spans="1:7" ht="14.5">
      <c r="A1496" s="85" t="s">
        <v>3551</v>
      </c>
      <c r="B1496" s="86">
        <v>19</v>
      </c>
      <c r="C1496" s="86">
        <v>2</v>
      </c>
      <c r="D1496" s="86">
        <v>4</v>
      </c>
      <c r="E1496" s="85">
        <v>0</v>
      </c>
      <c r="F1496" s="85">
        <v>0</v>
      </c>
      <c r="G1496" s="13">
        <v>44978</v>
      </c>
    </row>
    <row r="1497" spans="1:7" ht="14.5">
      <c r="A1497" s="85" t="s">
        <v>3553</v>
      </c>
      <c r="B1497" s="86">
        <v>6</v>
      </c>
      <c r="C1497" s="86">
        <v>6</v>
      </c>
      <c r="D1497" s="86">
        <v>1</v>
      </c>
      <c r="E1497" s="85">
        <v>0</v>
      </c>
      <c r="F1497" s="85">
        <v>0</v>
      </c>
      <c r="G1497" s="13">
        <v>44978</v>
      </c>
    </row>
    <row r="1498" spans="1:7" ht="14.5">
      <c r="A1498" s="85" t="s">
        <v>3555</v>
      </c>
      <c r="B1498" s="86">
        <v>63</v>
      </c>
      <c r="C1498" s="86">
        <v>10</v>
      </c>
      <c r="D1498" s="86">
        <v>36</v>
      </c>
      <c r="E1498" s="85">
        <v>0</v>
      </c>
      <c r="F1498" s="85">
        <v>0</v>
      </c>
      <c r="G1498" s="13">
        <v>44978</v>
      </c>
    </row>
    <row r="1499" spans="1:7" ht="14.5">
      <c r="A1499" s="85" t="s">
        <v>3559</v>
      </c>
      <c r="B1499" s="86">
        <v>9</v>
      </c>
      <c r="C1499" s="86">
        <v>4</v>
      </c>
      <c r="D1499" s="85">
        <v>0</v>
      </c>
      <c r="E1499" s="85">
        <v>0</v>
      </c>
      <c r="F1499" s="85">
        <v>0</v>
      </c>
      <c r="G1499" s="13">
        <v>44978</v>
      </c>
    </row>
    <row r="1500" spans="1:7" ht="14.5">
      <c r="A1500" s="85" t="s">
        <v>3562</v>
      </c>
      <c r="B1500" s="86">
        <v>12</v>
      </c>
      <c r="C1500" s="86">
        <v>2</v>
      </c>
      <c r="D1500" s="85">
        <v>0</v>
      </c>
      <c r="E1500" s="85">
        <v>0</v>
      </c>
      <c r="F1500" s="85">
        <v>0</v>
      </c>
      <c r="G1500" s="13">
        <v>44978</v>
      </c>
    </row>
    <row r="1501" spans="1:7" ht="14.5">
      <c r="A1501" s="85" t="s">
        <v>3564</v>
      </c>
      <c r="B1501" s="86">
        <v>23</v>
      </c>
      <c r="C1501" s="86">
        <v>9</v>
      </c>
      <c r="D1501" s="86">
        <v>2</v>
      </c>
      <c r="E1501" s="85">
        <v>0</v>
      </c>
      <c r="F1501" s="85">
        <v>0</v>
      </c>
      <c r="G1501" s="13">
        <v>44978</v>
      </c>
    </row>
    <row r="1502" spans="1:7" ht="14.5">
      <c r="A1502" s="17" t="s">
        <v>3566</v>
      </c>
      <c r="B1502" s="17">
        <v>4</v>
      </c>
      <c r="C1502" s="17">
        <v>3</v>
      </c>
      <c r="D1502" s="17">
        <v>24</v>
      </c>
      <c r="E1502" s="17">
        <v>0</v>
      </c>
      <c r="F1502" s="17">
        <v>0</v>
      </c>
      <c r="G1502" s="13">
        <v>44978</v>
      </c>
    </row>
    <row r="1503" spans="1:7" ht="14.5">
      <c r="A1503" s="17" t="s">
        <v>3568</v>
      </c>
      <c r="B1503" s="17">
        <v>31</v>
      </c>
      <c r="C1503" s="17">
        <v>2</v>
      </c>
      <c r="D1503" s="17">
        <v>5</v>
      </c>
      <c r="E1503" s="17">
        <v>0</v>
      </c>
      <c r="F1503" s="17">
        <v>0</v>
      </c>
      <c r="G1503" s="13">
        <v>44978</v>
      </c>
    </row>
    <row r="1504" spans="1:7" ht="14.5">
      <c r="A1504" s="17" t="s">
        <v>3570</v>
      </c>
      <c r="B1504" s="17">
        <v>28</v>
      </c>
      <c r="C1504" s="17">
        <v>20</v>
      </c>
      <c r="D1504" s="17">
        <v>0</v>
      </c>
      <c r="E1504" s="17">
        <v>0</v>
      </c>
      <c r="F1504" s="17">
        <v>0</v>
      </c>
      <c r="G1504" s="13">
        <v>44978</v>
      </c>
    </row>
    <row r="1505" spans="1:7" ht="14.5">
      <c r="A1505" s="17" t="s">
        <v>3572</v>
      </c>
      <c r="B1505" s="17">
        <v>17</v>
      </c>
      <c r="C1505" s="17">
        <v>5</v>
      </c>
      <c r="D1505" s="17">
        <v>44</v>
      </c>
      <c r="E1505" s="17">
        <v>0</v>
      </c>
      <c r="F1505" s="17">
        <v>0</v>
      </c>
      <c r="G1505" s="13">
        <v>44978</v>
      </c>
    </row>
    <row r="1506" spans="1:7" ht="14.5">
      <c r="A1506" s="17" t="s">
        <v>3576</v>
      </c>
      <c r="B1506" s="17">
        <v>28</v>
      </c>
      <c r="C1506" s="17">
        <v>13</v>
      </c>
      <c r="D1506" s="17">
        <v>0</v>
      </c>
      <c r="E1506" s="17">
        <v>0</v>
      </c>
      <c r="F1506" s="17">
        <v>0</v>
      </c>
      <c r="G1506" s="13">
        <v>44978</v>
      </c>
    </row>
    <row r="1507" spans="1:7" ht="14.5">
      <c r="A1507" s="17" t="s">
        <v>3580</v>
      </c>
      <c r="B1507" s="17">
        <v>29</v>
      </c>
      <c r="C1507" s="17">
        <v>3</v>
      </c>
      <c r="D1507" s="17">
        <v>11</v>
      </c>
      <c r="E1507" s="17">
        <v>0</v>
      </c>
      <c r="F1507" s="17">
        <v>2</v>
      </c>
      <c r="G1507" s="13">
        <v>44978</v>
      </c>
    </row>
    <row r="1508" spans="1:7" ht="14.5">
      <c r="A1508" s="17" t="s">
        <v>3584</v>
      </c>
      <c r="B1508" s="17">
        <v>15</v>
      </c>
      <c r="C1508" s="17">
        <v>0</v>
      </c>
      <c r="D1508" s="17">
        <v>0</v>
      </c>
      <c r="E1508" s="17">
        <v>0</v>
      </c>
      <c r="F1508" s="17">
        <v>0</v>
      </c>
      <c r="G1508" s="13">
        <v>44978</v>
      </c>
    </row>
    <row r="1509" spans="1:7" ht="14.5">
      <c r="A1509" s="17" t="s">
        <v>3588</v>
      </c>
      <c r="B1509" s="17">
        <v>16</v>
      </c>
      <c r="C1509" s="17">
        <v>0</v>
      </c>
      <c r="D1509" s="17">
        <v>10</v>
      </c>
      <c r="E1509" s="17">
        <v>0</v>
      </c>
      <c r="F1509" s="17">
        <v>0</v>
      </c>
      <c r="G1509" s="13">
        <v>44978</v>
      </c>
    </row>
    <row r="1510" spans="1:7" ht="14.5">
      <c r="A1510" s="17" t="s">
        <v>3590</v>
      </c>
      <c r="B1510" s="17">
        <v>93</v>
      </c>
      <c r="C1510" s="17">
        <v>14</v>
      </c>
      <c r="D1510" s="17">
        <v>2</v>
      </c>
      <c r="E1510" s="17">
        <v>0</v>
      </c>
      <c r="F1510" s="17">
        <v>0</v>
      </c>
      <c r="G1510" s="13">
        <v>44978</v>
      </c>
    </row>
    <row r="1511" spans="1:7" ht="14.5">
      <c r="A1511" s="17" t="s">
        <v>3592</v>
      </c>
      <c r="B1511" s="17">
        <v>11</v>
      </c>
      <c r="C1511" s="17">
        <v>18</v>
      </c>
      <c r="D1511" s="17">
        <v>37</v>
      </c>
      <c r="E1511" s="17">
        <v>0</v>
      </c>
      <c r="F1511" s="17">
        <v>1</v>
      </c>
      <c r="G1511" s="13">
        <v>44978</v>
      </c>
    </row>
    <row r="1512" spans="1:7" ht="14.5">
      <c r="A1512" s="17" t="s">
        <v>3596</v>
      </c>
      <c r="B1512" s="17">
        <v>22</v>
      </c>
      <c r="C1512" s="17">
        <v>3</v>
      </c>
      <c r="D1512" s="17">
        <v>6</v>
      </c>
      <c r="E1512" s="17">
        <v>0</v>
      </c>
      <c r="F1512" s="17">
        <v>0</v>
      </c>
      <c r="G1512" s="13">
        <v>44978</v>
      </c>
    </row>
    <row r="1513" spans="1:7" ht="14.5">
      <c r="A1513" s="17" t="s">
        <v>3598</v>
      </c>
      <c r="B1513" s="17">
        <v>72</v>
      </c>
      <c r="C1513" s="17">
        <v>26</v>
      </c>
      <c r="D1513" s="17">
        <v>61</v>
      </c>
      <c r="E1513" s="17">
        <v>0</v>
      </c>
      <c r="F1513" s="17">
        <v>0</v>
      </c>
      <c r="G1513" s="13">
        <v>44978</v>
      </c>
    </row>
    <row r="1514" spans="1:7" ht="14.5">
      <c r="A1514" s="17" t="s">
        <v>3600</v>
      </c>
      <c r="B1514" s="17">
        <v>27</v>
      </c>
      <c r="C1514" s="17">
        <v>2</v>
      </c>
      <c r="D1514" s="17">
        <v>18</v>
      </c>
      <c r="E1514" s="17">
        <v>0</v>
      </c>
      <c r="F1514" s="17">
        <v>0</v>
      </c>
      <c r="G1514" s="13">
        <v>44978</v>
      </c>
    </row>
    <row r="1515" spans="1:7" ht="14.5">
      <c r="A1515" s="17" t="s">
        <v>3605</v>
      </c>
      <c r="B1515" s="17">
        <v>2</v>
      </c>
      <c r="C1515" s="17">
        <v>0</v>
      </c>
      <c r="D1515" s="17">
        <v>0</v>
      </c>
      <c r="E1515" s="17">
        <v>0</v>
      </c>
      <c r="F1515" s="17">
        <v>0</v>
      </c>
      <c r="G1515" s="13">
        <v>44978</v>
      </c>
    </row>
    <row r="1516" spans="1:7" ht="14.5">
      <c r="A1516" s="17" t="s">
        <v>3609</v>
      </c>
      <c r="B1516" s="17">
        <v>3</v>
      </c>
      <c r="C1516" s="17">
        <v>0</v>
      </c>
      <c r="D1516" s="17">
        <v>0</v>
      </c>
      <c r="E1516" s="17">
        <v>0</v>
      </c>
      <c r="F1516" s="17">
        <v>0</v>
      </c>
      <c r="G1516" s="13">
        <v>44978</v>
      </c>
    </row>
    <row r="1517" spans="1:7" ht="14.5">
      <c r="A1517" s="17" t="s">
        <v>3613</v>
      </c>
      <c r="B1517" s="17">
        <v>0</v>
      </c>
      <c r="C1517" s="17">
        <v>0</v>
      </c>
      <c r="D1517" s="17">
        <v>3</v>
      </c>
      <c r="E1517" s="17">
        <v>0</v>
      </c>
      <c r="F1517" s="17">
        <v>0</v>
      </c>
      <c r="G1517" s="13">
        <v>44978</v>
      </c>
    </row>
    <row r="1518" spans="1:7" ht="14.5">
      <c r="A1518" s="17" t="s">
        <v>3617</v>
      </c>
      <c r="B1518" s="17">
        <v>59</v>
      </c>
      <c r="C1518" s="17">
        <v>4</v>
      </c>
      <c r="D1518" s="17">
        <v>0</v>
      </c>
      <c r="E1518" s="17">
        <v>0</v>
      </c>
      <c r="F1518" s="17">
        <v>0</v>
      </c>
      <c r="G1518" s="13">
        <v>44978</v>
      </c>
    </row>
    <row r="1519" spans="1:7" ht="14.5">
      <c r="A1519" s="17" t="s">
        <v>3622</v>
      </c>
      <c r="B1519" s="17">
        <v>1</v>
      </c>
      <c r="C1519" s="17">
        <v>0</v>
      </c>
      <c r="D1519" s="17">
        <v>1</v>
      </c>
      <c r="E1519" s="17">
        <v>0</v>
      </c>
      <c r="F1519" s="17">
        <v>0</v>
      </c>
      <c r="G1519" s="13">
        <v>44978</v>
      </c>
    </row>
    <row r="1520" spans="1:7" ht="14.5">
      <c r="A1520" s="17" t="s">
        <v>3627</v>
      </c>
      <c r="B1520" s="17">
        <v>28</v>
      </c>
      <c r="C1520" s="17">
        <v>53</v>
      </c>
      <c r="D1520" s="17">
        <v>3</v>
      </c>
      <c r="E1520" s="17">
        <v>0</v>
      </c>
      <c r="F1520" s="17">
        <v>0</v>
      </c>
      <c r="G1520" s="13">
        <v>44978</v>
      </c>
    </row>
    <row r="1521" spans="1:7" ht="14.5">
      <c r="A1521" s="17" t="s">
        <v>3631</v>
      </c>
      <c r="B1521" s="17">
        <v>120</v>
      </c>
      <c r="C1521" s="17">
        <v>14</v>
      </c>
      <c r="D1521" s="17">
        <v>13</v>
      </c>
      <c r="E1521" s="17">
        <v>0</v>
      </c>
      <c r="F1521" s="17">
        <v>4</v>
      </c>
      <c r="G1521" s="13">
        <v>44978</v>
      </c>
    </row>
    <row r="1522" spans="1:7" ht="14.5">
      <c r="A1522" s="17" t="s">
        <v>3633</v>
      </c>
      <c r="B1522" s="17">
        <v>89</v>
      </c>
      <c r="C1522" s="17">
        <v>7</v>
      </c>
      <c r="D1522" s="17">
        <v>13</v>
      </c>
      <c r="E1522" s="17">
        <v>0</v>
      </c>
      <c r="F1522" s="17">
        <v>2</v>
      </c>
      <c r="G1522" s="13">
        <v>44978</v>
      </c>
    </row>
    <row r="1523" spans="1:7" ht="14.5">
      <c r="A1523" s="17" t="s">
        <v>3635</v>
      </c>
      <c r="B1523" s="17">
        <v>3</v>
      </c>
      <c r="C1523" s="17">
        <v>2</v>
      </c>
      <c r="D1523" s="17">
        <v>0</v>
      </c>
      <c r="E1523" s="17">
        <v>0</v>
      </c>
      <c r="F1523" s="17">
        <v>0</v>
      </c>
      <c r="G1523" s="13">
        <v>44978</v>
      </c>
    </row>
    <row r="1524" spans="1:7" ht="14.5">
      <c r="A1524" s="17" t="s">
        <v>3639</v>
      </c>
      <c r="B1524" s="17">
        <v>5</v>
      </c>
      <c r="C1524" s="17">
        <v>2</v>
      </c>
      <c r="D1524" s="17">
        <v>73</v>
      </c>
      <c r="E1524" s="17">
        <v>0</v>
      </c>
      <c r="F1524" s="17">
        <v>0</v>
      </c>
      <c r="G1524" s="13">
        <v>44978</v>
      </c>
    </row>
    <row r="1525" spans="1:7" ht="14.5">
      <c r="A1525" s="17" t="s">
        <v>3644</v>
      </c>
      <c r="B1525" s="17">
        <v>20</v>
      </c>
      <c r="C1525" s="17">
        <v>6</v>
      </c>
      <c r="D1525" s="17">
        <v>11</v>
      </c>
      <c r="E1525" s="17">
        <v>0</v>
      </c>
      <c r="F1525" s="17">
        <v>0</v>
      </c>
      <c r="G1525" s="13">
        <v>44978</v>
      </c>
    </row>
    <row r="1526" spans="1:7" ht="14.5">
      <c r="A1526" s="17" t="s">
        <v>3646</v>
      </c>
      <c r="B1526" s="17">
        <v>5</v>
      </c>
      <c r="C1526" s="17">
        <v>1</v>
      </c>
      <c r="D1526" s="17">
        <v>8</v>
      </c>
      <c r="E1526" s="17">
        <v>0</v>
      </c>
      <c r="F1526" s="17">
        <v>0</v>
      </c>
      <c r="G1526" s="13">
        <v>44978</v>
      </c>
    </row>
    <row r="1527" spans="1:7" ht="14.5">
      <c r="A1527" s="17" t="s">
        <v>3649</v>
      </c>
      <c r="B1527" s="17">
        <v>35</v>
      </c>
      <c r="C1527" s="17">
        <v>11</v>
      </c>
      <c r="D1527" s="17">
        <v>86</v>
      </c>
      <c r="E1527" s="17">
        <v>0</v>
      </c>
      <c r="F1527" s="17">
        <v>16</v>
      </c>
      <c r="G1527" s="13">
        <v>44978</v>
      </c>
    </row>
    <row r="1528" spans="1:7" ht="14.5">
      <c r="A1528" s="17" t="s">
        <v>3652</v>
      </c>
      <c r="B1528" s="17">
        <v>9</v>
      </c>
      <c r="C1528" s="17">
        <v>2</v>
      </c>
      <c r="D1528" s="17">
        <v>5</v>
      </c>
      <c r="E1528" s="17">
        <v>0</v>
      </c>
      <c r="F1528" s="17">
        <v>0</v>
      </c>
      <c r="G1528" s="13">
        <v>44978</v>
      </c>
    </row>
    <row r="1529" spans="1:7" ht="14.5">
      <c r="A1529" s="17" t="s">
        <v>3656</v>
      </c>
      <c r="B1529" s="17">
        <v>77</v>
      </c>
      <c r="C1529" s="17">
        <v>9</v>
      </c>
      <c r="D1529" s="17">
        <v>10</v>
      </c>
      <c r="E1529" s="17">
        <v>0</v>
      </c>
      <c r="F1529" s="17">
        <v>0</v>
      </c>
      <c r="G1529" s="13">
        <v>44978</v>
      </c>
    </row>
    <row r="1530" spans="1:7" ht="14.5">
      <c r="A1530" s="17" t="s">
        <v>3658</v>
      </c>
      <c r="B1530" s="17">
        <v>11</v>
      </c>
      <c r="C1530" s="17">
        <v>5</v>
      </c>
      <c r="D1530" s="17">
        <v>0</v>
      </c>
      <c r="E1530" s="17">
        <v>0</v>
      </c>
      <c r="F1530" s="17">
        <v>0</v>
      </c>
      <c r="G1530" s="13">
        <v>44978</v>
      </c>
    </row>
    <row r="1531" spans="1:7" ht="14.5">
      <c r="A1531" s="17" t="s">
        <v>3662</v>
      </c>
      <c r="B1531" s="17">
        <v>101</v>
      </c>
      <c r="C1531" s="17">
        <v>18</v>
      </c>
      <c r="D1531" s="17">
        <v>84</v>
      </c>
      <c r="E1531" s="17">
        <v>0</v>
      </c>
      <c r="F1531" s="17">
        <v>0</v>
      </c>
      <c r="G1531" s="13">
        <v>44978</v>
      </c>
    </row>
    <row r="1532" spans="1:7" ht="14.5">
      <c r="A1532" s="17" t="s">
        <v>3664</v>
      </c>
      <c r="B1532" s="17">
        <v>22</v>
      </c>
      <c r="C1532" s="17">
        <v>3</v>
      </c>
      <c r="D1532" s="17">
        <v>6</v>
      </c>
      <c r="E1532" s="17">
        <v>0</v>
      </c>
      <c r="F1532" s="17">
        <v>1</v>
      </c>
      <c r="G1532" s="13">
        <v>44978</v>
      </c>
    </row>
    <row r="1533" spans="1:7" ht="14.5">
      <c r="A1533" s="17" t="s">
        <v>3667</v>
      </c>
      <c r="B1533" s="17">
        <v>23</v>
      </c>
      <c r="C1533" s="17">
        <v>4</v>
      </c>
      <c r="D1533" s="17">
        <v>1</v>
      </c>
      <c r="E1533" s="17">
        <v>0</v>
      </c>
      <c r="F1533" s="17">
        <v>0</v>
      </c>
      <c r="G1533" s="13">
        <v>44978</v>
      </c>
    </row>
    <row r="1534" spans="1:7" ht="14.5">
      <c r="A1534" s="17" t="s">
        <v>3671</v>
      </c>
      <c r="B1534" s="17">
        <v>27</v>
      </c>
      <c r="C1534" s="17">
        <v>9</v>
      </c>
      <c r="D1534" s="17">
        <v>1</v>
      </c>
      <c r="E1534" s="17">
        <v>0</v>
      </c>
      <c r="F1534" s="17">
        <v>0</v>
      </c>
      <c r="G1534" s="13">
        <v>44978</v>
      </c>
    </row>
    <row r="1535" spans="1:7" ht="14.5">
      <c r="A1535" s="17" t="s">
        <v>3673</v>
      </c>
      <c r="B1535" s="17">
        <v>28</v>
      </c>
      <c r="C1535" s="17">
        <v>4</v>
      </c>
      <c r="D1535" s="17">
        <v>21</v>
      </c>
      <c r="E1535" s="17">
        <v>0</v>
      </c>
      <c r="F1535" s="17">
        <v>0</v>
      </c>
      <c r="G1535" s="13">
        <v>44978</v>
      </c>
    </row>
    <row r="1536" spans="1:7" ht="14.5">
      <c r="A1536" s="17" t="s">
        <v>3676</v>
      </c>
      <c r="B1536" s="17">
        <v>25</v>
      </c>
      <c r="C1536" s="17">
        <v>6</v>
      </c>
      <c r="D1536" s="17">
        <v>12</v>
      </c>
      <c r="E1536" s="17">
        <v>0</v>
      </c>
      <c r="F1536" s="17">
        <v>0</v>
      </c>
      <c r="G1536" s="13">
        <v>44978</v>
      </c>
    </row>
    <row r="1537" spans="1:7" ht="14.5">
      <c r="A1537" s="17" t="s">
        <v>3678</v>
      </c>
      <c r="B1537" s="17">
        <v>14</v>
      </c>
      <c r="C1537" s="17">
        <v>4</v>
      </c>
      <c r="D1537" s="17">
        <v>37</v>
      </c>
      <c r="E1537" s="17">
        <v>0</v>
      </c>
      <c r="F1537" s="17">
        <v>0</v>
      </c>
      <c r="G1537" s="13">
        <v>44978</v>
      </c>
    </row>
    <row r="1538" spans="1:7" ht="14.5">
      <c r="A1538" s="17" t="s">
        <v>3683</v>
      </c>
      <c r="B1538" s="17">
        <v>1</v>
      </c>
      <c r="C1538" s="17">
        <v>0</v>
      </c>
      <c r="D1538" s="17">
        <v>0</v>
      </c>
      <c r="E1538" s="17">
        <v>0</v>
      </c>
      <c r="F1538" s="17">
        <v>0</v>
      </c>
      <c r="G1538" s="13">
        <v>44978</v>
      </c>
    </row>
    <row r="1539" spans="1:7" ht="14.5">
      <c r="A1539" s="17" t="s">
        <v>3685</v>
      </c>
      <c r="B1539" s="17">
        <v>17</v>
      </c>
      <c r="C1539" s="17">
        <v>0</v>
      </c>
      <c r="D1539" s="17">
        <v>8</v>
      </c>
      <c r="E1539" s="17">
        <v>0</v>
      </c>
      <c r="F1539" s="17">
        <v>0</v>
      </c>
      <c r="G1539" s="13">
        <v>44978</v>
      </c>
    </row>
    <row r="1540" spans="1:7" ht="14.5">
      <c r="A1540" s="17" t="s">
        <v>3689</v>
      </c>
      <c r="B1540" s="17">
        <v>2</v>
      </c>
      <c r="C1540" s="17">
        <v>6</v>
      </c>
      <c r="D1540" s="17">
        <v>7</v>
      </c>
      <c r="E1540" s="17">
        <v>0</v>
      </c>
      <c r="F1540" s="17">
        <v>0</v>
      </c>
      <c r="G1540" s="13">
        <v>44978</v>
      </c>
    </row>
    <row r="1541" spans="1:7" ht="14.5">
      <c r="A1541" s="17" t="s">
        <v>3691</v>
      </c>
      <c r="B1541" s="17">
        <v>0</v>
      </c>
      <c r="C1541" s="17">
        <v>5</v>
      </c>
      <c r="D1541" s="17">
        <v>0</v>
      </c>
      <c r="E1541" s="17">
        <v>0</v>
      </c>
      <c r="F1541" s="17">
        <v>0</v>
      </c>
      <c r="G1541" s="13">
        <v>44978</v>
      </c>
    </row>
    <row r="1542" spans="1:7" ht="14.5">
      <c r="A1542" s="17" t="s">
        <v>3693</v>
      </c>
      <c r="B1542" s="17">
        <v>23</v>
      </c>
      <c r="C1542" s="17">
        <v>5</v>
      </c>
      <c r="D1542" s="17">
        <v>3</v>
      </c>
      <c r="E1542" s="17">
        <v>0</v>
      </c>
      <c r="F1542" s="17">
        <v>0</v>
      </c>
      <c r="G1542" s="13">
        <v>44978</v>
      </c>
    </row>
    <row r="1543" spans="1:7" ht="14.5">
      <c r="A1543" s="17" t="s">
        <v>3698</v>
      </c>
      <c r="B1543" s="17">
        <v>25</v>
      </c>
      <c r="C1543" s="17">
        <v>2</v>
      </c>
      <c r="D1543" s="17">
        <v>1</v>
      </c>
      <c r="E1543" s="17">
        <v>0</v>
      </c>
      <c r="F1543" s="17">
        <v>0</v>
      </c>
      <c r="G1543" s="13">
        <v>44978</v>
      </c>
    </row>
    <row r="1544" spans="1:7" ht="14.5">
      <c r="A1544" s="17" t="s">
        <v>3703</v>
      </c>
      <c r="B1544" s="17">
        <v>31</v>
      </c>
      <c r="C1544" s="17">
        <v>5</v>
      </c>
      <c r="D1544" s="17">
        <v>0</v>
      </c>
      <c r="E1544" s="17">
        <v>0</v>
      </c>
      <c r="F1544" s="17">
        <v>0</v>
      </c>
      <c r="G1544" s="13">
        <v>44978</v>
      </c>
    </row>
    <row r="1545" spans="1:7" ht="14.5">
      <c r="A1545" s="17" t="s">
        <v>3708</v>
      </c>
      <c r="B1545" s="17">
        <v>1</v>
      </c>
      <c r="C1545" s="17">
        <v>3</v>
      </c>
      <c r="D1545" s="17">
        <v>0</v>
      </c>
      <c r="E1545" s="17">
        <v>0</v>
      </c>
      <c r="F1545" s="17">
        <v>0</v>
      </c>
      <c r="G1545" s="13">
        <v>44978</v>
      </c>
    </row>
    <row r="1546" spans="1:7" ht="14.5">
      <c r="A1546" s="17" t="s">
        <v>3713</v>
      </c>
      <c r="B1546" s="17">
        <v>11</v>
      </c>
      <c r="C1546" s="17">
        <v>1</v>
      </c>
      <c r="D1546" s="17">
        <v>0</v>
      </c>
      <c r="E1546" s="17">
        <v>0</v>
      </c>
      <c r="F1546" s="17">
        <v>0</v>
      </c>
      <c r="G1546" s="13">
        <v>44978</v>
      </c>
    </row>
    <row r="1547" spans="1:7" ht="14.5">
      <c r="A1547" s="17" t="s">
        <v>3718</v>
      </c>
      <c r="B1547" s="17">
        <v>34</v>
      </c>
      <c r="C1547" s="17">
        <v>3</v>
      </c>
      <c r="D1547" s="17">
        <v>0</v>
      </c>
      <c r="E1547" s="17">
        <v>0</v>
      </c>
      <c r="F1547" s="17">
        <v>0</v>
      </c>
      <c r="G1547" s="13">
        <v>44978</v>
      </c>
    </row>
    <row r="1548" spans="1:7" ht="14.5">
      <c r="A1548" s="17" t="s">
        <v>3723</v>
      </c>
      <c r="B1548" s="17">
        <v>15</v>
      </c>
      <c r="C1548" s="17">
        <v>2</v>
      </c>
      <c r="D1548" s="17">
        <v>2</v>
      </c>
      <c r="E1548" s="17">
        <v>0</v>
      </c>
      <c r="F1548" s="17">
        <v>0</v>
      </c>
      <c r="G1548" s="13">
        <v>44978</v>
      </c>
    </row>
    <row r="1549" spans="1:7" ht="14.5">
      <c r="A1549" s="17" t="s">
        <v>3726</v>
      </c>
      <c r="B1549" s="17">
        <v>9</v>
      </c>
      <c r="C1549" s="17">
        <v>0</v>
      </c>
      <c r="D1549" s="17">
        <v>5</v>
      </c>
      <c r="E1549" s="17">
        <v>0</v>
      </c>
      <c r="F1549" s="17">
        <v>0</v>
      </c>
      <c r="G1549" s="13">
        <v>44978</v>
      </c>
    </row>
    <row r="1550" spans="1:7" ht="14.5">
      <c r="A1550" s="17" t="s">
        <v>3731</v>
      </c>
      <c r="B1550" s="17">
        <v>2</v>
      </c>
      <c r="C1550" s="17">
        <v>1</v>
      </c>
      <c r="D1550" s="17">
        <v>0</v>
      </c>
      <c r="E1550" s="17">
        <v>0</v>
      </c>
      <c r="F1550" s="17">
        <v>0</v>
      </c>
      <c r="G1550" s="13">
        <v>44978</v>
      </c>
    </row>
    <row r="1551" spans="1:7" ht="14.5">
      <c r="A1551" s="17" t="s">
        <v>3734</v>
      </c>
      <c r="B1551" s="17">
        <v>27</v>
      </c>
      <c r="C1551" s="17">
        <v>4</v>
      </c>
      <c r="D1551" s="17">
        <v>0</v>
      </c>
      <c r="E1551" s="17">
        <v>0</v>
      </c>
      <c r="F1551" s="17">
        <v>0</v>
      </c>
      <c r="G1551" s="13">
        <v>44978</v>
      </c>
    </row>
    <row r="1552" spans="1:7" ht="14.5">
      <c r="A1552" s="17" t="s">
        <v>3737</v>
      </c>
      <c r="B1552" s="17">
        <v>28</v>
      </c>
      <c r="C1552" s="17">
        <v>3</v>
      </c>
      <c r="D1552" s="17">
        <v>14</v>
      </c>
      <c r="E1552" s="17">
        <v>0</v>
      </c>
      <c r="F1552" s="17">
        <v>0</v>
      </c>
      <c r="G1552" s="13">
        <v>44978</v>
      </c>
    </row>
    <row r="1553" spans="1:7" ht="14.5">
      <c r="A1553" s="17" t="s">
        <v>3741</v>
      </c>
      <c r="B1553" s="17">
        <v>2</v>
      </c>
      <c r="C1553" s="17">
        <v>0</v>
      </c>
      <c r="D1553" s="17">
        <v>3</v>
      </c>
      <c r="E1553" s="17">
        <v>0</v>
      </c>
      <c r="F1553" s="17">
        <v>0</v>
      </c>
      <c r="G1553" s="13">
        <v>44978</v>
      </c>
    </row>
    <row r="1554" spans="1:7" ht="14.5">
      <c r="A1554" s="17" t="s">
        <v>3743</v>
      </c>
      <c r="B1554" s="17">
        <v>26</v>
      </c>
      <c r="C1554" s="17">
        <v>4</v>
      </c>
      <c r="D1554" s="17">
        <v>0</v>
      </c>
      <c r="E1554" s="17">
        <v>0</v>
      </c>
      <c r="F1554" s="17">
        <v>0</v>
      </c>
      <c r="G1554" s="13">
        <v>44978</v>
      </c>
    </row>
    <row r="1555" spans="1:7" ht="14.5">
      <c r="A1555" s="17" t="s">
        <v>3748</v>
      </c>
      <c r="B1555" s="17">
        <v>37</v>
      </c>
      <c r="C1555" s="17">
        <v>4</v>
      </c>
      <c r="D1555" s="17">
        <v>6</v>
      </c>
      <c r="E1555" s="17">
        <v>0</v>
      </c>
      <c r="F1555" s="17">
        <v>0</v>
      </c>
      <c r="G1555" s="13">
        <v>44978</v>
      </c>
    </row>
    <row r="1556" spans="1:7" ht="14.5">
      <c r="A1556" s="17" t="s">
        <v>3753</v>
      </c>
      <c r="B1556" s="17">
        <v>5</v>
      </c>
      <c r="C1556" s="17">
        <v>2</v>
      </c>
      <c r="D1556" s="17">
        <v>0</v>
      </c>
      <c r="E1556" s="17">
        <v>0</v>
      </c>
      <c r="F1556" s="17">
        <v>1</v>
      </c>
      <c r="G1556" s="13">
        <v>44978</v>
      </c>
    </row>
    <row r="1557" spans="1:7" ht="14.5">
      <c r="A1557" s="17" t="s">
        <v>3755</v>
      </c>
      <c r="B1557" s="17">
        <v>0</v>
      </c>
      <c r="C1557" s="17">
        <v>1</v>
      </c>
      <c r="D1557" s="17">
        <v>10</v>
      </c>
      <c r="E1557" s="17">
        <v>0</v>
      </c>
      <c r="F1557" s="17">
        <v>0</v>
      </c>
      <c r="G1557" s="13">
        <v>44978</v>
      </c>
    </row>
    <row r="1558" spans="1:7" ht="14.5">
      <c r="A1558" s="17" t="s">
        <v>3759</v>
      </c>
      <c r="B1558" s="17">
        <v>21</v>
      </c>
      <c r="C1558" s="17">
        <v>11</v>
      </c>
      <c r="D1558" s="17">
        <v>53</v>
      </c>
      <c r="E1558" s="17">
        <v>0</v>
      </c>
      <c r="F1558" s="17">
        <v>0</v>
      </c>
      <c r="G1558" s="13">
        <v>44978</v>
      </c>
    </row>
    <row r="1559" spans="1:7" ht="14.5">
      <c r="A1559" s="17" t="s">
        <v>3761</v>
      </c>
      <c r="B1559" s="17">
        <v>1</v>
      </c>
      <c r="C1559" s="17">
        <v>2</v>
      </c>
      <c r="D1559" s="17">
        <v>0</v>
      </c>
      <c r="E1559" s="17">
        <v>0</v>
      </c>
      <c r="F1559" s="17">
        <v>0</v>
      </c>
      <c r="G1559" s="13">
        <v>44978</v>
      </c>
    </row>
    <row r="1560" spans="1:7" ht="14.5">
      <c r="A1560" s="17" t="s">
        <v>3765</v>
      </c>
      <c r="B1560" s="17">
        <v>5</v>
      </c>
      <c r="C1560" s="17">
        <v>0</v>
      </c>
      <c r="D1560" s="17">
        <v>2</v>
      </c>
      <c r="E1560" s="17">
        <v>0</v>
      </c>
      <c r="F1560" s="17">
        <v>0</v>
      </c>
      <c r="G1560" s="13">
        <v>44978</v>
      </c>
    </row>
    <row r="1561" spans="1:7" ht="14.5">
      <c r="A1561" s="17" t="s">
        <v>3770</v>
      </c>
      <c r="B1561" s="17">
        <v>5</v>
      </c>
      <c r="C1561" s="17">
        <v>5</v>
      </c>
      <c r="D1561" s="17">
        <v>102</v>
      </c>
      <c r="E1561" s="17">
        <v>0</v>
      </c>
      <c r="F1561" s="17">
        <v>0</v>
      </c>
      <c r="G1561" s="13">
        <v>44978</v>
      </c>
    </row>
    <row r="1562" spans="1:7" ht="14.5">
      <c r="A1562" s="17" t="s">
        <v>3772</v>
      </c>
      <c r="B1562" s="17">
        <v>13</v>
      </c>
      <c r="C1562" s="17">
        <v>5</v>
      </c>
      <c r="D1562" s="17">
        <v>0</v>
      </c>
      <c r="E1562" s="17">
        <v>0</v>
      </c>
      <c r="F1562" s="17">
        <v>0</v>
      </c>
      <c r="G1562" s="13">
        <v>44978</v>
      </c>
    </row>
    <row r="1563" spans="1:7" ht="14.5">
      <c r="A1563" s="17" t="s">
        <v>3776</v>
      </c>
      <c r="B1563" s="17">
        <v>16</v>
      </c>
      <c r="C1563" s="17">
        <v>0</v>
      </c>
      <c r="D1563" s="17">
        <v>17</v>
      </c>
      <c r="E1563" s="17">
        <v>0</v>
      </c>
      <c r="F1563" s="17">
        <v>0</v>
      </c>
      <c r="G1563" s="13">
        <v>44978</v>
      </c>
    </row>
    <row r="1564" spans="1:7" ht="14.5">
      <c r="A1564" s="17" t="s">
        <v>3778</v>
      </c>
      <c r="B1564" s="17">
        <v>23</v>
      </c>
      <c r="C1564" s="17">
        <v>5</v>
      </c>
      <c r="D1564" s="17">
        <v>6</v>
      </c>
      <c r="E1564" s="17">
        <v>0</v>
      </c>
      <c r="F1564" s="17">
        <v>0</v>
      </c>
      <c r="G1564" s="13">
        <v>44978</v>
      </c>
    </row>
    <row r="1565" spans="1:7" ht="14.5">
      <c r="A1565" s="17" t="s">
        <v>3783</v>
      </c>
      <c r="B1565" s="17">
        <v>5</v>
      </c>
      <c r="C1565" s="17">
        <v>5</v>
      </c>
      <c r="D1565" s="17">
        <v>0</v>
      </c>
      <c r="E1565" s="17">
        <v>0</v>
      </c>
      <c r="F1565" s="17">
        <v>0</v>
      </c>
      <c r="G1565" s="13">
        <v>44978</v>
      </c>
    </row>
    <row r="1566" spans="1:7" ht="14.5">
      <c r="A1566" s="17" t="s">
        <v>3786</v>
      </c>
      <c r="B1566" s="17">
        <v>17</v>
      </c>
      <c r="C1566" s="17">
        <v>1</v>
      </c>
      <c r="D1566" s="17">
        <v>5</v>
      </c>
      <c r="E1566" s="17">
        <v>0</v>
      </c>
      <c r="F1566" s="17">
        <v>0</v>
      </c>
      <c r="G1566" s="13">
        <v>44978</v>
      </c>
    </row>
    <row r="1567" spans="1:7" ht="14.5">
      <c r="A1567" s="17" t="s">
        <v>3789</v>
      </c>
      <c r="B1567" s="17">
        <v>14</v>
      </c>
      <c r="C1567" s="17">
        <v>0</v>
      </c>
      <c r="D1567" s="17">
        <v>0</v>
      </c>
      <c r="E1567" s="17">
        <v>0</v>
      </c>
      <c r="F1567" s="17">
        <v>0</v>
      </c>
      <c r="G1567" s="13">
        <v>44978</v>
      </c>
    </row>
    <row r="1568" spans="1:7" ht="14.5">
      <c r="A1568" s="17" t="s">
        <v>3793</v>
      </c>
      <c r="B1568" s="17">
        <v>17</v>
      </c>
      <c r="C1568" s="17">
        <v>1</v>
      </c>
      <c r="D1568" s="17">
        <v>14</v>
      </c>
      <c r="E1568" s="17">
        <v>0</v>
      </c>
      <c r="F1568" s="17">
        <v>0</v>
      </c>
      <c r="G1568" s="13">
        <v>44978</v>
      </c>
    </row>
    <row r="1569" spans="1:7" ht="14.5">
      <c r="A1569" s="17" t="s">
        <v>3796</v>
      </c>
      <c r="B1569" s="17">
        <v>3</v>
      </c>
      <c r="C1569" s="17">
        <v>1</v>
      </c>
      <c r="D1569" s="17">
        <v>85</v>
      </c>
      <c r="E1569" s="17">
        <v>0</v>
      </c>
      <c r="F1569" s="17">
        <v>0</v>
      </c>
      <c r="G1569" s="13">
        <v>44978</v>
      </c>
    </row>
    <row r="1570" spans="1:7" ht="14.5">
      <c r="A1570" s="17" t="s">
        <v>3799</v>
      </c>
      <c r="B1570" s="17">
        <v>39</v>
      </c>
      <c r="C1570" s="17">
        <v>3</v>
      </c>
      <c r="D1570" s="17">
        <v>43</v>
      </c>
      <c r="E1570" s="17">
        <v>0</v>
      </c>
      <c r="F1570" s="17">
        <v>14</v>
      </c>
      <c r="G1570" s="13">
        <v>44978</v>
      </c>
    </row>
    <row r="1571" spans="1:7" ht="14.5">
      <c r="A1571" s="17" t="s">
        <v>3803</v>
      </c>
      <c r="B1571" s="17">
        <v>6</v>
      </c>
      <c r="C1571" s="17">
        <v>0</v>
      </c>
      <c r="D1571" s="17">
        <v>0</v>
      </c>
      <c r="E1571" s="17">
        <v>0</v>
      </c>
      <c r="F1571" s="17">
        <v>0</v>
      </c>
      <c r="G1571" s="13">
        <v>44978</v>
      </c>
    </row>
    <row r="1572" spans="1:7" ht="14.5">
      <c r="A1572" s="17" t="s">
        <v>3807</v>
      </c>
      <c r="B1572" s="17">
        <v>1</v>
      </c>
      <c r="C1572" s="17">
        <v>1</v>
      </c>
      <c r="D1572" s="17">
        <v>0</v>
      </c>
      <c r="E1572" s="17">
        <v>0</v>
      </c>
      <c r="F1572" s="17">
        <v>0</v>
      </c>
      <c r="G1572" s="13">
        <v>44978</v>
      </c>
    </row>
    <row r="1573" spans="1:7" ht="14.5">
      <c r="A1573" s="17" t="s">
        <v>3810</v>
      </c>
      <c r="B1573" s="17">
        <v>25</v>
      </c>
      <c r="C1573" s="17">
        <v>2</v>
      </c>
      <c r="D1573" s="17">
        <v>0</v>
      </c>
      <c r="E1573" s="17">
        <v>0</v>
      </c>
      <c r="F1573" s="17">
        <v>0</v>
      </c>
      <c r="G1573" s="13">
        <v>44978</v>
      </c>
    </row>
    <row r="1574" spans="1:7" ht="14.5">
      <c r="A1574" s="17" t="s">
        <v>3812</v>
      </c>
      <c r="B1574" s="17">
        <v>81</v>
      </c>
      <c r="C1574" s="17">
        <v>9</v>
      </c>
      <c r="D1574" s="17">
        <v>55</v>
      </c>
      <c r="E1574" s="17">
        <v>0</v>
      </c>
      <c r="F1574" s="17">
        <v>0</v>
      </c>
      <c r="G1574" s="13">
        <v>44978</v>
      </c>
    </row>
    <row r="1575" spans="1:7" ht="14.5">
      <c r="A1575" s="17" t="s">
        <v>3817</v>
      </c>
      <c r="B1575" s="17">
        <v>2</v>
      </c>
      <c r="C1575" s="17">
        <v>1</v>
      </c>
      <c r="D1575" s="17">
        <v>0</v>
      </c>
      <c r="E1575" s="17">
        <v>0</v>
      </c>
      <c r="F1575" s="17">
        <v>0</v>
      </c>
      <c r="G1575" s="13">
        <v>44978</v>
      </c>
    </row>
    <row r="1576" spans="1:7" ht="14.5">
      <c r="A1576" s="17" t="s">
        <v>3822</v>
      </c>
      <c r="B1576" s="17">
        <v>55</v>
      </c>
      <c r="C1576" s="17">
        <v>11</v>
      </c>
      <c r="D1576" s="17">
        <v>30</v>
      </c>
      <c r="E1576" s="17">
        <v>0</v>
      </c>
      <c r="F1576" s="17">
        <v>6</v>
      </c>
      <c r="G1576" s="13">
        <v>44978</v>
      </c>
    </row>
    <row r="1577" spans="1:7" ht="14.5">
      <c r="A1577" s="17" t="s">
        <v>3825</v>
      </c>
      <c r="B1577" s="17">
        <v>28</v>
      </c>
      <c r="C1577" s="17">
        <v>5</v>
      </c>
      <c r="D1577" s="17">
        <v>3</v>
      </c>
      <c r="E1577" s="17">
        <v>0</v>
      </c>
      <c r="F1577" s="17">
        <v>1</v>
      </c>
      <c r="G1577" s="13">
        <v>44978</v>
      </c>
    </row>
    <row r="1578" spans="1:7" ht="14.5">
      <c r="A1578" s="17" t="s">
        <v>3830</v>
      </c>
      <c r="B1578" s="17">
        <v>17</v>
      </c>
      <c r="C1578" s="17">
        <v>1</v>
      </c>
      <c r="D1578" s="17">
        <v>5</v>
      </c>
      <c r="E1578" s="17">
        <v>0</v>
      </c>
      <c r="F1578" s="17">
        <v>0</v>
      </c>
      <c r="G1578" s="13">
        <v>44978</v>
      </c>
    </row>
    <row r="1579" spans="1:7" ht="14.5">
      <c r="A1579" s="17" t="s">
        <v>3835</v>
      </c>
      <c r="B1579" s="17">
        <v>3</v>
      </c>
      <c r="C1579" s="17">
        <v>0</v>
      </c>
      <c r="D1579" s="17">
        <v>16</v>
      </c>
      <c r="E1579" s="17">
        <v>0</v>
      </c>
      <c r="F1579" s="17">
        <v>0</v>
      </c>
      <c r="G1579" s="13">
        <v>44978</v>
      </c>
    </row>
    <row r="1580" spans="1:7" ht="14.5">
      <c r="A1580" s="17" t="s">
        <v>3840</v>
      </c>
      <c r="B1580" s="17">
        <v>5</v>
      </c>
      <c r="C1580" s="17">
        <v>4</v>
      </c>
      <c r="D1580" s="17">
        <v>0</v>
      </c>
      <c r="E1580" s="17">
        <v>27</v>
      </c>
      <c r="F1580" s="17">
        <v>0</v>
      </c>
      <c r="G1580" s="13">
        <v>44978</v>
      </c>
    </row>
    <row r="1581" spans="1:7" ht="14.5">
      <c r="A1581" s="17" t="s">
        <v>13796</v>
      </c>
      <c r="B1581" s="17">
        <v>0</v>
      </c>
      <c r="C1581" s="17">
        <v>0</v>
      </c>
      <c r="D1581" s="17">
        <v>0</v>
      </c>
      <c r="E1581" s="17">
        <v>0</v>
      </c>
      <c r="F1581" s="17">
        <v>0</v>
      </c>
      <c r="G1581" s="13">
        <v>44978</v>
      </c>
    </row>
    <row r="1582" spans="1:7" ht="14.5">
      <c r="A1582" s="17" t="s">
        <v>3848</v>
      </c>
      <c r="B1582" s="17">
        <v>0</v>
      </c>
      <c r="C1582" s="17">
        <v>0</v>
      </c>
      <c r="D1582" s="17">
        <v>0</v>
      </c>
      <c r="E1582" s="17">
        <v>0</v>
      </c>
      <c r="F1582" s="17">
        <v>0</v>
      </c>
      <c r="G1582" s="13">
        <v>44978</v>
      </c>
    </row>
    <row r="1583" spans="1:7" ht="14.5">
      <c r="A1583" s="17" t="s">
        <v>3852</v>
      </c>
      <c r="B1583" s="17">
        <v>21</v>
      </c>
      <c r="C1583" s="17">
        <v>3</v>
      </c>
      <c r="D1583" s="17">
        <v>74</v>
      </c>
      <c r="E1583" s="17">
        <v>0</v>
      </c>
      <c r="F1583" s="17">
        <v>1</v>
      </c>
      <c r="G1583" s="13">
        <v>44978</v>
      </c>
    </row>
    <row r="1584" spans="1:7" ht="14.5">
      <c r="A1584" s="17" t="s">
        <v>3857</v>
      </c>
      <c r="B1584" s="17">
        <v>61</v>
      </c>
      <c r="C1584" s="17">
        <v>20</v>
      </c>
      <c r="D1584" s="17">
        <v>35</v>
      </c>
      <c r="E1584" s="17">
        <v>5</v>
      </c>
      <c r="F1584" s="17">
        <v>0</v>
      </c>
      <c r="G1584" s="13">
        <v>44978</v>
      </c>
    </row>
    <row r="1585" spans="1:7" ht="14.5">
      <c r="A1585" s="17" t="s">
        <v>3861</v>
      </c>
      <c r="B1585" s="17">
        <v>34</v>
      </c>
      <c r="C1585" s="17">
        <v>2</v>
      </c>
      <c r="D1585" s="17">
        <v>44</v>
      </c>
      <c r="E1585" s="17">
        <v>0</v>
      </c>
      <c r="F1585" s="17">
        <v>0</v>
      </c>
      <c r="G1585" s="13">
        <v>44978</v>
      </c>
    </row>
    <row r="1586" spans="1:7" ht="14.5">
      <c r="A1586" s="17" t="s">
        <v>3864</v>
      </c>
      <c r="B1586" s="17">
        <v>0</v>
      </c>
      <c r="C1586" s="17">
        <v>3</v>
      </c>
      <c r="D1586" s="17">
        <v>0</v>
      </c>
      <c r="E1586" s="17">
        <v>0</v>
      </c>
      <c r="F1586" s="17">
        <v>0</v>
      </c>
      <c r="G1586" s="13">
        <v>44978</v>
      </c>
    </row>
    <row r="1587" spans="1:7" ht="14.5">
      <c r="A1587" s="17" t="s">
        <v>3868</v>
      </c>
      <c r="B1587" s="17">
        <v>10</v>
      </c>
      <c r="C1587" s="17">
        <v>6</v>
      </c>
      <c r="D1587" s="17">
        <v>0</v>
      </c>
      <c r="E1587" s="17">
        <v>0</v>
      </c>
      <c r="F1587" s="17">
        <v>0</v>
      </c>
      <c r="G1587" s="13">
        <v>44978</v>
      </c>
    </row>
    <row r="1588" spans="1:7" ht="14.5">
      <c r="A1588" s="17" t="s">
        <v>3870</v>
      </c>
      <c r="B1588" s="17">
        <v>5</v>
      </c>
      <c r="C1588" s="17">
        <v>0</v>
      </c>
      <c r="D1588" s="17">
        <v>0</v>
      </c>
      <c r="E1588" s="17">
        <v>0</v>
      </c>
      <c r="F1588" s="17">
        <v>0</v>
      </c>
      <c r="G1588" s="13">
        <v>44978</v>
      </c>
    </row>
    <row r="1589" spans="1:7" ht="14.5">
      <c r="A1589" s="17" t="s">
        <v>3875</v>
      </c>
      <c r="B1589" s="17">
        <v>0</v>
      </c>
      <c r="C1589" s="17">
        <v>2</v>
      </c>
      <c r="D1589" s="17">
        <v>0</v>
      </c>
      <c r="E1589" s="17">
        <v>8</v>
      </c>
      <c r="F1589" s="17">
        <v>0</v>
      </c>
      <c r="G1589" s="13">
        <v>44978</v>
      </c>
    </row>
    <row r="1590" spans="1:7" ht="14.5">
      <c r="A1590" s="17" t="s">
        <v>3880</v>
      </c>
      <c r="B1590" s="17">
        <v>31</v>
      </c>
      <c r="C1590" s="17">
        <v>7</v>
      </c>
      <c r="D1590" s="17">
        <v>4</v>
      </c>
      <c r="E1590" s="17">
        <v>28</v>
      </c>
      <c r="F1590" s="17">
        <v>0</v>
      </c>
      <c r="G1590" s="13">
        <v>44978</v>
      </c>
    </row>
    <row r="1591" spans="1:7" ht="14.5">
      <c r="A1591" s="17" t="s">
        <v>3884</v>
      </c>
      <c r="B1591" s="17">
        <v>1</v>
      </c>
      <c r="C1591" s="17">
        <v>1</v>
      </c>
      <c r="D1591" s="17">
        <v>0</v>
      </c>
      <c r="E1591" s="17">
        <v>0</v>
      </c>
      <c r="F1591" s="17">
        <v>0</v>
      </c>
      <c r="G1591" s="13">
        <v>44978</v>
      </c>
    </row>
    <row r="1592" spans="1:7" ht="14.5">
      <c r="A1592" s="17" t="s">
        <v>3888</v>
      </c>
      <c r="B1592" s="17">
        <v>137</v>
      </c>
      <c r="C1592" s="17">
        <v>23</v>
      </c>
      <c r="D1592" s="17">
        <v>115</v>
      </c>
      <c r="E1592" s="17">
        <v>0</v>
      </c>
      <c r="F1592" s="17">
        <v>1</v>
      </c>
      <c r="G1592" s="13">
        <v>44978</v>
      </c>
    </row>
    <row r="1593" spans="1:7" ht="14.5">
      <c r="A1593" s="17" t="s">
        <v>3892</v>
      </c>
      <c r="B1593" s="17">
        <v>31</v>
      </c>
      <c r="C1593" s="17">
        <v>2</v>
      </c>
      <c r="D1593" s="17">
        <v>0</v>
      </c>
      <c r="E1593" s="17">
        <v>0</v>
      </c>
      <c r="F1593" s="17">
        <v>0</v>
      </c>
      <c r="G1593" s="13">
        <v>44978</v>
      </c>
    </row>
    <row r="1594" spans="1:7" ht="14.5">
      <c r="A1594" s="17" t="s">
        <v>3896</v>
      </c>
      <c r="B1594" s="17">
        <v>71</v>
      </c>
      <c r="C1594" s="17">
        <v>25</v>
      </c>
      <c r="D1594" s="17">
        <v>332</v>
      </c>
      <c r="E1594" s="17">
        <v>0</v>
      </c>
      <c r="F1594" s="17">
        <v>60</v>
      </c>
      <c r="G1594" s="13">
        <v>44978</v>
      </c>
    </row>
    <row r="1595" spans="1:7" ht="14.5">
      <c r="A1595" s="17" t="s">
        <v>3900</v>
      </c>
      <c r="B1595" s="17">
        <v>12</v>
      </c>
      <c r="C1595" s="17">
        <v>2</v>
      </c>
      <c r="D1595" s="17">
        <v>15</v>
      </c>
      <c r="E1595" s="17">
        <v>0</v>
      </c>
      <c r="F1595" s="17">
        <v>0</v>
      </c>
      <c r="G1595" s="13">
        <v>44978</v>
      </c>
    </row>
    <row r="1596" spans="1:7" ht="14.5">
      <c r="A1596" s="17" t="s">
        <v>3902</v>
      </c>
      <c r="B1596" s="17">
        <v>1</v>
      </c>
      <c r="C1596" s="17">
        <v>0</v>
      </c>
      <c r="D1596" s="17">
        <v>0</v>
      </c>
      <c r="E1596" s="17">
        <v>0</v>
      </c>
      <c r="F1596" s="17">
        <v>0</v>
      </c>
      <c r="G1596" s="13">
        <v>44978</v>
      </c>
    </row>
    <row r="1597" spans="1:7" ht="14.5">
      <c r="A1597" s="17" t="s">
        <v>3906</v>
      </c>
      <c r="B1597" s="17">
        <v>2</v>
      </c>
      <c r="C1597" s="17">
        <v>2</v>
      </c>
      <c r="D1597" s="17">
        <v>2</v>
      </c>
      <c r="E1597" s="17">
        <v>0</v>
      </c>
      <c r="F1597" s="17">
        <v>0</v>
      </c>
      <c r="G1597" s="13">
        <v>44978</v>
      </c>
    </row>
    <row r="1598" spans="1:7" ht="14.5">
      <c r="A1598" s="17" t="s">
        <v>3908</v>
      </c>
      <c r="B1598" s="17">
        <v>133</v>
      </c>
      <c r="C1598" s="17">
        <v>122</v>
      </c>
      <c r="D1598" s="17">
        <v>3</v>
      </c>
      <c r="E1598" s="17">
        <v>11</v>
      </c>
      <c r="F1598" s="17">
        <v>0</v>
      </c>
      <c r="G1598" s="13">
        <v>44978</v>
      </c>
    </row>
    <row r="1599" spans="1:7" ht="14.5">
      <c r="A1599" s="17" t="s">
        <v>3916</v>
      </c>
      <c r="B1599" s="17">
        <v>122</v>
      </c>
      <c r="C1599" s="17">
        <v>41</v>
      </c>
      <c r="D1599" s="17">
        <v>10</v>
      </c>
      <c r="E1599" s="17">
        <v>6</v>
      </c>
      <c r="F1599" s="17">
        <v>1</v>
      </c>
      <c r="G1599" s="13">
        <v>44978</v>
      </c>
    </row>
    <row r="1600" spans="1:7" ht="14.5">
      <c r="A1600" s="17" t="s">
        <v>3919</v>
      </c>
      <c r="B1600" s="17">
        <v>142</v>
      </c>
      <c r="C1600" s="17">
        <v>17</v>
      </c>
      <c r="D1600" s="17">
        <v>9</v>
      </c>
      <c r="E1600" s="17">
        <v>123</v>
      </c>
      <c r="F1600" s="17">
        <v>0</v>
      </c>
      <c r="G1600" s="13">
        <v>44978</v>
      </c>
    </row>
    <row r="1601" spans="1:7" ht="14.5">
      <c r="A1601" s="17" t="s">
        <v>3922</v>
      </c>
      <c r="B1601" s="17">
        <v>54</v>
      </c>
      <c r="C1601" s="17">
        <v>36</v>
      </c>
      <c r="D1601" s="17">
        <v>1</v>
      </c>
      <c r="E1601" s="17">
        <v>1187</v>
      </c>
      <c r="F1601" s="17">
        <v>0</v>
      </c>
      <c r="G1601" s="13">
        <v>44978</v>
      </c>
    </row>
    <row r="1602" spans="1:7" ht="14.5">
      <c r="A1602" s="17" t="s">
        <v>3924</v>
      </c>
      <c r="B1602" s="17">
        <v>72</v>
      </c>
      <c r="C1602" s="17">
        <v>8</v>
      </c>
      <c r="D1602" s="17">
        <v>0</v>
      </c>
      <c r="E1602" s="17">
        <v>266</v>
      </c>
      <c r="F1602" s="17">
        <v>1</v>
      </c>
      <c r="G1602" s="13">
        <v>44978</v>
      </c>
    </row>
    <row r="1603" spans="1:7" ht="14.5">
      <c r="A1603" s="17" t="s">
        <v>3928</v>
      </c>
      <c r="B1603" s="17">
        <v>2</v>
      </c>
      <c r="C1603" s="17">
        <v>6</v>
      </c>
      <c r="D1603" s="17">
        <v>2</v>
      </c>
      <c r="E1603" s="17">
        <v>0</v>
      </c>
      <c r="F1603" s="17">
        <v>2</v>
      </c>
      <c r="G1603" s="13">
        <v>44978</v>
      </c>
    </row>
    <row r="1604" spans="1:7" ht="14.5">
      <c r="A1604" s="17" t="s">
        <v>3930</v>
      </c>
      <c r="B1604" s="17">
        <v>4</v>
      </c>
      <c r="C1604" s="17">
        <v>3</v>
      </c>
      <c r="D1604" s="17">
        <v>0</v>
      </c>
      <c r="E1604" s="17">
        <v>24</v>
      </c>
      <c r="F1604" s="17">
        <v>0</v>
      </c>
      <c r="G1604" s="13">
        <v>44978</v>
      </c>
    </row>
    <row r="1605" spans="1:7" ht="14.5">
      <c r="A1605" s="17" t="s">
        <v>3932</v>
      </c>
      <c r="B1605" s="17">
        <v>116</v>
      </c>
      <c r="C1605" s="17">
        <v>76</v>
      </c>
      <c r="D1605" s="17">
        <v>2</v>
      </c>
      <c r="E1605" s="17">
        <v>46</v>
      </c>
      <c r="F1605" s="17">
        <v>0</v>
      </c>
      <c r="G1605" s="13">
        <v>44978</v>
      </c>
    </row>
    <row r="1606" spans="1:7" ht="14.5">
      <c r="A1606" s="17" t="s">
        <v>3934</v>
      </c>
      <c r="B1606" s="17">
        <v>1</v>
      </c>
      <c r="C1606" s="17">
        <v>2</v>
      </c>
      <c r="D1606" s="17">
        <v>0</v>
      </c>
      <c r="E1606" s="17">
        <v>4</v>
      </c>
      <c r="F1606" s="17">
        <v>0</v>
      </c>
      <c r="G1606" s="13">
        <v>44978</v>
      </c>
    </row>
    <row r="1607" spans="1:7" ht="14.5">
      <c r="A1607" s="17" t="s">
        <v>3938</v>
      </c>
      <c r="B1607" s="17">
        <v>28</v>
      </c>
      <c r="C1607" s="17">
        <v>7</v>
      </c>
      <c r="D1607" s="17">
        <v>0</v>
      </c>
      <c r="E1607" s="17">
        <v>250</v>
      </c>
      <c r="F1607" s="17">
        <v>0</v>
      </c>
      <c r="G1607" s="13">
        <v>44978</v>
      </c>
    </row>
    <row r="1608" spans="1:7" ht="14.5">
      <c r="A1608" s="17" t="s">
        <v>3943</v>
      </c>
      <c r="B1608" s="17">
        <v>17</v>
      </c>
      <c r="C1608" s="17">
        <v>40</v>
      </c>
      <c r="D1608" s="17">
        <v>14</v>
      </c>
      <c r="E1608" s="17">
        <v>7</v>
      </c>
      <c r="F1608" s="17">
        <v>0</v>
      </c>
      <c r="G1608" s="13">
        <v>44978</v>
      </c>
    </row>
    <row r="1609" spans="1:7" ht="14.5">
      <c r="A1609" s="17" t="s">
        <v>3949</v>
      </c>
      <c r="B1609" s="17">
        <v>1</v>
      </c>
      <c r="C1609" s="17">
        <v>2</v>
      </c>
      <c r="D1609" s="17">
        <v>0</v>
      </c>
      <c r="E1609" s="17">
        <v>11</v>
      </c>
      <c r="F1609" s="17">
        <v>0</v>
      </c>
      <c r="G1609" s="13">
        <v>44978</v>
      </c>
    </row>
    <row r="1610" spans="1:7" ht="14.5">
      <c r="A1610" s="17" t="s">
        <v>3951</v>
      </c>
      <c r="B1610" s="17">
        <v>29</v>
      </c>
      <c r="C1610" s="17">
        <v>29</v>
      </c>
      <c r="D1610" s="17">
        <v>0</v>
      </c>
      <c r="E1610" s="17">
        <v>145</v>
      </c>
      <c r="F1610" s="17">
        <v>2</v>
      </c>
      <c r="G1610" s="13">
        <v>44978</v>
      </c>
    </row>
    <row r="1611" spans="1:7" ht="14.5">
      <c r="A1611" s="17" t="s">
        <v>3954</v>
      </c>
      <c r="B1611" s="17">
        <v>18</v>
      </c>
      <c r="C1611" s="17">
        <v>2</v>
      </c>
      <c r="D1611" s="17">
        <v>0</v>
      </c>
      <c r="E1611" s="17">
        <v>57</v>
      </c>
      <c r="F1611" s="17">
        <v>0</v>
      </c>
      <c r="G1611" s="13">
        <v>44978</v>
      </c>
    </row>
    <row r="1612" spans="1:7" ht="14.5">
      <c r="A1612" s="17" t="s">
        <v>3959</v>
      </c>
      <c r="B1612" s="17">
        <v>116</v>
      </c>
      <c r="C1612" s="17">
        <v>33</v>
      </c>
      <c r="D1612" s="17">
        <v>1</v>
      </c>
      <c r="E1612" s="17">
        <v>21</v>
      </c>
      <c r="F1612" s="17">
        <v>0</v>
      </c>
      <c r="G1612" s="13">
        <v>44978</v>
      </c>
    </row>
    <row r="1613" spans="1:7" ht="14.5">
      <c r="A1613" s="17" t="s">
        <v>3965</v>
      </c>
      <c r="B1613" s="17">
        <v>143</v>
      </c>
      <c r="C1613" s="17">
        <v>76</v>
      </c>
      <c r="D1613" s="17">
        <v>5</v>
      </c>
      <c r="E1613" s="17">
        <v>561</v>
      </c>
      <c r="F1613" s="17">
        <v>0</v>
      </c>
      <c r="G1613" s="13">
        <v>44978</v>
      </c>
    </row>
    <row r="1614" spans="1:7" ht="14.5">
      <c r="A1614" s="17" t="s">
        <v>3968</v>
      </c>
      <c r="B1614" s="17">
        <v>11</v>
      </c>
      <c r="C1614" s="17">
        <v>6</v>
      </c>
      <c r="D1614" s="17">
        <v>10</v>
      </c>
      <c r="E1614" s="17">
        <v>23</v>
      </c>
      <c r="F1614" s="17">
        <v>0</v>
      </c>
      <c r="G1614" s="13">
        <v>44978</v>
      </c>
    </row>
    <row r="1615" spans="1:7" ht="14.5">
      <c r="A1615" s="17" t="s">
        <v>3970</v>
      </c>
      <c r="B1615" s="17">
        <v>102</v>
      </c>
      <c r="C1615" s="17">
        <v>54</v>
      </c>
      <c r="D1615" s="17">
        <v>23</v>
      </c>
      <c r="E1615" s="17">
        <v>80</v>
      </c>
      <c r="F1615" s="17">
        <v>18</v>
      </c>
      <c r="G1615" s="13">
        <v>44978</v>
      </c>
    </row>
    <row r="1616" spans="1:7" ht="14.5">
      <c r="A1616" s="17" t="s">
        <v>3975</v>
      </c>
      <c r="B1616" s="17">
        <v>310</v>
      </c>
      <c r="C1616" s="17">
        <v>12</v>
      </c>
      <c r="D1616" s="17">
        <v>49</v>
      </c>
      <c r="E1616" s="17">
        <v>6093</v>
      </c>
      <c r="F1616" s="17">
        <v>0</v>
      </c>
      <c r="G1616" s="13">
        <v>44978</v>
      </c>
    </row>
    <row r="1617" spans="1:7" ht="14.5">
      <c r="A1617" s="17" t="s">
        <v>3977</v>
      </c>
      <c r="B1617" s="17">
        <v>30</v>
      </c>
      <c r="C1617" s="17">
        <v>28</v>
      </c>
      <c r="D1617" s="17">
        <v>2</v>
      </c>
      <c r="E1617" s="17">
        <v>271</v>
      </c>
      <c r="F1617" s="17">
        <v>0</v>
      </c>
      <c r="G1617" s="13">
        <v>44978</v>
      </c>
    </row>
    <row r="1618" spans="1:7" ht="14.5">
      <c r="A1618" s="17" t="s">
        <v>3982</v>
      </c>
      <c r="B1618" s="17">
        <v>439</v>
      </c>
      <c r="C1618" s="17">
        <v>44</v>
      </c>
      <c r="D1618" s="17">
        <v>0</v>
      </c>
      <c r="E1618" s="17">
        <v>2134</v>
      </c>
      <c r="F1618" s="17">
        <v>0</v>
      </c>
      <c r="G1618" s="13">
        <v>44978</v>
      </c>
    </row>
    <row r="1619" spans="1:7" ht="14.5">
      <c r="A1619" s="17" t="s">
        <v>3987</v>
      </c>
      <c r="B1619" s="17">
        <v>12</v>
      </c>
      <c r="C1619" s="17">
        <v>5</v>
      </c>
      <c r="D1619" s="17">
        <v>0</v>
      </c>
      <c r="E1619" s="17">
        <v>4</v>
      </c>
      <c r="F1619" s="17">
        <v>0</v>
      </c>
      <c r="G1619" s="13">
        <v>44978</v>
      </c>
    </row>
    <row r="1620" spans="1:7" ht="14.5">
      <c r="A1620" s="17" t="s">
        <v>3992</v>
      </c>
      <c r="B1620" s="17">
        <v>97</v>
      </c>
      <c r="C1620" s="17">
        <v>40</v>
      </c>
      <c r="D1620" s="17">
        <v>6</v>
      </c>
      <c r="E1620" s="17">
        <v>327</v>
      </c>
      <c r="F1620" s="17">
        <v>0</v>
      </c>
      <c r="G1620" s="13">
        <v>44978</v>
      </c>
    </row>
    <row r="1621" spans="1:7" ht="14.5">
      <c r="A1621" s="17" t="s">
        <v>3998</v>
      </c>
      <c r="B1621" s="17">
        <v>53</v>
      </c>
      <c r="C1621" s="17">
        <v>120</v>
      </c>
      <c r="D1621" s="17">
        <v>203</v>
      </c>
      <c r="E1621" s="17">
        <v>153</v>
      </c>
      <c r="F1621" s="17">
        <v>0</v>
      </c>
      <c r="G1621" s="13">
        <v>44978</v>
      </c>
    </row>
    <row r="1622" spans="1:7" ht="14.5">
      <c r="A1622" s="17" t="s">
        <v>4002</v>
      </c>
      <c r="B1622" s="17">
        <v>51</v>
      </c>
      <c r="C1622" s="17">
        <v>13</v>
      </c>
      <c r="D1622" s="17">
        <v>1</v>
      </c>
      <c r="E1622" s="17">
        <v>16</v>
      </c>
      <c r="F1622" s="17">
        <v>0</v>
      </c>
      <c r="G1622" s="13">
        <v>44978</v>
      </c>
    </row>
    <row r="1623" spans="1:7" ht="14.5">
      <c r="A1623" s="17" t="s">
        <v>4004</v>
      </c>
      <c r="B1623" s="17">
        <v>27</v>
      </c>
      <c r="C1623" s="17">
        <v>2</v>
      </c>
      <c r="D1623" s="17">
        <v>2</v>
      </c>
      <c r="E1623" s="17">
        <v>99</v>
      </c>
      <c r="F1623" s="17">
        <v>0</v>
      </c>
      <c r="G1623" s="13">
        <v>44978</v>
      </c>
    </row>
    <row r="1624" spans="1:7" ht="14.5">
      <c r="A1624" s="17" t="s">
        <v>4007</v>
      </c>
      <c r="B1624" s="17">
        <v>69</v>
      </c>
      <c r="C1624" s="17">
        <v>36</v>
      </c>
      <c r="D1624" s="17">
        <v>8</v>
      </c>
      <c r="E1624" s="17">
        <v>2883</v>
      </c>
      <c r="F1624" s="17">
        <v>0</v>
      </c>
      <c r="G1624" s="13">
        <v>44978</v>
      </c>
    </row>
    <row r="1625" spans="1:7" ht="14.5">
      <c r="A1625" s="17" t="s">
        <v>4012</v>
      </c>
      <c r="B1625" s="17">
        <v>238</v>
      </c>
      <c r="C1625" s="17">
        <v>78</v>
      </c>
      <c r="D1625" s="17">
        <v>8</v>
      </c>
      <c r="E1625" s="17">
        <v>2577</v>
      </c>
      <c r="F1625" s="17">
        <v>0</v>
      </c>
      <c r="G1625" s="13">
        <v>44978</v>
      </c>
    </row>
    <row r="1626" spans="1:7" ht="14.5">
      <c r="A1626" s="17" t="s">
        <v>4017</v>
      </c>
      <c r="B1626" s="17">
        <v>8</v>
      </c>
      <c r="C1626" s="17">
        <v>5</v>
      </c>
      <c r="D1626" s="17">
        <v>1</v>
      </c>
      <c r="E1626" s="17">
        <v>60</v>
      </c>
      <c r="F1626" s="17">
        <v>0</v>
      </c>
      <c r="G1626" s="13">
        <v>44978</v>
      </c>
    </row>
    <row r="1627" spans="1:7" ht="14.5">
      <c r="A1627" s="17" t="s">
        <v>4021</v>
      </c>
      <c r="B1627" s="17">
        <v>70</v>
      </c>
      <c r="C1627" s="17">
        <v>27</v>
      </c>
      <c r="D1627" s="17">
        <v>0</v>
      </c>
      <c r="E1627" s="17">
        <v>55</v>
      </c>
      <c r="F1627" s="17">
        <v>0</v>
      </c>
      <c r="G1627" s="13">
        <v>44978</v>
      </c>
    </row>
    <row r="1628" spans="1:7" ht="14.5">
      <c r="A1628" s="17" t="s">
        <v>4024</v>
      </c>
      <c r="B1628" s="17">
        <v>2</v>
      </c>
      <c r="C1628" s="17">
        <v>2</v>
      </c>
      <c r="D1628" s="17">
        <v>0</v>
      </c>
      <c r="E1628" s="17">
        <v>2</v>
      </c>
      <c r="F1628" s="17">
        <v>0</v>
      </c>
      <c r="G1628" s="13">
        <v>44978</v>
      </c>
    </row>
    <row r="1629" spans="1:7" ht="14.5">
      <c r="A1629" s="17" t="s">
        <v>4027</v>
      </c>
      <c r="B1629" s="17">
        <v>3</v>
      </c>
      <c r="C1629" s="17">
        <v>2</v>
      </c>
      <c r="D1629" s="17">
        <v>0</v>
      </c>
      <c r="E1629" s="17">
        <v>2</v>
      </c>
      <c r="F1629" s="17">
        <v>0</v>
      </c>
      <c r="G1629" s="13">
        <v>44978</v>
      </c>
    </row>
    <row r="1630" spans="1:7" ht="14.5">
      <c r="A1630" s="17" t="s">
        <v>4032</v>
      </c>
      <c r="B1630" s="17">
        <v>58</v>
      </c>
      <c r="C1630" s="17">
        <v>16</v>
      </c>
      <c r="D1630" s="17">
        <v>1</v>
      </c>
      <c r="E1630" s="17">
        <v>15</v>
      </c>
      <c r="F1630" s="17">
        <v>0</v>
      </c>
      <c r="G1630" s="13">
        <v>44978</v>
      </c>
    </row>
    <row r="1631" spans="1:7" ht="14.5">
      <c r="A1631" s="17" t="s">
        <v>4034</v>
      </c>
      <c r="B1631" s="17">
        <v>36</v>
      </c>
      <c r="C1631" s="17">
        <v>9</v>
      </c>
      <c r="D1631" s="17">
        <v>0</v>
      </c>
      <c r="E1631" s="17">
        <v>131</v>
      </c>
      <c r="F1631" s="17">
        <v>0</v>
      </c>
      <c r="G1631" s="13">
        <v>44978</v>
      </c>
    </row>
    <row r="1632" spans="1:7" ht="14.5">
      <c r="A1632" s="17" t="s">
        <v>4037</v>
      </c>
      <c r="B1632" s="17">
        <v>165</v>
      </c>
      <c r="C1632" s="17">
        <v>58</v>
      </c>
      <c r="D1632" s="17">
        <v>2</v>
      </c>
      <c r="E1632" s="17">
        <v>567</v>
      </c>
      <c r="F1632" s="17">
        <v>0</v>
      </c>
      <c r="G1632" s="13">
        <v>44978</v>
      </c>
    </row>
    <row r="1633" spans="1:7" ht="14.5">
      <c r="A1633" s="17" t="s">
        <v>4039</v>
      </c>
      <c r="B1633" s="17">
        <v>22</v>
      </c>
      <c r="C1633" s="17">
        <v>17</v>
      </c>
      <c r="D1633" s="17">
        <v>4</v>
      </c>
      <c r="E1633" s="17">
        <v>65</v>
      </c>
      <c r="F1633" s="17">
        <v>0</v>
      </c>
      <c r="G1633" s="13">
        <v>44978</v>
      </c>
    </row>
    <row r="1634" spans="1:7" ht="14.5">
      <c r="A1634" s="17" t="s">
        <v>4041</v>
      </c>
      <c r="B1634" s="17">
        <v>23</v>
      </c>
      <c r="C1634" s="17">
        <v>3</v>
      </c>
      <c r="D1634" s="17">
        <v>0</v>
      </c>
      <c r="E1634" s="17">
        <v>127</v>
      </c>
      <c r="F1634" s="17">
        <v>0</v>
      </c>
      <c r="G1634" s="13">
        <v>44978</v>
      </c>
    </row>
    <row r="1635" spans="1:7" ht="14.5">
      <c r="A1635" s="17" t="s">
        <v>4045</v>
      </c>
      <c r="B1635" s="17">
        <v>8</v>
      </c>
      <c r="C1635" s="17">
        <v>6</v>
      </c>
      <c r="D1635" s="17">
        <v>1</v>
      </c>
      <c r="E1635" s="17">
        <v>155</v>
      </c>
      <c r="F1635" s="17">
        <v>0</v>
      </c>
      <c r="G1635" s="13">
        <v>44978</v>
      </c>
    </row>
    <row r="1636" spans="1:7" ht="14.5">
      <c r="A1636" s="17" t="s">
        <v>4049</v>
      </c>
      <c r="B1636" s="17">
        <v>10</v>
      </c>
      <c r="C1636" s="17">
        <v>4</v>
      </c>
      <c r="D1636" s="17">
        <v>0</v>
      </c>
      <c r="E1636" s="17">
        <v>20</v>
      </c>
      <c r="F1636" s="17">
        <v>0</v>
      </c>
      <c r="G1636" s="13">
        <v>44978</v>
      </c>
    </row>
    <row r="1637" spans="1:7" ht="14.5">
      <c r="A1637" s="17" t="s">
        <v>4053</v>
      </c>
      <c r="B1637" s="17">
        <v>62</v>
      </c>
      <c r="C1637" s="17">
        <v>17</v>
      </c>
      <c r="D1637" s="17">
        <v>0</v>
      </c>
      <c r="E1637" s="17">
        <v>56</v>
      </c>
      <c r="F1637" s="17">
        <v>0</v>
      </c>
      <c r="G1637" s="13">
        <v>44978</v>
      </c>
    </row>
    <row r="1638" spans="1:7" ht="14.5">
      <c r="A1638" s="17" t="s">
        <v>4057</v>
      </c>
      <c r="B1638" s="17">
        <v>29</v>
      </c>
      <c r="C1638" s="17">
        <v>20</v>
      </c>
      <c r="D1638" s="17">
        <v>0</v>
      </c>
      <c r="E1638" s="17">
        <v>34</v>
      </c>
      <c r="F1638" s="17">
        <v>0</v>
      </c>
      <c r="G1638" s="13">
        <v>44978</v>
      </c>
    </row>
    <row r="1639" spans="1:7" ht="14.5">
      <c r="A1639" s="17" t="s">
        <v>4061</v>
      </c>
      <c r="B1639" s="17">
        <v>14</v>
      </c>
      <c r="C1639" s="17">
        <v>3</v>
      </c>
      <c r="D1639" s="17">
        <v>0</v>
      </c>
      <c r="E1639" s="17">
        <v>7</v>
      </c>
      <c r="F1639" s="17">
        <v>0</v>
      </c>
      <c r="G1639" s="13">
        <v>44978</v>
      </c>
    </row>
    <row r="1640" spans="1:7" ht="14.5">
      <c r="A1640" s="17" t="s">
        <v>4065</v>
      </c>
      <c r="B1640" s="17">
        <v>65</v>
      </c>
      <c r="C1640" s="17">
        <v>9</v>
      </c>
      <c r="D1640" s="17">
        <v>3</v>
      </c>
      <c r="E1640" s="17">
        <v>238</v>
      </c>
      <c r="F1640" s="17">
        <v>0</v>
      </c>
      <c r="G1640" s="13">
        <v>44978</v>
      </c>
    </row>
    <row r="1641" spans="1:7" ht="14.5">
      <c r="A1641" s="17" t="s">
        <v>4067</v>
      </c>
      <c r="B1641" s="17">
        <v>72</v>
      </c>
      <c r="C1641" s="17">
        <v>27</v>
      </c>
      <c r="D1641" s="17">
        <v>4</v>
      </c>
      <c r="E1641" s="17">
        <v>66</v>
      </c>
      <c r="F1641" s="17">
        <v>0</v>
      </c>
      <c r="G1641" s="13">
        <v>44978</v>
      </c>
    </row>
    <row r="1642" spans="1:7" ht="14.5">
      <c r="A1642" s="17" t="s">
        <v>4069</v>
      </c>
      <c r="B1642" s="17">
        <v>2</v>
      </c>
      <c r="C1642" s="17">
        <v>0</v>
      </c>
      <c r="D1642" s="17">
        <v>0</v>
      </c>
      <c r="E1642" s="17">
        <v>16</v>
      </c>
      <c r="F1642" s="17">
        <v>0</v>
      </c>
      <c r="G1642" s="13">
        <v>44978</v>
      </c>
    </row>
    <row r="1643" spans="1:7" ht="14.5">
      <c r="A1643" s="17" t="s">
        <v>4071</v>
      </c>
      <c r="B1643" s="17">
        <v>7</v>
      </c>
      <c r="C1643" s="17">
        <v>0</v>
      </c>
      <c r="D1643" s="17">
        <v>2</v>
      </c>
      <c r="E1643" s="17">
        <v>12</v>
      </c>
      <c r="F1643" s="17">
        <v>0</v>
      </c>
      <c r="G1643" s="13">
        <v>44978</v>
      </c>
    </row>
    <row r="1644" spans="1:7" ht="14.5">
      <c r="A1644" s="17" t="s">
        <v>4076</v>
      </c>
      <c r="B1644" s="17">
        <v>16</v>
      </c>
      <c r="C1644" s="17">
        <v>6</v>
      </c>
      <c r="D1644" s="17">
        <v>2</v>
      </c>
      <c r="E1644" s="17">
        <v>101</v>
      </c>
      <c r="F1644" s="17">
        <v>0</v>
      </c>
      <c r="G1644" s="13">
        <v>44978</v>
      </c>
    </row>
    <row r="1645" spans="1:7" ht="14.5">
      <c r="A1645" s="17" t="s">
        <v>4080</v>
      </c>
      <c r="B1645" s="17">
        <v>83</v>
      </c>
      <c r="C1645" s="17">
        <v>10</v>
      </c>
      <c r="D1645" s="17">
        <v>10</v>
      </c>
      <c r="E1645" s="17">
        <v>1824</v>
      </c>
      <c r="F1645" s="17">
        <v>0</v>
      </c>
      <c r="G1645" s="13">
        <v>44978</v>
      </c>
    </row>
    <row r="1646" spans="1:7" ht="14.5">
      <c r="A1646" s="17" t="s">
        <v>4082</v>
      </c>
      <c r="B1646" s="17">
        <v>12</v>
      </c>
      <c r="C1646" s="17">
        <v>6</v>
      </c>
      <c r="D1646" s="17">
        <v>371</v>
      </c>
      <c r="E1646" s="17">
        <v>36</v>
      </c>
      <c r="F1646" s="17">
        <v>0</v>
      </c>
      <c r="G1646" s="13">
        <v>44978</v>
      </c>
    </row>
    <row r="1647" spans="1:7" ht="14.5">
      <c r="A1647" s="17" t="s">
        <v>4084</v>
      </c>
      <c r="B1647" s="17">
        <v>4</v>
      </c>
      <c r="C1647" s="17">
        <v>1</v>
      </c>
      <c r="D1647" s="17">
        <v>0</v>
      </c>
      <c r="E1647" s="17">
        <v>3</v>
      </c>
      <c r="F1647" s="17">
        <v>0</v>
      </c>
      <c r="G1647" s="13">
        <v>44978</v>
      </c>
    </row>
    <row r="1648" spans="1:7" ht="14.5">
      <c r="A1648" s="17" t="s">
        <v>4089</v>
      </c>
      <c r="B1648" s="17">
        <v>7</v>
      </c>
      <c r="C1648" s="17">
        <v>1</v>
      </c>
      <c r="D1648" s="17">
        <v>19</v>
      </c>
      <c r="E1648" s="17">
        <v>15</v>
      </c>
      <c r="F1648" s="17">
        <v>0</v>
      </c>
      <c r="G1648" s="13">
        <v>44978</v>
      </c>
    </row>
    <row r="1649" spans="1:7" ht="14.5">
      <c r="A1649" s="17" t="s">
        <v>4093</v>
      </c>
      <c r="B1649" s="17">
        <v>101</v>
      </c>
      <c r="C1649" s="17">
        <v>21</v>
      </c>
      <c r="D1649" s="17">
        <v>76</v>
      </c>
      <c r="E1649" s="17">
        <v>627</v>
      </c>
      <c r="F1649" s="17">
        <v>3</v>
      </c>
      <c r="G1649" s="13">
        <v>44978</v>
      </c>
    </row>
    <row r="1650" spans="1:7" ht="14.5">
      <c r="A1650" s="17" t="s">
        <v>4095</v>
      </c>
      <c r="B1650" s="17">
        <v>73</v>
      </c>
      <c r="C1650" s="17">
        <v>9</v>
      </c>
      <c r="D1650" s="17">
        <v>4</v>
      </c>
      <c r="E1650" s="17">
        <v>245</v>
      </c>
      <c r="F1650" s="17">
        <v>0</v>
      </c>
      <c r="G1650" s="13">
        <v>44978</v>
      </c>
    </row>
    <row r="1651" spans="1:7" ht="14.5">
      <c r="A1651" s="17" t="s">
        <v>4097</v>
      </c>
      <c r="B1651" s="17">
        <v>10</v>
      </c>
      <c r="C1651" s="17">
        <v>2</v>
      </c>
      <c r="D1651" s="17">
        <v>9</v>
      </c>
      <c r="E1651" s="17">
        <v>35</v>
      </c>
      <c r="F1651" s="17">
        <v>0</v>
      </c>
      <c r="G1651" s="13">
        <v>44978</v>
      </c>
    </row>
    <row r="1652" spans="1:7" ht="14.5">
      <c r="A1652" s="17" t="s">
        <v>4101</v>
      </c>
      <c r="B1652" s="17">
        <v>13</v>
      </c>
      <c r="C1652" s="17">
        <v>5</v>
      </c>
      <c r="D1652" s="17">
        <v>0</v>
      </c>
      <c r="E1652" s="17">
        <v>12</v>
      </c>
      <c r="F1652" s="17">
        <v>0</v>
      </c>
      <c r="G1652" s="13">
        <v>44978</v>
      </c>
    </row>
    <row r="1653" spans="1:7" ht="14.5">
      <c r="A1653" s="17" t="s">
        <v>4106</v>
      </c>
      <c r="B1653" s="17">
        <v>64</v>
      </c>
      <c r="C1653" s="17">
        <v>5</v>
      </c>
      <c r="D1653" s="17">
        <v>1</v>
      </c>
      <c r="E1653" s="17">
        <v>1359</v>
      </c>
      <c r="F1653" s="17">
        <v>1</v>
      </c>
      <c r="G1653" s="13">
        <v>44978</v>
      </c>
    </row>
    <row r="1654" spans="1:7" ht="14.5">
      <c r="A1654" s="17" t="s">
        <v>4108</v>
      </c>
      <c r="B1654" s="17">
        <v>13</v>
      </c>
      <c r="C1654" s="17">
        <v>8</v>
      </c>
      <c r="D1654" s="17">
        <v>63</v>
      </c>
      <c r="E1654" s="17">
        <v>115</v>
      </c>
      <c r="F1654" s="17">
        <v>0</v>
      </c>
      <c r="G1654" s="13">
        <v>44978</v>
      </c>
    </row>
    <row r="1655" spans="1:7" ht="14.5">
      <c r="A1655" s="17" t="s">
        <v>4112</v>
      </c>
      <c r="B1655" s="17">
        <v>9</v>
      </c>
      <c r="C1655" s="17">
        <v>16</v>
      </c>
      <c r="D1655" s="17">
        <v>0</v>
      </c>
      <c r="E1655" s="17">
        <v>13</v>
      </c>
      <c r="F1655" s="17">
        <v>0</v>
      </c>
      <c r="G1655" s="13">
        <v>44978</v>
      </c>
    </row>
    <row r="1656" spans="1:7" ht="14.5">
      <c r="A1656" s="17" t="s">
        <v>4115</v>
      </c>
      <c r="B1656" s="17">
        <v>17</v>
      </c>
      <c r="C1656" s="17">
        <v>4</v>
      </c>
      <c r="D1656" s="17">
        <v>1</v>
      </c>
      <c r="E1656" s="17">
        <v>4</v>
      </c>
      <c r="F1656" s="17">
        <v>0</v>
      </c>
      <c r="G1656" s="13">
        <v>44978</v>
      </c>
    </row>
    <row r="1657" spans="1:7" ht="14.5">
      <c r="A1657" s="17" t="s">
        <v>4119</v>
      </c>
      <c r="B1657" s="17">
        <v>5</v>
      </c>
      <c r="C1657" s="17">
        <v>3</v>
      </c>
      <c r="D1657" s="17">
        <v>6</v>
      </c>
      <c r="E1657" s="17">
        <v>82</v>
      </c>
      <c r="F1657" s="17">
        <v>0</v>
      </c>
      <c r="G1657" s="13">
        <v>44978</v>
      </c>
    </row>
    <row r="1658" spans="1:7" ht="14.5">
      <c r="A1658" s="17" t="s">
        <v>4121</v>
      </c>
      <c r="B1658" s="17">
        <v>4</v>
      </c>
      <c r="C1658" s="17">
        <v>3</v>
      </c>
      <c r="D1658" s="17">
        <v>0</v>
      </c>
      <c r="E1658" s="17">
        <v>0</v>
      </c>
      <c r="F1658" s="17">
        <v>0</v>
      </c>
      <c r="G1658" s="13">
        <v>44978</v>
      </c>
    </row>
    <row r="1659" spans="1:7" ht="14.5">
      <c r="A1659" s="17" t="s">
        <v>4125</v>
      </c>
      <c r="B1659" s="17">
        <v>0</v>
      </c>
      <c r="C1659" s="17">
        <v>0</v>
      </c>
      <c r="D1659" s="17">
        <v>0</v>
      </c>
      <c r="E1659" s="17">
        <v>3</v>
      </c>
      <c r="F1659" s="17">
        <v>0</v>
      </c>
      <c r="G1659" s="13">
        <v>44978</v>
      </c>
    </row>
    <row r="1660" spans="1:7" ht="14.5">
      <c r="A1660" s="17" t="s">
        <v>4127</v>
      </c>
      <c r="B1660" s="17">
        <v>48</v>
      </c>
      <c r="C1660" s="17">
        <v>13</v>
      </c>
      <c r="D1660" s="17">
        <v>0</v>
      </c>
      <c r="E1660" s="17">
        <v>35</v>
      </c>
      <c r="F1660" s="17">
        <v>0</v>
      </c>
      <c r="G1660" s="13">
        <v>44978</v>
      </c>
    </row>
    <row r="1661" spans="1:7" ht="14.5">
      <c r="A1661" s="17" t="s">
        <v>4129</v>
      </c>
      <c r="B1661" s="17">
        <v>24</v>
      </c>
      <c r="C1661" s="17">
        <v>5</v>
      </c>
      <c r="D1661" s="17">
        <v>41</v>
      </c>
      <c r="E1661" s="17">
        <v>10</v>
      </c>
      <c r="F1661" s="17">
        <v>0</v>
      </c>
      <c r="G1661" s="13">
        <v>44978</v>
      </c>
    </row>
    <row r="1662" spans="1:7" ht="14.5">
      <c r="A1662" s="17" t="s">
        <v>4131</v>
      </c>
      <c r="B1662" s="17">
        <v>323</v>
      </c>
      <c r="C1662" s="17">
        <v>63</v>
      </c>
      <c r="D1662" s="17">
        <v>28</v>
      </c>
      <c r="E1662" s="17">
        <v>1665</v>
      </c>
      <c r="F1662" s="17">
        <v>0</v>
      </c>
      <c r="G1662" s="13">
        <v>44978</v>
      </c>
    </row>
    <row r="1663" spans="1:7" ht="14.5">
      <c r="A1663" s="17" t="s">
        <v>4133</v>
      </c>
      <c r="B1663" s="17">
        <v>6</v>
      </c>
      <c r="C1663" s="17">
        <v>4</v>
      </c>
      <c r="D1663" s="17">
        <v>0</v>
      </c>
      <c r="E1663" s="17">
        <v>13</v>
      </c>
      <c r="F1663" s="17">
        <v>0</v>
      </c>
      <c r="G1663" s="13">
        <v>44978</v>
      </c>
    </row>
    <row r="1664" spans="1:7" ht="14.5">
      <c r="A1664" s="17" t="s">
        <v>4135</v>
      </c>
      <c r="B1664" s="17">
        <v>31</v>
      </c>
      <c r="C1664" s="17">
        <v>28</v>
      </c>
      <c r="D1664" s="17">
        <v>0</v>
      </c>
      <c r="E1664" s="17">
        <v>0</v>
      </c>
      <c r="F1664" s="17">
        <v>0</v>
      </c>
      <c r="G1664" s="13">
        <v>44978</v>
      </c>
    </row>
    <row r="1665" spans="1:7" ht="14.5">
      <c r="A1665" s="17" t="s">
        <v>4140</v>
      </c>
      <c r="B1665" s="17">
        <v>20</v>
      </c>
      <c r="C1665" s="17">
        <v>5</v>
      </c>
      <c r="D1665" s="17">
        <v>363</v>
      </c>
      <c r="E1665" s="17">
        <v>22</v>
      </c>
      <c r="F1665" s="17">
        <v>0</v>
      </c>
      <c r="G1665" s="13">
        <v>44978</v>
      </c>
    </row>
    <row r="1666" spans="1:7" ht="14.5">
      <c r="A1666" s="17" t="s">
        <v>4145</v>
      </c>
      <c r="B1666" s="17">
        <v>22</v>
      </c>
      <c r="C1666" s="17">
        <v>5</v>
      </c>
      <c r="D1666" s="17">
        <v>21</v>
      </c>
      <c r="E1666" s="17">
        <v>0</v>
      </c>
      <c r="F1666" s="17">
        <v>0</v>
      </c>
      <c r="G1666" s="13">
        <v>44978</v>
      </c>
    </row>
    <row r="1667" spans="1:7" ht="14.5">
      <c r="A1667" s="17" t="s">
        <v>4149</v>
      </c>
      <c r="B1667" s="17">
        <v>10</v>
      </c>
      <c r="C1667" s="17">
        <v>4</v>
      </c>
      <c r="D1667" s="17">
        <v>9</v>
      </c>
      <c r="E1667" s="17">
        <v>0</v>
      </c>
      <c r="F1667" s="17">
        <v>0</v>
      </c>
      <c r="G1667" s="13">
        <v>44978</v>
      </c>
    </row>
    <row r="1668" spans="1:7" ht="14.5">
      <c r="A1668" s="17" t="s">
        <v>4151</v>
      </c>
      <c r="B1668" s="17">
        <v>33</v>
      </c>
      <c r="C1668" s="17">
        <v>14</v>
      </c>
      <c r="D1668" s="17">
        <v>34</v>
      </c>
      <c r="E1668" s="17">
        <v>0</v>
      </c>
      <c r="F1668" s="17">
        <v>1</v>
      </c>
      <c r="G1668" s="13">
        <v>44978</v>
      </c>
    </row>
    <row r="1669" spans="1:7" ht="14.5">
      <c r="A1669" s="17" t="s">
        <v>4155</v>
      </c>
      <c r="B1669" s="17">
        <v>46</v>
      </c>
      <c r="C1669" s="17">
        <v>20</v>
      </c>
      <c r="D1669" s="17">
        <v>12</v>
      </c>
      <c r="E1669" s="17">
        <v>0</v>
      </c>
      <c r="F1669" s="17">
        <v>0</v>
      </c>
      <c r="G1669" s="13">
        <v>44978</v>
      </c>
    </row>
    <row r="1670" spans="1:7" ht="14.5">
      <c r="A1670" s="17" t="s">
        <v>4158</v>
      </c>
      <c r="B1670" s="17">
        <v>7</v>
      </c>
      <c r="C1670" s="17">
        <v>6</v>
      </c>
      <c r="D1670" s="17">
        <v>0</v>
      </c>
      <c r="E1670" s="17">
        <v>0</v>
      </c>
      <c r="F1670" s="17">
        <v>0</v>
      </c>
      <c r="G1670" s="13">
        <v>44978</v>
      </c>
    </row>
    <row r="1671" spans="1:7" ht="14.5">
      <c r="A1671" s="17" t="s">
        <v>4162</v>
      </c>
      <c r="B1671" s="17">
        <v>6</v>
      </c>
      <c r="C1671" s="17">
        <v>0</v>
      </c>
      <c r="D1671" s="17">
        <v>0</v>
      </c>
      <c r="E1671" s="17">
        <v>0</v>
      </c>
      <c r="F1671" s="17">
        <v>0</v>
      </c>
      <c r="G1671" s="13">
        <v>44978</v>
      </c>
    </row>
    <row r="1672" spans="1:7" ht="14.5">
      <c r="A1672" s="17" t="s">
        <v>4165</v>
      </c>
      <c r="B1672" s="17">
        <v>13</v>
      </c>
      <c r="C1672" s="17">
        <v>2</v>
      </c>
      <c r="D1672" s="17">
        <v>4</v>
      </c>
      <c r="E1672" s="17">
        <v>0</v>
      </c>
      <c r="F1672" s="17">
        <v>0</v>
      </c>
      <c r="G1672" s="13">
        <v>44978</v>
      </c>
    </row>
    <row r="1673" spans="1:7" ht="14.5">
      <c r="A1673" s="17" t="s">
        <v>4167</v>
      </c>
      <c r="B1673" s="17">
        <v>7</v>
      </c>
      <c r="C1673" s="17">
        <v>2</v>
      </c>
      <c r="D1673" s="17">
        <v>3</v>
      </c>
      <c r="E1673" s="17">
        <v>0</v>
      </c>
      <c r="F1673" s="17">
        <v>0</v>
      </c>
      <c r="G1673" s="13">
        <v>44978</v>
      </c>
    </row>
    <row r="1674" spans="1:7" ht="14.5">
      <c r="A1674" s="17" t="s">
        <v>4170</v>
      </c>
      <c r="B1674" s="17">
        <v>8</v>
      </c>
      <c r="C1674" s="17">
        <v>0</v>
      </c>
      <c r="D1674" s="17">
        <v>1</v>
      </c>
      <c r="E1674" s="17">
        <v>0</v>
      </c>
      <c r="F1674" s="17">
        <v>1</v>
      </c>
      <c r="G1674" s="13">
        <v>44978</v>
      </c>
    </row>
    <row r="1675" spans="1:7" ht="14.5">
      <c r="A1675" s="17" t="s">
        <v>4173</v>
      </c>
      <c r="B1675" s="17">
        <v>31</v>
      </c>
      <c r="C1675" s="17">
        <v>6</v>
      </c>
      <c r="D1675" s="17">
        <v>10</v>
      </c>
      <c r="E1675" s="17">
        <v>0</v>
      </c>
      <c r="F1675" s="17">
        <v>0</v>
      </c>
      <c r="G1675" s="13">
        <v>44978</v>
      </c>
    </row>
    <row r="1676" spans="1:7" ht="14.5">
      <c r="A1676" s="17" t="s">
        <v>4176</v>
      </c>
      <c r="B1676" s="17">
        <v>15</v>
      </c>
      <c r="C1676" s="17">
        <v>5</v>
      </c>
      <c r="D1676" s="17">
        <v>11</v>
      </c>
      <c r="E1676" s="17">
        <v>0</v>
      </c>
      <c r="F1676" s="17">
        <v>1</v>
      </c>
      <c r="G1676" s="13">
        <v>44978</v>
      </c>
    </row>
    <row r="1677" spans="1:7" ht="14.5">
      <c r="A1677" s="17" t="s">
        <v>4181</v>
      </c>
      <c r="B1677" s="17">
        <v>16</v>
      </c>
      <c r="C1677" s="17">
        <v>1</v>
      </c>
      <c r="D1677" s="17">
        <v>17</v>
      </c>
      <c r="E1677" s="17">
        <v>0</v>
      </c>
      <c r="F1677" s="17">
        <v>0</v>
      </c>
      <c r="G1677" s="13">
        <v>44978</v>
      </c>
    </row>
    <row r="1678" spans="1:7" ht="14.5">
      <c r="A1678" s="17" t="s">
        <v>4184</v>
      </c>
      <c r="B1678" s="17">
        <v>4</v>
      </c>
      <c r="C1678" s="17">
        <v>2</v>
      </c>
      <c r="D1678" s="17">
        <v>0</v>
      </c>
      <c r="E1678" s="17">
        <v>0</v>
      </c>
      <c r="F1678" s="17">
        <v>0</v>
      </c>
      <c r="G1678" s="13">
        <v>44978</v>
      </c>
    </row>
    <row r="1679" spans="1:7" ht="14.5">
      <c r="A1679" s="17" t="s">
        <v>4187</v>
      </c>
      <c r="B1679" s="17">
        <v>6</v>
      </c>
      <c r="C1679" s="17">
        <v>1</v>
      </c>
      <c r="D1679" s="17">
        <v>3</v>
      </c>
      <c r="E1679" s="17">
        <v>0</v>
      </c>
      <c r="F1679" s="17">
        <v>0</v>
      </c>
      <c r="G1679" s="13">
        <v>44978</v>
      </c>
    </row>
    <row r="1680" spans="1:7" ht="14.5">
      <c r="A1680" s="17" t="s">
        <v>4192</v>
      </c>
      <c r="B1680" s="17">
        <v>3</v>
      </c>
      <c r="C1680" s="17">
        <v>0</v>
      </c>
      <c r="D1680" s="17">
        <v>0</v>
      </c>
      <c r="E1680" s="17">
        <v>0</v>
      </c>
      <c r="F1680" s="17">
        <v>0</v>
      </c>
      <c r="G1680" s="13">
        <v>44978</v>
      </c>
    </row>
    <row r="1681" spans="1:7" ht="14.5">
      <c r="A1681" s="17" t="s">
        <v>4197</v>
      </c>
      <c r="B1681" s="17">
        <v>3</v>
      </c>
      <c r="C1681" s="17">
        <v>3</v>
      </c>
      <c r="D1681" s="17">
        <v>0</v>
      </c>
      <c r="E1681" s="17">
        <v>0</v>
      </c>
      <c r="F1681" s="17">
        <v>0</v>
      </c>
      <c r="G1681" s="13">
        <v>44978</v>
      </c>
    </row>
    <row r="1682" spans="1:7" ht="14.5">
      <c r="A1682" s="17" t="s">
        <v>4200</v>
      </c>
      <c r="B1682" s="17">
        <v>93</v>
      </c>
      <c r="C1682" s="17">
        <v>11</v>
      </c>
      <c r="D1682" s="17">
        <v>2</v>
      </c>
      <c r="E1682" s="17">
        <v>0</v>
      </c>
      <c r="F1682" s="17">
        <v>2</v>
      </c>
      <c r="G1682" s="13">
        <v>44978</v>
      </c>
    </row>
    <row r="1683" spans="1:7" ht="14.5">
      <c r="A1683" s="17" t="s">
        <v>4202</v>
      </c>
      <c r="B1683" s="17">
        <v>61</v>
      </c>
      <c r="C1683" s="17">
        <v>17</v>
      </c>
      <c r="D1683" s="17">
        <v>59</v>
      </c>
      <c r="E1683" s="17">
        <v>0</v>
      </c>
      <c r="F1683" s="17">
        <v>0</v>
      </c>
      <c r="G1683" s="13">
        <v>44978</v>
      </c>
    </row>
    <row r="1684" spans="1:7" ht="14.5">
      <c r="A1684" s="17" t="s">
        <v>4205</v>
      </c>
      <c r="B1684" s="17">
        <v>26</v>
      </c>
      <c r="C1684" s="17">
        <v>8</v>
      </c>
      <c r="D1684" s="17">
        <v>153</v>
      </c>
      <c r="E1684" s="17">
        <v>0</v>
      </c>
      <c r="F1684" s="17">
        <v>4</v>
      </c>
      <c r="G1684" s="13">
        <v>44978</v>
      </c>
    </row>
    <row r="1685" spans="1:7" ht="14.5">
      <c r="A1685" s="17" t="s">
        <v>4209</v>
      </c>
      <c r="B1685" s="17">
        <v>12</v>
      </c>
      <c r="C1685" s="17">
        <v>1</v>
      </c>
      <c r="D1685" s="17">
        <v>1</v>
      </c>
      <c r="E1685" s="17">
        <v>0</v>
      </c>
      <c r="F1685" s="17">
        <v>0</v>
      </c>
      <c r="G1685" s="13">
        <v>44978</v>
      </c>
    </row>
    <row r="1686" spans="1:7" ht="14.5">
      <c r="A1686" s="17" t="s">
        <v>4214</v>
      </c>
      <c r="B1686" s="17">
        <v>5</v>
      </c>
      <c r="C1686" s="17">
        <v>1</v>
      </c>
      <c r="D1686" s="17">
        <v>18</v>
      </c>
      <c r="E1686" s="17">
        <v>0</v>
      </c>
      <c r="F1686" s="17">
        <v>0</v>
      </c>
      <c r="G1686" s="13">
        <v>44978</v>
      </c>
    </row>
    <row r="1687" spans="1:7" ht="14.5">
      <c r="A1687" s="17" t="s">
        <v>4217</v>
      </c>
      <c r="B1687" s="17">
        <v>15</v>
      </c>
      <c r="C1687" s="17">
        <v>2</v>
      </c>
      <c r="D1687" s="17">
        <v>3</v>
      </c>
      <c r="E1687" s="17">
        <v>0</v>
      </c>
      <c r="F1687" s="17">
        <v>0</v>
      </c>
      <c r="G1687" s="13">
        <v>44978</v>
      </c>
    </row>
    <row r="1688" spans="1:7" ht="14.5">
      <c r="A1688" s="17" t="s">
        <v>4221</v>
      </c>
      <c r="B1688" s="17">
        <v>6</v>
      </c>
      <c r="C1688" s="17">
        <v>0</v>
      </c>
      <c r="D1688" s="17">
        <v>3</v>
      </c>
      <c r="E1688" s="17">
        <v>0</v>
      </c>
      <c r="F1688" s="17">
        <v>0</v>
      </c>
      <c r="G1688" s="13">
        <v>44978</v>
      </c>
    </row>
    <row r="1689" spans="1:7" ht="14.5">
      <c r="A1689" s="17" t="s">
        <v>4223</v>
      </c>
      <c r="B1689" s="17">
        <v>1</v>
      </c>
      <c r="C1689" s="17">
        <v>0</v>
      </c>
      <c r="D1689" s="17">
        <v>0</v>
      </c>
      <c r="E1689" s="17">
        <v>0</v>
      </c>
      <c r="F1689" s="17">
        <v>0</v>
      </c>
      <c r="G1689" s="13">
        <v>44978</v>
      </c>
    </row>
    <row r="1690" spans="1:7" ht="14.5">
      <c r="A1690" s="17" t="s">
        <v>4227</v>
      </c>
      <c r="B1690" s="17">
        <v>12</v>
      </c>
      <c r="C1690" s="17">
        <v>1</v>
      </c>
      <c r="D1690" s="17">
        <v>0</v>
      </c>
      <c r="E1690" s="17">
        <v>0</v>
      </c>
      <c r="F1690" s="17">
        <v>0</v>
      </c>
      <c r="G1690" s="13">
        <v>44978</v>
      </c>
    </row>
    <row r="1691" spans="1:7" ht="14.5">
      <c r="A1691" s="17" t="s">
        <v>4230</v>
      </c>
      <c r="B1691" s="17">
        <v>19</v>
      </c>
      <c r="C1691" s="17">
        <v>4</v>
      </c>
      <c r="D1691" s="17">
        <v>1</v>
      </c>
      <c r="E1691" s="17">
        <v>0</v>
      </c>
      <c r="F1691" s="17">
        <v>0</v>
      </c>
      <c r="G1691" s="13">
        <v>44978</v>
      </c>
    </row>
    <row r="1692" spans="1:7" ht="14.5">
      <c r="A1692" s="17" t="s">
        <v>4237</v>
      </c>
      <c r="B1692" s="17">
        <v>1</v>
      </c>
      <c r="C1692" s="17">
        <v>1</v>
      </c>
      <c r="D1692" s="17">
        <v>0</v>
      </c>
      <c r="E1692" s="17">
        <v>0</v>
      </c>
      <c r="F1692" s="17">
        <v>0</v>
      </c>
      <c r="G1692" s="13">
        <v>44978</v>
      </c>
    </row>
    <row r="1693" spans="1:7" ht="14.5">
      <c r="A1693" s="17" t="s">
        <v>4242</v>
      </c>
      <c r="B1693" s="17">
        <v>0</v>
      </c>
      <c r="C1693" s="17">
        <v>0</v>
      </c>
      <c r="D1693" s="17">
        <v>0</v>
      </c>
      <c r="E1693" s="17">
        <v>0</v>
      </c>
      <c r="F1693" s="17">
        <v>0</v>
      </c>
      <c r="G1693" s="13">
        <v>44978</v>
      </c>
    </row>
    <row r="1694" spans="1:7" ht="14.5">
      <c r="A1694" s="17" t="s">
        <v>4246</v>
      </c>
      <c r="B1694" s="17">
        <v>1</v>
      </c>
      <c r="C1694" s="17">
        <v>2</v>
      </c>
      <c r="D1694" s="17">
        <v>3</v>
      </c>
      <c r="E1694" s="17">
        <v>0</v>
      </c>
      <c r="F1694" s="17">
        <v>0</v>
      </c>
      <c r="G1694" s="13">
        <v>44978</v>
      </c>
    </row>
    <row r="1695" spans="1:7" ht="14.5">
      <c r="A1695" s="17" t="s">
        <v>4249</v>
      </c>
      <c r="B1695" s="17">
        <v>20</v>
      </c>
      <c r="C1695" s="17">
        <v>3</v>
      </c>
      <c r="D1695" s="17">
        <v>6</v>
      </c>
      <c r="E1695" s="17">
        <v>0</v>
      </c>
      <c r="F1695" s="17">
        <v>5</v>
      </c>
      <c r="G1695" s="13">
        <v>44978</v>
      </c>
    </row>
    <row r="1696" spans="1:7" ht="14.5">
      <c r="A1696" s="17" t="s">
        <v>4254</v>
      </c>
      <c r="B1696" s="17">
        <v>9</v>
      </c>
      <c r="C1696" s="17">
        <v>0</v>
      </c>
      <c r="D1696" s="17">
        <v>17</v>
      </c>
      <c r="E1696" s="17">
        <v>0</v>
      </c>
      <c r="F1696" s="17">
        <v>0</v>
      </c>
      <c r="G1696" s="13">
        <v>44978</v>
      </c>
    </row>
    <row r="1697" spans="1:7" ht="14.5">
      <c r="A1697" s="17" t="s">
        <v>4257</v>
      </c>
      <c r="B1697" s="17">
        <v>13</v>
      </c>
      <c r="C1697" s="17">
        <v>0</v>
      </c>
      <c r="D1697" s="17">
        <v>1</v>
      </c>
      <c r="E1697" s="17">
        <v>0</v>
      </c>
      <c r="F1697" s="17">
        <v>0</v>
      </c>
      <c r="G1697" s="13">
        <v>44978</v>
      </c>
    </row>
    <row r="1698" spans="1:7" ht="14.5">
      <c r="A1698" s="17" t="s">
        <v>4259</v>
      </c>
      <c r="B1698" s="17">
        <v>0</v>
      </c>
      <c r="C1698" s="17">
        <v>0</v>
      </c>
      <c r="D1698" s="17">
        <v>0</v>
      </c>
      <c r="E1698" s="17">
        <v>0</v>
      </c>
      <c r="F1698" s="17">
        <v>0</v>
      </c>
      <c r="G1698" s="13">
        <v>44978</v>
      </c>
    </row>
    <row r="1699" spans="1:7" ht="14.5">
      <c r="A1699" s="17" t="s">
        <v>4262</v>
      </c>
      <c r="B1699" s="17">
        <v>1</v>
      </c>
      <c r="C1699" s="17">
        <v>2</v>
      </c>
      <c r="D1699" s="17">
        <v>0</v>
      </c>
      <c r="E1699" s="17">
        <v>0</v>
      </c>
      <c r="F1699" s="17">
        <v>0</v>
      </c>
      <c r="G1699" s="13">
        <v>44978</v>
      </c>
    </row>
    <row r="1700" spans="1:7" ht="14.5">
      <c r="A1700" s="17" t="s">
        <v>4266</v>
      </c>
      <c r="B1700" s="17">
        <v>25</v>
      </c>
      <c r="C1700" s="17">
        <v>2</v>
      </c>
      <c r="D1700" s="17">
        <v>81</v>
      </c>
      <c r="E1700" s="17">
        <v>0</v>
      </c>
      <c r="F1700" s="17">
        <v>0</v>
      </c>
      <c r="G1700" s="13">
        <v>44978</v>
      </c>
    </row>
    <row r="1701" spans="1:7" ht="14.5">
      <c r="A1701" s="17" t="s">
        <v>4268</v>
      </c>
      <c r="B1701" s="17">
        <v>3</v>
      </c>
      <c r="C1701" s="17">
        <v>0</v>
      </c>
      <c r="D1701" s="17">
        <v>0</v>
      </c>
      <c r="E1701" s="17">
        <v>0</v>
      </c>
      <c r="F1701" s="17">
        <v>0</v>
      </c>
      <c r="G1701" s="13">
        <v>44978</v>
      </c>
    </row>
    <row r="1702" spans="1:7" ht="14.5">
      <c r="A1702" s="17" t="s">
        <v>4272</v>
      </c>
      <c r="B1702" s="17">
        <v>18</v>
      </c>
      <c r="C1702" s="17">
        <v>3</v>
      </c>
      <c r="D1702" s="17">
        <v>3</v>
      </c>
      <c r="E1702" s="17">
        <v>0</v>
      </c>
      <c r="F1702" s="17">
        <v>0</v>
      </c>
      <c r="G1702" s="13">
        <v>44978</v>
      </c>
    </row>
    <row r="1703" spans="1:7" ht="14.5">
      <c r="A1703" s="17" t="s">
        <v>4276</v>
      </c>
      <c r="B1703" s="17">
        <v>1</v>
      </c>
      <c r="C1703" s="17">
        <v>0</v>
      </c>
      <c r="D1703" s="17">
        <v>0</v>
      </c>
      <c r="E1703" s="17">
        <v>0</v>
      </c>
      <c r="F1703" s="17">
        <v>0</v>
      </c>
      <c r="G1703" s="13">
        <v>44978</v>
      </c>
    </row>
    <row r="1704" spans="1:7" ht="14.5">
      <c r="A1704" s="17" t="s">
        <v>4278</v>
      </c>
      <c r="B1704" s="17">
        <v>7</v>
      </c>
      <c r="C1704" s="17">
        <v>1</v>
      </c>
      <c r="D1704" s="17">
        <v>9</v>
      </c>
      <c r="E1704" s="17">
        <v>0</v>
      </c>
      <c r="F1704" s="17">
        <v>0</v>
      </c>
      <c r="G1704" s="13">
        <v>44978</v>
      </c>
    </row>
    <row r="1705" spans="1:7" ht="14.5">
      <c r="A1705" s="17" t="s">
        <v>4280</v>
      </c>
      <c r="B1705" s="17">
        <v>7</v>
      </c>
      <c r="C1705" s="17">
        <v>0</v>
      </c>
      <c r="D1705" s="17">
        <v>31</v>
      </c>
      <c r="E1705" s="17">
        <v>0</v>
      </c>
      <c r="F1705" s="17">
        <v>0</v>
      </c>
      <c r="G1705" s="13">
        <v>44978</v>
      </c>
    </row>
    <row r="1706" spans="1:7" ht="14.5">
      <c r="A1706" s="17" t="s">
        <v>4284</v>
      </c>
      <c r="B1706" s="17">
        <v>2</v>
      </c>
      <c r="C1706" s="17">
        <v>0</v>
      </c>
      <c r="D1706" s="17">
        <v>1</v>
      </c>
      <c r="E1706" s="17">
        <v>0</v>
      </c>
      <c r="F1706" s="17">
        <v>0</v>
      </c>
      <c r="G1706" s="13">
        <v>44978</v>
      </c>
    </row>
    <row r="1707" spans="1:7" ht="14.5">
      <c r="A1707" s="17" t="s">
        <v>4288</v>
      </c>
      <c r="B1707" s="17">
        <v>0</v>
      </c>
      <c r="C1707" s="17">
        <v>0</v>
      </c>
      <c r="D1707" s="17">
        <v>0</v>
      </c>
      <c r="E1707" s="17">
        <v>0</v>
      </c>
      <c r="F1707" s="17">
        <v>0</v>
      </c>
      <c r="G1707" s="13">
        <v>44978</v>
      </c>
    </row>
    <row r="1708" spans="1:7" ht="14.5">
      <c r="A1708" s="17" t="s">
        <v>4290</v>
      </c>
      <c r="B1708" s="17">
        <v>0</v>
      </c>
      <c r="C1708" s="17">
        <v>1</v>
      </c>
      <c r="D1708" s="17">
        <v>0</v>
      </c>
      <c r="E1708" s="17">
        <v>0</v>
      </c>
      <c r="F1708" s="17">
        <v>0</v>
      </c>
      <c r="G1708" s="13">
        <v>44978</v>
      </c>
    </row>
    <row r="1709" spans="1:7" ht="14.5">
      <c r="A1709" s="17" t="s">
        <v>4292</v>
      </c>
      <c r="B1709" s="17">
        <v>0</v>
      </c>
      <c r="C1709" s="17">
        <v>0</v>
      </c>
      <c r="D1709" s="17">
        <v>0</v>
      </c>
      <c r="E1709" s="17">
        <v>0</v>
      </c>
      <c r="F1709" s="17">
        <v>0</v>
      </c>
      <c r="G1709" s="13">
        <v>44978</v>
      </c>
    </row>
    <row r="1710" spans="1:7" ht="14.5">
      <c r="A1710" s="17" t="s">
        <v>4294</v>
      </c>
      <c r="B1710" s="17">
        <v>9</v>
      </c>
      <c r="C1710" s="17">
        <v>0</v>
      </c>
      <c r="D1710" s="17">
        <v>9</v>
      </c>
      <c r="E1710" s="17">
        <v>0</v>
      </c>
      <c r="F1710" s="17">
        <v>0</v>
      </c>
      <c r="G1710" s="13">
        <v>44978</v>
      </c>
    </row>
    <row r="1711" spans="1:7" ht="14.5">
      <c r="A1711" s="17" t="s">
        <v>4298</v>
      </c>
      <c r="B1711" s="17">
        <v>4</v>
      </c>
      <c r="C1711" s="17">
        <v>5</v>
      </c>
      <c r="D1711" s="17">
        <v>4</v>
      </c>
      <c r="E1711" s="17">
        <v>0</v>
      </c>
      <c r="F1711" s="17">
        <v>0</v>
      </c>
      <c r="G1711" s="13">
        <v>44978</v>
      </c>
    </row>
    <row r="1712" spans="1:7" ht="14.5">
      <c r="A1712" s="17" t="s">
        <v>4303</v>
      </c>
      <c r="B1712" s="17">
        <v>8</v>
      </c>
      <c r="C1712" s="17">
        <v>1</v>
      </c>
      <c r="D1712" s="17">
        <v>23</v>
      </c>
      <c r="E1712" s="17">
        <v>0</v>
      </c>
      <c r="F1712" s="17">
        <v>0</v>
      </c>
      <c r="G1712" s="13">
        <v>44978</v>
      </c>
    </row>
    <row r="1713" spans="1:7" ht="14.5">
      <c r="A1713" s="17" t="s">
        <v>4306</v>
      </c>
      <c r="B1713" s="17">
        <v>11</v>
      </c>
      <c r="C1713" s="17">
        <v>1</v>
      </c>
      <c r="D1713" s="17">
        <v>8</v>
      </c>
      <c r="E1713" s="17">
        <v>0</v>
      </c>
      <c r="F1713" s="17">
        <v>0</v>
      </c>
      <c r="G1713" s="13">
        <v>44978</v>
      </c>
    </row>
    <row r="1714" spans="1:7" ht="14.5">
      <c r="A1714" s="17" t="s">
        <v>4310</v>
      </c>
      <c r="B1714" s="17">
        <v>0</v>
      </c>
      <c r="C1714" s="17">
        <v>0</v>
      </c>
      <c r="D1714" s="17">
        <v>0</v>
      </c>
      <c r="E1714" s="17">
        <v>0</v>
      </c>
      <c r="F1714" s="17">
        <v>0</v>
      </c>
      <c r="G1714" s="13">
        <v>44978</v>
      </c>
    </row>
    <row r="1715" spans="1:7" ht="14.5">
      <c r="A1715" s="17" t="s">
        <v>4314</v>
      </c>
      <c r="B1715" s="17">
        <v>18</v>
      </c>
      <c r="C1715" s="17">
        <v>2</v>
      </c>
      <c r="D1715" s="17">
        <v>20</v>
      </c>
      <c r="E1715" s="17">
        <v>0</v>
      </c>
      <c r="F1715" s="17">
        <v>0</v>
      </c>
      <c r="G1715" s="13">
        <v>44978</v>
      </c>
    </row>
    <row r="1716" spans="1:7" ht="14.5">
      <c r="A1716" s="17" t="s">
        <v>4318</v>
      </c>
      <c r="B1716" s="17">
        <v>0</v>
      </c>
      <c r="C1716" s="17">
        <v>0</v>
      </c>
      <c r="D1716" s="17">
        <v>3</v>
      </c>
      <c r="E1716" s="17">
        <v>0</v>
      </c>
      <c r="F1716" s="17">
        <v>0</v>
      </c>
      <c r="G1716" s="13">
        <v>44978</v>
      </c>
    </row>
    <row r="1717" spans="1:7" ht="14.5">
      <c r="A1717" s="17" t="s">
        <v>4320</v>
      </c>
      <c r="B1717" s="17">
        <v>10</v>
      </c>
      <c r="C1717" s="17">
        <v>0</v>
      </c>
      <c r="D1717" s="17">
        <v>7</v>
      </c>
      <c r="E1717" s="17">
        <v>0</v>
      </c>
      <c r="F1717" s="17">
        <v>0</v>
      </c>
      <c r="G1717" s="13">
        <v>44978</v>
      </c>
    </row>
    <row r="1718" spans="1:7" ht="14.5">
      <c r="A1718" s="17" t="s">
        <v>4324</v>
      </c>
      <c r="B1718" s="17">
        <v>6</v>
      </c>
      <c r="C1718" s="17">
        <v>0</v>
      </c>
      <c r="D1718" s="17">
        <v>0</v>
      </c>
      <c r="E1718" s="17">
        <v>0</v>
      </c>
      <c r="F1718" s="17">
        <v>0</v>
      </c>
      <c r="G1718" s="13">
        <v>44978</v>
      </c>
    </row>
    <row r="1719" spans="1:7" ht="14.5">
      <c r="A1719" s="17" t="s">
        <v>4328</v>
      </c>
      <c r="B1719" s="17">
        <v>5</v>
      </c>
      <c r="C1719" s="17">
        <v>2</v>
      </c>
      <c r="D1719" s="17">
        <v>0</v>
      </c>
      <c r="E1719" s="17">
        <v>0</v>
      </c>
      <c r="F1719" s="17">
        <v>0</v>
      </c>
      <c r="G1719" s="13">
        <v>44978</v>
      </c>
    </row>
    <row r="1720" spans="1:7" ht="14.5">
      <c r="A1720" s="17" t="s">
        <v>4332</v>
      </c>
      <c r="B1720" s="17">
        <v>2</v>
      </c>
      <c r="C1720" s="17">
        <v>0</v>
      </c>
      <c r="D1720" s="17">
        <v>0</v>
      </c>
      <c r="E1720" s="17">
        <v>0</v>
      </c>
      <c r="F1720" s="17">
        <v>0</v>
      </c>
      <c r="G1720" s="13">
        <v>44978</v>
      </c>
    </row>
    <row r="1721" spans="1:7" ht="14.5">
      <c r="A1721" s="17" t="s">
        <v>4334</v>
      </c>
      <c r="B1721" s="17">
        <v>2</v>
      </c>
      <c r="C1721" s="17">
        <v>0</v>
      </c>
      <c r="D1721" s="17">
        <v>8</v>
      </c>
      <c r="E1721" s="17">
        <v>0</v>
      </c>
      <c r="F1721" s="17">
        <v>0</v>
      </c>
      <c r="G1721" s="13">
        <v>44978</v>
      </c>
    </row>
    <row r="1722" spans="1:7" ht="14.5">
      <c r="A1722" s="17" t="s">
        <v>4337</v>
      </c>
      <c r="B1722" s="17">
        <v>9</v>
      </c>
      <c r="C1722" s="17">
        <v>1</v>
      </c>
      <c r="D1722" s="17">
        <v>4</v>
      </c>
      <c r="E1722" s="17">
        <v>0</v>
      </c>
      <c r="F1722" s="17">
        <v>0</v>
      </c>
      <c r="G1722" s="13">
        <v>44978</v>
      </c>
    </row>
    <row r="1723" spans="1:7" ht="14.5">
      <c r="A1723" s="17" t="s">
        <v>4339</v>
      </c>
      <c r="B1723" s="17">
        <v>4</v>
      </c>
      <c r="C1723" s="17">
        <v>0</v>
      </c>
      <c r="D1723" s="17">
        <v>6</v>
      </c>
      <c r="E1723" s="17">
        <v>0</v>
      </c>
      <c r="F1723" s="17">
        <v>1</v>
      </c>
      <c r="G1723" s="13">
        <v>44978</v>
      </c>
    </row>
    <row r="1724" spans="1:7" ht="14.5">
      <c r="A1724" s="17" t="s">
        <v>4342</v>
      </c>
      <c r="B1724" s="17">
        <v>8</v>
      </c>
      <c r="C1724" s="17">
        <v>24</v>
      </c>
      <c r="D1724" s="17">
        <v>0</v>
      </c>
      <c r="E1724" s="17">
        <v>0</v>
      </c>
      <c r="F1724" s="17">
        <v>0</v>
      </c>
      <c r="G1724" s="13">
        <v>44978</v>
      </c>
    </row>
    <row r="1725" spans="1:7" ht="14.5">
      <c r="A1725" s="17" t="s">
        <v>4344</v>
      </c>
      <c r="B1725" s="17">
        <v>2</v>
      </c>
      <c r="C1725" s="17">
        <v>0</v>
      </c>
      <c r="D1725" s="17">
        <v>0</v>
      </c>
      <c r="E1725" s="17">
        <v>0</v>
      </c>
      <c r="F1725" s="17">
        <v>0</v>
      </c>
      <c r="G1725" s="13">
        <v>44978</v>
      </c>
    </row>
    <row r="1726" spans="1:7" ht="14.5">
      <c r="A1726" s="17" t="s">
        <v>4347</v>
      </c>
      <c r="B1726" s="17">
        <v>0</v>
      </c>
      <c r="C1726" s="17">
        <v>0</v>
      </c>
      <c r="D1726" s="17">
        <v>0</v>
      </c>
      <c r="E1726" s="17">
        <v>0</v>
      </c>
      <c r="F1726" s="17">
        <v>0</v>
      </c>
      <c r="G1726" s="13">
        <v>44978</v>
      </c>
    </row>
    <row r="1727" spans="1:7" ht="14.5">
      <c r="A1727" s="17" t="s">
        <v>4351</v>
      </c>
      <c r="B1727" s="17">
        <v>3</v>
      </c>
      <c r="C1727" s="17">
        <v>0</v>
      </c>
      <c r="D1727" s="17">
        <v>6</v>
      </c>
      <c r="E1727" s="17">
        <v>0</v>
      </c>
      <c r="F1727" s="17">
        <v>0</v>
      </c>
      <c r="G1727" s="13">
        <v>44978</v>
      </c>
    </row>
    <row r="1728" spans="1:7" ht="14.5">
      <c r="A1728" s="17" t="s">
        <v>4353</v>
      </c>
      <c r="B1728" s="17">
        <v>6</v>
      </c>
      <c r="C1728" s="17">
        <v>0</v>
      </c>
      <c r="D1728" s="17">
        <v>0</v>
      </c>
      <c r="E1728" s="17">
        <v>0</v>
      </c>
      <c r="F1728" s="17">
        <v>0</v>
      </c>
      <c r="G1728" s="13">
        <v>44978</v>
      </c>
    </row>
    <row r="1729" spans="1:7" ht="14.5">
      <c r="A1729" s="17" t="s">
        <v>4358</v>
      </c>
      <c r="B1729" s="17">
        <v>1</v>
      </c>
      <c r="C1729" s="17">
        <v>0</v>
      </c>
      <c r="D1729" s="17">
        <v>24</v>
      </c>
      <c r="E1729" s="17">
        <v>0</v>
      </c>
      <c r="F1729" s="17">
        <v>0</v>
      </c>
      <c r="G1729" s="13">
        <v>44978</v>
      </c>
    </row>
    <row r="1730" spans="1:7" ht="14.5">
      <c r="A1730" s="17" t="s">
        <v>4362</v>
      </c>
      <c r="B1730" s="17">
        <v>5</v>
      </c>
      <c r="C1730" s="17">
        <v>0</v>
      </c>
      <c r="D1730" s="17">
        <v>0</v>
      </c>
      <c r="E1730" s="17">
        <v>0</v>
      </c>
      <c r="F1730" s="17">
        <v>0</v>
      </c>
      <c r="G1730" s="13">
        <v>44978</v>
      </c>
    </row>
    <row r="1731" spans="1:7" ht="14.5">
      <c r="A1731" s="17" t="s">
        <v>4364</v>
      </c>
      <c r="B1731" s="17">
        <v>4</v>
      </c>
      <c r="C1731" s="17">
        <v>0</v>
      </c>
      <c r="D1731" s="17">
        <v>3</v>
      </c>
      <c r="E1731" s="17">
        <v>0</v>
      </c>
      <c r="F1731" s="17">
        <v>0</v>
      </c>
      <c r="G1731" s="13">
        <v>44978</v>
      </c>
    </row>
    <row r="1732" spans="1:7" ht="14.5">
      <c r="A1732" s="17" t="s">
        <v>4369</v>
      </c>
      <c r="B1732" s="17">
        <v>3</v>
      </c>
      <c r="C1732" s="17">
        <v>1</v>
      </c>
      <c r="D1732" s="17">
        <v>0</v>
      </c>
      <c r="E1732" s="17">
        <v>0</v>
      </c>
      <c r="F1732" s="17">
        <v>0</v>
      </c>
      <c r="G1732" s="13">
        <v>44978</v>
      </c>
    </row>
    <row r="1733" spans="1:7" ht="14.5">
      <c r="A1733" s="17" t="s">
        <v>4380</v>
      </c>
      <c r="B1733" s="17">
        <v>3</v>
      </c>
      <c r="C1733" s="17">
        <v>1</v>
      </c>
      <c r="D1733" s="17">
        <v>38</v>
      </c>
      <c r="E1733" s="17">
        <v>0</v>
      </c>
      <c r="F1733" s="17">
        <v>2</v>
      </c>
      <c r="G1733" s="13">
        <v>44978</v>
      </c>
    </row>
    <row r="1734" spans="1:7" ht="14.5">
      <c r="A1734" s="17" t="s">
        <v>4389</v>
      </c>
      <c r="B1734" s="17">
        <v>3</v>
      </c>
      <c r="C1734" s="17">
        <v>1</v>
      </c>
      <c r="D1734" s="17">
        <v>0</v>
      </c>
      <c r="E1734" s="17">
        <v>0</v>
      </c>
      <c r="F1734" s="17">
        <v>0</v>
      </c>
      <c r="G1734" s="13">
        <v>44978</v>
      </c>
    </row>
    <row r="1735" spans="1:7" ht="14.5">
      <c r="A1735" s="17" t="s">
        <v>4396</v>
      </c>
      <c r="B1735" s="17">
        <v>15</v>
      </c>
      <c r="C1735" s="17">
        <v>4</v>
      </c>
      <c r="D1735" s="17">
        <v>4</v>
      </c>
      <c r="E1735" s="17">
        <v>0</v>
      </c>
      <c r="F1735" s="17">
        <v>0</v>
      </c>
      <c r="G1735" s="13">
        <v>44978</v>
      </c>
    </row>
    <row r="1736" spans="1:7" ht="14.5">
      <c r="A1736" s="17" t="s">
        <v>4403</v>
      </c>
      <c r="B1736" s="17">
        <v>22</v>
      </c>
      <c r="C1736" s="17">
        <v>2</v>
      </c>
      <c r="D1736" s="17">
        <v>4</v>
      </c>
      <c r="E1736" s="17">
        <v>0</v>
      </c>
      <c r="F1736" s="17">
        <v>0</v>
      </c>
      <c r="G1736" s="13">
        <v>44978</v>
      </c>
    </row>
    <row r="1737" spans="1:7" ht="14.5">
      <c r="A1737" s="17" t="s">
        <v>4407</v>
      </c>
      <c r="B1737" s="17">
        <v>1</v>
      </c>
      <c r="C1737" s="17">
        <v>0</v>
      </c>
      <c r="D1737" s="17">
        <v>3</v>
      </c>
      <c r="E1737" s="17">
        <v>0</v>
      </c>
      <c r="F1737" s="17">
        <v>0</v>
      </c>
      <c r="G1737" s="13">
        <v>44978</v>
      </c>
    </row>
    <row r="1738" spans="1:7" ht="14.5">
      <c r="A1738" s="17" t="s">
        <v>4415</v>
      </c>
      <c r="B1738" s="17">
        <v>1</v>
      </c>
      <c r="C1738" s="17">
        <v>2</v>
      </c>
      <c r="D1738" s="17">
        <v>0</v>
      </c>
      <c r="E1738" s="17">
        <v>0</v>
      </c>
      <c r="F1738" s="17">
        <v>0</v>
      </c>
      <c r="G1738" s="13">
        <v>44978</v>
      </c>
    </row>
    <row r="1739" spans="1:7" ht="14.5">
      <c r="A1739" s="17" t="s">
        <v>4422</v>
      </c>
      <c r="B1739" s="17">
        <v>2</v>
      </c>
      <c r="C1739" s="17">
        <v>0</v>
      </c>
      <c r="D1739" s="17">
        <v>0</v>
      </c>
      <c r="E1739" s="17">
        <v>0</v>
      </c>
      <c r="F1739" s="17">
        <v>0</v>
      </c>
      <c r="G1739" s="13">
        <v>44978</v>
      </c>
    </row>
    <row r="1740" spans="1:7" ht="14.5">
      <c r="A1740" s="17" t="s">
        <v>4429</v>
      </c>
      <c r="B1740" s="17">
        <v>4</v>
      </c>
      <c r="C1740" s="17">
        <v>0</v>
      </c>
      <c r="D1740" s="17">
        <v>0</v>
      </c>
      <c r="E1740" s="17">
        <v>0</v>
      </c>
      <c r="F1740" s="17">
        <v>0</v>
      </c>
      <c r="G1740" s="13">
        <v>44978</v>
      </c>
    </row>
    <row r="1741" spans="1:7" ht="14.5">
      <c r="A1741" s="17" t="s">
        <v>4431</v>
      </c>
      <c r="B1741" s="17">
        <v>16</v>
      </c>
      <c r="C1741" s="17">
        <v>2</v>
      </c>
      <c r="D1741" s="17">
        <v>1</v>
      </c>
      <c r="E1741" s="17">
        <v>0</v>
      </c>
      <c r="F1741" s="17">
        <v>0</v>
      </c>
      <c r="G1741" s="13">
        <v>44978</v>
      </c>
    </row>
    <row r="1742" spans="1:7" ht="14.5">
      <c r="A1742" s="17" t="s">
        <v>4437</v>
      </c>
      <c r="B1742" s="17">
        <v>35</v>
      </c>
      <c r="C1742" s="17">
        <v>4</v>
      </c>
      <c r="D1742" s="17">
        <v>0</v>
      </c>
      <c r="E1742" s="17">
        <v>0</v>
      </c>
      <c r="F1742" s="17">
        <v>0</v>
      </c>
      <c r="G1742" s="13">
        <v>44978</v>
      </c>
    </row>
    <row r="1743" spans="1:7" ht="14.5">
      <c r="A1743" s="17" t="s">
        <v>4444</v>
      </c>
      <c r="B1743" s="17">
        <v>2</v>
      </c>
      <c r="C1743" s="17">
        <v>1</v>
      </c>
      <c r="D1743" s="17">
        <v>8</v>
      </c>
      <c r="E1743" s="17">
        <v>0</v>
      </c>
      <c r="F1743" s="17">
        <v>0</v>
      </c>
      <c r="G1743" s="13">
        <v>44978</v>
      </c>
    </row>
    <row r="1744" spans="1:7" ht="14.5">
      <c r="A1744" s="17" t="s">
        <v>4451</v>
      </c>
      <c r="B1744" s="17">
        <v>26</v>
      </c>
      <c r="C1744" s="17">
        <v>1</v>
      </c>
      <c r="D1744" s="17">
        <v>0</v>
      </c>
      <c r="E1744" s="17">
        <v>0</v>
      </c>
      <c r="F1744" s="17">
        <v>0</v>
      </c>
      <c r="G1744" s="13">
        <v>44978</v>
      </c>
    </row>
    <row r="1745" spans="1:7" ht="14.5">
      <c r="A1745" s="17" t="s">
        <v>4458</v>
      </c>
      <c r="B1745" s="17">
        <v>8</v>
      </c>
      <c r="C1745" s="17">
        <v>2</v>
      </c>
      <c r="D1745" s="17">
        <v>80</v>
      </c>
      <c r="E1745" s="17">
        <v>0</v>
      </c>
      <c r="F1745" s="17">
        <v>2</v>
      </c>
      <c r="G1745" s="13">
        <v>44978</v>
      </c>
    </row>
    <row r="1746" spans="1:7" ht="14.5">
      <c r="A1746" s="17" t="s">
        <v>4467</v>
      </c>
      <c r="B1746" s="17">
        <v>46</v>
      </c>
      <c r="C1746" s="17">
        <v>4</v>
      </c>
      <c r="D1746" s="17">
        <v>0</v>
      </c>
      <c r="E1746" s="17">
        <v>0</v>
      </c>
      <c r="F1746" s="17">
        <v>0</v>
      </c>
      <c r="G1746" s="13">
        <v>44978</v>
      </c>
    </row>
    <row r="1747" spans="1:7" ht="14.5">
      <c r="A1747" s="17" t="s">
        <v>4472</v>
      </c>
      <c r="B1747" s="17">
        <v>0</v>
      </c>
      <c r="C1747" s="17">
        <v>0</v>
      </c>
      <c r="D1747" s="17">
        <v>12</v>
      </c>
      <c r="E1747" s="17">
        <v>0</v>
      </c>
      <c r="F1747" s="17">
        <v>0</v>
      </c>
      <c r="G1747" s="13">
        <v>44978</v>
      </c>
    </row>
    <row r="1748" spans="1:7" ht="14.5">
      <c r="A1748" s="17" t="s">
        <v>4480</v>
      </c>
      <c r="B1748" s="17">
        <v>9</v>
      </c>
      <c r="C1748" s="17">
        <v>0</v>
      </c>
      <c r="D1748" s="17">
        <v>92</v>
      </c>
      <c r="E1748" s="17">
        <v>0</v>
      </c>
      <c r="F1748" s="17">
        <v>2</v>
      </c>
      <c r="G1748" s="13">
        <v>44978</v>
      </c>
    </row>
    <row r="1749" spans="1:7" ht="14.5">
      <c r="A1749" s="17" t="s">
        <v>4488</v>
      </c>
      <c r="B1749" s="17">
        <v>42</v>
      </c>
      <c r="C1749" s="17">
        <v>5</v>
      </c>
      <c r="D1749" s="17">
        <v>6</v>
      </c>
      <c r="E1749" s="17">
        <v>0</v>
      </c>
      <c r="F1749" s="17">
        <v>0</v>
      </c>
      <c r="G1749" s="13">
        <v>44978</v>
      </c>
    </row>
    <row r="1750" spans="1:7" ht="14.5">
      <c r="A1750" s="17" t="s">
        <v>4496</v>
      </c>
      <c r="B1750" s="17">
        <v>4</v>
      </c>
      <c r="C1750" s="17">
        <v>1</v>
      </c>
      <c r="D1750" s="17">
        <v>2</v>
      </c>
      <c r="E1750" s="17">
        <v>0</v>
      </c>
      <c r="F1750" s="17">
        <v>0</v>
      </c>
      <c r="G1750" s="13">
        <v>44978</v>
      </c>
    </row>
    <row r="1751" spans="1:7" ht="14.5">
      <c r="A1751" s="17" t="s">
        <v>4505</v>
      </c>
      <c r="B1751" s="17">
        <v>18</v>
      </c>
      <c r="C1751" s="17">
        <v>4</v>
      </c>
      <c r="D1751" s="17">
        <v>5</v>
      </c>
      <c r="E1751" s="17">
        <v>0</v>
      </c>
      <c r="F1751" s="17">
        <v>0</v>
      </c>
      <c r="G1751" s="13">
        <v>44978</v>
      </c>
    </row>
    <row r="1752" spans="1:7" ht="14.5">
      <c r="A1752" s="17" t="s">
        <v>4512</v>
      </c>
      <c r="B1752" s="17">
        <v>11</v>
      </c>
      <c r="C1752" s="17">
        <v>0</v>
      </c>
      <c r="D1752" s="17">
        <v>253</v>
      </c>
      <c r="E1752" s="17">
        <v>0</v>
      </c>
      <c r="F1752" s="17">
        <v>0</v>
      </c>
      <c r="G1752" s="13">
        <v>44978</v>
      </c>
    </row>
    <row r="1753" spans="1:7" ht="14.5">
      <c r="A1753" s="17" t="s">
        <v>4519</v>
      </c>
      <c r="B1753" s="17">
        <v>4</v>
      </c>
      <c r="C1753" s="17">
        <v>0</v>
      </c>
      <c r="D1753" s="17">
        <v>15</v>
      </c>
      <c r="E1753" s="17">
        <v>0</v>
      </c>
      <c r="F1753" s="17">
        <v>0</v>
      </c>
      <c r="G1753" s="13">
        <v>44978</v>
      </c>
    </row>
    <row r="1754" spans="1:7" ht="14.5">
      <c r="A1754" s="17" t="s">
        <v>4528</v>
      </c>
      <c r="B1754" s="17">
        <v>1</v>
      </c>
      <c r="C1754" s="17">
        <v>1</v>
      </c>
      <c r="D1754" s="17">
        <v>2</v>
      </c>
      <c r="E1754" s="17">
        <v>0</v>
      </c>
      <c r="F1754" s="17">
        <v>0</v>
      </c>
      <c r="G1754" s="13">
        <v>44978</v>
      </c>
    </row>
    <row r="1755" spans="1:7" ht="14.5">
      <c r="A1755" s="17" t="s">
        <v>4537</v>
      </c>
      <c r="B1755" s="17">
        <v>19</v>
      </c>
      <c r="C1755" s="17">
        <v>0</v>
      </c>
      <c r="D1755" s="17">
        <v>23</v>
      </c>
      <c r="E1755" s="17">
        <v>0</v>
      </c>
      <c r="F1755" s="17">
        <v>0</v>
      </c>
      <c r="G1755" s="13">
        <v>44978</v>
      </c>
    </row>
    <row r="1756" spans="1:7" ht="14.5">
      <c r="A1756" s="17" t="s">
        <v>4545</v>
      </c>
      <c r="B1756" s="17">
        <v>13</v>
      </c>
      <c r="C1756" s="17">
        <v>5</v>
      </c>
      <c r="D1756" s="17">
        <v>8</v>
      </c>
      <c r="E1756" s="17">
        <v>0</v>
      </c>
      <c r="F1756" s="17">
        <v>0</v>
      </c>
      <c r="G1756" s="13">
        <v>44978</v>
      </c>
    </row>
    <row r="1757" spans="1:7" ht="14.5">
      <c r="A1757" s="17" t="s">
        <v>4553</v>
      </c>
      <c r="B1757" s="17">
        <v>10</v>
      </c>
      <c r="C1757" s="17">
        <v>0</v>
      </c>
      <c r="D1757" s="17">
        <v>0</v>
      </c>
      <c r="E1757" s="17">
        <v>0</v>
      </c>
      <c r="F1757" s="17">
        <v>0</v>
      </c>
      <c r="G1757" s="13">
        <v>44978</v>
      </c>
    </row>
    <row r="1758" spans="1:7" ht="14.5">
      <c r="A1758" s="17" t="s">
        <v>4558</v>
      </c>
      <c r="B1758" s="17">
        <v>4</v>
      </c>
      <c r="C1758" s="17">
        <v>0</v>
      </c>
      <c r="D1758" s="17">
        <v>2</v>
      </c>
      <c r="E1758" s="17">
        <v>0</v>
      </c>
      <c r="F1758" s="17">
        <v>0</v>
      </c>
      <c r="G1758" s="13">
        <v>44978</v>
      </c>
    </row>
    <row r="1759" spans="1:7" ht="14.5">
      <c r="A1759" s="17" t="s">
        <v>4565</v>
      </c>
      <c r="B1759" s="17">
        <v>12</v>
      </c>
      <c r="C1759" s="17">
        <v>3</v>
      </c>
      <c r="D1759" s="17">
        <v>20</v>
      </c>
      <c r="E1759" s="17">
        <v>0</v>
      </c>
      <c r="F1759" s="17">
        <v>0</v>
      </c>
      <c r="G1759" s="13">
        <v>44978</v>
      </c>
    </row>
    <row r="1760" spans="1:7" ht="14.5">
      <c r="A1760" s="17" t="s">
        <v>4573</v>
      </c>
      <c r="B1760" s="17">
        <v>68</v>
      </c>
      <c r="C1760" s="17">
        <v>9</v>
      </c>
      <c r="D1760" s="17">
        <v>1</v>
      </c>
      <c r="E1760" s="17">
        <v>0</v>
      </c>
      <c r="F1760" s="17">
        <v>0</v>
      </c>
      <c r="G1760" s="13">
        <v>44978</v>
      </c>
    </row>
    <row r="1761" spans="1:7" ht="14.5">
      <c r="A1761" s="17" t="s">
        <v>4582</v>
      </c>
      <c r="B1761" s="17">
        <v>10</v>
      </c>
      <c r="C1761" s="17">
        <v>5</v>
      </c>
      <c r="D1761" s="17">
        <v>0</v>
      </c>
      <c r="E1761" s="17">
        <v>0</v>
      </c>
      <c r="F1761" s="17">
        <v>0</v>
      </c>
      <c r="G1761" s="13">
        <v>44978</v>
      </c>
    </row>
    <row r="1762" spans="1:7" ht="14.5">
      <c r="A1762" s="17" t="s">
        <v>4590</v>
      </c>
      <c r="B1762" s="17">
        <v>95</v>
      </c>
      <c r="C1762" s="17">
        <v>13</v>
      </c>
      <c r="D1762" s="17">
        <v>0</v>
      </c>
      <c r="E1762" s="17">
        <v>0</v>
      </c>
      <c r="F1762" s="17">
        <v>0</v>
      </c>
      <c r="G1762" s="13">
        <v>44978</v>
      </c>
    </row>
    <row r="1763" spans="1:7" ht="14.5">
      <c r="A1763" s="17" t="s">
        <v>4594</v>
      </c>
      <c r="B1763" s="17">
        <v>13</v>
      </c>
      <c r="C1763" s="17">
        <v>5</v>
      </c>
      <c r="D1763" s="17">
        <v>5</v>
      </c>
      <c r="E1763" s="17">
        <v>0</v>
      </c>
      <c r="F1763" s="17">
        <v>0</v>
      </c>
      <c r="G1763" s="13">
        <v>44978</v>
      </c>
    </row>
    <row r="1764" spans="1:7" ht="14.5">
      <c r="A1764" s="17" t="s">
        <v>4602</v>
      </c>
      <c r="B1764" s="17">
        <v>5</v>
      </c>
      <c r="C1764" s="17">
        <v>0</v>
      </c>
      <c r="D1764" s="17">
        <v>0</v>
      </c>
      <c r="E1764" s="17">
        <v>0</v>
      </c>
      <c r="F1764" s="17">
        <v>0</v>
      </c>
      <c r="G1764" s="13">
        <v>44978</v>
      </c>
    </row>
    <row r="1765" spans="1:7" ht="14.5">
      <c r="A1765" s="17" t="s">
        <v>4610</v>
      </c>
      <c r="B1765" s="17">
        <v>12</v>
      </c>
      <c r="C1765" s="17">
        <v>4</v>
      </c>
      <c r="D1765" s="17">
        <v>10</v>
      </c>
      <c r="E1765" s="17">
        <v>0</v>
      </c>
      <c r="F1765" s="17">
        <v>0</v>
      </c>
      <c r="G1765" s="13">
        <v>44978</v>
      </c>
    </row>
    <row r="1766" spans="1:7" ht="14.5">
      <c r="A1766" s="17" t="s">
        <v>4615</v>
      </c>
      <c r="B1766" s="17">
        <v>4</v>
      </c>
      <c r="C1766" s="17">
        <v>0</v>
      </c>
      <c r="D1766" s="17">
        <v>0</v>
      </c>
      <c r="E1766" s="17">
        <v>0</v>
      </c>
      <c r="F1766" s="17">
        <v>0</v>
      </c>
      <c r="G1766" s="13">
        <v>44978</v>
      </c>
    </row>
    <row r="1767" spans="1:7" ht="14.5">
      <c r="A1767" s="17" t="s">
        <v>4622</v>
      </c>
      <c r="B1767" s="17">
        <v>3</v>
      </c>
      <c r="C1767" s="17">
        <v>0</v>
      </c>
      <c r="D1767" s="17">
        <v>1</v>
      </c>
      <c r="E1767" s="17">
        <v>0</v>
      </c>
      <c r="F1767" s="17">
        <v>0</v>
      </c>
      <c r="G1767" s="13">
        <v>44978</v>
      </c>
    </row>
    <row r="1768" spans="1:7" ht="14.5">
      <c r="A1768" s="17" t="s">
        <v>4627</v>
      </c>
      <c r="B1768" s="17">
        <v>1</v>
      </c>
      <c r="C1768" s="17">
        <v>0</v>
      </c>
      <c r="D1768" s="17">
        <v>159</v>
      </c>
      <c r="E1768" s="17">
        <v>0</v>
      </c>
      <c r="F1768" s="17">
        <v>0</v>
      </c>
      <c r="G1768" s="13">
        <v>44978</v>
      </c>
    </row>
    <row r="1769" spans="1:7" ht="14.5">
      <c r="A1769" s="17" t="s">
        <v>4635</v>
      </c>
      <c r="B1769" s="17">
        <v>11</v>
      </c>
      <c r="C1769" s="17">
        <v>3</v>
      </c>
      <c r="D1769" s="17">
        <v>153</v>
      </c>
      <c r="E1769" s="17">
        <v>0</v>
      </c>
      <c r="F1769" s="17">
        <v>1</v>
      </c>
      <c r="G1769" s="13">
        <v>44978</v>
      </c>
    </row>
    <row r="1770" spans="1:7" ht="14.5">
      <c r="A1770" s="17" t="s">
        <v>4640</v>
      </c>
      <c r="B1770" s="17">
        <v>10</v>
      </c>
      <c r="C1770" s="17">
        <v>1</v>
      </c>
      <c r="D1770" s="17">
        <v>0</v>
      </c>
      <c r="E1770" s="17">
        <v>0</v>
      </c>
      <c r="F1770" s="17">
        <v>0</v>
      </c>
      <c r="G1770" s="13">
        <v>44978</v>
      </c>
    </row>
    <row r="1771" spans="1:7" ht="14.5">
      <c r="A1771" s="17" t="s">
        <v>4645</v>
      </c>
      <c r="B1771" s="17">
        <v>3</v>
      </c>
      <c r="C1771" s="17">
        <v>0</v>
      </c>
      <c r="D1771" s="17">
        <v>604</v>
      </c>
      <c r="E1771" s="17">
        <v>0</v>
      </c>
      <c r="F1771" s="17">
        <v>0</v>
      </c>
      <c r="G1771" s="13">
        <v>44978</v>
      </c>
    </row>
    <row r="1772" spans="1:7" ht="14.5">
      <c r="A1772" s="17" t="s">
        <v>4651</v>
      </c>
      <c r="B1772" s="17">
        <v>18</v>
      </c>
      <c r="C1772" s="17">
        <v>6</v>
      </c>
      <c r="D1772" s="17">
        <v>97</v>
      </c>
      <c r="E1772" s="17">
        <v>0</v>
      </c>
      <c r="F1772" s="17">
        <v>1</v>
      </c>
      <c r="G1772" s="13">
        <v>44978</v>
      </c>
    </row>
    <row r="1773" spans="1:7" ht="14.5">
      <c r="A1773" s="17" t="s">
        <v>4656</v>
      </c>
      <c r="B1773" s="17">
        <v>3</v>
      </c>
      <c r="C1773" s="17">
        <v>1</v>
      </c>
      <c r="D1773" s="17">
        <v>21</v>
      </c>
      <c r="E1773" s="17">
        <v>0</v>
      </c>
      <c r="F1773" s="17">
        <v>0</v>
      </c>
      <c r="G1773" s="13">
        <v>44978</v>
      </c>
    </row>
    <row r="1774" spans="1:7" ht="14.5">
      <c r="A1774" s="17" t="s">
        <v>4663</v>
      </c>
      <c r="B1774" s="17">
        <v>59</v>
      </c>
      <c r="C1774" s="17">
        <v>10</v>
      </c>
      <c r="D1774" s="17">
        <v>2</v>
      </c>
      <c r="E1774" s="17">
        <v>0</v>
      </c>
      <c r="F1774" s="17">
        <v>0</v>
      </c>
      <c r="G1774" s="13">
        <v>44978</v>
      </c>
    </row>
    <row r="1775" spans="1:7" ht="14.5">
      <c r="A1775" s="17" t="s">
        <v>4671</v>
      </c>
      <c r="B1775" s="17">
        <v>9</v>
      </c>
      <c r="C1775" s="17">
        <v>0</v>
      </c>
      <c r="D1775" s="17">
        <v>1</v>
      </c>
      <c r="E1775" s="17">
        <v>0</v>
      </c>
      <c r="F1775" s="17">
        <v>0</v>
      </c>
      <c r="G1775" s="13">
        <v>44978</v>
      </c>
    </row>
    <row r="1776" spans="1:7" ht="14.5">
      <c r="A1776" s="17" t="s">
        <v>4679</v>
      </c>
      <c r="B1776" s="17">
        <v>28</v>
      </c>
      <c r="C1776" s="17">
        <v>1</v>
      </c>
      <c r="D1776" s="17">
        <v>13</v>
      </c>
      <c r="E1776" s="17">
        <v>0</v>
      </c>
      <c r="F1776" s="17">
        <v>0</v>
      </c>
      <c r="G1776" s="13">
        <v>44978</v>
      </c>
    </row>
    <row r="1777" spans="1:7" ht="14.5">
      <c r="A1777" s="17" t="s">
        <v>4685</v>
      </c>
      <c r="B1777" s="17">
        <v>15</v>
      </c>
      <c r="C1777" s="17">
        <v>0</v>
      </c>
      <c r="D1777" s="17">
        <v>43</v>
      </c>
      <c r="E1777" s="17">
        <v>0</v>
      </c>
      <c r="F1777" s="17">
        <v>0</v>
      </c>
      <c r="G1777" s="13">
        <v>44978</v>
      </c>
    </row>
    <row r="1778" spans="1:7" ht="14.5">
      <c r="A1778" s="17" t="s">
        <v>4693</v>
      </c>
      <c r="B1778" s="17">
        <v>10</v>
      </c>
      <c r="C1778" s="17">
        <v>3</v>
      </c>
      <c r="D1778" s="17">
        <v>15</v>
      </c>
      <c r="E1778" s="17">
        <v>0</v>
      </c>
      <c r="F1778" s="17">
        <v>0</v>
      </c>
      <c r="G1778" s="13">
        <v>44978</v>
      </c>
    </row>
    <row r="1779" spans="1:7" ht="14.5">
      <c r="A1779" s="17" t="s">
        <v>4701</v>
      </c>
      <c r="B1779" s="17">
        <v>11</v>
      </c>
      <c r="C1779" s="17">
        <v>2</v>
      </c>
      <c r="D1779" s="17">
        <v>121</v>
      </c>
      <c r="E1779" s="17">
        <v>0</v>
      </c>
      <c r="F1779" s="17">
        <v>0</v>
      </c>
      <c r="G1779" s="13">
        <v>44978</v>
      </c>
    </row>
    <row r="1780" spans="1:7" ht="14.5">
      <c r="A1780" s="17" t="s">
        <v>4707</v>
      </c>
      <c r="B1780" s="17">
        <v>2</v>
      </c>
      <c r="C1780" s="17">
        <v>0</v>
      </c>
      <c r="D1780" s="17">
        <v>6</v>
      </c>
      <c r="E1780" s="17">
        <v>0</v>
      </c>
      <c r="F1780" s="17">
        <v>0</v>
      </c>
      <c r="G1780" s="13">
        <v>44978</v>
      </c>
    </row>
    <row r="1781" spans="1:7" ht="14.5">
      <c r="A1781" s="17" t="s">
        <v>4716</v>
      </c>
      <c r="B1781" s="17">
        <v>57</v>
      </c>
      <c r="C1781" s="17">
        <v>4</v>
      </c>
      <c r="D1781" s="17">
        <v>0</v>
      </c>
      <c r="E1781" s="17">
        <v>0</v>
      </c>
      <c r="F1781" s="17">
        <v>0</v>
      </c>
      <c r="G1781" s="13">
        <v>44978</v>
      </c>
    </row>
    <row r="1782" spans="1:7" ht="14.5">
      <c r="A1782" s="17" t="s">
        <v>4723</v>
      </c>
      <c r="B1782" s="17">
        <v>20</v>
      </c>
      <c r="C1782" s="17">
        <v>2</v>
      </c>
      <c r="D1782" s="17">
        <v>1</v>
      </c>
      <c r="E1782" s="17">
        <v>0</v>
      </c>
      <c r="F1782" s="17">
        <v>0</v>
      </c>
      <c r="G1782" s="13">
        <v>44978</v>
      </c>
    </row>
    <row r="1783" spans="1:7" ht="14.5">
      <c r="A1783" s="17" t="s">
        <v>4728</v>
      </c>
      <c r="B1783" s="17">
        <v>35</v>
      </c>
      <c r="C1783" s="17">
        <v>5</v>
      </c>
      <c r="D1783" s="17">
        <v>69</v>
      </c>
      <c r="E1783" s="17">
        <v>0</v>
      </c>
      <c r="F1783" s="17">
        <v>0</v>
      </c>
      <c r="G1783" s="13">
        <v>44978</v>
      </c>
    </row>
    <row r="1784" spans="1:7" ht="14.5">
      <c r="A1784" s="17" t="s">
        <v>4736</v>
      </c>
      <c r="B1784" s="17">
        <v>5</v>
      </c>
      <c r="C1784" s="17">
        <v>0</v>
      </c>
      <c r="D1784" s="17">
        <v>7</v>
      </c>
      <c r="E1784" s="17">
        <v>0</v>
      </c>
      <c r="F1784" s="17">
        <v>0</v>
      </c>
      <c r="G1784" s="13">
        <v>44978</v>
      </c>
    </row>
    <row r="1785" spans="1:7" ht="14.5">
      <c r="A1785" s="17" t="s">
        <v>4741</v>
      </c>
      <c r="B1785" s="17">
        <v>13</v>
      </c>
      <c r="C1785" s="17">
        <v>0</v>
      </c>
      <c r="D1785" s="17">
        <v>18</v>
      </c>
      <c r="E1785" s="17">
        <v>0</v>
      </c>
      <c r="F1785" s="17">
        <v>0</v>
      </c>
      <c r="G1785" s="13">
        <v>44978</v>
      </c>
    </row>
    <row r="1786" spans="1:7" ht="14.5">
      <c r="A1786" s="17" t="s">
        <v>4748</v>
      </c>
      <c r="B1786" s="17">
        <v>2</v>
      </c>
      <c r="C1786" s="17">
        <v>1</v>
      </c>
      <c r="D1786" s="17">
        <v>0</v>
      </c>
      <c r="E1786" s="17">
        <v>0</v>
      </c>
      <c r="F1786" s="17">
        <v>1</v>
      </c>
      <c r="G1786" s="13">
        <v>44978</v>
      </c>
    </row>
    <row r="1787" spans="1:7" ht="14.5">
      <c r="A1787" s="17" t="s">
        <v>4757</v>
      </c>
      <c r="B1787" s="17">
        <v>25</v>
      </c>
      <c r="C1787" s="17">
        <v>1</v>
      </c>
      <c r="D1787" s="17">
        <v>21</v>
      </c>
      <c r="E1787" s="17">
        <v>0</v>
      </c>
      <c r="F1787" s="17">
        <v>0</v>
      </c>
      <c r="G1787" s="13">
        <v>44978</v>
      </c>
    </row>
    <row r="1788" spans="1:7" ht="14.5">
      <c r="A1788" s="17" t="s">
        <v>4764</v>
      </c>
      <c r="B1788" s="17">
        <v>12</v>
      </c>
      <c r="C1788" s="17">
        <v>0</v>
      </c>
      <c r="D1788" s="17">
        <v>2</v>
      </c>
      <c r="E1788" s="17">
        <v>0</v>
      </c>
      <c r="F1788" s="17">
        <v>0</v>
      </c>
      <c r="G1788" s="13">
        <v>44978</v>
      </c>
    </row>
    <row r="1789" spans="1:7" ht="14.5">
      <c r="A1789" s="17" t="s">
        <v>4771</v>
      </c>
      <c r="B1789" s="17">
        <v>16</v>
      </c>
      <c r="C1789" s="17">
        <v>0</v>
      </c>
      <c r="D1789" s="17">
        <v>13</v>
      </c>
      <c r="E1789" s="17">
        <v>0</v>
      </c>
      <c r="F1789" s="17">
        <v>0</v>
      </c>
      <c r="G1789" s="13">
        <v>44978</v>
      </c>
    </row>
    <row r="1790" spans="1:7" ht="14.5">
      <c r="A1790" s="17" t="s">
        <v>4775</v>
      </c>
      <c r="B1790" s="17">
        <v>4</v>
      </c>
      <c r="C1790" s="17">
        <v>0</v>
      </c>
      <c r="D1790" s="17">
        <v>8</v>
      </c>
      <c r="E1790" s="17">
        <v>0</v>
      </c>
      <c r="F1790" s="17">
        <v>0</v>
      </c>
      <c r="G1790" s="13">
        <v>44978</v>
      </c>
    </row>
    <row r="1791" spans="1:7" ht="14.5">
      <c r="A1791" s="17" t="s">
        <v>4783</v>
      </c>
      <c r="B1791" s="17">
        <v>25</v>
      </c>
      <c r="C1791" s="17">
        <v>0</v>
      </c>
      <c r="D1791" s="17">
        <v>15</v>
      </c>
      <c r="E1791" s="17">
        <v>0</v>
      </c>
      <c r="F1791" s="17">
        <v>0</v>
      </c>
      <c r="G1791" s="13">
        <v>44978</v>
      </c>
    </row>
    <row r="1792" spans="1:7" ht="14.5">
      <c r="A1792" s="17" t="s">
        <v>4790</v>
      </c>
      <c r="B1792" s="17">
        <v>93</v>
      </c>
      <c r="C1792" s="17">
        <v>9</v>
      </c>
      <c r="D1792" s="17">
        <v>15</v>
      </c>
      <c r="E1792" s="17">
        <v>0</v>
      </c>
      <c r="F1792" s="17">
        <v>6</v>
      </c>
      <c r="G1792" s="13">
        <v>44978</v>
      </c>
    </row>
    <row r="1793" spans="1:7" ht="14.5">
      <c r="A1793" s="17" t="s">
        <v>4794</v>
      </c>
      <c r="B1793" s="17">
        <v>31</v>
      </c>
      <c r="C1793" s="17">
        <v>6</v>
      </c>
      <c r="D1793" s="17">
        <v>5</v>
      </c>
      <c r="E1793" s="17">
        <v>0</v>
      </c>
      <c r="F1793" s="17">
        <v>0</v>
      </c>
      <c r="G1793" s="13">
        <v>44978</v>
      </c>
    </row>
    <row r="1794" spans="1:7" ht="14.5">
      <c r="A1794" s="17" t="s">
        <v>4802</v>
      </c>
      <c r="B1794" s="17">
        <v>17</v>
      </c>
      <c r="C1794" s="17">
        <v>2</v>
      </c>
      <c r="D1794" s="17">
        <v>3</v>
      </c>
      <c r="E1794" s="17">
        <v>0</v>
      </c>
      <c r="F1794" s="17">
        <v>0</v>
      </c>
      <c r="G1794" s="13">
        <v>44978</v>
      </c>
    </row>
    <row r="1795" spans="1:7" ht="14.5">
      <c r="A1795" s="17" t="s">
        <v>4812</v>
      </c>
      <c r="B1795" s="17">
        <v>12</v>
      </c>
      <c r="C1795" s="17">
        <v>3</v>
      </c>
      <c r="D1795" s="17">
        <v>471</v>
      </c>
      <c r="E1795" s="17">
        <v>0</v>
      </c>
      <c r="F1795" s="17">
        <v>0</v>
      </c>
      <c r="G1795" s="13">
        <v>44978</v>
      </c>
    </row>
    <row r="1796" spans="1:7" ht="14.5">
      <c r="A1796" s="17" t="s">
        <v>4821</v>
      </c>
      <c r="B1796" s="17">
        <v>34</v>
      </c>
      <c r="C1796" s="17">
        <v>6</v>
      </c>
      <c r="D1796" s="17">
        <v>9</v>
      </c>
      <c r="E1796" s="17">
        <v>0</v>
      </c>
      <c r="F1796" s="17">
        <v>0</v>
      </c>
      <c r="G1796" s="13">
        <v>44978</v>
      </c>
    </row>
    <row r="1797" spans="1:7" ht="14.5">
      <c r="A1797" s="17" t="s">
        <v>4830</v>
      </c>
      <c r="B1797" s="17">
        <v>89</v>
      </c>
      <c r="C1797" s="17">
        <v>16</v>
      </c>
      <c r="D1797" s="17">
        <v>75</v>
      </c>
      <c r="E1797" s="17">
        <v>0</v>
      </c>
      <c r="F1797" s="17">
        <v>0</v>
      </c>
      <c r="G1797" s="13">
        <v>44978</v>
      </c>
    </row>
    <row r="1798" spans="1:7" ht="14.5">
      <c r="A1798" s="17" t="s">
        <v>4838</v>
      </c>
      <c r="B1798" s="17">
        <v>19</v>
      </c>
      <c r="C1798" s="17">
        <v>0</v>
      </c>
      <c r="D1798" s="17">
        <v>24</v>
      </c>
      <c r="E1798" s="17">
        <v>0</v>
      </c>
      <c r="F1798" s="17">
        <v>0</v>
      </c>
      <c r="G1798" s="13">
        <v>44978</v>
      </c>
    </row>
    <row r="1799" spans="1:7" ht="14.5">
      <c r="A1799" s="17" t="s">
        <v>4847</v>
      </c>
      <c r="B1799" s="17">
        <v>7</v>
      </c>
      <c r="C1799" s="17">
        <v>4</v>
      </c>
      <c r="D1799" s="17">
        <v>19</v>
      </c>
      <c r="E1799" s="17">
        <v>0</v>
      </c>
      <c r="F1799" s="17">
        <v>1</v>
      </c>
      <c r="G1799" s="13">
        <v>44978</v>
      </c>
    </row>
    <row r="1800" spans="1:7" ht="14.5">
      <c r="A1800" s="17" t="s">
        <v>4853</v>
      </c>
      <c r="B1800" s="17">
        <v>8</v>
      </c>
      <c r="C1800" s="17">
        <v>0</v>
      </c>
      <c r="D1800" s="17">
        <v>42</v>
      </c>
      <c r="E1800" s="17">
        <v>0</v>
      </c>
      <c r="F1800" s="17">
        <v>0</v>
      </c>
      <c r="G1800" s="13">
        <v>44978</v>
      </c>
    </row>
    <row r="1801" spans="1:7" ht="14.5">
      <c r="A1801" s="17" t="s">
        <v>4855</v>
      </c>
      <c r="B1801" s="17">
        <v>3</v>
      </c>
      <c r="C1801" s="17">
        <v>1</v>
      </c>
      <c r="D1801" s="17">
        <v>0</v>
      </c>
      <c r="E1801" s="17">
        <v>0</v>
      </c>
      <c r="F1801" s="17">
        <v>0</v>
      </c>
      <c r="G1801" s="13">
        <v>44978</v>
      </c>
    </row>
    <row r="1802" spans="1:7" ht="14.5">
      <c r="A1802" s="17" t="s">
        <v>4862</v>
      </c>
      <c r="B1802" s="17">
        <v>15</v>
      </c>
      <c r="C1802" s="17">
        <v>1</v>
      </c>
      <c r="D1802" s="17">
        <v>5</v>
      </c>
      <c r="E1802" s="17">
        <v>0</v>
      </c>
      <c r="F1802" s="17">
        <v>0</v>
      </c>
      <c r="G1802" s="13">
        <v>44978</v>
      </c>
    </row>
    <row r="1803" spans="1:7" ht="14.5">
      <c r="A1803" s="17" t="s">
        <v>4868</v>
      </c>
      <c r="B1803" s="17">
        <v>16</v>
      </c>
      <c r="C1803" s="17">
        <v>2</v>
      </c>
      <c r="D1803" s="17">
        <v>1</v>
      </c>
      <c r="E1803" s="17">
        <v>0</v>
      </c>
      <c r="F1803" s="17">
        <v>0</v>
      </c>
      <c r="G1803" s="13">
        <v>44978</v>
      </c>
    </row>
    <row r="1804" spans="1:7" ht="14.5">
      <c r="A1804" s="17" t="s">
        <v>4876</v>
      </c>
      <c r="B1804" s="17">
        <v>4</v>
      </c>
      <c r="C1804" s="17">
        <v>1</v>
      </c>
      <c r="D1804" s="17">
        <v>0</v>
      </c>
      <c r="E1804" s="17">
        <v>0</v>
      </c>
      <c r="F1804" s="17">
        <v>0</v>
      </c>
      <c r="G1804" s="13">
        <v>44978</v>
      </c>
    </row>
    <row r="1805" spans="1:7" ht="14.5">
      <c r="A1805" s="17" t="s">
        <v>4883</v>
      </c>
      <c r="B1805" s="17">
        <v>8</v>
      </c>
      <c r="C1805" s="17">
        <v>4</v>
      </c>
      <c r="D1805" s="17">
        <v>5</v>
      </c>
      <c r="E1805" s="17">
        <v>0</v>
      </c>
      <c r="F1805" s="17">
        <v>1</v>
      </c>
      <c r="G1805" s="13">
        <v>44978</v>
      </c>
    </row>
    <row r="1806" spans="1:7" ht="14.5">
      <c r="A1806" s="17" t="s">
        <v>4886</v>
      </c>
      <c r="B1806" s="17">
        <v>20</v>
      </c>
      <c r="C1806" s="17">
        <v>1</v>
      </c>
      <c r="D1806" s="17">
        <v>0</v>
      </c>
      <c r="E1806" s="17">
        <v>0</v>
      </c>
      <c r="F1806" s="17">
        <v>0</v>
      </c>
      <c r="G1806" s="13">
        <v>44978</v>
      </c>
    </row>
    <row r="1807" spans="1:7" ht="14.5">
      <c r="A1807" s="17" t="s">
        <v>4889</v>
      </c>
      <c r="B1807" s="17">
        <v>9</v>
      </c>
      <c r="C1807" s="17">
        <v>2</v>
      </c>
      <c r="D1807" s="17">
        <v>4</v>
      </c>
      <c r="E1807" s="17">
        <v>0</v>
      </c>
      <c r="F1807" s="17">
        <v>0</v>
      </c>
      <c r="G1807" s="13">
        <v>44978</v>
      </c>
    </row>
    <row r="1808" spans="1:7" ht="14.5">
      <c r="A1808" s="17" t="s">
        <v>4896</v>
      </c>
      <c r="B1808" s="17">
        <v>6</v>
      </c>
      <c r="C1808" s="17">
        <v>0</v>
      </c>
      <c r="D1808" s="17">
        <v>1</v>
      </c>
      <c r="E1808" s="17">
        <v>0</v>
      </c>
      <c r="F1808" s="17">
        <v>0</v>
      </c>
      <c r="G1808" s="13">
        <v>44978</v>
      </c>
    </row>
    <row r="1809" spans="1:7" ht="14.5">
      <c r="A1809" s="17" t="s">
        <v>4901</v>
      </c>
      <c r="B1809" s="17">
        <v>11</v>
      </c>
      <c r="C1809" s="17">
        <v>0</v>
      </c>
      <c r="D1809" s="17">
        <v>48</v>
      </c>
      <c r="E1809" s="17">
        <v>0</v>
      </c>
      <c r="F1809" s="17">
        <v>0</v>
      </c>
      <c r="G1809" s="13">
        <v>44978</v>
      </c>
    </row>
    <row r="1810" spans="1:7" ht="14.5">
      <c r="A1810" s="17" t="s">
        <v>4905</v>
      </c>
      <c r="B1810" s="17">
        <v>19</v>
      </c>
      <c r="C1810" s="17">
        <v>2</v>
      </c>
      <c r="D1810" s="17">
        <v>11</v>
      </c>
      <c r="E1810" s="17">
        <v>0</v>
      </c>
      <c r="F1810" s="17">
        <v>0</v>
      </c>
      <c r="G1810" s="13">
        <v>44978</v>
      </c>
    </row>
    <row r="1811" spans="1:7" ht="14.5">
      <c r="A1811" s="17" t="s">
        <v>4911</v>
      </c>
      <c r="B1811" s="17">
        <v>3</v>
      </c>
      <c r="C1811" s="17">
        <v>1</v>
      </c>
      <c r="D1811" s="17">
        <v>225</v>
      </c>
      <c r="E1811" s="17">
        <v>0</v>
      </c>
      <c r="F1811" s="17">
        <v>0</v>
      </c>
      <c r="G1811" s="13">
        <v>44978</v>
      </c>
    </row>
    <row r="1812" spans="1:7" ht="14.5">
      <c r="A1812" s="17" t="s">
        <v>4917</v>
      </c>
      <c r="B1812" s="17">
        <v>8</v>
      </c>
      <c r="C1812" s="17">
        <v>0</v>
      </c>
      <c r="D1812" s="17">
        <v>15</v>
      </c>
      <c r="E1812" s="17">
        <v>0</v>
      </c>
      <c r="F1812" s="17">
        <v>0</v>
      </c>
      <c r="G1812" s="13">
        <v>44978</v>
      </c>
    </row>
    <row r="1813" spans="1:7" ht="14.5">
      <c r="A1813" s="17" t="s">
        <v>4921</v>
      </c>
      <c r="B1813" s="17">
        <v>4</v>
      </c>
      <c r="C1813" s="17">
        <v>0</v>
      </c>
      <c r="D1813" s="17">
        <v>4</v>
      </c>
      <c r="E1813" s="17">
        <v>0</v>
      </c>
      <c r="F1813" s="17">
        <v>0</v>
      </c>
      <c r="G1813" s="13">
        <v>44978</v>
      </c>
    </row>
    <row r="1814" spans="1:7" ht="14.5">
      <c r="A1814" s="17" t="s">
        <v>4927</v>
      </c>
      <c r="B1814" s="17">
        <v>26</v>
      </c>
      <c r="C1814" s="17">
        <v>0</v>
      </c>
      <c r="D1814" s="17">
        <v>64</v>
      </c>
      <c r="E1814" s="17">
        <v>0</v>
      </c>
      <c r="F1814" s="17">
        <v>0</v>
      </c>
      <c r="G1814" s="13">
        <v>44978</v>
      </c>
    </row>
    <row r="1815" spans="1:7" ht="14.5">
      <c r="A1815" s="17" t="s">
        <v>4931</v>
      </c>
      <c r="B1815" s="17">
        <v>0</v>
      </c>
      <c r="C1815" s="17">
        <v>0</v>
      </c>
      <c r="D1815" s="17">
        <v>0</v>
      </c>
      <c r="E1815" s="17">
        <v>0</v>
      </c>
      <c r="F1815" s="17">
        <v>0</v>
      </c>
      <c r="G1815" s="13">
        <v>44978</v>
      </c>
    </row>
    <row r="1816" spans="1:7" ht="14.5">
      <c r="A1816" s="17" t="s">
        <v>4937</v>
      </c>
      <c r="B1816" s="17">
        <v>1</v>
      </c>
      <c r="C1816" s="17">
        <v>0</v>
      </c>
      <c r="D1816" s="17">
        <v>7</v>
      </c>
      <c r="E1816" s="17">
        <v>0</v>
      </c>
      <c r="F1816" s="17">
        <v>0</v>
      </c>
      <c r="G1816" s="13">
        <v>44978</v>
      </c>
    </row>
    <row r="1817" spans="1:7" ht="14.5">
      <c r="A1817" s="17" t="s">
        <v>4943</v>
      </c>
      <c r="B1817" s="17">
        <v>0</v>
      </c>
      <c r="C1817" s="17">
        <v>0</v>
      </c>
      <c r="D1817" s="17">
        <v>0</v>
      </c>
      <c r="E1817" s="17">
        <v>0</v>
      </c>
      <c r="F1817" s="17">
        <v>1</v>
      </c>
      <c r="G1817" s="13">
        <v>44978</v>
      </c>
    </row>
    <row r="1818" spans="1:7" ht="14.5">
      <c r="A1818" s="17" t="s">
        <v>4948</v>
      </c>
      <c r="B1818" s="17">
        <v>12</v>
      </c>
      <c r="C1818" s="17">
        <v>0</v>
      </c>
      <c r="D1818" s="17">
        <v>32</v>
      </c>
      <c r="E1818" s="17">
        <v>0</v>
      </c>
      <c r="F1818" s="17">
        <v>0</v>
      </c>
      <c r="G1818" s="13">
        <v>44978</v>
      </c>
    </row>
    <row r="1819" spans="1:7" ht="14.5">
      <c r="A1819" s="17" t="s">
        <v>4955</v>
      </c>
      <c r="B1819" s="17">
        <v>15</v>
      </c>
      <c r="C1819" s="17">
        <v>1</v>
      </c>
      <c r="D1819" s="17">
        <v>89</v>
      </c>
      <c r="E1819" s="17">
        <v>0</v>
      </c>
      <c r="F1819" s="17">
        <v>0</v>
      </c>
      <c r="G1819" s="13">
        <v>44978</v>
      </c>
    </row>
    <row r="1820" spans="1:7" ht="14.5">
      <c r="A1820" s="17" t="s">
        <v>4963</v>
      </c>
      <c r="B1820" s="17">
        <v>19</v>
      </c>
      <c r="C1820" s="17">
        <v>3</v>
      </c>
      <c r="D1820" s="17">
        <v>7</v>
      </c>
      <c r="E1820" s="17">
        <v>0</v>
      </c>
      <c r="F1820" s="17">
        <v>0</v>
      </c>
      <c r="G1820" s="13">
        <v>44978</v>
      </c>
    </row>
    <row r="1821" spans="1:7" ht="14.5">
      <c r="A1821" s="17" t="s">
        <v>4970</v>
      </c>
      <c r="B1821" s="17">
        <v>13</v>
      </c>
      <c r="C1821" s="17">
        <v>0</v>
      </c>
      <c r="D1821" s="17">
        <v>23</v>
      </c>
      <c r="E1821" s="17">
        <v>0</v>
      </c>
      <c r="F1821" s="17">
        <v>0</v>
      </c>
      <c r="G1821" s="13">
        <v>44978</v>
      </c>
    </row>
    <row r="1822" spans="1:7" ht="14.5">
      <c r="A1822" s="17" t="s">
        <v>4977</v>
      </c>
      <c r="B1822" s="17">
        <v>4</v>
      </c>
      <c r="C1822" s="17">
        <v>0</v>
      </c>
      <c r="D1822" s="17">
        <v>0</v>
      </c>
      <c r="E1822" s="17">
        <v>0</v>
      </c>
      <c r="F1822" s="17">
        <v>0</v>
      </c>
      <c r="G1822" s="13">
        <v>44978</v>
      </c>
    </row>
    <row r="1823" spans="1:7" ht="14.5">
      <c r="A1823" s="17" t="s">
        <v>4982</v>
      </c>
      <c r="B1823" s="17">
        <v>0</v>
      </c>
      <c r="C1823" s="17">
        <v>0</v>
      </c>
      <c r="D1823" s="17">
        <v>21</v>
      </c>
      <c r="E1823" s="17">
        <v>0</v>
      </c>
      <c r="F1823" s="17">
        <v>1</v>
      </c>
      <c r="G1823" s="13">
        <v>44978</v>
      </c>
    </row>
    <row r="1824" spans="1:7" ht="14.5">
      <c r="A1824" s="17" t="s">
        <v>4987</v>
      </c>
      <c r="B1824" s="17">
        <v>4</v>
      </c>
      <c r="C1824" s="17">
        <v>0</v>
      </c>
      <c r="D1824" s="17">
        <v>1</v>
      </c>
      <c r="E1824" s="17">
        <v>0</v>
      </c>
      <c r="F1824" s="17">
        <v>0</v>
      </c>
      <c r="G1824" s="13">
        <v>44978</v>
      </c>
    </row>
    <row r="1825" spans="1:7" ht="14.5">
      <c r="A1825" s="17" t="s">
        <v>4994</v>
      </c>
      <c r="B1825" s="17">
        <v>18</v>
      </c>
      <c r="C1825" s="17">
        <v>3</v>
      </c>
      <c r="D1825" s="17">
        <v>2</v>
      </c>
      <c r="E1825" s="17">
        <v>0</v>
      </c>
      <c r="F1825" s="17">
        <v>0</v>
      </c>
      <c r="G1825" s="13">
        <v>44978</v>
      </c>
    </row>
    <row r="1826" spans="1:7" ht="14.5">
      <c r="A1826" s="17" t="s">
        <v>5002</v>
      </c>
      <c r="B1826" s="17">
        <v>3</v>
      </c>
      <c r="C1826" s="17">
        <v>1</v>
      </c>
      <c r="D1826" s="17">
        <v>198</v>
      </c>
      <c r="E1826" s="17">
        <v>0</v>
      </c>
      <c r="F1826" s="17">
        <v>3</v>
      </c>
      <c r="G1826" s="13">
        <v>44978</v>
      </c>
    </row>
    <row r="1827" spans="1:7" ht="14.5">
      <c r="A1827" s="17" t="s">
        <v>5005</v>
      </c>
      <c r="B1827" s="17">
        <v>0</v>
      </c>
      <c r="C1827" s="17">
        <v>0</v>
      </c>
      <c r="D1827" s="17">
        <v>0</v>
      </c>
      <c r="E1827" s="17">
        <v>0</v>
      </c>
      <c r="F1827" s="17">
        <v>1</v>
      </c>
      <c r="G1827" s="13">
        <v>44978</v>
      </c>
    </row>
    <row r="1828" spans="1:7" ht="14.5">
      <c r="A1828" s="17" t="s">
        <v>5013</v>
      </c>
      <c r="B1828" s="17">
        <v>6</v>
      </c>
      <c r="C1828" s="17">
        <v>0</v>
      </c>
      <c r="D1828" s="17">
        <v>0</v>
      </c>
      <c r="E1828" s="17">
        <v>0</v>
      </c>
      <c r="F1828" s="17">
        <v>0</v>
      </c>
      <c r="G1828" s="13">
        <v>44978</v>
      </c>
    </row>
    <row r="1829" spans="1:7" ht="14.5">
      <c r="A1829" s="17" t="s">
        <v>5019</v>
      </c>
      <c r="B1829" s="17">
        <v>22</v>
      </c>
      <c r="C1829" s="17">
        <v>2</v>
      </c>
      <c r="D1829" s="17">
        <v>12</v>
      </c>
      <c r="E1829" s="17">
        <v>0</v>
      </c>
      <c r="F1829" s="17">
        <v>0</v>
      </c>
      <c r="G1829" s="13">
        <v>44978</v>
      </c>
    </row>
    <row r="1830" spans="1:7" ht="14.5">
      <c r="A1830" s="17" t="s">
        <v>5022</v>
      </c>
      <c r="B1830" s="17">
        <v>25</v>
      </c>
      <c r="C1830" s="17">
        <v>2</v>
      </c>
      <c r="D1830" s="17">
        <v>105</v>
      </c>
      <c r="E1830" s="17">
        <v>0</v>
      </c>
      <c r="F1830" s="17">
        <v>0</v>
      </c>
      <c r="G1830" s="13">
        <v>44978</v>
      </c>
    </row>
    <row r="1831" spans="1:7" ht="14.5">
      <c r="A1831" s="17" t="s">
        <v>5030</v>
      </c>
      <c r="B1831" s="17">
        <v>6</v>
      </c>
      <c r="C1831" s="17">
        <v>0</v>
      </c>
      <c r="D1831" s="17">
        <v>128</v>
      </c>
      <c r="E1831" s="17">
        <v>0</v>
      </c>
      <c r="F1831" s="17">
        <v>0</v>
      </c>
      <c r="G1831" s="13">
        <v>44978</v>
      </c>
    </row>
    <row r="1832" spans="1:7" ht="14.5">
      <c r="A1832" s="17" t="s">
        <v>5039</v>
      </c>
      <c r="B1832" s="17">
        <v>19</v>
      </c>
      <c r="C1832" s="17">
        <v>0</v>
      </c>
      <c r="D1832" s="17">
        <v>17</v>
      </c>
      <c r="E1832" s="17">
        <v>0</v>
      </c>
      <c r="F1832" s="17">
        <v>0</v>
      </c>
      <c r="G1832" s="13">
        <v>44978</v>
      </c>
    </row>
    <row r="1833" spans="1:7" ht="14.5">
      <c r="A1833" s="17" t="s">
        <v>5047</v>
      </c>
      <c r="B1833" s="17">
        <v>11</v>
      </c>
      <c r="C1833" s="17">
        <v>0</v>
      </c>
      <c r="D1833" s="17">
        <v>14</v>
      </c>
      <c r="E1833" s="17">
        <v>0</v>
      </c>
      <c r="F1833" s="17">
        <v>0</v>
      </c>
      <c r="G1833" s="13">
        <v>44978</v>
      </c>
    </row>
    <row r="1834" spans="1:7" ht="14.5">
      <c r="A1834" s="17" t="s">
        <v>5054</v>
      </c>
      <c r="B1834" s="17">
        <v>11</v>
      </c>
      <c r="C1834" s="17">
        <v>0</v>
      </c>
      <c r="D1834" s="17">
        <v>16</v>
      </c>
      <c r="E1834" s="17">
        <v>0</v>
      </c>
      <c r="F1834" s="17">
        <v>0</v>
      </c>
      <c r="G1834" s="13">
        <v>44978</v>
      </c>
    </row>
    <row r="1835" spans="1:7" ht="14.5">
      <c r="A1835" s="17" t="s">
        <v>5059</v>
      </c>
      <c r="B1835" s="17">
        <v>9</v>
      </c>
      <c r="C1835" s="17">
        <v>3</v>
      </c>
      <c r="D1835" s="17">
        <v>34</v>
      </c>
      <c r="E1835" s="17">
        <v>0</v>
      </c>
      <c r="F1835" s="17">
        <v>0</v>
      </c>
      <c r="G1835" s="13">
        <v>44978</v>
      </c>
    </row>
    <row r="1836" spans="1:7" ht="14.5">
      <c r="A1836" s="17" t="s">
        <v>5063</v>
      </c>
      <c r="B1836" s="17">
        <v>6</v>
      </c>
      <c r="C1836" s="17">
        <v>1</v>
      </c>
      <c r="D1836" s="17">
        <v>2</v>
      </c>
      <c r="E1836" s="17">
        <v>0</v>
      </c>
      <c r="F1836" s="17">
        <v>0</v>
      </c>
      <c r="G1836" s="13">
        <v>44978</v>
      </c>
    </row>
    <row r="1837" spans="1:7" ht="14.5">
      <c r="A1837" s="17" t="s">
        <v>5070</v>
      </c>
      <c r="B1837" s="17">
        <v>13</v>
      </c>
      <c r="C1837" s="17">
        <v>3</v>
      </c>
      <c r="D1837" s="17">
        <v>6</v>
      </c>
      <c r="E1837" s="17">
        <v>0</v>
      </c>
      <c r="F1837" s="17">
        <v>0</v>
      </c>
      <c r="G1837" s="13">
        <v>44978</v>
      </c>
    </row>
    <row r="1838" spans="1:7" ht="14.5">
      <c r="A1838" s="17" t="s">
        <v>5079</v>
      </c>
      <c r="B1838" s="17">
        <v>5</v>
      </c>
      <c r="C1838" s="17">
        <v>0</v>
      </c>
      <c r="D1838" s="17">
        <v>36</v>
      </c>
      <c r="E1838" s="17">
        <v>0</v>
      </c>
      <c r="F1838" s="17">
        <v>0</v>
      </c>
      <c r="G1838" s="13">
        <v>44978</v>
      </c>
    </row>
    <row r="1839" spans="1:7" ht="14.5">
      <c r="A1839" s="17" t="s">
        <v>5087</v>
      </c>
      <c r="B1839" s="17">
        <v>22</v>
      </c>
      <c r="C1839" s="17">
        <v>3</v>
      </c>
      <c r="D1839" s="17">
        <v>5</v>
      </c>
      <c r="E1839" s="17">
        <v>0</v>
      </c>
      <c r="F1839" s="17">
        <v>2</v>
      </c>
      <c r="G1839" s="13">
        <v>44978</v>
      </c>
    </row>
    <row r="1840" spans="1:7" ht="14.5">
      <c r="A1840" s="17" t="s">
        <v>5096</v>
      </c>
      <c r="B1840" s="17">
        <v>0</v>
      </c>
      <c r="C1840" s="17">
        <v>0</v>
      </c>
      <c r="D1840" s="17">
        <v>3</v>
      </c>
      <c r="E1840" s="17">
        <v>0</v>
      </c>
      <c r="F1840" s="17">
        <v>0</v>
      </c>
      <c r="G1840" s="13">
        <v>44978</v>
      </c>
    </row>
    <row r="1841" spans="1:7" ht="14.5">
      <c r="A1841" s="17" t="s">
        <v>5101</v>
      </c>
      <c r="B1841" s="17">
        <v>7</v>
      </c>
      <c r="C1841" s="17">
        <v>0</v>
      </c>
      <c r="D1841" s="17">
        <v>63</v>
      </c>
      <c r="E1841" s="17">
        <v>0</v>
      </c>
      <c r="F1841" s="17">
        <v>0</v>
      </c>
      <c r="G1841" s="13">
        <v>44978</v>
      </c>
    </row>
    <row r="1842" spans="1:7" ht="14.5">
      <c r="A1842" s="17" t="s">
        <v>5108</v>
      </c>
      <c r="B1842" s="17">
        <v>7</v>
      </c>
      <c r="C1842" s="17">
        <v>1</v>
      </c>
      <c r="D1842" s="17">
        <v>51</v>
      </c>
      <c r="E1842" s="17">
        <v>0</v>
      </c>
      <c r="F1842" s="17">
        <v>0</v>
      </c>
      <c r="G1842" s="13">
        <v>44978</v>
      </c>
    </row>
    <row r="1843" spans="1:7" ht="14.5">
      <c r="A1843" s="17" t="s">
        <v>5115</v>
      </c>
      <c r="B1843" s="17">
        <v>1</v>
      </c>
      <c r="C1843" s="17">
        <v>0</v>
      </c>
      <c r="D1843" s="17">
        <v>0</v>
      </c>
      <c r="E1843" s="17">
        <v>0</v>
      </c>
      <c r="F1843" s="17">
        <v>0</v>
      </c>
      <c r="G1843" s="13">
        <v>44978</v>
      </c>
    </row>
    <row r="1844" spans="1:7" ht="14.5">
      <c r="A1844" s="17" t="s">
        <v>5122</v>
      </c>
      <c r="B1844" s="17">
        <v>8</v>
      </c>
      <c r="C1844" s="17">
        <v>0</v>
      </c>
      <c r="D1844" s="17">
        <v>36</v>
      </c>
      <c r="E1844" s="17">
        <v>0</v>
      </c>
      <c r="F1844" s="17">
        <v>0</v>
      </c>
      <c r="G1844" s="13">
        <v>44978</v>
      </c>
    </row>
    <row r="1845" spans="1:7" ht="14.5">
      <c r="A1845" s="17" t="s">
        <v>5128</v>
      </c>
      <c r="B1845" s="17">
        <v>4</v>
      </c>
      <c r="C1845" s="17">
        <v>0</v>
      </c>
      <c r="D1845" s="17">
        <v>38</v>
      </c>
      <c r="E1845" s="17">
        <v>0</v>
      </c>
      <c r="F1845" s="17">
        <v>0</v>
      </c>
      <c r="G1845" s="13">
        <v>44978</v>
      </c>
    </row>
    <row r="1846" spans="1:7" ht="14.5">
      <c r="A1846" s="17" t="s">
        <v>5133</v>
      </c>
      <c r="B1846" s="17">
        <v>13</v>
      </c>
      <c r="C1846" s="17">
        <v>1</v>
      </c>
      <c r="D1846" s="17">
        <v>17</v>
      </c>
      <c r="E1846" s="17">
        <v>0</v>
      </c>
      <c r="F1846" s="17">
        <v>0</v>
      </c>
      <c r="G1846" s="13">
        <v>44978</v>
      </c>
    </row>
    <row r="1847" spans="1:7" ht="14.5">
      <c r="A1847" s="17" t="s">
        <v>5139</v>
      </c>
      <c r="B1847" s="17">
        <v>2</v>
      </c>
      <c r="C1847" s="17">
        <v>1</v>
      </c>
      <c r="D1847" s="17">
        <v>1</v>
      </c>
      <c r="E1847" s="17">
        <v>0</v>
      </c>
      <c r="F1847" s="17">
        <v>0</v>
      </c>
      <c r="G1847" s="13">
        <v>44978</v>
      </c>
    </row>
    <row r="1848" spans="1:7" ht="14.5">
      <c r="A1848" s="17" t="s">
        <v>5146</v>
      </c>
      <c r="B1848" s="17">
        <v>9</v>
      </c>
      <c r="C1848" s="17">
        <v>1</v>
      </c>
      <c r="D1848" s="17">
        <v>65</v>
      </c>
      <c r="E1848" s="17">
        <v>0</v>
      </c>
      <c r="F1848" s="17">
        <v>0</v>
      </c>
      <c r="G1848" s="13">
        <v>44978</v>
      </c>
    </row>
    <row r="1849" spans="1:7" ht="14.5">
      <c r="A1849" s="17" t="s">
        <v>5153</v>
      </c>
      <c r="B1849" s="17">
        <v>4</v>
      </c>
      <c r="C1849" s="17">
        <v>0</v>
      </c>
      <c r="D1849" s="17">
        <v>10</v>
      </c>
      <c r="E1849" s="17">
        <v>0</v>
      </c>
      <c r="F1849" s="17">
        <v>0</v>
      </c>
      <c r="G1849" s="13">
        <v>44978</v>
      </c>
    </row>
    <row r="1850" spans="1:7" ht="14.5">
      <c r="A1850" s="17" t="s">
        <v>5157</v>
      </c>
      <c r="B1850" s="17">
        <v>4</v>
      </c>
      <c r="C1850" s="17">
        <v>0</v>
      </c>
      <c r="D1850" s="17">
        <v>248</v>
      </c>
      <c r="E1850" s="17">
        <v>0</v>
      </c>
      <c r="F1850" s="17">
        <v>0</v>
      </c>
      <c r="G1850" s="13">
        <v>44978</v>
      </c>
    </row>
    <row r="1851" spans="1:7" ht="14.5">
      <c r="A1851" s="17" t="s">
        <v>5165</v>
      </c>
      <c r="B1851" s="17">
        <v>8</v>
      </c>
      <c r="C1851" s="17">
        <v>0</v>
      </c>
      <c r="D1851" s="17">
        <v>1</v>
      </c>
      <c r="E1851" s="17">
        <v>0</v>
      </c>
      <c r="F1851" s="17">
        <v>0</v>
      </c>
      <c r="G1851" s="13">
        <v>44978</v>
      </c>
    </row>
    <row r="1852" spans="1:7" ht="14.5">
      <c r="A1852" s="17" t="s">
        <v>5170</v>
      </c>
      <c r="B1852" s="17">
        <v>5</v>
      </c>
      <c r="C1852" s="17">
        <v>0</v>
      </c>
      <c r="D1852" s="17">
        <v>1</v>
      </c>
      <c r="E1852" s="17">
        <v>0</v>
      </c>
      <c r="F1852" s="17">
        <v>0</v>
      </c>
      <c r="G1852" s="13">
        <v>44978</v>
      </c>
    </row>
    <row r="1853" spans="1:7" ht="14.5">
      <c r="A1853" s="17" t="s">
        <v>5176</v>
      </c>
      <c r="B1853" s="17">
        <v>2</v>
      </c>
      <c r="C1853" s="17">
        <v>2</v>
      </c>
      <c r="D1853" s="17">
        <v>92</v>
      </c>
      <c r="E1853" s="17">
        <v>0</v>
      </c>
      <c r="F1853" s="17">
        <v>0</v>
      </c>
      <c r="G1853" s="13">
        <v>44978</v>
      </c>
    </row>
    <row r="1854" spans="1:7" ht="14.5">
      <c r="A1854" s="17" t="s">
        <v>5183</v>
      </c>
      <c r="B1854" s="17">
        <v>7</v>
      </c>
      <c r="C1854" s="17">
        <v>0</v>
      </c>
      <c r="D1854" s="17">
        <v>12</v>
      </c>
      <c r="E1854" s="17">
        <v>0</v>
      </c>
      <c r="F1854" s="17">
        <v>0</v>
      </c>
      <c r="G1854" s="13">
        <v>44978</v>
      </c>
    </row>
    <row r="1855" spans="1:7" ht="14.5">
      <c r="A1855" s="17" t="s">
        <v>5189</v>
      </c>
      <c r="B1855" s="17">
        <v>8</v>
      </c>
      <c r="C1855" s="17">
        <v>6</v>
      </c>
      <c r="D1855" s="17">
        <v>33</v>
      </c>
      <c r="E1855" s="17">
        <v>0</v>
      </c>
      <c r="F1855" s="17">
        <v>0</v>
      </c>
      <c r="G1855" s="13">
        <v>44978</v>
      </c>
    </row>
    <row r="1856" spans="1:7" ht="14.5">
      <c r="A1856" s="17" t="s">
        <v>5196</v>
      </c>
      <c r="B1856" s="17">
        <v>5</v>
      </c>
      <c r="C1856" s="17">
        <v>0</v>
      </c>
      <c r="D1856" s="17">
        <v>22</v>
      </c>
      <c r="E1856" s="17">
        <v>0</v>
      </c>
      <c r="F1856" s="17">
        <v>0</v>
      </c>
      <c r="G1856" s="13">
        <v>44978</v>
      </c>
    </row>
    <row r="1857" spans="1:7" ht="14.5">
      <c r="A1857" s="17" t="s">
        <v>5201</v>
      </c>
      <c r="B1857" s="17">
        <v>12</v>
      </c>
      <c r="C1857" s="17">
        <v>0</v>
      </c>
      <c r="D1857" s="17">
        <v>5</v>
      </c>
      <c r="E1857" s="17">
        <v>0</v>
      </c>
      <c r="F1857" s="17">
        <v>0</v>
      </c>
      <c r="G1857" s="13">
        <v>44978</v>
      </c>
    </row>
    <row r="1858" spans="1:7" ht="14.5">
      <c r="A1858" s="17" t="s">
        <v>5206</v>
      </c>
      <c r="B1858" s="17">
        <v>6</v>
      </c>
      <c r="C1858" s="17">
        <v>3</v>
      </c>
      <c r="D1858" s="17">
        <v>2</v>
      </c>
      <c r="E1858" s="17">
        <v>0</v>
      </c>
      <c r="F1858" s="17">
        <v>0</v>
      </c>
      <c r="G1858" s="13">
        <v>44978</v>
      </c>
    </row>
    <row r="1859" spans="1:7" ht="14.5">
      <c r="A1859" s="17" t="s">
        <v>5209</v>
      </c>
      <c r="B1859" s="17">
        <v>3</v>
      </c>
      <c r="C1859" s="17">
        <v>0</v>
      </c>
      <c r="D1859" s="17">
        <v>3</v>
      </c>
      <c r="E1859" s="17">
        <v>0</v>
      </c>
      <c r="F1859" s="17">
        <v>0</v>
      </c>
      <c r="G1859" s="13">
        <v>44978</v>
      </c>
    </row>
    <row r="1860" spans="1:7" ht="14.5">
      <c r="A1860" s="17" t="s">
        <v>5211</v>
      </c>
      <c r="B1860" s="17">
        <v>7</v>
      </c>
      <c r="C1860" s="17">
        <v>1</v>
      </c>
      <c r="D1860" s="17">
        <v>138</v>
      </c>
      <c r="E1860" s="17">
        <v>0</v>
      </c>
      <c r="F1860" s="17">
        <v>0</v>
      </c>
      <c r="G1860" s="13">
        <v>44978</v>
      </c>
    </row>
    <row r="1861" spans="1:7" ht="14.5">
      <c r="A1861" s="17" t="s">
        <v>5218</v>
      </c>
      <c r="B1861" s="17">
        <v>0</v>
      </c>
      <c r="C1861" s="17">
        <v>0</v>
      </c>
      <c r="D1861" s="17">
        <v>0</v>
      </c>
      <c r="E1861" s="17">
        <v>0</v>
      </c>
      <c r="F1861" s="17">
        <v>0</v>
      </c>
      <c r="G1861" s="13">
        <v>44978</v>
      </c>
    </row>
    <row r="1862" spans="1:7" ht="14.5">
      <c r="A1862" s="17" t="s">
        <v>5222</v>
      </c>
      <c r="B1862" s="17">
        <v>0</v>
      </c>
      <c r="C1862" s="17">
        <v>0</v>
      </c>
      <c r="D1862" s="17">
        <v>10</v>
      </c>
      <c r="E1862" s="17">
        <v>0</v>
      </c>
      <c r="F1862" s="17">
        <v>0</v>
      </c>
      <c r="G1862" s="13">
        <v>44978</v>
      </c>
    </row>
    <row r="1863" spans="1:7" ht="14.5">
      <c r="A1863" s="17" t="s">
        <v>5229</v>
      </c>
      <c r="B1863" s="17">
        <v>1</v>
      </c>
      <c r="C1863" s="17">
        <v>0</v>
      </c>
      <c r="D1863" s="17">
        <v>0</v>
      </c>
      <c r="E1863" s="17">
        <v>0</v>
      </c>
      <c r="F1863" s="17">
        <v>0</v>
      </c>
      <c r="G1863" s="13">
        <v>44978</v>
      </c>
    </row>
    <row r="1864" spans="1:7" ht="14.5">
      <c r="A1864" s="17" t="s">
        <v>5236</v>
      </c>
      <c r="B1864" s="17">
        <v>3</v>
      </c>
      <c r="C1864" s="17">
        <v>0</v>
      </c>
      <c r="D1864" s="17">
        <v>0</v>
      </c>
      <c r="E1864" s="17">
        <v>0</v>
      </c>
      <c r="F1864" s="17">
        <v>0</v>
      </c>
      <c r="G1864" s="13">
        <v>44978</v>
      </c>
    </row>
    <row r="1865" spans="1:7" ht="14.5">
      <c r="A1865" s="17" t="s">
        <v>5242</v>
      </c>
      <c r="B1865" s="17">
        <v>0</v>
      </c>
      <c r="C1865" s="17">
        <v>0</v>
      </c>
      <c r="D1865" s="17">
        <v>10</v>
      </c>
      <c r="E1865" s="17">
        <v>0</v>
      </c>
      <c r="F1865" s="17">
        <v>0</v>
      </c>
      <c r="G1865" s="13">
        <v>44978</v>
      </c>
    </row>
    <row r="1866" spans="1:7" ht="14.5">
      <c r="A1866" s="17" t="s">
        <v>5248</v>
      </c>
      <c r="B1866" s="17">
        <v>7</v>
      </c>
      <c r="C1866" s="17">
        <v>1</v>
      </c>
      <c r="D1866" s="17">
        <v>0</v>
      </c>
      <c r="E1866" s="17">
        <v>0</v>
      </c>
      <c r="F1866" s="17">
        <v>0</v>
      </c>
      <c r="G1866" s="13">
        <v>44978</v>
      </c>
    </row>
    <row r="1867" spans="1:7" ht="14.5">
      <c r="A1867" s="17" t="s">
        <v>5254</v>
      </c>
      <c r="B1867" s="17">
        <v>10</v>
      </c>
      <c r="C1867" s="17">
        <v>0</v>
      </c>
      <c r="D1867" s="17">
        <v>1</v>
      </c>
      <c r="E1867" s="17">
        <v>0</v>
      </c>
      <c r="F1867" s="17">
        <v>0</v>
      </c>
      <c r="G1867" s="13">
        <v>44978</v>
      </c>
    </row>
    <row r="1868" spans="1:7" ht="14.5">
      <c r="A1868" s="17" t="s">
        <v>5260</v>
      </c>
      <c r="B1868" s="17">
        <v>0</v>
      </c>
      <c r="C1868" s="17">
        <v>0</v>
      </c>
      <c r="D1868" s="17">
        <v>0</v>
      </c>
      <c r="E1868" s="17">
        <v>0</v>
      </c>
      <c r="F1868" s="17">
        <v>0</v>
      </c>
      <c r="G1868" s="13">
        <v>44978</v>
      </c>
    </row>
    <row r="1869" spans="1:7" ht="14.5">
      <c r="A1869" s="17" t="s">
        <v>5267</v>
      </c>
      <c r="B1869" s="17">
        <v>0</v>
      </c>
      <c r="C1869" s="17">
        <v>0</v>
      </c>
      <c r="D1869" s="17">
        <v>0</v>
      </c>
      <c r="E1869" s="17">
        <v>0</v>
      </c>
      <c r="F1869" s="17">
        <v>0</v>
      </c>
      <c r="G1869" s="13">
        <v>44978</v>
      </c>
    </row>
    <row r="1870" spans="1:7" ht="14.5">
      <c r="A1870" s="17" t="s">
        <v>5274</v>
      </c>
      <c r="B1870" s="17">
        <v>1</v>
      </c>
      <c r="C1870" s="17">
        <v>1</v>
      </c>
      <c r="D1870" s="17">
        <v>0</v>
      </c>
      <c r="E1870" s="17">
        <v>0</v>
      </c>
      <c r="F1870" s="17">
        <v>0</v>
      </c>
      <c r="G1870" s="13">
        <v>44978</v>
      </c>
    </row>
    <row r="1871" spans="1:7" ht="14.5">
      <c r="A1871" s="17" t="s">
        <v>13796</v>
      </c>
      <c r="B1871" s="17">
        <v>0</v>
      </c>
      <c r="C1871" s="17">
        <v>0</v>
      </c>
      <c r="D1871" s="17">
        <v>0</v>
      </c>
      <c r="E1871" s="17">
        <v>0</v>
      </c>
      <c r="F1871" s="17">
        <v>0</v>
      </c>
      <c r="G1871" s="13">
        <v>44978</v>
      </c>
    </row>
    <row r="1872" spans="1:7" ht="14.5">
      <c r="A1872" s="17" t="s">
        <v>5280</v>
      </c>
      <c r="B1872" s="17">
        <v>0</v>
      </c>
      <c r="C1872" s="17">
        <v>0</v>
      </c>
      <c r="D1872" s="17">
        <v>0</v>
      </c>
      <c r="E1872" s="17">
        <v>0</v>
      </c>
      <c r="F1872" s="17">
        <v>0</v>
      </c>
      <c r="G1872" s="13">
        <v>44978</v>
      </c>
    </row>
    <row r="1873" spans="1:7" ht="14.5">
      <c r="A1873" s="17" t="s">
        <v>5287</v>
      </c>
      <c r="B1873" s="17">
        <v>9</v>
      </c>
      <c r="C1873" s="17">
        <v>0</v>
      </c>
      <c r="D1873" s="17">
        <v>10</v>
      </c>
      <c r="E1873" s="17">
        <v>0</v>
      </c>
      <c r="F1873" s="17">
        <v>0</v>
      </c>
      <c r="G1873" s="13">
        <v>44978</v>
      </c>
    </row>
    <row r="1874" spans="1:7" ht="14.5">
      <c r="A1874" s="17" t="s">
        <v>5298</v>
      </c>
      <c r="B1874" s="17">
        <v>2</v>
      </c>
      <c r="C1874" s="17">
        <v>0</v>
      </c>
      <c r="D1874" s="17">
        <v>18</v>
      </c>
      <c r="E1874" s="17">
        <v>0</v>
      </c>
      <c r="F1874" s="17">
        <v>2</v>
      </c>
      <c r="G1874" s="13">
        <v>44978</v>
      </c>
    </row>
    <row r="1875" spans="1:7" ht="14.5">
      <c r="A1875" s="17" t="s">
        <v>5306</v>
      </c>
      <c r="B1875" s="17">
        <v>0</v>
      </c>
      <c r="C1875" s="17">
        <v>0</v>
      </c>
      <c r="D1875" s="17">
        <v>0</v>
      </c>
      <c r="E1875" s="17">
        <v>0</v>
      </c>
      <c r="F1875" s="17">
        <v>0</v>
      </c>
      <c r="G1875" s="13">
        <v>44978</v>
      </c>
    </row>
    <row r="1876" spans="1:7" ht="14.5">
      <c r="A1876" s="17" t="s">
        <v>5315</v>
      </c>
      <c r="B1876" s="17">
        <v>1</v>
      </c>
      <c r="C1876" s="17">
        <v>0</v>
      </c>
      <c r="D1876" s="17">
        <v>10</v>
      </c>
      <c r="E1876" s="17">
        <v>0</v>
      </c>
      <c r="F1876" s="17">
        <v>0</v>
      </c>
      <c r="G1876" s="13">
        <v>44978</v>
      </c>
    </row>
    <row r="1877" spans="1:7" ht="14.5">
      <c r="A1877" s="17" t="s">
        <v>5322</v>
      </c>
      <c r="B1877" s="17">
        <v>0</v>
      </c>
      <c r="C1877" s="17">
        <v>0</v>
      </c>
      <c r="D1877" s="17">
        <v>2</v>
      </c>
      <c r="E1877" s="17">
        <v>0</v>
      </c>
      <c r="F1877" s="17">
        <v>0</v>
      </c>
      <c r="G1877" s="13">
        <v>44978</v>
      </c>
    </row>
    <row r="1878" spans="1:7" ht="14.5">
      <c r="A1878" s="17" t="s">
        <v>5331</v>
      </c>
      <c r="B1878" s="17">
        <v>3</v>
      </c>
      <c r="C1878" s="17">
        <v>1</v>
      </c>
      <c r="D1878" s="17">
        <v>0</v>
      </c>
      <c r="E1878" s="17">
        <v>0</v>
      </c>
      <c r="F1878" s="17">
        <v>1</v>
      </c>
      <c r="G1878" s="13">
        <v>44978</v>
      </c>
    </row>
    <row r="1879" spans="1:7" ht="14.5">
      <c r="A1879" s="17" t="s">
        <v>5339</v>
      </c>
      <c r="B1879" s="17">
        <v>2</v>
      </c>
      <c r="C1879" s="17">
        <v>0</v>
      </c>
      <c r="D1879" s="17">
        <v>16</v>
      </c>
      <c r="E1879" s="17">
        <v>0</v>
      </c>
      <c r="F1879" s="17">
        <v>0</v>
      </c>
      <c r="G1879" s="13">
        <v>44978</v>
      </c>
    </row>
    <row r="1880" spans="1:7" ht="14.5">
      <c r="A1880" s="17" t="s">
        <v>5344</v>
      </c>
      <c r="B1880" s="17">
        <v>10</v>
      </c>
      <c r="C1880" s="17">
        <v>0</v>
      </c>
      <c r="D1880" s="17">
        <v>0</v>
      </c>
      <c r="E1880" s="17">
        <v>0</v>
      </c>
      <c r="F1880" s="17">
        <v>0</v>
      </c>
      <c r="G1880" s="13">
        <v>44978</v>
      </c>
    </row>
    <row r="1881" spans="1:7" ht="14.5">
      <c r="A1881" s="17" t="s">
        <v>5353</v>
      </c>
      <c r="B1881" s="17">
        <v>1</v>
      </c>
      <c r="C1881" s="17">
        <v>0</v>
      </c>
      <c r="D1881" s="17">
        <v>15</v>
      </c>
      <c r="E1881" s="17">
        <v>0</v>
      </c>
      <c r="F1881" s="17">
        <v>0</v>
      </c>
      <c r="G1881" s="13">
        <v>44978</v>
      </c>
    </row>
    <row r="1882" spans="1:7" ht="14.5">
      <c r="A1882" s="17" t="s">
        <v>5360</v>
      </c>
      <c r="B1882" s="17">
        <v>1</v>
      </c>
      <c r="C1882" s="17">
        <v>0</v>
      </c>
      <c r="D1882" s="17">
        <v>24</v>
      </c>
      <c r="E1882" s="17">
        <v>0</v>
      </c>
      <c r="F1882" s="17">
        <v>0</v>
      </c>
      <c r="G1882" s="13">
        <v>44978</v>
      </c>
    </row>
    <row r="1883" spans="1:7" ht="14.5">
      <c r="A1883" s="17" t="s">
        <v>5367</v>
      </c>
      <c r="B1883" s="17">
        <v>4</v>
      </c>
      <c r="C1883" s="17">
        <v>1</v>
      </c>
      <c r="D1883" s="17">
        <v>1</v>
      </c>
      <c r="E1883" s="17">
        <v>0</v>
      </c>
      <c r="F1883" s="17">
        <v>0</v>
      </c>
      <c r="G1883" s="13">
        <v>44978</v>
      </c>
    </row>
    <row r="1884" spans="1:7" ht="14.5">
      <c r="A1884" s="17" t="s">
        <v>5370</v>
      </c>
      <c r="B1884" s="17">
        <v>1</v>
      </c>
      <c r="C1884" s="17">
        <v>0</v>
      </c>
      <c r="D1884" s="17">
        <v>20</v>
      </c>
      <c r="E1884" s="17">
        <v>0</v>
      </c>
      <c r="F1884" s="17">
        <v>0</v>
      </c>
      <c r="G1884" s="13">
        <v>44978</v>
      </c>
    </row>
    <row r="1885" spans="1:7" ht="14.5">
      <c r="A1885" s="17" t="s">
        <v>5374</v>
      </c>
      <c r="B1885" s="17">
        <v>7</v>
      </c>
      <c r="C1885" s="17">
        <v>0</v>
      </c>
      <c r="D1885" s="17">
        <v>1</v>
      </c>
      <c r="E1885" s="17">
        <v>0</v>
      </c>
      <c r="F1885" s="17">
        <v>2</v>
      </c>
      <c r="G1885" s="13">
        <v>44978</v>
      </c>
    </row>
    <row r="1886" spans="1:7" ht="14.5">
      <c r="A1886" s="17" t="s">
        <v>5383</v>
      </c>
      <c r="B1886" s="17">
        <v>5</v>
      </c>
      <c r="C1886" s="17">
        <v>0</v>
      </c>
      <c r="D1886" s="17">
        <v>3</v>
      </c>
      <c r="E1886" s="17">
        <v>0</v>
      </c>
      <c r="F1886" s="17">
        <v>0</v>
      </c>
      <c r="G1886" s="13">
        <v>44978</v>
      </c>
    </row>
    <row r="1887" spans="1:7" ht="14.5">
      <c r="A1887" s="17" t="s">
        <v>5391</v>
      </c>
      <c r="B1887" s="17">
        <v>1</v>
      </c>
      <c r="C1887" s="17">
        <v>0</v>
      </c>
      <c r="D1887" s="17">
        <v>0</v>
      </c>
      <c r="E1887" s="17">
        <v>0</v>
      </c>
      <c r="F1887" s="17">
        <v>0</v>
      </c>
      <c r="G1887" s="13">
        <v>44978</v>
      </c>
    </row>
    <row r="1888" spans="1:7" ht="14.5">
      <c r="A1888" s="17" t="s">
        <v>5399</v>
      </c>
      <c r="B1888" s="17">
        <v>1</v>
      </c>
      <c r="C1888" s="17">
        <v>0</v>
      </c>
      <c r="D1888" s="17">
        <v>12</v>
      </c>
      <c r="E1888" s="17">
        <v>0</v>
      </c>
      <c r="F1888" s="17">
        <v>0</v>
      </c>
      <c r="G1888" s="13">
        <v>44978</v>
      </c>
    </row>
    <row r="1889" spans="1:7" ht="14.5">
      <c r="A1889" s="17" t="s">
        <v>5408</v>
      </c>
      <c r="B1889" s="17">
        <v>19</v>
      </c>
      <c r="C1889" s="17">
        <v>0</v>
      </c>
      <c r="D1889" s="17">
        <v>1</v>
      </c>
      <c r="E1889" s="17">
        <v>0</v>
      </c>
      <c r="F1889" s="17">
        <v>0</v>
      </c>
      <c r="G1889" s="13">
        <v>44978</v>
      </c>
    </row>
    <row r="1890" spans="1:7" ht="14.5">
      <c r="A1890" s="17" t="s">
        <v>5413</v>
      </c>
      <c r="B1890" s="17">
        <v>8</v>
      </c>
      <c r="C1890" s="17">
        <v>0</v>
      </c>
      <c r="D1890" s="17">
        <v>1</v>
      </c>
      <c r="E1890" s="17">
        <v>0</v>
      </c>
      <c r="F1890" s="17">
        <v>0</v>
      </c>
      <c r="G1890" s="13">
        <v>44978</v>
      </c>
    </row>
    <row r="1891" spans="1:7" ht="14.5">
      <c r="A1891" s="17" t="s">
        <v>5418</v>
      </c>
      <c r="B1891" s="17">
        <v>29</v>
      </c>
      <c r="C1891" s="17">
        <v>2</v>
      </c>
      <c r="D1891" s="17">
        <v>1</v>
      </c>
      <c r="E1891" s="17">
        <v>0</v>
      </c>
      <c r="F1891" s="17">
        <v>0</v>
      </c>
      <c r="G1891" s="13">
        <v>44978</v>
      </c>
    </row>
    <row r="1892" spans="1:7" ht="14.5">
      <c r="A1892" s="17" t="s">
        <v>5421</v>
      </c>
      <c r="B1892" s="17">
        <v>4</v>
      </c>
      <c r="C1892" s="17">
        <v>1</v>
      </c>
      <c r="D1892" s="17">
        <v>231</v>
      </c>
      <c r="E1892" s="17">
        <v>0</v>
      </c>
      <c r="F1892" s="17">
        <v>0</v>
      </c>
      <c r="G1892" s="13">
        <v>44978</v>
      </c>
    </row>
    <row r="1893" spans="1:7" ht="14.5">
      <c r="A1893" s="17" t="s">
        <v>5426</v>
      </c>
      <c r="B1893" s="17">
        <v>0</v>
      </c>
      <c r="C1893" s="17">
        <v>0</v>
      </c>
      <c r="D1893" s="17">
        <v>0</v>
      </c>
      <c r="E1893" s="17">
        <v>0</v>
      </c>
      <c r="F1893" s="17">
        <v>0</v>
      </c>
      <c r="G1893" s="13">
        <v>44978</v>
      </c>
    </row>
    <row r="1894" spans="1:7" ht="14.5">
      <c r="A1894" s="17" t="s">
        <v>5432</v>
      </c>
      <c r="B1894" s="17">
        <v>1</v>
      </c>
      <c r="C1894" s="17">
        <v>0</v>
      </c>
      <c r="D1894" s="17">
        <v>32</v>
      </c>
      <c r="E1894" s="17">
        <v>0</v>
      </c>
      <c r="F1894" s="17">
        <v>0</v>
      </c>
      <c r="G1894" s="13">
        <v>44978</v>
      </c>
    </row>
    <row r="1895" spans="1:7" ht="14.5">
      <c r="A1895" s="17" t="s">
        <v>5435</v>
      </c>
      <c r="B1895" s="17">
        <v>2</v>
      </c>
      <c r="C1895" s="17">
        <v>0</v>
      </c>
      <c r="D1895" s="17">
        <v>10</v>
      </c>
      <c r="E1895" s="17">
        <v>0</v>
      </c>
      <c r="F1895" s="17">
        <v>0</v>
      </c>
      <c r="G1895" s="13">
        <v>44978</v>
      </c>
    </row>
    <row r="1896" spans="1:7" ht="14.5">
      <c r="A1896" s="17" t="s">
        <v>5442</v>
      </c>
      <c r="B1896" s="17">
        <v>4</v>
      </c>
      <c r="C1896" s="17">
        <v>0</v>
      </c>
      <c r="D1896" s="17">
        <v>1</v>
      </c>
      <c r="E1896" s="17">
        <v>0</v>
      </c>
      <c r="F1896" s="17">
        <v>0</v>
      </c>
      <c r="G1896" s="13">
        <v>44978</v>
      </c>
    </row>
    <row r="1897" spans="1:7" ht="14.5">
      <c r="A1897" s="17" t="s">
        <v>5446</v>
      </c>
      <c r="B1897" s="17">
        <v>19</v>
      </c>
      <c r="C1897" s="17">
        <v>0</v>
      </c>
      <c r="D1897" s="17">
        <v>1</v>
      </c>
      <c r="E1897" s="17">
        <v>0</v>
      </c>
      <c r="F1897" s="17">
        <v>0</v>
      </c>
      <c r="G1897" s="13">
        <v>44978</v>
      </c>
    </row>
    <row r="1898" spans="1:7" ht="14.5">
      <c r="A1898" s="17" t="s">
        <v>5451</v>
      </c>
      <c r="B1898" s="17">
        <v>2</v>
      </c>
      <c r="C1898" s="17">
        <v>1</v>
      </c>
      <c r="D1898" s="17">
        <v>1</v>
      </c>
      <c r="E1898" s="17">
        <v>0</v>
      </c>
      <c r="F1898" s="17">
        <v>0</v>
      </c>
      <c r="G1898" s="13">
        <v>44978</v>
      </c>
    </row>
    <row r="1899" spans="1:7" ht="14.5">
      <c r="A1899" s="17" t="s">
        <v>5459</v>
      </c>
      <c r="B1899" s="17">
        <v>0</v>
      </c>
      <c r="C1899" s="17">
        <v>0</v>
      </c>
      <c r="D1899" s="17">
        <v>10</v>
      </c>
      <c r="E1899" s="17">
        <v>0</v>
      </c>
      <c r="F1899" s="17">
        <v>0</v>
      </c>
      <c r="G1899" s="13">
        <v>44978</v>
      </c>
    </row>
    <row r="1900" spans="1:7" ht="14.5">
      <c r="A1900" s="17" t="s">
        <v>5462</v>
      </c>
      <c r="B1900" s="17">
        <v>1</v>
      </c>
      <c r="C1900" s="17">
        <v>0</v>
      </c>
      <c r="D1900" s="17">
        <v>11</v>
      </c>
      <c r="E1900" s="17">
        <v>0</v>
      </c>
      <c r="F1900" s="17">
        <v>0</v>
      </c>
      <c r="G1900" s="13">
        <v>44978</v>
      </c>
    </row>
    <row r="1901" spans="1:7" ht="14.5">
      <c r="A1901" s="17" t="s">
        <v>5469</v>
      </c>
      <c r="B1901" s="17">
        <v>4</v>
      </c>
      <c r="C1901" s="17">
        <v>0</v>
      </c>
      <c r="D1901" s="17">
        <v>0</v>
      </c>
      <c r="E1901" s="17">
        <v>0</v>
      </c>
      <c r="F1901" s="17">
        <v>0</v>
      </c>
      <c r="G1901" s="13">
        <v>44978</v>
      </c>
    </row>
    <row r="1902" spans="1:7" ht="14.5">
      <c r="A1902" s="17" t="s">
        <v>5476</v>
      </c>
      <c r="B1902" s="17">
        <v>15</v>
      </c>
      <c r="C1902" s="17">
        <v>1</v>
      </c>
      <c r="D1902" s="17">
        <v>15</v>
      </c>
      <c r="E1902" s="17">
        <v>0</v>
      </c>
      <c r="F1902" s="17">
        <v>1</v>
      </c>
      <c r="G1902" s="13">
        <v>44978</v>
      </c>
    </row>
    <row r="1903" spans="1:7" ht="14.5">
      <c r="A1903" s="17" t="s">
        <v>5482</v>
      </c>
      <c r="B1903" s="17">
        <v>48</v>
      </c>
      <c r="C1903" s="17">
        <v>6</v>
      </c>
      <c r="D1903" s="17">
        <v>1</v>
      </c>
      <c r="E1903" s="17">
        <v>0</v>
      </c>
      <c r="F1903" s="17">
        <v>0</v>
      </c>
      <c r="G1903" s="13">
        <v>44978</v>
      </c>
    </row>
    <row r="1904" spans="1:7" ht="14.5">
      <c r="A1904" s="17" t="s">
        <v>5488</v>
      </c>
      <c r="B1904" s="17">
        <v>2</v>
      </c>
      <c r="C1904" s="17">
        <v>0</v>
      </c>
      <c r="D1904" s="17">
        <v>11</v>
      </c>
      <c r="E1904" s="17">
        <v>0</v>
      </c>
      <c r="F1904" s="17">
        <v>1</v>
      </c>
      <c r="G1904" s="13">
        <v>44978</v>
      </c>
    </row>
    <row r="1905" spans="1:7" ht="14.5">
      <c r="A1905" s="17" t="s">
        <v>5496</v>
      </c>
      <c r="B1905" s="17">
        <v>0</v>
      </c>
      <c r="C1905" s="17">
        <v>0</v>
      </c>
      <c r="D1905" s="17">
        <v>0</v>
      </c>
      <c r="E1905" s="17">
        <v>0</v>
      </c>
      <c r="F1905" s="17">
        <v>0</v>
      </c>
      <c r="G1905" s="13">
        <v>44978</v>
      </c>
    </row>
    <row r="1906" spans="1:7" ht="14.5">
      <c r="A1906" s="17" t="s">
        <v>5501</v>
      </c>
      <c r="B1906" s="17">
        <v>0</v>
      </c>
      <c r="C1906" s="17">
        <v>0</v>
      </c>
      <c r="D1906" s="17">
        <v>6</v>
      </c>
      <c r="E1906" s="17">
        <v>0</v>
      </c>
      <c r="F1906" s="17">
        <v>0</v>
      </c>
      <c r="G1906" s="13">
        <v>44978</v>
      </c>
    </row>
    <row r="1907" spans="1:7" ht="14.5">
      <c r="A1907" s="17" t="s">
        <v>5505</v>
      </c>
      <c r="B1907" s="17">
        <v>1</v>
      </c>
      <c r="C1907" s="17">
        <v>0</v>
      </c>
      <c r="D1907" s="17">
        <v>115</v>
      </c>
      <c r="E1907" s="17">
        <v>0</v>
      </c>
      <c r="F1907" s="17">
        <v>0</v>
      </c>
      <c r="G1907" s="13">
        <v>44978</v>
      </c>
    </row>
    <row r="1908" spans="1:7" ht="14.5">
      <c r="A1908" s="17" t="s">
        <v>5515</v>
      </c>
      <c r="B1908" s="17">
        <v>10</v>
      </c>
      <c r="C1908" s="17">
        <v>1</v>
      </c>
      <c r="D1908" s="17">
        <v>18</v>
      </c>
      <c r="E1908" s="17">
        <v>0</v>
      </c>
      <c r="F1908" s="17">
        <v>0</v>
      </c>
      <c r="G1908" s="13">
        <v>44978</v>
      </c>
    </row>
    <row r="1909" spans="1:7" ht="14.5">
      <c r="A1909" s="17" t="s">
        <v>5522</v>
      </c>
      <c r="B1909" s="17">
        <v>5</v>
      </c>
      <c r="C1909" s="17">
        <v>2</v>
      </c>
      <c r="D1909" s="17">
        <v>3</v>
      </c>
      <c r="E1909" s="17">
        <v>0</v>
      </c>
      <c r="F1909" s="17">
        <v>0</v>
      </c>
      <c r="G1909" s="13">
        <v>44978</v>
      </c>
    </row>
    <row r="1910" spans="1:7" ht="14.5">
      <c r="A1910" s="17" t="s">
        <v>5530</v>
      </c>
      <c r="B1910" s="17">
        <v>0</v>
      </c>
      <c r="C1910" s="17">
        <v>0</v>
      </c>
      <c r="D1910" s="17">
        <v>0</v>
      </c>
      <c r="E1910" s="17">
        <v>0</v>
      </c>
      <c r="F1910" s="17">
        <v>0</v>
      </c>
      <c r="G1910" s="13">
        <v>44978</v>
      </c>
    </row>
    <row r="1911" spans="1:7" ht="14.5">
      <c r="A1911" s="17" t="s">
        <v>14287</v>
      </c>
      <c r="B1911" s="17">
        <v>42</v>
      </c>
      <c r="C1911" s="17">
        <v>42</v>
      </c>
      <c r="D1911" s="17">
        <v>0</v>
      </c>
      <c r="E1911" s="17">
        <v>11</v>
      </c>
      <c r="F1911" s="17">
        <v>0</v>
      </c>
      <c r="G1911" s="13">
        <v>44978</v>
      </c>
    </row>
    <row r="1912" spans="1:7" ht="14.5">
      <c r="A1912" s="17" t="s">
        <v>14288</v>
      </c>
      <c r="B1912" s="17">
        <v>36</v>
      </c>
      <c r="C1912" s="17">
        <v>49</v>
      </c>
      <c r="D1912" s="17">
        <v>0</v>
      </c>
      <c r="E1912" s="17">
        <v>21</v>
      </c>
      <c r="F1912" s="17">
        <v>0</v>
      </c>
      <c r="G1912" s="13">
        <v>44978</v>
      </c>
    </row>
    <row r="1913" spans="1:7" ht="14.5">
      <c r="A1913" s="17" t="s">
        <v>14289</v>
      </c>
      <c r="B1913" s="17">
        <v>138</v>
      </c>
      <c r="C1913" s="17">
        <v>115</v>
      </c>
      <c r="D1913" s="17">
        <v>0</v>
      </c>
      <c r="E1913" s="17">
        <v>1668</v>
      </c>
      <c r="F1913" s="17">
        <v>3</v>
      </c>
      <c r="G1913" s="13">
        <v>44978</v>
      </c>
    </row>
    <row r="1914" spans="1:7" ht="14.5">
      <c r="A1914" s="17" t="s">
        <v>14290</v>
      </c>
      <c r="B1914" s="17">
        <v>38</v>
      </c>
      <c r="C1914" s="17">
        <v>68</v>
      </c>
      <c r="D1914" s="17">
        <v>0</v>
      </c>
      <c r="E1914" s="17">
        <v>54</v>
      </c>
      <c r="F1914" s="17">
        <v>2</v>
      </c>
      <c r="G1914" s="13">
        <v>44978</v>
      </c>
    </row>
    <row r="1915" spans="1:7" ht="14.5">
      <c r="A1915" s="17" t="s">
        <v>14291</v>
      </c>
      <c r="B1915" s="17">
        <v>42</v>
      </c>
      <c r="C1915" s="17">
        <v>38</v>
      </c>
      <c r="D1915" s="17">
        <v>0</v>
      </c>
      <c r="E1915" s="17">
        <v>13</v>
      </c>
      <c r="F1915" s="17">
        <v>0</v>
      </c>
      <c r="G1915" s="13">
        <v>44978</v>
      </c>
    </row>
    <row r="1916" spans="1:7" ht="14.5">
      <c r="A1916" s="17" t="s">
        <v>13796</v>
      </c>
      <c r="B1916" s="17">
        <v>0</v>
      </c>
      <c r="C1916" s="17">
        <v>0</v>
      </c>
      <c r="D1916" s="17">
        <v>0</v>
      </c>
      <c r="E1916" s="17">
        <v>0</v>
      </c>
      <c r="F1916" s="17">
        <v>0</v>
      </c>
      <c r="G1916" s="13">
        <v>44978</v>
      </c>
    </row>
    <row r="1917" spans="1:7" ht="14.5">
      <c r="A1917" s="17" t="s">
        <v>14292</v>
      </c>
      <c r="B1917" s="17">
        <v>43</v>
      </c>
      <c r="C1917" s="17">
        <v>38</v>
      </c>
      <c r="D1917" s="17">
        <v>0</v>
      </c>
      <c r="E1917" s="17">
        <v>919</v>
      </c>
      <c r="F1917" s="17">
        <v>0</v>
      </c>
      <c r="G1917" s="13">
        <v>44978</v>
      </c>
    </row>
    <row r="1918" spans="1:7" ht="14.5">
      <c r="A1918" s="17" t="s">
        <v>14293</v>
      </c>
      <c r="B1918" s="17">
        <v>80</v>
      </c>
      <c r="C1918" s="17">
        <v>118</v>
      </c>
      <c r="D1918" s="17">
        <v>4</v>
      </c>
      <c r="E1918" s="17">
        <v>30</v>
      </c>
      <c r="F1918" s="17">
        <v>2</v>
      </c>
      <c r="G1918" s="13">
        <v>44978</v>
      </c>
    </row>
    <row r="1919" spans="1:7" ht="14.5">
      <c r="A1919" s="17" t="s">
        <v>14294</v>
      </c>
      <c r="B1919" s="17">
        <v>442</v>
      </c>
      <c r="C1919" s="17">
        <v>82</v>
      </c>
      <c r="D1919" s="17">
        <v>6</v>
      </c>
      <c r="E1919" s="17">
        <v>8147</v>
      </c>
      <c r="F1919" s="17">
        <v>1</v>
      </c>
      <c r="G1919" s="13">
        <v>44978</v>
      </c>
    </row>
    <row r="1920" spans="1:7" ht="14.5">
      <c r="A1920" s="17" t="s">
        <v>14295</v>
      </c>
      <c r="B1920" s="17">
        <v>997</v>
      </c>
      <c r="C1920" s="17">
        <v>108</v>
      </c>
      <c r="D1920" s="17">
        <v>270</v>
      </c>
      <c r="E1920" s="17">
        <v>9898</v>
      </c>
      <c r="F1920" s="17">
        <v>3</v>
      </c>
      <c r="G1920" s="13">
        <v>44978</v>
      </c>
    </row>
    <row r="1921" spans="1:7" ht="14.5">
      <c r="A1921" s="17" t="s">
        <v>14296</v>
      </c>
      <c r="B1921" s="17">
        <v>110</v>
      </c>
      <c r="C1921" s="17">
        <v>70</v>
      </c>
      <c r="D1921" s="17">
        <v>0</v>
      </c>
      <c r="E1921" s="17">
        <v>232</v>
      </c>
      <c r="F1921" s="17">
        <v>0</v>
      </c>
      <c r="G1921" s="13">
        <v>44978</v>
      </c>
    </row>
    <row r="1922" spans="1:7" ht="14.5">
      <c r="A1922" s="17" t="s">
        <v>14297</v>
      </c>
      <c r="B1922" s="17">
        <v>101</v>
      </c>
      <c r="C1922" s="17">
        <v>91</v>
      </c>
      <c r="D1922" s="17">
        <v>0</v>
      </c>
      <c r="E1922" s="17">
        <v>205</v>
      </c>
      <c r="F1922" s="17">
        <v>0</v>
      </c>
      <c r="G1922" s="13">
        <v>44978</v>
      </c>
    </row>
    <row r="1923" spans="1:7" ht="14.5">
      <c r="A1923" s="17" t="s">
        <v>14298</v>
      </c>
      <c r="B1923" s="17">
        <v>397</v>
      </c>
      <c r="C1923" s="17">
        <v>57</v>
      </c>
      <c r="D1923" s="17">
        <v>1</v>
      </c>
      <c r="E1923" s="17">
        <v>4729</v>
      </c>
      <c r="F1923" s="17">
        <v>0</v>
      </c>
      <c r="G1923" s="13">
        <v>44978</v>
      </c>
    </row>
    <row r="1924" spans="1:7" ht="14.5">
      <c r="A1924" s="17" t="s">
        <v>14299</v>
      </c>
      <c r="B1924" s="17">
        <v>1528</v>
      </c>
      <c r="C1924" s="17">
        <v>77</v>
      </c>
      <c r="D1924" s="17">
        <v>99</v>
      </c>
      <c r="E1924" s="17">
        <v>14868</v>
      </c>
      <c r="F1924" s="17">
        <v>0</v>
      </c>
      <c r="G1924" s="13">
        <v>44978</v>
      </c>
    </row>
    <row r="1925" spans="1:7" ht="14.5">
      <c r="A1925" s="17" t="s">
        <v>14300</v>
      </c>
      <c r="B1925" s="17">
        <v>1441</v>
      </c>
      <c r="C1925" s="17">
        <v>101</v>
      </c>
      <c r="D1925" s="17">
        <v>3</v>
      </c>
      <c r="E1925" s="17">
        <v>15686</v>
      </c>
      <c r="F1925" s="17">
        <v>0</v>
      </c>
      <c r="G1925" s="13">
        <v>44978</v>
      </c>
    </row>
    <row r="1926" spans="1:7" ht="14.5">
      <c r="A1926" s="17" t="s">
        <v>14301</v>
      </c>
      <c r="B1926" s="17">
        <v>116</v>
      </c>
      <c r="C1926" s="17">
        <v>114</v>
      </c>
      <c r="D1926" s="17">
        <v>54</v>
      </c>
      <c r="E1926" s="17">
        <v>66</v>
      </c>
      <c r="F1926" s="17">
        <v>2</v>
      </c>
      <c r="G1926" s="13">
        <v>44978</v>
      </c>
    </row>
    <row r="1927" spans="1:7" ht="14.5">
      <c r="A1927" s="17" t="s">
        <v>14302</v>
      </c>
      <c r="B1927" s="17">
        <v>1089</v>
      </c>
      <c r="C1927" s="17">
        <v>175</v>
      </c>
      <c r="D1927" s="17">
        <v>7</v>
      </c>
      <c r="E1927" s="17">
        <v>11738</v>
      </c>
      <c r="F1927" s="17">
        <v>1</v>
      </c>
      <c r="G1927" s="13">
        <v>44978</v>
      </c>
    </row>
    <row r="1928" spans="1:7" ht="14.5">
      <c r="A1928" s="17" t="s">
        <v>14303</v>
      </c>
      <c r="B1928" s="17">
        <v>73</v>
      </c>
      <c r="C1928" s="17">
        <v>39</v>
      </c>
      <c r="D1928" s="17">
        <v>0</v>
      </c>
      <c r="E1928" s="17">
        <v>104</v>
      </c>
      <c r="F1928" s="17">
        <v>0</v>
      </c>
      <c r="G1928" s="13">
        <v>44978</v>
      </c>
    </row>
    <row r="1929" spans="1:7" ht="14.5">
      <c r="A1929" s="17" t="s">
        <v>14304</v>
      </c>
      <c r="B1929" s="17">
        <v>49</v>
      </c>
      <c r="C1929" s="17">
        <v>20</v>
      </c>
      <c r="D1929" s="17">
        <v>1</v>
      </c>
      <c r="E1929" s="17">
        <v>359</v>
      </c>
      <c r="F1929" s="17">
        <v>0</v>
      </c>
      <c r="G1929" s="13">
        <v>44978</v>
      </c>
    </row>
    <row r="1930" spans="1:7" ht="14.5">
      <c r="A1930" s="17" t="s">
        <v>14305</v>
      </c>
      <c r="B1930" s="17">
        <v>411</v>
      </c>
      <c r="C1930" s="17">
        <v>463</v>
      </c>
      <c r="D1930" s="17">
        <v>718</v>
      </c>
      <c r="E1930" s="17">
        <v>30</v>
      </c>
      <c r="F1930" s="17">
        <v>205</v>
      </c>
      <c r="G1930" s="13">
        <v>44978</v>
      </c>
    </row>
    <row r="1931" spans="1:7" ht="14.5">
      <c r="A1931" s="17" t="s">
        <v>14306</v>
      </c>
      <c r="B1931" s="17">
        <v>45</v>
      </c>
      <c r="C1931" s="17">
        <v>14</v>
      </c>
      <c r="D1931" s="17">
        <v>0</v>
      </c>
      <c r="E1931" s="17">
        <v>321</v>
      </c>
      <c r="F1931" s="17">
        <v>0</v>
      </c>
      <c r="G1931" s="13">
        <v>44978</v>
      </c>
    </row>
    <row r="1932" spans="1:7" ht="14.5">
      <c r="A1932" s="17" t="s">
        <v>14307</v>
      </c>
      <c r="B1932" s="17">
        <v>2</v>
      </c>
      <c r="C1932" s="17">
        <v>6</v>
      </c>
      <c r="D1932" s="17">
        <v>0</v>
      </c>
      <c r="E1932" s="17">
        <v>14</v>
      </c>
      <c r="F1932" s="17">
        <v>0</v>
      </c>
      <c r="G1932" s="13">
        <v>44978</v>
      </c>
    </row>
    <row r="1933" spans="1:7" ht="14.5">
      <c r="A1933" s="17" t="s">
        <v>14308</v>
      </c>
      <c r="B1933" s="17">
        <v>42</v>
      </c>
      <c r="C1933" s="17">
        <v>41</v>
      </c>
      <c r="D1933" s="17">
        <v>1</v>
      </c>
      <c r="E1933" s="17">
        <v>6</v>
      </c>
      <c r="F1933" s="17">
        <v>0</v>
      </c>
      <c r="G1933" s="13">
        <v>44978</v>
      </c>
    </row>
    <row r="1934" spans="1:7" ht="14.5">
      <c r="A1934" s="17" t="s">
        <v>14309</v>
      </c>
      <c r="B1934" s="17">
        <v>29</v>
      </c>
      <c r="C1934" s="17">
        <v>40</v>
      </c>
      <c r="D1934" s="17">
        <v>1</v>
      </c>
      <c r="E1934" s="17">
        <v>98</v>
      </c>
      <c r="F1934" s="17">
        <v>0</v>
      </c>
      <c r="G1934" s="13">
        <v>44978</v>
      </c>
    </row>
    <row r="1935" spans="1:7" ht="14.5">
      <c r="A1935" s="17" t="s">
        <v>14310</v>
      </c>
      <c r="B1935" s="17">
        <v>62</v>
      </c>
      <c r="C1935" s="17">
        <v>44</v>
      </c>
      <c r="D1935" s="17">
        <v>33</v>
      </c>
      <c r="E1935" s="17">
        <v>298</v>
      </c>
      <c r="F1935" s="17">
        <v>0</v>
      </c>
      <c r="G1935" s="13">
        <v>44978</v>
      </c>
    </row>
    <row r="1936" spans="1:7" ht="14.5">
      <c r="A1936" s="17" t="s">
        <v>14311</v>
      </c>
      <c r="B1936" s="17">
        <v>105</v>
      </c>
      <c r="C1936" s="17">
        <v>83</v>
      </c>
      <c r="D1936" s="17">
        <v>2</v>
      </c>
      <c r="E1936" s="17">
        <v>327</v>
      </c>
      <c r="F1936" s="17">
        <v>0</v>
      </c>
      <c r="G1936" s="13">
        <v>44978</v>
      </c>
    </row>
    <row r="1937" spans="1:7" ht="14.5">
      <c r="A1937" s="17" t="s">
        <v>14312</v>
      </c>
      <c r="B1937" s="17">
        <v>22</v>
      </c>
      <c r="C1937" s="17">
        <v>59</v>
      </c>
      <c r="D1937" s="17">
        <v>1</v>
      </c>
      <c r="E1937" s="17">
        <v>17</v>
      </c>
      <c r="F1937" s="17">
        <v>0</v>
      </c>
      <c r="G1937" s="13">
        <v>44978</v>
      </c>
    </row>
    <row r="1938" spans="1:7" ht="14.5">
      <c r="A1938" s="17" t="s">
        <v>14313</v>
      </c>
      <c r="B1938" s="17">
        <v>221</v>
      </c>
      <c r="C1938" s="17">
        <v>81</v>
      </c>
      <c r="D1938" s="17">
        <v>161</v>
      </c>
      <c r="E1938" s="17">
        <v>1042</v>
      </c>
      <c r="F1938" s="17">
        <v>4</v>
      </c>
      <c r="G1938" s="13">
        <v>44978</v>
      </c>
    </row>
    <row r="1939" spans="1:7" ht="14.5">
      <c r="A1939" s="17" t="s">
        <v>14314</v>
      </c>
      <c r="B1939" s="17">
        <v>42</v>
      </c>
      <c r="C1939" s="17">
        <v>6</v>
      </c>
      <c r="D1939" s="17">
        <v>4</v>
      </c>
      <c r="E1939" s="17">
        <v>2</v>
      </c>
      <c r="F1939" s="17">
        <v>0</v>
      </c>
      <c r="G1939" s="13">
        <v>44978</v>
      </c>
    </row>
    <row r="1940" spans="1:7" ht="14.5">
      <c r="A1940" s="17" t="s">
        <v>14315</v>
      </c>
      <c r="B1940" s="17">
        <v>34</v>
      </c>
      <c r="C1940" s="17">
        <v>23</v>
      </c>
      <c r="D1940" s="17">
        <v>4</v>
      </c>
      <c r="E1940" s="17">
        <v>0</v>
      </c>
      <c r="F1940" s="17">
        <v>0</v>
      </c>
      <c r="G1940" s="13">
        <v>44978</v>
      </c>
    </row>
    <row r="1941" spans="1:7" ht="14.5">
      <c r="A1941" s="17" t="s">
        <v>14316</v>
      </c>
      <c r="B1941" s="17">
        <v>103</v>
      </c>
      <c r="C1941" s="17">
        <v>34</v>
      </c>
      <c r="D1941" s="17">
        <v>8</v>
      </c>
      <c r="E1941" s="17">
        <v>116</v>
      </c>
      <c r="F1941" s="17">
        <v>0</v>
      </c>
      <c r="G1941" s="13">
        <v>44978</v>
      </c>
    </row>
    <row r="1942" spans="1:7" ht="14.5">
      <c r="A1942" s="17" t="s">
        <v>14317</v>
      </c>
      <c r="B1942" s="17">
        <v>127</v>
      </c>
      <c r="C1942" s="17">
        <v>118</v>
      </c>
      <c r="D1942" s="17">
        <v>98</v>
      </c>
      <c r="E1942" s="17">
        <v>407</v>
      </c>
      <c r="F1942" s="17">
        <v>2</v>
      </c>
      <c r="G1942" s="13">
        <v>44978</v>
      </c>
    </row>
    <row r="1943" spans="1:7" ht="14.5">
      <c r="A1943" s="17" t="s">
        <v>14318</v>
      </c>
      <c r="B1943" s="17">
        <v>65</v>
      </c>
      <c r="C1943" s="17">
        <v>31</v>
      </c>
      <c r="D1943" s="17">
        <v>13</v>
      </c>
      <c r="E1943" s="17">
        <v>5</v>
      </c>
      <c r="F1943" s="17">
        <v>0</v>
      </c>
      <c r="G1943" s="13">
        <v>44978</v>
      </c>
    </row>
    <row r="1944" spans="1:7" ht="14.5">
      <c r="A1944" s="17" t="s">
        <v>14319</v>
      </c>
      <c r="B1944" s="17">
        <v>98</v>
      </c>
      <c r="C1944" s="17">
        <v>68</v>
      </c>
      <c r="D1944" s="17">
        <v>3</v>
      </c>
      <c r="E1944" s="17">
        <v>50</v>
      </c>
      <c r="F1944" s="17">
        <v>1</v>
      </c>
      <c r="G1944" s="13">
        <v>44978</v>
      </c>
    </row>
    <row r="1945" spans="1:7" ht="14.5">
      <c r="A1945" s="17" t="s">
        <v>14320</v>
      </c>
      <c r="B1945" s="17">
        <v>181</v>
      </c>
      <c r="C1945" s="17">
        <v>28</v>
      </c>
      <c r="D1945" s="17">
        <v>9</v>
      </c>
      <c r="E1945" s="17">
        <v>1058</v>
      </c>
      <c r="F1945" s="17">
        <v>0</v>
      </c>
      <c r="G1945" s="13">
        <v>44978</v>
      </c>
    </row>
    <row r="1946" spans="1:7" ht="14.5">
      <c r="A1946" s="17" t="s">
        <v>14321</v>
      </c>
      <c r="B1946" s="17">
        <v>80</v>
      </c>
      <c r="C1946" s="17">
        <v>31</v>
      </c>
      <c r="D1946" s="17">
        <v>0</v>
      </c>
      <c r="E1946" s="17">
        <v>823</v>
      </c>
      <c r="F1946" s="17">
        <v>0</v>
      </c>
      <c r="G1946" s="13">
        <v>44978</v>
      </c>
    </row>
    <row r="1947" spans="1:7" ht="14.5">
      <c r="A1947" s="17" t="s">
        <v>14322</v>
      </c>
      <c r="B1947" s="17">
        <v>81</v>
      </c>
      <c r="C1947" s="17">
        <v>71</v>
      </c>
      <c r="D1947" s="17">
        <v>3</v>
      </c>
      <c r="E1947" s="17">
        <v>198</v>
      </c>
      <c r="F1947" s="17">
        <v>0</v>
      </c>
      <c r="G1947" s="13">
        <v>44978</v>
      </c>
    </row>
    <row r="1948" spans="1:7" ht="14.5">
      <c r="A1948" s="17" t="s">
        <v>14323</v>
      </c>
      <c r="B1948" s="17">
        <v>71</v>
      </c>
      <c r="C1948" s="17">
        <v>17</v>
      </c>
      <c r="D1948" s="17">
        <v>11</v>
      </c>
      <c r="E1948" s="17">
        <v>620</v>
      </c>
      <c r="F1948" s="17">
        <v>0</v>
      </c>
      <c r="G1948" s="13">
        <v>44978</v>
      </c>
    </row>
    <row r="1949" spans="1:7" ht="14.5">
      <c r="A1949" s="17" t="s">
        <v>14324</v>
      </c>
      <c r="B1949" s="17">
        <v>46</v>
      </c>
      <c r="C1949" s="17">
        <v>50</v>
      </c>
      <c r="D1949" s="17">
        <v>103</v>
      </c>
      <c r="E1949" s="17">
        <v>204</v>
      </c>
      <c r="F1949" s="17">
        <v>0</v>
      </c>
      <c r="G1949" s="13">
        <v>44978</v>
      </c>
    </row>
    <row r="1950" spans="1:7" ht="14.5">
      <c r="A1950" s="17" t="s">
        <v>14325</v>
      </c>
      <c r="B1950" s="17">
        <v>166</v>
      </c>
      <c r="C1950" s="17">
        <v>73</v>
      </c>
      <c r="D1950" s="17">
        <v>12</v>
      </c>
      <c r="E1950" s="17">
        <v>254</v>
      </c>
      <c r="F1950" s="17">
        <v>3</v>
      </c>
      <c r="G1950" s="13">
        <v>44978</v>
      </c>
    </row>
    <row r="1951" spans="1:7" ht="14.5">
      <c r="A1951" s="17" t="s">
        <v>14326</v>
      </c>
      <c r="B1951" s="17">
        <v>58</v>
      </c>
      <c r="C1951" s="17">
        <v>46</v>
      </c>
      <c r="D1951" s="17">
        <v>1</v>
      </c>
      <c r="E1951" s="17">
        <v>0</v>
      </c>
      <c r="F1951" s="17">
        <v>0</v>
      </c>
      <c r="G1951" s="13">
        <v>44978</v>
      </c>
    </row>
    <row r="1952" spans="1:7" ht="14.5">
      <c r="A1952" s="17" t="s">
        <v>14327</v>
      </c>
      <c r="B1952" s="17">
        <v>56</v>
      </c>
      <c r="C1952" s="17">
        <v>68</v>
      </c>
      <c r="D1952" s="17">
        <v>0</v>
      </c>
      <c r="E1952" s="17">
        <v>74</v>
      </c>
      <c r="F1952" s="17">
        <v>0</v>
      </c>
      <c r="G1952" s="13">
        <v>44978</v>
      </c>
    </row>
    <row r="1953" spans="1:7" ht="14.5">
      <c r="A1953" s="17" t="s">
        <v>14328</v>
      </c>
      <c r="B1953" s="17">
        <v>55</v>
      </c>
      <c r="C1953" s="17">
        <v>59</v>
      </c>
      <c r="D1953" s="17">
        <v>3</v>
      </c>
      <c r="E1953" s="17">
        <v>26</v>
      </c>
      <c r="F1953" s="17">
        <v>0</v>
      </c>
      <c r="G1953" s="13">
        <v>44978</v>
      </c>
    </row>
    <row r="1954" spans="1:7" ht="14.5">
      <c r="A1954" s="17" t="s">
        <v>14329</v>
      </c>
      <c r="B1954" s="17">
        <v>44</v>
      </c>
      <c r="C1954" s="17">
        <v>40</v>
      </c>
      <c r="D1954" s="17">
        <v>26</v>
      </c>
      <c r="E1954" s="17">
        <v>18</v>
      </c>
      <c r="F1954" s="17">
        <v>0</v>
      </c>
      <c r="G1954" s="13">
        <v>44978</v>
      </c>
    </row>
    <row r="1955" spans="1:7" ht="14.5">
      <c r="A1955" s="17" t="s">
        <v>14330</v>
      </c>
      <c r="B1955" s="17">
        <v>63</v>
      </c>
      <c r="C1955" s="17">
        <v>19</v>
      </c>
      <c r="D1955" s="17">
        <v>2</v>
      </c>
      <c r="E1955" s="17">
        <v>22</v>
      </c>
      <c r="F1955" s="17">
        <v>0</v>
      </c>
      <c r="G1955" s="13">
        <v>44978</v>
      </c>
    </row>
    <row r="1956" spans="1:7" ht="14.5">
      <c r="A1956" s="17" t="s">
        <v>14331</v>
      </c>
      <c r="B1956" s="17">
        <v>206</v>
      </c>
      <c r="C1956" s="17">
        <v>98</v>
      </c>
      <c r="D1956" s="17">
        <v>35</v>
      </c>
      <c r="E1956" s="17">
        <v>2084</v>
      </c>
      <c r="F1956" s="17">
        <v>0</v>
      </c>
      <c r="G1956" s="13">
        <v>44978</v>
      </c>
    </row>
    <row r="1957" spans="1:7" ht="14.5">
      <c r="A1957" s="17" t="s">
        <v>14332</v>
      </c>
      <c r="B1957" s="17">
        <v>1992</v>
      </c>
      <c r="C1957" s="17">
        <v>843</v>
      </c>
      <c r="D1957" s="17">
        <v>14</v>
      </c>
      <c r="E1957" s="17">
        <v>5115</v>
      </c>
      <c r="F1957" s="17">
        <v>1</v>
      </c>
      <c r="G1957" s="13">
        <v>44978</v>
      </c>
    </row>
    <row r="1958" spans="1:7" ht="14.5">
      <c r="A1958" s="17" t="s">
        <v>14333</v>
      </c>
      <c r="B1958" s="17">
        <v>18</v>
      </c>
      <c r="C1958" s="17">
        <v>47</v>
      </c>
      <c r="D1958" s="17">
        <v>1</v>
      </c>
      <c r="E1958" s="17">
        <v>79</v>
      </c>
      <c r="F1958" s="17">
        <v>0</v>
      </c>
      <c r="G1958" s="13">
        <v>44978</v>
      </c>
    </row>
    <row r="1959" spans="1:7" ht="14.5">
      <c r="A1959" s="17" t="s">
        <v>14334</v>
      </c>
      <c r="B1959" s="17">
        <v>27</v>
      </c>
      <c r="C1959" s="17">
        <v>103</v>
      </c>
      <c r="D1959" s="17">
        <v>1</v>
      </c>
      <c r="E1959" s="17">
        <v>5</v>
      </c>
      <c r="F1959" s="17">
        <v>0</v>
      </c>
      <c r="G1959" s="13">
        <v>44978</v>
      </c>
    </row>
    <row r="1960" spans="1:7" ht="14.5">
      <c r="A1960" s="17" t="s">
        <v>14335</v>
      </c>
      <c r="B1960" s="17">
        <v>239</v>
      </c>
      <c r="C1960" s="17">
        <v>218</v>
      </c>
      <c r="D1960" s="17">
        <v>0</v>
      </c>
      <c r="E1960" s="17">
        <v>12</v>
      </c>
      <c r="F1960" s="17">
        <v>0</v>
      </c>
      <c r="G1960" s="13">
        <v>44978</v>
      </c>
    </row>
    <row r="1961" spans="1:7" ht="14.5">
      <c r="A1961" s="17" t="s">
        <v>14336</v>
      </c>
      <c r="B1961" s="17">
        <v>203</v>
      </c>
      <c r="C1961" s="17">
        <v>18</v>
      </c>
      <c r="D1961" s="17">
        <v>9</v>
      </c>
      <c r="E1961" s="17">
        <v>619</v>
      </c>
      <c r="F1961" s="17">
        <v>0</v>
      </c>
      <c r="G1961" s="13">
        <v>44978</v>
      </c>
    </row>
    <row r="1962" spans="1:7" ht="14.5">
      <c r="A1962" s="17" t="s">
        <v>14337</v>
      </c>
      <c r="B1962" s="17">
        <v>164</v>
      </c>
      <c r="C1962" s="17">
        <v>87</v>
      </c>
      <c r="D1962" s="17">
        <v>25</v>
      </c>
      <c r="E1962" s="17">
        <v>172</v>
      </c>
      <c r="F1962" s="17">
        <v>0</v>
      </c>
      <c r="G1962" s="13">
        <v>44978</v>
      </c>
    </row>
    <row r="1963" spans="1:7" ht="14.5">
      <c r="A1963" s="17" t="s">
        <v>14338</v>
      </c>
      <c r="B1963" s="17">
        <v>28</v>
      </c>
      <c r="C1963" s="17">
        <v>29</v>
      </c>
      <c r="D1963" s="17">
        <v>2</v>
      </c>
      <c r="E1963" s="17">
        <v>4</v>
      </c>
      <c r="F1963" s="17">
        <v>1</v>
      </c>
      <c r="G1963" s="13">
        <v>44978</v>
      </c>
    </row>
    <row r="1964" spans="1:7" ht="14.5">
      <c r="A1964" s="17" t="s">
        <v>14339</v>
      </c>
      <c r="B1964" s="17">
        <v>39</v>
      </c>
      <c r="C1964" s="17">
        <v>51</v>
      </c>
      <c r="D1964" s="17">
        <v>2</v>
      </c>
      <c r="E1964" s="17">
        <v>15</v>
      </c>
      <c r="F1964" s="17">
        <v>0</v>
      </c>
      <c r="G1964" s="13">
        <v>44978</v>
      </c>
    </row>
    <row r="1965" spans="1:7" ht="14.5">
      <c r="A1965" s="17" t="s">
        <v>14340</v>
      </c>
      <c r="B1965" s="17">
        <v>64</v>
      </c>
      <c r="C1965" s="17">
        <v>46</v>
      </c>
      <c r="D1965" s="17">
        <v>10</v>
      </c>
      <c r="E1965" s="17">
        <v>129</v>
      </c>
      <c r="F1965" s="17">
        <v>0</v>
      </c>
      <c r="G1965" s="13">
        <v>44978</v>
      </c>
    </row>
    <row r="1966" spans="1:7" ht="14.5">
      <c r="A1966" s="17" t="s">
        <v>14341</v>
      </c>
      <c r="B1966" s="17">
        <v>93</v>
      </c>
      <c r="C1966" s="17">
        <v>61</v>
      </c>
      <c r="D1966" s="17">
        <v>47</v>
      </c>
      <c r="E1966" s="17">
        <v>337</v>
      </c>
      <c r="F1966" s="17">
        <v>0</v>
      </c>
      <c r="G1966" s="13">
        <v>44978</v>
      </c>
    </row>
    <row r="1967" spans="1:7" ht="14.5">
      <c r="A1967" s="17" t="s">
        <v>14342</v>
      </c>
      <c r="B1967" s="17">
        <v>98</v>
      </c>
      <c r="C1967" s="17">
        <v>70</v>
      </c>
      <c r="D1967" s="17">
        <v>3</v>
      </c>
      <c r="E1967" s="17">
        <v>5</v>
      </c>
      <c r="F1967" s="17">
        <v>1</v>
      </c>
      <c r="G1967" s="13">
        <v>44978</v>
      </c>
    </row>
    <row r="1968" spans="1:7" ht="14.5">
      <c r="A1968" s="17" t="s">
        <v>14343</v>
      </c>
      <c r="B1968" s="17">
        <v>18</v>
      </c>
      <c r="C1968" s="17">
        <v>18</v>
      </c>
      <c r="D1968" s="17">
        <v>1</v>
      </c>
      <c r="E1968" s="17">
        <v>10</v>
      </c>
      <c r="F1968" s="17">
        <v>0</v>
      </c>
      <c r="G1968" s="13">
        <v>44978</v>
      </c>
    </row>
    <row r="1969" spans="1:7" ht="14.5">
      <c r="A1969" s="17" t="s">
        <v>14344</v>
      </c>
      <c r="B1969" s="17">
        <v>123</v>
      </c>
      <c r="C1969" s="17">
        <v>95</v>
      </c>
      <c r="D1969" s="17">
        <v>28</v>
      </c>
      <c r="E1969" s="17">
        <v>443</v>
      </c>
      <c r="F1969" s="17">
        <v>1</v>
      </c>
      <c r="G1969" s="13">
        <v>44978</v>
      </c>
    </row>
    <row r="1970" spans="1:7" ht="14.5">
      <c r="A1970" s="17" t="s">
        <v>14345</v>
      </c>
      <c r="B1970" s="17">
        <v>114</v>
      </c>
      <c r="C1970" s="17">
        <v>67</v>
      </c>
      <c r="D1970" s="17">
        <v>7</v>
      </c>
      <c r="E1970" s="17">
        <v>56</v>
      </c>
      <c r="F1970" s="17">
        <v>0</v>
      </c>
      <c r="G1970" s="13">
        <v>44978</v>
      </c>
    </row>
    <row r="1971" spans="1:7" ht="14.5">
      <c r="A1971" s="17" t="s">
        <v>14346</v>
      </c>
      <c r="B1971" s="17">
        <v>43</v>
      </c>
      <c r="C1971" s="17">
        <v>39</v>
      </c>
      <c r="D1971" s="17">
        <v>14</v>
      </c>
      <c r="E1971" s="17">
        <v>153</v>
      </c>
      <c r="F1971" s="17">
        <v>0</v>
      </c>
      <c r="G1971" s="13">
        <v>44978</v>
      </c>
    </row>
    <row r="1972" spans="1:7" ht="14.5">
      <c r="A1972" s="17" t="s">
        <v>14347</v>
      </c>
      <c r="B1972" s="17">
        <v>26</v>
      </c>
      <c r="C1972" s="17">
        <v>44</v>
      </c>
      <c r="D1972" s="17">
        <v>2</v>
      </c>
      <c r="E1972" s="17">
        <v>14</v>
      </c>
      <c r="F1972" s="17">
        <v>0</v>
      </c>
      <c r="G1972" s="13">
        <v>44978</v>
      </c>
    </row>
    <row r="1973" spans="1:7" ht="14.5">
      <c r="A1973" s="17" t="s">
        <v>14348</v>
      </c>
      <c r="B1973" s="17">
        <v>75</v>
      </c>
      <c r="C1973" s="17">
        <v>84</v>
      </c>
      <c r="D1973" s="17">
        <v>19</v>
      </c>
      <c r="E1973" s="17">
        <v>25</v>
      </c>
      <c r="F1973" s="17">
        <v>0</v>
      </c>
      <c r="G1973" s="13">
        <v>44978</v>
      </c>
    </row>
    <row r="1974" spans="1:7" ht="14.5">
      <c r="A1974" s="17" t="s">
        <v>14349</v>
      </c>
      <c r="B1974" s="17">
        <v>524</v>
      </c>
      <c r="C1974" s="17">
        <v>76</v>
      </c>
      <c r="D1974" s="17">
        <v>18</v>
      </c>
      <c r="E1974" s="17">
        <v>2229</v>
      </c>
      <c r="F1974" s="17">
        <v>0</v>
      </c>
      <c r="G1974" s="13">
        <v>44978</v>
      </c>
    </row>
    <row r="1975" spans="1:7" ht="14.5">
      <c r="A1975" s="17" t="s">
        <v>14350</v>
      </c>
      <c r="B1975" s="17">
        <v>29</v>
      </c>
      <c r="C1975" s="17">
        <v>59</v>
      </c>
      <c r="D1975" s="17">
        <v>0</v>
      </c>
      <c r="E1975" s="17">
        <v>6</v>
      </c>
      <c r="F1975" s="17">
        <v>0</v>
      </c>
      <c r="G1975" s="13">
        <v>44978</v>
      </c>
    </row>
    <row r="1976" spans="1:7" ht="14.5">
      <c r="A1976" s="17" t="s">
        <v>14351</v>
      </c>
      <c r="B1976" s="17">
        <v>88</v>
      </c>
      <c r="C1976" s="17">
        <v>37</v>
      </c>
      <c r="D1976" s="17">
        <v>41</v>
      </c>
      <c r="E1976" s="17">
        <v>92</v>
      </c>
      <c r="F1976" s="17">
        <v>0</v>
      </c>
      <c r="G1976" s="13">
        <v>44978</v>
      </c>
    </row>
    <row r="1977" spans="1:7" ht="14.5">
      <c r="A1977" s="17" t="s">
        <v>14352</v>
      </c>
      <c r="B1977" s="17">
        <v>79</v>
      </c>
      <c r="C1977" s="17">
        <v>32</v>
      </c>
      <c r="D1977" s="17">
        <v>10</v>
      </c>
      <c r="E1977" s="17">
        <v>32</v>
      </c>
      <c r="F1977" s="17">
        <v>0</v>
      </c>
      <c r="G1977" s="13">
        <v>44978</v>
      </c>
    </row>
    <row r="1978" spans="1:7" ht="14.5">
      <c r="A1978" s="17" t="s">
        <v>14353</v>
      </c>
      <c r="B1978" s="17">
        <v>151</v>
      </c>
      <c r="C1978" s="17">
        <v>64</v>
      </c>
      <c r="D1978" s="17">
        <v>1</v>
      </c>
      <c r="E1978" s="17">
        <v>616</v>
      </c>
      <c r="F1978" s="17">
        <v>0</v>
      </c>
      <c r="G1978" s="13">
        <v>44978</v>
      </c>
    </row>
    <row r="1979" spans="1:7" ht="14.5">
      <c r="A1979" s="17" t="s">
        <v>14354</v>
      </c>
      <c r="B1979" s="17">
        <v>56</v>
      </c>
      <c r="C1979" s="17">
        <v>39</v>
      </c>
      <c r="D1979" s="17">
        <v>3</v>
      </c>
      <c r="E1979" s="17">
        <v>131</v>
      </c>
      <c r="F1979" s="17">
        <v>0</v>
      </c>
      <c r="G1979" s="13">
        <v>44978</v>
      </c>
    </row>
    <row r="1980" spans="1:7" ht="14.5">
      <c r="A1980" s="17" t="s">
        <v>14355</v>
      </c>
      <c r="B1980" s="17">
        <v>51</v>
      </c>
      <c r="C1980" s="17">
        <v>31</v>
      </c>
      <c r="D1980" s="17">
        <v>7</v>
      </c>
      <c r="E1980" s="17">
        <v>1654</v>
      </c>
      <c r="F1980" s="17">
        <v>0</v>
      </c>
      <c r="G1980" s="13">
        <v>44978</v>
      </c>
    </row>
    <row r="1981" spans="1:7" ht="14.5">
      <c r="A1981" s="17" t="s">
        <v>14356</v>
      </c>
      <c r="B1981" s="17">
        <v>37</v>
      </c>
      <c r="C1981" s="17">
        <v>38</v>
      </c>
      <c r="D1981" s="17">
        <v>0</v>
      </c>
      <c r="E1981" s="17">
        <v>19</v>
      </c>
      <c r="F1981" s="17">
        <v>0</v>
      </c>
      <c r="G1981" s="13">
        <v>44978</v>
      </c>
    </row>
    <row r="1982" spans="1:7" ht="14.5">
      <c r="A1982" s="17" t="s">
        <v>14357</v>
      </c>
      <c r="B1982" s="17">
        <v>146</v>
      </c>
      <c r="C1982" s="17">
        <v>61</v>
      </c>
      <c r="D1982" s="17">
        <v>23</v>
      </c>
      <c r="E1982" s="17">
        <v>76</v>
      </c>
      <c r="F1982" s="17">
        <v>0</v>
      </c>
      <c r="G1982" s="13">
        <v>44978</v>
      </c>
    </row>
    <row r="1983" spans="1:7" ht="14.5">
      <c r="A1983" s="17" t="s">
        <v>14358</v>
      </c>
      <c r="B1983" s="17">
        <v>74</v>
      </c>
      <c r="C1983" s="17">
        <v>23</v>
      </c>
      <c r="D1983" s="17">
        <v>21</v>
      </c>
      <c r="E1983" s="17">
        <v>51</v>
      </c>
      <c r="F1983" s="17">
        <v>0</v>
      </c>
      <c r="G1983" s="13">
        <v>44978</v>
      </c>
    </row>
    <row r="1984" spans="1:7" ht="14.5">
      <c r="A1984" s="17" t="s">
        <v>14359</v>
      </c>
      <c r="B1984" s="17">
        <v>72</v>
      </c>
      <c r="C1984" s="17">
        <v>55</v>
      </c>
      <c r="D1984" s="17">
        <v>5</v>
      </c>
      <c r="E1984" s="17">
        <v>196</v>
      </c>
      <c r="F1984" s="17">
        <v>0</v>
      </c>
      <c r="G1984" s="13">
        <v>44978</v>
      </c>
    </row>
    <row r="1985" spans="1:7" ht="14.5">
      <c r="A1985" s="17" t="s">
        <v>14360</v>
      </c>
      <c r="B1985" s="17">
        <v>29</v>
      </c>
      <c r="C1985" s="17">
        <v>21</v>
      </c>
      <c r="D1985" s="17">
        <v>6</v>
      </c>
      <c r="E1985" s="17">
        <v>5</v>
      </c>
      <c r="F1985" s="17">
        <v>1</v>
      </c>
      <c r="G1985" s="13">
        <v>44978</v>
      </c>
    </row>
    <row r="1986" spans="1:7" ht="14.5">
      <c r="A1986" s="17" t="s">
        <v>14361</v>
      </c>
      <c r="B1986" s="17">
        <v>23</v>
      </c>
      <c r="C1986" s="17">
        <v>4</v>
      </c>
      <c r="D1986" s="17">
        <v>1</v>
      </c>
      <c r="E1986" s="17">
        <v>11</v>
      </c>
      <c r="F1986" s="17">
        <v>0</v>
      </c>
      <c r="G1986" s="13">
        <v>44978</v>
      </c>
    </row>
    <row r="1987" spans="1:7" ht="14.5">
      <c r="A1987" s="17" t="s">
        <v>14362</v>
      </c>
      <c r="B1987" s="17">
        <v>66</v>
      </c>
      <c r="C1987" s="17">
        <v>39</v>
      </c>
      <c r="D1987" s="17">
        <v>7</v>
      </c>
      <c r="E1987" s="17">
        <v>40</v>
      </c>
      <c r="F1987" s="17">
        <v>0</v>
      </c>
      <c r="G1987" s="13">
        <v>44978</v>
      </c>
    </row>
    <row r="1988" spans="1:7" ht="14.5">
      <c r="A1988" s="17" t="s">
        <v>14363</v>
      </c>
      <c r="B1988" s="17">
        <v>55</v>
      </c>
      <c r="C1988" s="17">
        <v>74</v>
      </c>
      <c r="D1988" s="17">
        <v>23</v>
      </c>
      <c r="E1988" s="17">
        <v>47</v>
      </c>
      <c r="F1988" s="17">
        <v>0</v>
      </c>
      <c r="G1988" s="13">
        <v>44978</v>
      </c>
    </row>
    <row r="1989" spans="1:7" ht="14.5">
      <c r="A1989" s="17" t="s">
        <v>14364</v>
      </c>
      <c r="B1989" s="17">
        <v>74</v>
      </c>
      <c r="C1989" s="17">
        <v>30</v>
      </c>
      <c r="D1989" s="17">
        <v>28</v>
      </c>
      <c r="E1989" s="17">
        <v>60</v>
      </c>
      <c r="F1989" s="17">
        <v>1</v>
      </c>
      <c r="G1989" s="13">
        <v>44978</v>
      </c>
    </row>
    <row r="1990" spans="1:7" ht="14.5">
      <c r="A1990" s="17" t="s">
        <v>14365</v>
      </c>
      <c r="B1990" s="17">
        <v>38</v>
      </c>
      <c r="C1990" s="17">
        <v>12</v>
      </c>
      <c r="D1990" s="17">
        <v>1</v>
      </c>
      <c r="E1990" s="17">
        <v>13</v>
      </c>
      <c r="F1990" s="17">
        <v>0</v>
      </c>
      <c r="G1990" s="13">
        <v>44978</v>
      </c>
    </row>
    <row r="1991" spans="1:7" ht="14.5">
      <c r="A1991" s="17" t="s">
        <v>14366</v>
      </c>
      <c r="B1991" s="17">
        <v>25</v>
      </c>
      <c r="C1991" s="17">
        <v>33</v>
      </c>
      <c r="D1991" s="17">
        <v>2</v>
      </c>
      <c r="E1991" s="17">
        <v>5</v>
      </c>
      <c r="F1991" s="17">
        <v>0</v>
      </c>
      <c r="G1991" s="13">
        <v>44978</v>
      </c>
    </row>
    <row r="1992" spans="1:7" ht="14.5">
      <c r="A1992" s="17" t="s">
        <v>14367</v>
      </c>
      <c r="B1992" s="17">
        <v>109</v>
      </c>
      <c r="C1992" s="17">
        <v>37</v>
      </c>
      <c r="D1992" s="17">
        <v>0</v>
      </c>
      <c r="E1992" s="17">
        <v>12</v>
      </c>
      <c r="F1992" s="17">
        <v>0</v>
      </c>
      <c r="G1992" s="13">
        <v>44978</v>
      </c>
    </row>
    <row r="1993" spans="1:7" ht="14.5">
      <c r="A1993" s="17" t="s">
        <v>14368</v>
      </c>
      <c r="B1993" s="17">
        <v>16</v>
      </c>
      <c r="C1993" s="17">
        <v>54</v>
      </c>
      <c r="D1993" s="17">
        <v>2</v>
      </c>
      <c r="E1993" s="17">
        <v>6</v>
      </c>
      <c r="F1993" s="17">
        <v>0</v>
      </c>
      <c r="G1993" s="13">
        <v>44978</v>
      </c>
    </row>
    <row r="1994" spans="1:7" ht="14.5">
      <c r="A1994" s="17" t="s">
        <v>14369</v>
      </c>
      <c r="B1994" s="17">
        <v>104</v>
      </c>
      <c r="C1994" s="17">
        <v>20</v>
      </c>
      <c r="D1994" s="17">
        <v>15</v>
      </c>
      <c r="E1994" s="17">
        <v>41</v>
      </c>
      <c r="F1994" s="17">
        <v>2</v>
      </c>
      <c r="G1994" s="13">
        <v>44978</v>
      </c>
    </row>
    <row r="1995" spans="1:7" ht="14.5">
      <c r="A1995" s="17" t="s">
        <v>14370</v>
      </c>
      <c r="B1995" s="17">
        <v>48</v>
      </c>
      <c r="C1995" s="17">
        <v>11</v>
      </c>
      <c r="D1995" s="17">
        <v>0</v>
      </c>
      <c r="E1995" s="17">
        <v>656</v>
      </c>
      <c r="F1995" s="17">
        <v>0</v>
      </c>
      <c r="G1995" s="13">
        <v>44978</v>
      </c>
    </row>
    <row r="1996" spans="1:7" ht="14.5">
      <c r="A1996" s="17" t="s">
        <v>14371</v>
      </c>
      <c r="B1996" s="17">
        <v>51</v>
      </c>
      <c r="C1996" s="17">
        <v>14</v>
      </c>
      <c r="D1996" s="17">
        <v>21</v>
      </c>
      <c r="E1996" s="17">
        <v>1</v>
      </c>
      <c r="F1996" s="17">
        <v>0</v>
      </c>
      <c r="G1996" s="13">
        <v>44978</v>
      </c>
    </row>
    <row r="1997" spans="1:7" ht="14.5">
      <c r="A1997" s="17" t="s">
        <v>14372</v>
      </c>
      <c r="B1997" s="17">
        <v>225</v>
      </c>
      <c r="C1997" s="17">
        <v>68</v>
      </c>
      <c r="D1997" s="17">
        <v>89</v>
      </c>
      <c r="E1997" s="17">
        <v>1473</v>
      </c>
      <c r="F1997" s="17">
        <v>3</v>
      </c>
      <c r="G1997" s="13">
        <v>44978</v>
      </c>
    </row>
    <row r="1998" spans="1:7" ht="14.5">
      <c r="A1998" s="17" t="s">
        <v>14373</v>
      </c>
      <c r="B1998" s="17">
        <v>60</v>
      </c>
      <c r="C1998" s="17">
        <v>85</v>
      </c>
      <c r="D1998" s="17">
        <v>3</v>
      </c>
      <c r="E1998" s="17">
        <v>22</v>
      </c>
      <c r="F1998" s="17">
        <v>0</v>
      </c>
      <c r="G1998" s="13">
        <v>44978</v>
      </c>
    </row>
    <row r="1999" spans="1:7" ht="14.5">
      <c r="A1999" s="17" t="s">
        <v>14374</v>
      </c>
      <c r="B1999" s="17">
        <v>48</v>
      </c>
      <c r="C1999" s="17">
        <v>22</v>
      </c>
      <c r="D1999" s="17">
        <v>0</v>
      </c>
      <c r="E1999" s="17">
        <v>7</v>
      </c>
      <c r="F1999" s="17">
        <v>0</v>
      </c>
      <c r="G1999" s="13">
        <v>44978</v>
      </c>
    </row>
    <row r="2000" spans="1:7" ht="14.5">
      <c r="A2000" s="17" t="s">
        <v>14375</v>
      </c>
      <c r="B2000" s="17">
        <v>78</v>
      </c>
      <c r="C2000" s="17">
        <v>41</v>
      </c>
      <c r="D2000" s="17">
        <v>0</v>
      </c>
      <c r="E2000" s="17">
        <v>30</v>
      </c>
      <c r="F2000" s="17">
        <v>0</v>
      </c>
      <c r="G2000" s="13">
        <v>44978</v>
      </c>
    </row>
    <row r="2001" spans="1:7" ht="14.5">
      <c r="A2001" s="17" t="s">
        <v>14376</v>
      </c>
      <c r="B2001" s="17">
        <v>139</v>
      </c>
      <c r="C2001" s="17">
        <v>108</v>
      </c>
      <c r="D2001" s="17">
        <v>8</v>
      </c>
      <c r="E2001" s="17">
        <v>54</v>
      </c>
      <c r="F2001" s="17">
        <v>1</v>
      </c>
      <c r="G2001" s="13">
        <v>44978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X1001"/>
  <sheetViews>
    <sheetView workbookViewId="0">
      <pane ySplit="1" topLeftCell="A2" activePane="bottomLeft" state="frozen"/>
      <selection pane="bottomLeft" activeCell="B3" sqref="B3"/>
    </sheetView>
  </sheetViews>
  <sheetFormatPr defaultColWidth="12.6328125" defaultRowHeight="15.75" customHeight="1"/>
  <cols>
    <col min="1" max="1" width="42.08984375" customWidth="1"/>
  </cols>
  <sheetData>
    <row r="1" spans="1:24" ht="15.75" customHeight="1">
      <c r="A1" s="87"/>
      <c r="B1" s="88" t="s">
        <v>14377</v>
      </c>
      <c r="C1" s="88" t="s">
        <v>14378</v>
      </c>
      <c r="D1" s="88" t="s">
        <v>14379</v>
      </c>
      <c r="E1" s="88" t="s">
        <v>14380</v>
      </c>
      <c r="F1" s="88" t="s">
        <v>14381</v>
      </c>
      <c r="G1" s="82"/>
      <c r="H1" s="82"/>
      <c r="I1" s="82"/>
      <c r="J1" s="82"/>
      <c r="K1" s="82"/>
      <c r="L1" s="82"/>
      <c r="M1" s="82"/>
      <c r="N1" s="82"/>
      <c r="O1" s="82"/>
      <c r="P1" s="82"/>
      <c r="Q1" s="82"/>
      <c r="R1" s="82"/>
      <c r="S1" s="82"/>
      <c r="T1" s="82"/>
      <c r="U1" s="82"/>
      <c r="V1" s="82"/>
      <c r="W1" s="82"/>
      <c r="X1" s="82"/>
    </row>
    <row r="2" spans="1:24" ht="14">
      <c r="A2" s="16" t="str">
        <f ca="1">IFERROR(__xludf.DUMMYFUNCTION("IMPORTRANGE(""https://docs.google.com/spreadsheets/d/14vPQhjkb1FnoIkJTl9wXcWKUYOGYFHiTODOOwUvftKU"", ""Deals!$A2:$A"")"),"American Chemical Society TA 2022")</f>
        <v>American Chemical Society TA 2022</v>
      </c>
      <c r="B2" s="89">
        <f ca="1">IFERROR(AVERAGEIFS(Articles!$W:$W, Articles!$H:$H, A2, Articles!$W:$W, "&lt;&gt;"), "")</f>
        <v>10.25</v>
      </c>
      <c r="C2" s="90">
        <f ca="1">IFERROR(AVERAGEIFS(Articles!$X:$X, Articles!$H:$H, A2, Articles!$X:$X, "&lt;&gt;"), "")</f>
        <v>10.666666666666666</v>
      </c>
      <c r="D2" s="91">
        <f ca="1">IFERROR(AVERAGEIFS(Articles!$Y:$Y, Articles!$H:$H, A2, Articles!$Y:$Y, "&lt;&gt;"), "")</f>
        <v>10.791666666666666</v>
      </c>
      <c r="E2" s="91">
        <f ca="1">IFERROR(AVERAGEIFS(Articles!$Z:$Z, Articles!$H:$H, A2, Articles!$Z:$Z, "&lt;&gt;"), "")</f>
        <v>0</v>
      </c>
      <c r="F2" s="91">
        <f ca="1">IFERROR(AVERAGEIFS(Articles!$AA:$AA, Articles!$H:$H, A2, Articles!$AA:$AA, "&lt;&gt;"), "")</f>
        <v>0.16666666666666666</v>
      </c>
    </row>
    <row r="3" spans="1:24" ht="14">
      <c r="A3" s="9" t="str">
        <f ca="1">IFERROR(__xludf.DUMMYFUNCTION("""COMPUTED_VALUE"""),"American Chemical Society TA 2023")</f>
        <v>American Chemical Society TA 2023</v>
      </c>
      <c r="B3" s="89" t="str">
        <f ca="1">IFERROR(AVERAGEIFS(Articles!$W:$W, Articles!$H:$H, A3, Articles!$W:$W, "&lt;&gt;"), "")</f>
        <v/>
      </c>
      <c r="C3" s="90" t="str">
        <f ca="1">IFERROR(AVERAGEIFS(Articles!$X:$X, Articles!$H:$H, A3, Articles!$X:$X, "&lt;&gt;"), "")</f>
        <v/>
      </c>
      <c r="D3" s="91" t="str">
        <f ca="1">IFERROR(AVERAGEIFS(Articles!$Y:$Y, Articles!$H:$H, A3, Articles!$Y:$Y, "&lt;&gt;"), "")</f>
        <v/>
      </c>
      <c r="E3" s="91" t="str">
        <f ca="1">IFERROR(AVERAGEIFS(Articles!$Z:$Z, Articles!$H:$H, A3, Articles!$Z:$Z, "&lt;&gt;"), "")</f>
        <v/>
      </c>
      <c r="F3" s="91" t="str">
        <f ca="1">IFERROR(AVERAGEIFS(Articles!$AA:$AA, Articles!$H:$H, A3, Articles!$AA:$AA, "&lt;&gt;"), "")</f>
        <v/>
      </c>
    </row>
    <row r="4" spans="1:24" ht="14">
      <c r="A4" s="9" t="str">
        <f ca="1">IFERROR(__xludf.DUMMYFUNCTION("""COMPUTED_VALUE"""),"American Chemical Society TA 2024")</f>
        <v>American Chemical Society TA 2024</v>
      </c>
      <c r="B4" s="89" t="str">
        <f ca="1">IFERROR(AVERAGEIFS(Articles!$W:$W, Articles!$H:$H, A4, Articles!$W:$W, "&lt;&gt;"), "")</f>
        <v/>
      </c>
      <c r="C4" s="90" t="str">
        <f ca="1">IFERROR(AVERAGEIFS(Articles!$X:$X, Articles!$H:$H, A4, Articles!$X:$X, "&lt;&gt;"), "")</f>
        <v/>
      </c>
      <c r="D4" s="91" t="str">
        <f ca="1">IFERROR(AVERAGEIFS(Articles!$Y:$Y, Articles!$H:$H, A4, Articles!$Y:$Y, "&lt;&gt;"), "")</f>
        <v/>
      </c>
      <c r="E4" s="91" t="str">
        <f ca="1">IFERROR(AVERAGEIFS(Articles!$Z:$Z, Articles!$H:$H, A4, Articles!$Z:$Z, "&lt;&gt;"), "")</f>
        <v/>
      </c>
      <c r="F4" s="91" t="str">
        <f ca="1">IFERROR(AVERAGEIFS(Articles!$AA:$AA, Articles!$H:$H, A4, Articles!$AA:$AA, "&lt;&gt;"), "")</f>
        <v/>
      </c>
    </row>
    <row r="5" spans="1:24" ht="14">
      <c r="A5" s="9" t="str">
        <f ca="1">IFERROR(__xludf.DUMMYFUNCTION("""COMPUTED_VALUE"""),"American Institute of Physics TA 2022")</f>
        <v>American Institute of Physics TA 2022</v>
      </c>
      <c r="B5" s="89" t="str">
        <f ca="1">IFERROR(AVERAGEIFS(Articles!$W:$W, Articles!$H:$H, A5, Articles!$W:$W, "&lt;&gt;"), "")</f>
        <v/>
      </c>
      <c r="C5" s="90" t="str">
        <f ca="1">IFERROR(AVERAGEIFS(Articles!$X:$X, Articles!$H:$H, A5, Articles!$X:$X, "&lt;&gt;"), "")</f>
        <v/>
      </c>
      <c r="D5" s="91" t="str">
        <f ca="1">IFERROR(AVERAGEIFS(Articles!$Y:$Y, Articles!$H:$H, A5, Articles!$Y:$Y, "&lt;&gt;"), "")</f>
        <v/>
      </c>
      <c r="E5" s="91" t="str">
        <f ca="1">IFERROR(AVERAGEIFS(Articles!$Z:$Z, Articles!$H:$H, A5, Articles!$Z:$Z, "&lt;&gt;"), "")</f>
        <v/>
      </c>
      <c r="F5" s="91" t="str">
        <f ca="1">IFERROR(AVERAGEIFS(Articles!$AA:$AA, Articles!$H:$H, A5, Articles!$AA:$AA, "&lt;&gt;"), "")</f>
        <v/>
      </c>
    </row>
    <row r="6" spans="1:24" ht="14">
      <c r="A6" s="9" t="str">
        <f ca="1">IFERROR(__xludf.DUMMYFUNCTION("""COMPUTED_VALUE"""),"American Institute of Physics TA 2023")</f>
        <v>American Institute of Physics TA 2023</v>
      </c>
      <c r="B6" s="89" t="str">
        <f ca="1">IFERROR(AVERAGEIFS(Articles!$W:$W, Articles!$H:$H, A6, Articles!$W:$W, "&lt;&gt;"), "")</f>
        <v/>
      </c>
      <c r="C6" s="90" t="str">
        <f ca="1">IFERROR(AVERAGEIFS(Articles!$X:$X, Articles!$H:$H, A6, Articles!$X:$X, "&lt;&gt;"), "")</f>
        <v/>
      </c>
      <c r="D6" s="91" t="str">
        <f ca="1">IFERROR(AVERAGEIFS(Articles!$Y:$Y, Articles!$H:$H, A6, Articles!$Y:$Y, "&lt;&gt;"), "")</f>
        <v/>
      </c>
      <c r="E6" s="91" t="str">
        <f ca="1">IFERROR(AVERAGEIFS(Articles!$Z:$Z, Articles!$H:$H, A6, Articles!$Z:$Z, "&lt;&gt;"), "")</f>
        <v/>
      </c>
      <c r="F6" s="91" t="str">
        <f ca="1">IFERROR(AVERAGEIFS(Articles!$AA:$AA, Articles!$H:$H, A6, Articles!$AA:$AA, "&lt;&gt;"), "")</f>
        <v/>
      </c>
    </row>
    <row r="7" spans="1:24" ht="14">
      <c r="A7" s="9" t="str">
        <f ca="1">IFERROR(__xludf.DUMMYFUNCTION("""COMPUTED_VALUE"""),"American Institute of Physics TA 2024")</f>
        <v>American Institute of Physics TA 2024</v>
      </c>
      <c r="B7" s="89" t="str">
        <f ca="1">IFERROR(AVERAGEIFS(Articles!$W:$W, Articles!$H:$H, A7, Articles!$W:$W, "&lt;&gt;"), "")</f>
        <v/>
      </c>
      <c r="C7" s="90" t="str">
        <f ca="1">IFERROR(AVERAGEIFS(Articles!$X:$X, Articles!$H:$H, A7, Articles!$X:$X, "&lt;&gt;"), "")</f>
        <v/>
      </c>
      <c r="D7" s="91" t="str">
        <f ca="1">IFERROR(AVERAGEIFS(Articles!$Y:$Y, Articles!$H:$H, A7, Articles!$Y:$Y, "&lt;&gt;"), "")</f>
        <v/>
      </c>
      <c r="E7" s="91" t="str">
        <f ca="1">IFERROR(AVERAGEIFS(Articles!$Z:$Z, Articles!$H:$H, A7, Articles!$Z:$Z, "&lt;&gt;"), "")</f>
        <v/>
      </c>
      <c r="F7" s="91" t="str">
        <f ca="1">IFERROR(AVERAGEIFS(Articles!$AA:$AA, Articles!$H:$H, A7, Articles!$AA:$AA, "&lt;&gt;"), "")</f>
        <v/>
      </c>
    </row>
    <row r="8" spans="1:24" ht="14">
      <c r="A8" s="9" t="str">
        <f ca="1">IFERROR(__xludf.DUMMYFUNCTION("""COMPUTED_VALUE"""),"American Institute of Physics TA 2025")</f>
        <v>American Institute of Physics TA 2025</v>
      </c>
      <c r="B8" s="89" t="str">
        <f ca="1">IFERROR(AVERAGEIFS(Articles!$W:$W, Articles!$H:$H, A8, Articles!$W:$W, "&lt;&gt;"), "")</f>
        <v/>
      </c>
      <c r="C8" s="90" t="str">
        <f ca="1">IFERROR(AVERAGEIFS(Articles!$X:$X, Articles!$H:$H, A8, Articles!$X:$X, "&lt;&gt;"), "")</f>
        <v/>
      </c>
      <c r="D8" s="91" t="str">
        <f ca="1">IFERROR(AVERAGEIFS(Articles!$Y:$Y, Articles!$H:$H, A8, Articles!$Y:$Y, "&lt;&gt;"), "")</f>
        <v/>
      </c>
      <c r="E8" s="91" t="str">
        <f ca="1">IFERROR(AVERAGEIFS(Articles!$Z:$Z, Articles!$H:$H, A8, Articles!$Z:$Z, "&lt;&gt;"), "")</f>
        <v/>
      </c>
      <c r="F8" s="91" t="str">
        <f ca="1">IFERROR(AVERAGEIFS(Articles!$AA:$AA, Articles!$H:$H, A8, Articles!$AA:$AA, "&lt;&gt;"), "")</f>
        <v/>
      </c>
    </row>
    <row r="9" spans="1:24" ht="14">
      <c r="A9" s="9" t="str">
        <f ca="1">IFERROR(__xludf.DUMMYFUNCTION("""COMPUTED_VALUE"""),"American Physical Society TA 2023")</f>
        <v>American Physical Society TA 2023</v>
      </c>
      <c r="B9" s="89" t="str">
        <f ca="1">IFERROR(AVERAGEIFS(Articles!$W:$W, Articles!$H:$H, A9, Articles!$W:$W, "&lt;&gt;"), "")</f>
        <v/>
      </c>
      <c r="C9" s="90" t="str">
        <f ca="1">IFERROR(AVERAGEIFS(Articles!$X:$X, Articles!$H:$H, A9, Articles!$X:$X, "&lt;&gt;"), "")</f>
        <v/>
      </c>
      <c r="D9" s="91" t="str">
        <f ca="1">IFERROR(AVERAGEIFS(Articles!$Y:$Y, Articles!$H:$H, A9, Articles!$Y:$Y, "&lt;&gt;"), "")</f>
        <v/>
      </c>
      <c r="E9" s="91" t="str">
        <f ca="1">IFERROR(AVERAGEIFS(Articles!$Z:$Z, Articles!$H:$H, A9, Articles!$Z:$Z, "&lt;&gt;"), "")</f>
        <v/>
      </c>
      <c r="F9" s="91" t="str">
        <f ca="1">IFERROR(AVERAGEIFS(Articles!$AA:$AA, Articles!$H:$H, A9, Articles!$AA:$AA, "&lt;&gt;"), "")</f>
        <v/>
      </c>
    </row>
    <row r="10" spans="1:24" ht="14">
      <c r="A10" s="9" t="str">
        <f ca="1">IFERROR(__xludf.DUMMYFUNCTION("""COMPUTED_VALUE"""),"American Physical Society TA 2024")</f>
        <v>American Physical Society TA 2024</v>
      </c>
      <c r="B10" s="89" t="str">
        <f ca="1">IFERROR(AVERAGEIFS(Articles!$W:$W, Articles!$H:$H, A10, Articles!$W:$W, "&lt;&gt;"), "")</f>
        <v/>
      </c>
      <c r="C10" s="90" t="str">
        <f ca="1">IFERROR(AVERAGEIFS(Articles!$X:$X, Articles!$H:$H, A10, Articles!$X:$X, "&lt;&gt;"), "")</f>
        <v/>
      </c>
      <c r="D10" s="91" t="str">
        <f ca="1">IFERROR(AVERAGEIFS(Articles!$Y:$Y, Articles!$H:$H, A10, Articles!$Y:$Y, "&lt;&gt;"), "")</f>
        <v/>
      </c>
      <c r="E10" s="91" t="str">
        <f ca="1">IFERROR(AVERAGEIFS(Articles!$Z:$Z, Articles!$H:$H, A10, Articles!$Z:$Z, "&lt;&gt;"), "")</f>
        <v/>
      </c>
      <c r="F10" s="91" t="str">
        <f ca="1">IFERROR(AVERAGEIFS(Articles!$AA:$AA, Articles!$H:$H, A10, Articles!$AA:$AA, "&lt;&gt;"), "")</f>
        <v/>
      </c>
    </row>
    <row r="11" spans="1:24" ht="14">
      <c r="A11" s="9" t="str">
        <f ca="1">IFERROR(__xludf.DUMMYFUNCTION("""COMPUTED_VALUE"""),"American Physical Society TA 2025")</f>
        <v>American Physical Society TA 2025</v>
      </c>
      <c r="B11" s="89" t="str">
        <f ca="1">IFERROR(AVERAGEIFS(Articles!$W:$W, Articles!$H:$H, A11, Articles!$W:$W, "&lt;&gt;"), "")</f>
        <v/>
      </c>
      <c r="C11" s="90" t="str">
        <f ca="1">IFERROR(AVERAGEIFS(Articles!$X:$X, Articles!$H:$H, A11, Articles!$X:$X, "&lt;&gt;"), "")</f>
        <v/>
      </c>
      <c r="D11" s="91" t="str">
        <f ca="1">IFERROR(AVERAGEIFS(Articles!$Y:$Y, Articles!$H:$H, A11, Articles!$Y:$Y, "&lt;&gt;"), "")</f>
        <v/>
      </c>
      <c r="E11" s="91" t="str">
        <f ca="1">IFERROR(AVERAGEIFS(Articles!$Z:$Z, Articles!$H:$H, A11, Articles!$Z:$Z, "&lt;&gt;"), "")</f>
        <v/>
      </c>
      <c r="F11" s="91" t="str">
        <f ca="1">IFERROR(AVERAGEIFS(Articles!$AA:$AA, Articles!$H:$H, A11, Articles!$AA:$AA, "&lt;&gt;"), "")</f>
        <v/>
      </c>
    </row>
    <row r="12" spans="1:24" ht="14">
      <c r="A12" s="9" t="str">
        <f ca="1">IFERROR(__xludf.DUMMYFUNCTION("""COMPUTED_VALUE"""),"American Psychological Association TA 2022-2023")</f>
        <v>American Psychological Association TA 2022-2023</v>
      </c>
      <c r="B12" s="89" t="str">
        <f ca="1">IFERROR(AVERAGEIFS(Articles!$W:$W, Articles!$H:$H, A12, Articles!$W:$W, "&lt;&gt;"), "")</f>
        <v/>
      </c>
      <c r="C12" s="90" t="str">
        <f ca="1">IFERROR(AVERAGEIFS(Articles!$X:$X, Articles!$H:$H, A12, Articles!$X:$X, "&lt;&gt;"), "")</f>
        <v/>
      </c>
      <c r="D12" s="91" t="str">
        <f ca="1">IFERROR(AVERAGEIFS(Articles!$Y:$Y, Articles!$H:$H, A12, Articles!$Y:$Y, "&lt;&gt;"), "")</f>
        <v/>
      </c>
      <c r="E12" s="91" t="str">
        <f ca="1">IFERROR(AVERAGEIFS(Articles!$Z:$Z, Articles!$H:$H, A12, Articles!$Z:$Z, "&lt;&gt;"), "")</f>
        <v/>
      </c>
      <c r="F12" s="91" t="str">
        <f ca="1">IFERROR(AVERAGEIFS(Articles!$AA:$AA, Articles!$H:$H, A12, Articles!$AA:$AA, "&lt;&gt;"), "")</f>
        <v/>
      </c>
    </row>
    <row r="13" spans="1:24" ht="14">
      <c r="A13" s="9" t="str">
        <f ca="1">IFERROR(__xludf.DUMMYFUNCTION("""COMPUTED_VALUE"""),"American Psychological Association TA 2023-2024")</f>
        <v>American Psychological Association TA 2023-2024</v>
      </c>
      <c r="B13" s="89" t="str">
        <f ca="1">IFERROR(AVERAGEIFS(Articles!$W:$W, Articles!$H:$H, A13, Articles!$W:$W, "&lt;&gt;"), "")</f>
        <v/>
      </c>
      <c r="C13" s="90" t="str">
        <f ca="1">IFERROR(AVERAGEIFS(Articles!$X:$X, Articles!$H:$H, A13, Articles!$X:$X, "&lt;&gt;"), "")</f>
        <v/>
      </c>
      <c r="D13" s="91" t="str">
        <f ca="1">IFERROR(AVERAGEIFS(Articles!$Y:$Y, Articles!$H:$H, A13, Articles!$Y:$Y, "&lt;&gt;"), "")</f>
        <v/>
      </c>
      <c r="E13" s="91" t="str">
        <f ca="1">IFERROR(AVERAGEIFS(Articles!$Z:$Z, Articles!$H:$H, A13, Articles!$Z:$Z, "&lt;&gt;"), "")</f>
        <v/>
      </c>
      <c r="F13" s="91" t="str">
        <f ca="1">IFERROR(AVERAGEIFS(Articles!$AA:$AA, Articles!$H:$H, A13, Articles!$AA:$AA, "&lt;&gt;"), "")</f>
        <v/>
      </c>
    </row>
    <row r="14" spans="1:24" ht="14">
      <c r="A14" s="9" t="str">
        <f ca="1">IFERROR(__xludf.DUMMYFUNCTION("""COMPUTED_VALUE"""),"Brill TA 2020")</f>
        <v>Brill TA 2020</v>
      </c>
      <c r="B14" s="89">
        <f ca="1">IFERROR(AVERAGEIFS(Articles!$W:$W, Articles!$H:$H, A14, Articles!$W:$W, "&lt;&gt;"), "")</f>
        <v>3.1666666666666665</v>
      </c>
      <c r="C14" s="90">
        <f ca="1">IFERROR(AVERAGEIFS(Articles!$X:$X, Articles!$H:$H, A14, Articles!$X:$X, "&lt;&gt;"), "")</f>
        <v>0</v>
      </c>
      <c r="D14" s="91">
        <f ca="1">IFERROR(AVERAGEIFS(Articles!$Y:$Y, Articles!$H:$H, A14, Articles!$Y:$Y, "&lt;&gt;"), "")</f>
        <v>0.16666666666666666</v>
      </c>
      <c r="E14" s="91">
        <f ca="1">IFERROR(AVERAGEIFS(Articles!$Z:$Z, Articles!$H:$H, A14, Articles!$Z:$Z, "&lt;&gt;"), "")</f>
        <v>0</v>
      </c>
      <c r="F14" s="91">
        <f ca="1">IFERROR(AVERAGEIFS(Articles!$AA:$AA, Articles!$H:$H, A14, Articles!$AA:$AA, "&lt;&gt;"), "")</f>
        <v>0.16666666666666666</v>
      </c>
    </row>
    <row r="15" spans="1:24" ht="14">
      <c r="A15" s="9" t="str">
        <f ca="1">IFERROR(__xludf.DUMMYFUNCTION("""COMPUTED_VALUE"""),"Brill TA 2021")</f>
        <v>Brill TA 2021</v>
      </c>
      <c r="B15" s="89">
        <f ca="1">IFERROR(AVERAGEIFS(Articles!$W:$W, Articles!$H:$H, A15, Articles!$W:$W, "&lt;&gt;"), "")</f>
        <v>6.6</v>
      </c>
      <c r="C15" s="90">
        <f ca="1">IFERROR(AVERAGEIFS(Articles!$X:$X, Articles!$H:$H, A15, Articles!$X:$X, "&lt;&gt;"), "")</f>
        <v>0.2</v>
      </c>
      <c r="D15" s="91">
        <f ca="1">IFERROR(AVERAGEIFS(Articles!$Y:$Y, Articles!$H:$H, A15, Articles!$Y:$Y, "&lt;&gt;"), "")</f>
        <v>0.2</v>
      </c>
      <c r="E15" s="91">
        <f ca="1">IFERROR(AVERAGEIFS(Articles!$Z:$Z, Articles!$H:$H, A15, Articles!$Z:$Z, "&lt;&gt;"), "")</f>
        <v>0</v>
      </c>
      <c r="F15" s="91">
        <f ca="1">IFERROR(AVERAGEIFS(Articles!$AA:$AA, Articles!$H:$H, A15, Articles!$AA:$AA, "&lt;&gt;"), "")</f>
        <v>0</v>
      </c>
    </row>
    <row r="16" spans="1:24" ht="14">
      <c r="A16" s="9" t="str">
        <f ca="1">IFERROR(__xludf.DUMMYFUNCTION("""COMPUTED_VALUE"""),"Brill TA 2022")</f>
        <v>Brill TA 2022</v>
      </c>
      <c r="B16" s="89" t="str">
        <f ca="1">IFERROR(AVERAGEIFS(Articles!$W:$W, Articles!$H:$H, A16, Articles!$W:$W, "&lt;&gt;"), "")</f>
        <v/>
      </c>
      <c r="C16" s="90" t="str">
        <f ca="1">IFERROR(AVERAGEIFS(Articles!$X:$X, Articles!$H:$H, A16, Articles!$X:$X, "&lt;&gt;"), "")</f>
        <v/>
      </c>
      <c r="D16" s="91" t="str">
        <f ca="1">IFERROR(AVERAGEIFS(Articles!$Y:$Y, Articles!$H:$H, A16, Articles!$Y:$Y, "&lt;&gt;"), "")</f>
        <v/>
      </c>
      <c r="E16" s="91" t="str">
        <f ca="1">IFERROR(AVERAGEIFS(Articles!$Z:$Z, Articles!$H:$H, A16, Articles!$Z:$Z, "&lt;&gt;"), "")</f>
        <v/>
      </c>
      <c r="F16" s="91" t="str">
        <f ca="1">IFERROR(AVERAGEIFS(Articles!$AA:$AA, Articles!$H:$H, A16, Articles!$AA:$AA, "&lt;&gt;"), "")</f>
        <v/>
      </c>
    </row>
    <row r="17" spans="1:6" ht="14">
      <c r="A17" s="9" t="str">
        <f ca="1">IFERROR(__xludf.DUMMYFUNCTION("""COMPUTED_VALUE"""),"Brill TA 2023")</f>
        <v>Brill TA 2023</v>
      </c>
      <c r="B17" s="89" t="str">
        <f ca="1">IFERROR(AVERAGEIFS(Articles!$W:$W, Articles!$H:$H, A17, Articles!$W:$W, "&lt;&gt;"), "")</f>
        <v/>
      </c>
      <c r="C17" s="90" t="str">
        <f ca="1">IFERROR(AVERAGEIFS(Articles!$X:$X, Articles!$H:$H, A17, Articles!$X:$X, "&lt;&gt;"), "")</f>
        <v/>
      </c>
      <c r="D17" s="91" t="str">
        <f ca="1">IFERROR(AVERAGEIFS(Articles!$Y:$Y, Articles!$H:$H, A17, Articles!$Y:$Y, "&lt;&gt;"), "")</f>
        <v/>
      </c>
      <c r="E17" s="91" t="str">
        <f ca="1">IFERROR(AVERAGEIFS(Articles!$Z:$Z, Articles!$H:$H, A17, Articles!$Z:$Z, "&lt;&gt;"), "")</f>
        <v/>
      </c>
      <c r="F17" s="91" t="str">
        <f ca="1">IFERROR(AVERAGEIFS(Articles!$AA:$AA, Articles!$H:$H, A17, Articles!$AA:$AA, "&lt;&gt;"), "")</f>
        <v/>
      </c>
    </row>
    <row r="18" spans="1:6" ht="14">
      <c r="A18" s="9" t="str">
        <f ca="1">IFERROR(__xludf.DUMMYFUNCTION("""COMPUTED_VALUE"""),"Brill TA 2024")</f>
        <v>Brill TA 2024</v>
      </c>
      <c r="B18" s="89" t="str">
        <f ca="1">IFERROR(AVERAGEIFS(Articles!$W:$W, Articles!$H:$H, A18, Articles!$W:$W, "&lt;&gt;"), "")</f>
        <v/>
      </c>
      <c r="C18" s="90" t="str">
        <f ca="1">IFERROR(AVERAGEIFS(Articles!$X:$X, Articles!$H:$H, A18, Articles!$X:$X, "&lt;&gt;"), "")</f>
        <v/>
      </c>
      <c r="D18" s="91" t="str">
        <f ca="1">IFERROR(AVERAGEIFS(Articles!$Y:$Y, Articles!$H:$H, A18, Articles!$Y:$Y, "&lt;&gt;"), "")</f>
        <v/>
      </c>
      <c r="E18" s="91" t="str">
        <f ca="1">IFERROR(AVERAGEIFS(Articles!$Z:$Z, Articles!$H:$H, A18, Articles!$Z:$Z, "&lt;&gt;"), "")</f>
        <v/>
      </c>
      <c r="F18" s="91" t="str">
        <f ca="1">IFERROR(AVERAGEIFS(Articles!$AA:$AA, Articles!$H:$H, A18, Articles!$AA:$AA, "&lt;&gt;"), "")</f>
        <v/>
      </c>
    </row>
    <row r="19" spans="1:6" ht="14">
      <c r="A19" s="9" t="str">
        <f ca="1">IFERROR(__xludf.DUMMYFUNCTION("""COMPUTED_VALUE"""),"BMJ TA 2021")</f>
        <v>BMJ TA 2021</v>
      </c>
      <c r="B19" s="89">
        <f ca="1">IFERROR(AVERAGEIFS(Articles!$W:$W, Articles!$H:$H, A19, Articles!$W:$W, "&lt;&gt;"), "")</f>
        <v>2</v>
      </c>
      <c r="C19" s="90">
        <f ca="1">IFERROR(AVERAGEIFS(Articles!$X:$X, Articles!$H:$H, A19, Articles!$X:$X, "&lt;&gt;"), "")</f>
        <v>0</v>
      </c>
      <c r="D19" s="91">
        <f ca="1">IFERROR(AVERAGEIFS(Articles!$Y:$Y, Articles!$H:$H, A19, Articles!$Y:$Y, "&lt;&gt;"), "")</f>
        <v>0</v>
      </c>
      <c r="E19" s="91">
        <f ca="1">IFERROR(AVERAGEIFS(Articles!$Z:$Z, Articles!$H:$H, A19, Articles!$Z:$Z, "&lt;&gt;"), "")</f>
        <v>0</v>
      </c>
      <c r="F19" s="91">
        <f ca="1">IFERROR(AVERAGEIFS(Articles!$AA:$AA, Articles!$H:$H, A19, Articles!$AA:$AA, "&lt;&gt;"), "")</f>
        <v>0</v>
      </c>
    </row>
    <row r="20" spans="1:6" ht="14">
      <c r="A20" s="9" t="str">
        <f ca="1">IFERROR(__xludf.DUMMYFUNCTION("""COMPUTED_VALUE"""),"BMJ TA 2022")</f>
        <v>BMJ TA 2022</v>
      </c>
      <c r="B20" s="89" t="str">
        <f ca="1">IFERROR(AVERAGEIFS(Articles!$W:$W, Articles!$H:$H, A20, Articles!$W:$W, "&lt;&gt;"), "")</f>
        <v/>
      </c>
      <c r="C20" s="90" t="str">
        <f ca="1">IFERROR(AVERAGEIFS(Articles!$X:$X, Articles!$H:$H, A20, Articles!$X:$X, "&lt;&gt;"), "")</f>
        <v/>
      </c>
      <c r="D20" s="91" t="str">
        <f ca="1">IFERROR(AVERAGEIFS(Articles!$Y:$Y, Articles!$H:$H, A20, Articles!$Y:$Y, "&lt;&gt;"), "")</f>
        <v/>
      </c>
      <c r="E20" s="91" t="str">
        <f ca="1">IFERROR(AVERAGEIFS(Articles!$Z:$Z, Articles!$H:$H, A20, Articles!$Z:$Z, "&lt;&gt;"), "")</f>
        <v/>
      </c>
      <c r="F20" s="91" t="str">
        <f ca="1">IFERROR(AVERAGEIFS(Articles!$AA:$AA, Articles!$H:$H, A20, Articles!$AA:$AA, "&lt;&gt;"), "")</f>
        <v/>
      </c>
    </row>
    <row r="21" spans="1:6" ht="14">
      <c r="A21" s="9" t="str">
        <f ca="1">IFERROR(__xludf.DUMMYFUNCTION("""COMPUTED_VALUE"""),"BMJ TA 2023")</f>
        <v>BMJ TA 2023</v>
      </c>
      <c r="B21" s="89" t="str">
        <f ca="1">IFERROR(AVERAGEIFS(Articles!$W:$W, Articles!$H:$H, A21, Articles!$W:$W, "&lt;&gt;"), "")</f>
        <v/>
      </c>
      <c r="C21" s="90" t="str">
        <f ca="1">IFERROR(AVERAGEIFS(Articles!$X:$X, Articles!$H:$H, A21, Articles!$X:$X, "&lt;&gt;"), "")</f>
        <v/>
      </c>
      <c r="D21" s="91" t="str">
        <f ca="1">IFERROR(AVERAGEIFS(Articles!$Y:$Y, Articles!$H:$H, A21, Articles!$Y:$Y, "&lt;&gt;"), "")</f>
        <v/>
      </c>
      <c r="E21" s="91" t="str">
        <f ca="1">IFERROR(AVERAGEIFS(Articles!$Z:$Z, Articles!$H:$H, A21, Articles!$Z:$Z, "&lt;&gt;"), "")</f>
        <v/>
      </c>
      <c r="F21" s="91" t="str">
        <f ca="1">IFERROR(AVERAGEIFS(Articles!$AA:$AA, Articles!$H:$H, A21, Articles!$AA:$AA, "&lt;&gt;"), "")</f>
        <v/>
      </c>
    </row>
    <row r="22" spans="1:6" ht="14">
      <c r="A22" s="9" t="str">
        <f ca="1">IFERROR(__xludf.DUMMYFUNCTION("""COMPUTED_VALUE"""),"BMJ TA 2024")</f>
        <v>BMJ TA 2024</v>
      </c>
      <c r="B22" s="89" t="str">
        <f ca="1">IFERROR(AVERAGEIFS(Articles!$W:$W, Articles!$H:$H, A22, Articles!$W:$W, "&lt;&gt;"), "")</f>
        <v/>
      </c>
      <c r="C22" s="90" t="str">
        <f ca="1">IFERROR(AVERAGEIFS(Articles!$X:$X, Articles!$H:$H, A22, Articles!$X:$X, "&lt;&gt;"), "")</f>
        <v/>
      </c>
      <c r="D22" s="91" t="str">
        <f ca="1">IFERROR(AVERAGEIFS(Articles!$Y:$Y, Articles!$H:$H, A22, Articles!$Y:$Y, "&lt;&gt;"), "")</f>
        <v/>
      </c>
      <c r="E22" s="91" t="str">
        <f ca="1">IFERROR(AVERAGEIFS(Articles!$Z:$Z, Articles!$H:$H, A22, Articles!$Z:$Z, "&lt;&gt;"), "")</f>
        <v/>
      </c>
      <c r="F22" s="91" t="str">
        <f ca="1">IFERROR(AVERAGEIFS(Articles!$AA:$AA, Articles!$H:$H, A22, Articles!$AA:$AA, "&lt;&gt;"), "")</f>
        <v/>
      </c>
    </row>
    <row r="23" spans="1:6" ht="14">
      <c r="A23" s="9" t="str">
        <f ca="1">IFERROR(__xludf.DUMMYFUNCTION("""COMPUTED_VALUE"""),"Bristol University Press TA 2023")</f>
        <v>Bristol University Press TA 2023</v>
      </c>
      <c r="B23" s="89" t="str">
        <f ca="1">IFERROR(AVERAGEIFS(Articles!$W:$W, Articles!$H:$H, A23, Articles!$W:$W, "&lt;&gt;"), "")</f>
        <v/>
      </c>
      <c r="C23" s="90" t="str">
        <f ca="1">IFERROR(AVERAGEIFS(Articles!$X:$X, Articles!$H:$H, A23, Articles!$X:$X, "&lt;&gt;"), "")</f>
        <v/>
      </c>
      <c r="D23" s="91" t="str">
        <f ca="1">IFERROR(AVERAGEIFS(Articles!$Y:$Y, Articles!$H:$H, A23, Articles!$Y:$Y, "&lt;&gt;"), "")</f>
        <v/>
      </c>
      <c r="E23" s="91" t="str">
        <f ca="1">IFERROR(AVERAGEIFS(Articles!$Z:$Z, Articles!$H:$H, A23, Articles!$Z:$Z, "&lt;&gt;"), "")</f>
        <v/>
      </c>
      <c r="F23" s="91" t="str">
        <f ca="1">IFERROR(AVERAGEIFS(Articles!$AA:$AA, Articles!$H:$H, A23, Articles!$AA:$AA, "&lt;&gt;"), "")</f>
        <v/>
      </c>
    </row>
    <row r="24" spans="1:6" ht="14">
      <c r="A24" s="9" t="str">
        <f ca="1">IFERROR(__xludf.DUMMYFUNCTION("""COMPUTED_VALUE"""),"Bristol University Press TA 2024")</f>
        <v>Bristol University Press TA 2024</v>
      </c>
      <c r="B24" s="89" t="str">
        <f ca="1">IFERROR(AVERAGEIFS(Articles!$W:$W, Articles!$H:$H, A24, Articles!$W:$W, "&lt;&gt;"), "")</f>
        <v/>
      </c>
      <c r="C24" s="90" t="str">
        <f ca="1">IFERROR(AVERAGEIFS(Articles!$X:$X, Articles!$H:$H, A24, Articles!$X:$X, "&lt;&gt;"), "")</f>
        <v/>
      </c>
      <c r="D24" s="91" t="str">
        <f ca="1">IFERROR(AVERAGEIFS(Articles!$Y:$Y, Articles!$H:$H, A24, Articles!$Y:$Y, "&lt;&gt;"), "")</f>
        <v/>
      </c>
      <c r="E24" s="91" t="str">
        <f ca="1">IFERROR(AVERAGEIFS(Articles!$Z:$Z, Articles!$H:$H, A24, Articles!$Z:$Z, "&lt;&gt;"), "")</f>
        <v/>
      </c>
      <c r="F24" s="91" t="str">
        <f ca="1">IFERROR(AVERAGEIFS(Articles!$AA:$AA, Articles!$H:$H, A24, Articles!$AA:$AA, "&lt;&gt;"), "")</f>
        <v/>
      </c>
    </row>
    <row r="25" spans="1:6" ht="14">
      <c r="A25" s="9" t="str">
        <f ca="1">IFERROR(__xludf.DUMMYFUNCTION("""COMPUTED_VALUE"""),"Company of Biologists TA 2020")</f>
        <v>Company of Biologists TA 2020</v>
      </c>
      <c r="B25" s="89">
        <f ca="1">IFERROR(AVERAGEIFS(Articles!$W:$W, Articles!$H:$H, A25, Articles!$W:$W, "&lt;&gt;"), "")</f>
        <v>55</v>
      </c>
      <c r="C25" s="90">
        <f ca="1">IFERROR(AVERAGEIFS(Articles!$X:$X, Articles!$H:$H, A25, Articles!$X:$X, "&lt;&gt;"), "")</f>
        <v>9</v>
      </c>
      <c r="D25" s="91">
        <f ca="1">IFERROR(AVERAGEIFS(Articles!$Y:$Y, Articles!$H:$H, A25, Articles!$Y:$Y, "&lt;&gt;"), "")</f>
        <v>12</v>
      </c>
      <c r="E25" s="91">
        <f ca="1">IFERROR(AVERAGEIFS(Articles!$Z:$Z, Articles!$H:$H, A25, Articles!$Z:$Z, "&lt;&gt;"), "")</f>
        <v>0</v>
      </c>
      <c r="F25" s="91">
        <f ca="1">IFERROR(AVERAGEIFS(Articles!$AA:$AA, Articles!$H:$H, A25, Articles!$AA:$AA, "&lt;&gt;"), "")</f>
        <v>1</v>
      </c>
    </row>
    <row r="26" spans="1:6" ht="14">
      <c r="A26" s="9" t="str">
        <f ca="1">IFERROR(__xludf.DUMMYFUNCTION("""COMPUTED_VALUE"""),"Company of Biologists TA 2021")</f>
        <v>Company of Biologists TA 2021</v>
      </c>
      <c r="B26" s="89">
        <f ca="1">IFERROR(AVERAGEIFS(Articles!$W:$W, Articles!$H:$H, A26, Articles!$W:$W, "&lt;&gt;"), "")</f>
        <v>11</v>
      </c>
      <c r="C26" s="90">
        <f ca="1">IFERROR(AVERAGEIFS(Articles!$X:$X, Articles!$H:$H, A26, Articles!$X:$X, "&lt;&gt;"), "")</f>
        <v>3</v>
      </c>
      <c r="D26" s="91">
        <f ca="1">IFERROR(AVERAGEIFS(Articles!$Y:$Y, Articles!$H:$H, A26, Articles!$Y:$Y, "&lt;&gt;"), "")</f>
        <v>0</v>
      </c>
      <c r="E26" s="91">
        <f ca="1">IFERROR(AVERAGEIFS(Articles!$Z:$Z, Articles!$H:$H, A26, Articles!$Z:$Z, "&lt;&gt;"), "")</f>
        <v>0</v>
      </c>
      <c r="F26" s="91">
        <f ca="1">IFERROR(AVERAGEIFS(Articles!$AA:$AA, Articles!$H:$H, A26, Articles!$AA:$AA, "&lt;&gt;"), "")</f>
        <v>0</v>
      </c>
    </row>
    <row r="27" spans="1:6" ht="14">
      <c r="A27" s="9" t="str">
        <f ca="1">IFERROR(__xludf.DUMMYFUNCTION("""COMPUTED_VALUE"""),"Company of Biologists TA 2022")</f>
        <v>Company of Biologists TA 2022</v>
      </c>
      <c r="B27" s="89">
        <f ca="1">IFERROR(AVERAGEIFS(Articles!$W:$W, Articles!$H:$H, A27, Articles!$W:$W, "&lt;&gt;"), "")</f>
        <v>2</v>
      </c>
      <c r="C27" s="90">
        <f ca="1">IFERROR(AVERAGEIFS(Articles!$X:$X, Articles!$H:$H, A27, Articles!$X:$X, "&lt;&gt;"), "")</f>
        <v>0</v>
      </c>
      <c r="D27" s="91">
        <f ca="1">IFERROR(AVERAGEIFS(Articles!$Y:$Y, Articles!$H:$H, A27, Articles!$Y:$Y, "&lt;&gt;"), "")</f>
        <v>0</v>
      </c>
      <c r="E27" s="91">
        <f ca="1">IFERROR(AVERAGEIFS(Articles!$Z:$Z, Articles!$H:$H, A27, Articles!$Z:$Z, "&lt;&gt;"), "")</f>
        <v>0</v>
      </c>
      <c r="F27" s="91">
        <f ca="1">IFERROR(AVERAGEIFS(Articles!$AA:$AA, Articles!$H:$H, A27, Articles!$AA:$AA, "&lt;&gt;"), "")</f>
        <v>0</v>
      </c>
    </row>
    <row r="28" spans="1:6" ht="14">
      <c r="A28" s="9" t="str">
        <f ca="1">IFERROR(__xludf.DUMMYFUNCTION("""COMPUTED_VALUE"""),"Company of Biologists TA 2023")</f>
        <v>Company of Biologists TA 2023</v>
      </c>
      <c r="B28" s="89" t="str">
        <f ca="1">IFERROR(AVERAGEIFS(Articles!$W:$W, Articles!$H:$H, A28, Articles!$W:$W, "&lt;&gt;"), "")</f>
        <v/>
      </c>
      <c r="C28" s="90" t="str">
        <f ca="1">IFERROR(AVERAGEIFS(Articles!$X:$X, Articles!$H:$H, A28, Articles!$X:$X, "&lt;&gt;"), "")</f>
        <v/>
      </c>
      <c r="D28" s="91" t="str">
        <f ca="1">IFERROR(AVERAGEIFS(Articles!$Y:$Y, Articles!$H:$H, A28, Articles!$Y:$Y, "&lt;&gt;"), "")</f>
        <v/>
      </c>
      <c r="E28" s="91" t="str">
        <f ca="1">IFERROR(AVERAGEIFS(Articles!$Z:$Z, Articles!$H:$H, A28, Articles!$Z:$Z, "&lt;&gt;"), "")</f>
        <v/>
      </c>
      <c r="F28" s="91" t="str">
        <f ca="1">IFERROR(AVERAGEIFS(Articles!$AA:$AA, Articles!$H:$H, A28, Articles!$AA:$AA, "&lt;&gt;"), "")</f>
        <v/>
      </c>
    </row>
    <row r="29" spans="1:6" ht="14">
      <c r="A29" s="9" t="str">
        <f ca="1">IFERROR(__xludf.DUMMYFUNCTION("""COMPUTED_VALUE"""),"Company of Biologists TA 2024")</f>
        <v>Company of Biologists TA 2024</v>
      </c>
      <c r="B29" s="89" t="str">
        <f ca="1">IFERROR(AVERAGEIFS(Articles!$W:$W, Articles!$H:$H, A29, Articles!$W:$W, "&lt;&gt;"), "")</f>
        <v/>
      </c>
      <c r="C29" s="90" t="str">
        <f ca="1">IFERROR(AVERAGEIFS(Articles!$X:$X, Articles!$H:$H, A29, Articles!$X:$X, "&lt;&gt;"), "")</f>
        <v/>
      </c>
      <c r="D29" s="91" t="str">
        <f ca="1">IFERROR(AVERAGEIFS(Articles!$Y:$Y, Articles!$H:$H, A29, Articles!$Y:$Y, "&lt;&gt;"), "")</f>
        <v/>
      </c>
      <c r="E29" s="91" t="str">
        <f ca="1">IFERROR(AVERAGEIFS(Articles!$Z:$Z, Articles!$H:$H, A29, Articles!$Z:$Z, "&lt;&gt;"), "")</f>
        <v/>
      </c>
      <c r="F29" s="91" t="str">
        <f ca="1">IFERROR(AVERAGEIFS(Articles!$AA:$AA, Articles!$H:$H, A29, Articles!$AA:$AA, "&lt;&gt;"), "")</f>
        <v/>
      </c>
    </row>
    <row r="30" spans="1:6" ht="14">
      <c r="A30" s="9" t="str">
        <f ca="1">IFERROR(__xludf.DUMMYFUNCTION("""COMPUTED_VALUE"""),"Cambridge University Press TA 2021")</f>
        <v>Cambridge University Press TA 2021</v>
      </c>
      <c r="B30" s="89">
        <f ca="1">IFERROR(AVERAGEIFS(Articles!$W:$W, Articles!$H:$H, A30, Articles!$W:$W, "&lt;&gt;"), "")</f>
        <v>17.657894736842106</v>
      </c>
      <c r="C30" s="90">
        <f ca="1">IFERROR(AVERAGEIFS(Articles!$X:$X, Articles!$H:$H, A30, Articles!$X:$X, "&lt;&gt;"), "")</f>
        <v>4.1315789473684212</v>
      </c>
      <c r="D30" s="91">
        <f ca="1">IFERROR(AVERAGEIFS(Articles!$Y:$Y, Articles!$H:$H, A30, Articles!$Y:$Y, "&lt;&gt;"), "")</f>
        <v>0</v>
      </c>
      <c r="E30" s="91">
        <f ca="1">IFERROR(AVERAGEIFS(Articles!$Z:$Z, Articles!$H:$H, A30, Articles!$Z:$Z, "&lt;&gt;"), "")</f>
        <v>0</v>
      </c>
      <c r="F30" s="91">
        <f ca="1">IFERROR(AVERAGEIFS(Articles!$AA:$AA, Articles!$H:$H, A30, Articles!$AA:$AA, "&lt;&gt;"), "")</f>
        <v>0.15789473684210525</v>
      </c>
    </row>
    <row r="31" spans="1:6" ht="14">
      <c r="A31" s="9" t="str">
        <f ca="1">IFERROR(__xludf.DUMMYFUNCTION("""COMPUTED_VALUE"""),"Cambridge University Press TA 2022")</f>
        <v>Cambridge University Press TA 2022</v>
      </c>
      <c r="B31" s="89">
        <f ca="1">IFERROR(AVERAGEIFS(Articles!$W:$W, Articles!$H:$H, A31, Articles!$W:$W, "&lt;&gt;"), "")</f>
        <v>3.0416666666666665</v>
      </c>
      <c r="C31" s="90">
        <f ca="1">IFERROR(AVERAGEIFS(Articles!$X:$X, Articles!$H:$H, A31, Articles!$X:$X, "&lt;&gt;"), "")</f>
        <v>0.29166666666666669</v>
      </c>
      <c r="D31" s="91">
        <f ca="1">IFERROR(AVERAGEIFS(Articles!$Y:$Y, Articles!$H:$H, A31, Articles!$Y:$Y, "&lt;&gt;"), "")</f>
        <v>0</v>
      </c>
      <c r="E31" s="91">
        <f ca="1">IFERROR(AVERAGEIFS(Articles!$Z:$Z, Articles!$H:$H, A31, Articles!$Z:$Z, "&lt;&gt;"), "")</f>
        <v>0</v>
      </c>
      <c r="F31" s="91">
        <f ca="1">IFERROR(AVERAGEIFS(Articles!$AA:$AA, Articles!$H:$H, A31, Articles!$AA:$AA, "&lt;&gt;"), "")</f>
        <v>0</v>
      </c>
    </row>
    <row r="32" spans="1:6" ht="14">
      <c r="A32" s="9" t="str">
        <f ca="1">IFERROR(__xludf.DUMMYFUNCTION("""COMPUTED_VALUE"""),"Cambridge University Press TA 2023")</f>
        <v>Cambridge University Press TA 2023</v>
      </c>
      <c r="B32" s="89" t="str">
        <f ca="1">IFERROR(AVERAGEIFS(Articles!$W:$W, Articles!$H:$H, A32, Articles!$W:$W, "&lt;&gt;"), "")</f>
        <v/>
      </c>
      <c r="C32" s="90" t="str">
        <f ca="1">IFERROR(AVERAGEIFS(Articles!$X:$X, Articles!$H:$H, A32, Articles!$X:$X, "&lt;&gt;"), "")</f>
        <v/>
      </c>
      <c r="D32" s="91" t="str">
        <f ca="1">IFERROR(AVERAGEIFS(Articles!$Y:$Y, Articles!$H:$H, A32, Articles!$Y:$Y, "&lt;&gt;"), "")</f>
        <v/>
      </c>
      <c r="E32" s="91" t="str">
        <f ca="1">IFERROR(AVERAGEIFS(Articles!$Z:$Z, Articles!$H:$H, A32, Articles!$Z:$Z, "&lt;&gt;"), "")</f>
        <v/>
      </c>
      <c r="F32" s="91" t="str">
        <f ca="1">IFERROR(AVERAGEIFS(Articles!$AA:$AA, Articles!$H:$H, A32, Articles!$AA:$AA, "&lt;&gt;"), "")</f>
        <v/>
      </c>
    </row>
    <row r="33" spans="1:6" ht="14">
      <c r="A33" s="9" t="str">
        <f ca="1">IFERROR(__xludf.DUMMYFUNCTION("""COMPUTED_VALUE"""),"Cambridge University Press TA 2024")</f>
        <v>Cambridge University Press TA 2024</v>
      </c>
      <c r="B33" s="89" t="str">
        <f ca="1">IFERROR(AVERAGEIFS(Articles!$W:$W, Articles!$H:$H, A33, Articles!$W:$W, "&lt;&gt;"), "")</f>
        <v/>
      </c>
      <c r="C33" s="90" t="str">
        <f ca="1">IFERROR(AVERAGEIFS(Articles!$X:$X, Articles!$H:$H, A33, Articles!$X:$X, "&lt;&gt;"), "")</f>
        <v/>
      </c>
      <c r="D33" s="91" t="str">
        <f ca="1">IFERROR(AVERAGEIFS(Articles!$Y:$Y, Articles!$H:$H, A33, Articles!$Y:$Y, "&lt;&gt;"), "")</f>
        <v/>
      </c>
      <c r="E33" s="91" t="str">
        <f ca="1">IFERROR(AVERAGEIFS(Articles!$Z:$Z, Articles!$H:$H, A33, Articles!$Z:$Z, "&lt;&gt;"), "")</f>
        <v/>
      </c>
      <c r="F33" s="91" t="str">
        <f ca="1">IFERROR(AVERAGEIFS(Articles!$AA:$AA, Articles!$H:$H, A33, Articles!$AA:$AA, "&lt;&gt;"), "")</f>
        <v/>
      </c>
    </row>
    <row r="34" spans="1:6" ht="14">
      <c r="A34" s="9" t="str">
        <f ca="1">IFERROR(__xludf.DUMMYFUNCTION("""COMPUTED_VALUE"""),"Cold Spring Harbor Laboratory Press TA 2021")</f>
        <v>Cold Spring Harbor Laboratory Press TA 2021</v>
      </c>
      <c r="B34" s="89" t="str">
        <f ca="1">IFERROR(AVERAGEIFS(Articles!$W:$W, Articles!$H:$H, A34, Articles!$W:$W, "&lt;&gt;"), "")</f>
        <v/>
      </c>
      <c r="C34" s="90" t="str">
        <f ca="1">IFERROR(AVERAGEIFS(Articles!$X:$X, Articles!$H:$H, A34, Articles!$X:$X, "&lt;&gt;"), "")</f>
        <v/>
      </c>
      <c r="D34" s="91" t="str">
        <f ca="1">IFERROR(AVERAGEIFS(Articles!$Y:$Y, Articles!$H:$H, A34, Articles!$Y:$Y, "&lt;&gt;"), "")</f>
        <v/>
      </c>
      <c r="E34" s="91" t="str">
        <f ca="1">IFERROR(AVERAGEIFS(Articles!$Z:$Z, Articles!$H:$H, A34, Articles!$Z:$Z, "&lt;&gt;"), "")</f>
        <v/>
      </c>
      <c r="F34" s="91" t="str">
        <f ca="1">IFERROR(AVERAGEIFS(Articles!$AA:$AA, Articles!$H:$H, A34, Articles!$AA:$AA, "&lt;&gt;"), "")</f>
        <v/>
      </c>
    </row>
    <row r="35" spans="1:6" ht="14">
      <c r="A35" s="9" t="str">
        <f ca="1">IFERROR(__xludf.DUMMYFUNCTION("""COMPUTED_VALUE"""),"Cold Spring Harbor Laboratory Press TA 2022")</f>
        <v>Cold Spring Harbor Laboratory Press TA 2022</v>
      </c>
      <c r="B35" s="89" t="str">
        <f ca="1">IFERROR(AVERAGEIFS(Articles!$W:$W, Articles!$H:$H, A35, Articles!$W:$W, "&lt;&gt;"), "")</f>
        <v/>
      </c>
      <c r="C35" s="90" t="str">
        <f ca="1">IFERROR(AVERAGEIFS(Articles!$X:$X, Articles!$H:$H, A35, Articles!$X:$X, "&lt;&gt;"), "")</f>
        <v/>
      </c>
      <c r="D35" s="91" t="str">
        <f ca="1">IFERROR(AVERAGEIFS(Articles!$Y:$Y, Articles!$H:$H, A35, Articles!$Y:$Y, "&lt;&gt;"), "")</f>
        <v/>
      </c>
      <c r="E35" s="91" t="str">
        <f ca="1">IFERROR(AVERAGEIFS(Articles!$Z:$Z, Articles!$H:$H, A35, Articles!$Z:$Z, "&lt;&gt;"), "")</f>
        <v/>
      </c>
      <c r="F35" s="91" t="str">
        <f ca="1">IFERROR(AVERAGEIFS(Articles!$AA:$AA, Articles!$H:$H, A35, Articles!$AA:$AA, "&lt;&gt;"), "")</f>
        <v/>
      </c>
    </row>
    <row r="36" spans="1:6" ht="14">
      <c r="A36" s="9" t="str">
        <f ca="1">IFERROR(__xludf.DUMMYFUNCTION("""COMPUTED_VALUE"""),"Cold Spring Harbor Laboratory Press TA 2023")</f>
        <v>Cold Spring Harbor Laboratory Press TA 2023</v>
      </c>
      <c r="B36" s="89" t="str">
        <f ca="1">IFERROR(AVERAGEIFS(Articles!$W:$W, Articles!$H:$H, A36, Articles!$W:$W, "&lt;&gt;"), "")</f>
        <v/>
      </c>
      <c r="C36" s="90" t="str">
        <f ca="1">IFERROR(AVERAGEIFS(Articles!$X:$X, Articles!$H:$H, A36, Articles!$X:$X, "&lt;&gt;"), "")</f>
        <v/>
      </c>
      <c r="D36" s="91" t="str">
        <f ca="1">IFERROR(AVERAGEIFS(Articles!$Y:$Y, Articles!$H:$H, A36, Articles!$Y:$Y, "&lt;&gt;"), "")</f>
        <v/>
      </c>
      <c r="E36" s="91" t="str">
        <f ca="1">IFERROR(AVERAGEIFS(Articles!$Z:$Z, Articles!$H:$H, A36, Articles!$Z:$Z, "&lt;&gt;"), "")</f>
        <v/>
      </c>
      <c r="F36" s="91" t="str">
        <f ca="1">IFERROR(AVERAGEIFS(Articles!$AA:$AA, Articles!$H:$H, A36, Articles!$AA:$AA, "&lt;&gt;"), "")</f>
        <v/>
      </c>
    </row>
    <row r="37" spans="1:6" ht="14">
      <c r="A37" s="9" t="str">
        <f ca="1">IFERROR(__xludf.DUMMYFUNCTION("""COMPUTED_VALUE"""),"Cold Spring Harbor Laboratory Press TA 2024")</f>
        <v>Cold Spring Harbor Laboratory Press TA 2024</v>
      </c>
      <c r="B37" s="89" t="str">
        <f ca="1">IFERROR(AVERAGEIFS(Articles!$W:$W, Articles!$H:$H, A37, Articles!$W:$W, "&lt;&gt;"), "")</f>
        <v/>
      </c>
      <c r="C37" s="90" t="str">
        <f ca="1">IFERROR(AVERAGEIFS(Articles!$X:$X, Articles!$H:$H, A37, Articles!$X:$X, "&lt;&gt;"), "")</f>
        <v/>
      </c>
      <c r="D37" s="91" t="str">
        <f ca="1">IFERROR(AVERAGEIFS(Articles!$Y:$Y, Articles!$H:$H, A37, Articles!$Y:$Y, "&lt;&gt;"), "")</f>
        <v/>
      </c>
      <c r="E37" s="91" t="str">
        <f ca="1">IFERROR(AVERAGEIFS(Articles!$Z:$Z, Articles!$H:$H, A37, Articles!$Z:$Z, "&lt;&gt;"), "")</f>
        <v/>
      </c>
      <c r="F37" s="91" t="str">
        <f ca="1">IFERROR(AVERAGEIFS(Articles!$AA:$AA, Articles!$H:$H, A37, Articles!$AA:$AA, "&lt;&gt;"), "")</f>
        <v/>
      </c>
    </row>
    <row r="38" spans="1:6" ht="14">
      <c r="A38" s="9" t="str">
        <f ca="1">IFERROR(__xludf.DUMMYFUNCTION("""COMPUTED_VALUE"""),"Elsevier TA 2022")</f>
        <v>Elsevier TA 2022</v>
      </c>
      <c r="B38" s="89">
        <f ca="1">IFERROR(AVERAGEIFS(Articles!$W:$W, Articles!$H:$H, A38, Articles!$W:$W, "&lt;&gt;"), "")</f>
        <v>13.796875</v>
      </c>
      <c r="C38" s="90">
        <f ca="1">IFERROR(AVERAGEIFS(Articles!$X:$X, Articles!$H:$H, A38, Articles!$X:$X, "&lt;&gt;"), "")</f>
        <v>4.390625</v>
      </c>
      <c r="D38" s="91">
        <f ca="1">IFERROR(AVERAGEIFS(Articles!$Y:$Y, Articles!$H:$H, A38, Articles!$Y:$Y, "&lt;&gt;"), "")</f>
        <v>17.96875</v>
      </c>
      <c r="E38" s="91">
        <f ca="1">IFERROR(AVERAGEIFS(Articles!$Z:$Z, Articles!$H:$H, A38, Articles!$Z:$Z, "&lt;&gt;"), "")</f>
        <v>7.8125E-2</v>
      </c>
      <c r="F38" s="91">
        <f ca="1">IFERROR(AVERAGEIFS(Articles!$AA:$AA, Articles!$H:$H, A38, Articles!$AA:$AA, "&lt;&gt;"), "")</f>
        <v>9.375E-2</v>
      </c>
    </row>
    <row r="39" spans="1:6" ht="14">
      <c r="A39" s="9" t="str">
        <f ca="1">IFERROR(__xludf.DUMMYFUNCTION("""COMPUTED_VALUE"""),"Elsevier TA 2023")</f>
        <v>Elsevier TA 2023</v>
      </c>
      <c r="B39" s="89" t="str">
        <f ca="1">IFERROR(AVERAGEIFS(Articles!$W:$W, Articles!$H:$H, A39, Articles!$W:$W, "&lt;&gt;"), "")</f>
        <v/>
      </c>
      <c r="C39" s="90" t="str">
        <f ca="1">IFERROR(AVERAGEIFS(Articles!$X:$X, Articles!$H:$H, A39, Articles!$X:$X, "&lt;&gt;"), "")</f>
        <v/>
      </c>
      <c r="D39" s="91" t="str">
        <f ca="1">IFERROR(AVERAGEIFS(Articles!$Y:$Y, Articles!$H:$H, A39, Articles!$Y:$Y, "&lt;&gt;"), "")</f>
        <v/>
      </c>
      <c r="E39" s="91" t="str">
        <f ca="1">IFERROR(AVERAGEIFS(Articles!$Z:$Z, Articles!$H:$H, A39, Articles!$Z:$Z, "&lt;&gt;"), "")</f>
        <v/>
      </c>
      <c r="F39" s="91" t="str">
        <f ca="1">IFERROR(AVERAGEIFS(Articles!$AA:$AA, Articles!$H:$H, A39, Articles!$AA:$AA, "&lt;&gt;"), "")</f>
        <v/>
      </c>
    </row>
    <row r="40" spans="1:6" ht="14">
      <c r="A40" s="9" t="str">
        <f ca="1">IFERROR(__xludf.DUMMYFUNCTION("""COMPUTED_VALUE"""),"Elsevier TA 2024")</f>
        <v>Elsevier TA 2024</v>
      </c>
      <c r="B40" s="89" t="str">
        <f ca="1">IFERROR(AVERAGEIFS(Articles!$W:$W, Articles!$H:$H, A40, Articles!$W:$W, "&lt;&gt;"), "")</f>
        <v/>
      </c>
      <c r="C40" s="90" t="str">
        <f ca="1">IFERROR(AVERAGEIFS(Articles!$X:$X, Articles!$H:$H, A40, Articles!$X:$X, "&lt;&gt;"), "")</f>
        <v/>
      </c>
      <c r="D40" s="91" t="str">
        <f ca="1">IFERROR(AVERAGEIFS(Articles!$Y:$Y, Articles!$H:$H, A40, Articles!$Y:$Y, "&lt;&gt;"), "")</f>
        <v/>
      </c>
      <c r="E40" s="91" t="str">
        <f ca="1">IFERROR(AVERAGEIFS(Articles!$Z:$Z, Articles!$H:$H, A40, Articles!$Z:$Z, "&lt;&gt;"), "")</f>
        <v/>
      </c>
      <c r="F40" s="91" t="str">
        <f ca="1">IFERROR(AVERAGEIFS(Articles!$AA:$AA, Articles!$H:$H, A40, Articles!$AA:$AA, "&lt;&gt;"), "")</f>
        <v/>
      </c>
    </row>
    <row r="41" spans="1:6" ht="14">
      <c r="A41" s="9" t="str">
        <f ca="1">IFERROR(__xludf.DUMMYFUNCTION("""COMPUTED_VALUE"""),"Geological Society Lyell Collection TA 2021")</f>
        <v>Geological Society Lyell Collection TA 2021</v>
      </c>
      <c r="B41" s="89" t="str">
        <f ca="1">IFERROR(AVERAGEIFS(Articles!$W:$W, Articles!$H:$H, A41, Articles!$W:$W, "&lt;&gt;"), "")</f>
        <v/>
      </c>
      <c r="C41" s="90" t="str">
        <f ca="1">IFERROR(AVERAGEIFS(Articles!$X:$X, Articles!$H:$H, A41, Articles!$X:$X, "&lt;&gt;"), "")</f>
        <v/>
      </c>
      <c r="D41" s="91" t="str">
        <f ca="1">IFERROR(AVERAGEIFS(Articles!$Y:$Y, Articles!$H:$H, A41, Articles!$Y:$Y, "&lt;&gt;"), "")</f>
        <v/>
      </c>
      <c r="E41" s="91" t="str">
        <f ca="1">IFERROR(AVERAGEIFS(Articles!$Z:$Z, Articles!$H:$H, A41, Articles!$Z:$Z, "&lt;&gt;"), "")</f>
        <v/>
      </c>
      <c r="F41" s="91" t="str">
        <f ca="1">IFERROR(AVERAGEIFS(Articles!$AA:$AA, Articles!$H:$H, A41, Articles!$AA:$AA, "&lt;&gt;"), "")</f>
        <v/>
      </c>
    </row>
    <row r="42" spans="1:6" ht="14">
      <c r="A42" s="9" t="str">
        <f ca="1">IFERROR(__xludf.DUMMYFUNCTION("""COMPUTED_VALUE"""),"Geological Society Lyell Collection TA 2022")</f>
        <v>Geological Society Lyell Collection TA 2022</v>
      </c>
      <c r="B42" s="89" t="str">
        <f ca="1">IFERROR(AVERAGEIFS(Articles!$W:$W, Articles!$H:$H, A42, Articles!$W:$W, "&lt;&gt;"), "")</f>
        <v/>
      </c>
      <c r="C42" s="90" t="str">
        <f ca="1">IFERROR(AVERAGEIFS(Articles!$X:$X, Articles!$H:$H, A42, Articles!$X:$X, "&lt;&gt;"), "")</f>
        <v/>
      </c>
      <c r="D42" s="91" t="str">
        <f ca="1">IFERROR(AVERAGEIFS(Articles!$Y:$Y, Articles!$H:$H, A42, Articles!$Y:$Y, "&lt;&gt;"), "")</f>
        <v/>
      </c>
      <c r="E42" s="91" t="str">
        <f ca="1">IFERROR(AVERAGEIFS(Articles!$Z:$Z, Articles!$H:$H, A42, Articles!$Z:$Z, "&lt;&gt;"), "")</f>
        <v/>
      </c>
      <c r="F42" s="91" t="str">
        <f ca="1">IFERROR(AVERAGEIFS(Articles!$AA:$AA, Articles!$H:$H, A42, Articles!$AA:$AA, "&lt;&gt;"), "")</f>
        <v/>
      </c>
    </row>
    <row r="43" spans="1:6" ht="14">
      <c r="A43" s="9" t="str">
        <f ca="1">IFERROR(__xludf.DUMMYFUNCTION("""COMPUTED_VALUE"""),"Geological Society Lyell Collection TA 2023")</f>
        <v>Geological Society Lyell Collection TA 2023</v>
      </c>
      <c r="B43" s="89" t="str">
        <f ca="1">IFERROR(AVERAGEIFS(Articles!$W:$W, Articles!$H:$H, A43, Articles!$W:$W, "&lt;&gt;"), "")</f>
        <v/>
      </c>
      <c r="C43" s="90" t="str">
        <f ca="1">IFERROR(AVERAGEIFS(Articles!$X:$X, Articles!$H:$H, A43, Articles!$X:$X, "&lt;&gt;"), "")</f>
        <v/>
      </c>
      <c r="D43" s="91" t="str">
        <f ca="1">IFERROR(AVERAGEIFS(Articles!$Y:$Y, Articles!$H:$H, A43, Articles!$Y:$Y, "&lt;&gt;"), "")</f>
        <v/>
      </c>
      <c r="E43" s="91" t="str">
        <f ca="1">IFERROR(AVERAGEIFS(Articles!$Z:$Z, Articles!$H:$H, A43, Articles!$Z:$Z, "&lt;&gt;"), "")</f>
        <v/>
      </c>
      <c r="F43" s="91" t="str">
        <f ca="1">IFERROR(AVERAGEIFS(Articles!$AA:$AA, Articles!$H:$H, A43, Articles!$AA:$AA, "&lt;&gt;"), "")</f>
        <v/>
      </c>
    </row>
    <row r="44" spans="1:6" ht="14">
      <c r="A44" s="9" t="str">
        <f ca="1">IFERROR(__xludf.DUMMYFUNCTION("""COMPUTED_VALUE"""),"Geological Society Lyell Collection TA 2024")</f>
        <v>Geological Society Lyell Collection TA 2024</v>
      </c>
      <c r="B44" s="89" t="str">
        <f ca="1">IFERROR(AVERAGEIFS(Articles!$W:$W, Articles!$H:$H, A44, Articles!$W:$W, "&lt;&gt;"), "")</f>
        <v/>
      </c>
      <c r="C44" s="90" t="str">
        <f ca="1">IFERROR(AVERAGEIFS(Articles!$X:$X, Articles!$H:$H, A44, Articles!$X:$X, "&lt;&gt;"), "")</f>
        <v/>
      </c>
      <c r="D44" s="91" t="str">
        <f ca="1">IFERROR(AVERAGEIFS(Articles!$Y:$Y, Articles!$H:$H, A44, Articles!$Y:$Y, "&lt;&gt;"), "")</f>
        <v/>
      </c>
      <c r="E44" s="91" t="str">
        <f ca="1">IFERROR(AVERAGEIFS(Articles!$Z:$Z, Articles!$H:$H, A44, Articles!$Z:$Z, "&lt;&gt;"), "")</f>
        <v/>
      </c>
      <c r="F44" s="91" t="str">
        <f ca="1">IFERROR(AVERAGEIFS(Articles!$AA:$AA, Articles!$H:$H, A44, Articles!$AA:$AA, "&lt;&gt;"), "")</f>
        <v/>
      </c>
    </row>
    <row r="45" spans="1:6" ht="14">
      <c r="A45" s="9" t="str">
        <f ca="1">IFERROR(__xludf.DUMMYFUNCTION("""COMPUTED_VALUE"""),"Geological Society Lyell Collection TA 2025")</f>
        <v>Geological Society Lyell Collection TA 2025</v>
      </c>
      <c r="B45" s="89" t="str">
        <f ca="1">IFERROR(AVERAGEIFS(Articles!$W:$W, Articles!$H:$H, A45, Articles!$W:$W, "&lt;&gt;"), "")</f>
        <v/>
      </c>
      <c r="C45" s="90" t="str">
        <f ca="1">IFERROR(AVERAGEIFS(Articles!$X:$X, Articles!$H:$H, A45, Articles!$X:$X, "&lt;&gt;"), "")</f>
        <v/>
      </c>
      <c r="D45" s="91" t="str">
        <f ca="1">IFERROR(AVERAGEIFS(Articles!$Y:$Y, Articles!$H:$H, A45, Articles!$Y:$Y, "&lt;&gt;"), "")</f>
        <v/>
      </c>
      <c r="E45" s="91" t="str">
        <f ca="1">IFERROR(AVERAGEIFS(Articles!$Z:$Z, Articles!$H:$H, A45, Articles!$Z:$Z, "&lt;&gt;"), "")</f>
        <v/>
      </c>
      <c r="F45" s="91" t="str">
        <f ca="1">IFERROR(AVERAGEIFS(Articles!$AA:$AA, Articles!$H:$H, A45, Articles!$AA:$AA, "&lt;&gt;"), "")</f>
        <v/>
      </c>
    </row>
    <row r="46" spans="1:6" ht="14">
      <c r="A46" s="9" t="str">
        <f ca="1">IFERROR(__xludf.DUMMYFUNCTION("""COMPUTED_VALUE"""),"John Benjamins TA 2022")</f>
        <v>John Benjamins TA 2022</v>
      </c>
      <c r="B46" s="89" t="str">
        <f ca="1">IFERROR(AVERAGEIFS(Articles!$W:$W, Articles!$H:$H, A46, Articles!$W:$W, "&lt;&gt;"), "")</f>
        <v/>
      </c>
      <c r="C46" s="90" t="str">
        <f ca="1">IFERROR(AVERAGEIFS(Articles!$X:$X, Articles!$H:$H, A46, Articles!$X:$X, "&lt;&gt;"), "")</f>
        <v/>
      </c>
      <c r="D46" s="91" t="str">
        <f ca="1">IFERROR(AVERAGEIFS(Articles!$Y:$Y, Articles!$H:$H, A46, Articles!$Y:$Y, "&lt;&gt;"), "")</f>
        <v/>
      </c>
      <c r="E46" s="91" t="str">
        <f ca="1">IFERROR(AVERAGEIFS(Articles!$Z:$Z, Articles!$H:$H, A46, Articles!$Z:$Z, "&lt;&gt;"), "")</f>
        <v/>
      </c>
      <c r="F46" s="91" t="str">
        <f ca="1">IFERROR(AVERAGEIFS(Articles!$AA:$AA, Articles!$H:$H, A46, Articles!$AA:$AA, "&lt;&gt;"), "")</f>
        <v/>
      </c>
    </row>
    <row r="47" spans="1:6" ht="14">
      <c r="A47" s="9" t="str">
        <f ca="1">IFERROR(__xludf.DUMMYFUNCTION("""COMPUTED_VALUE"""),"John Benjamins TA 2023")</f>
        <v>John Benjamins TA 2023</v>
      </c>
      <c r="B47" s="89" t="str">
        <f ca="1">IFERROR(AVERAGEIFS(Articles!$W:$W, Articles!$H:$H, A47, Articles!$W:$W, "&lt;&gt;"), "")</f>
        <v/>
      </c>
      <c r="C47" s="90" t="str">
        <f ca="1">IFERROR(AVERAGEIFS(Articles!$X:$X, Articles!$H:$H, A47, Articles!$X:$X, "&lt;&gt;"), "")</f>
        <v/>
      </c>
      <c r="D47" s="91" t="str">
        <f ca="1">IFERROR(AVERAGEIFS(Articles!$Y:$Y, Articles!$H:$H, A47, Articles!$Y:$Y, "&lt;&gt;"), "")</f>
        <v/>
      </c>
      <c r="E47" s="91" t="str">
        <f ca="1">IFERROR(AVERAGEIFS(Articles!$Z:$Z, Articles!$H:$H, A47, Articles!$Z:$Z, "&lt;&gt;"), "")</f>
        <v/>
      </c>
      <c r="F47" s="91" t="str">
        <f ca="1">IFERROR(AVERAGEIFS(Articles!$AA:$AA, Articles!$H:$H, A47, Articles!$AA:$AA, "&lt;&gt;"), "")</f>
        <v/>
      </c>
    </row>
    <row r="48" spans="1:6" ht="14">
      <c r="A48" s="9" t="str">
        <f ca="1">IFERROR(__xludf.DUMMYFUNCTION("""COMPUTED_VALUE"""),"John Benjamins TA 2024")</f>
        <v>John Benjamins TA 2024</v>
      </c>
      <c r="B48" s="89" t="str">
        <f ca="1">IFERROR(AVERAGEIFS(Articles!$W:$W, Articles!$H:$H, A48, Articles!$W:$W, "&lt;&gt;"), "")</f>
        <v/>
      </c>
      <c r="C48" s="90" t="str">
        <f ca="1">IFERROR(AVERAGEIFS(Articles!$X:$X, Articles!$H:$H, A48, Articles!$X:$X, "&lt;&gt;"), "")</f>
        <v/>
      </c>
      <c r="D48" s="91" t="str">
        <f ca="1">IFERROR(AVERAGEIFS(Articles!$Y:$Y, Articles!$H:$H, A48, Articles!$Y:$Y, "&lt;&gt;"), "")</f>
        <v/>
      </c>
      <c r="E48" s="91" t="str">
        <f ca="1">IFERROR(AVERAGEIFS(Articles!$Z:$Z, Articles!$H:$H, A48, Articles!$Z:$Z, "&lt;&gt;"), "")</f>
        <v/>
      </c>
      <c r="F48" s="91" t="str">
        <f ca="1">IFERROR(AVERAGEIFS(Articles!$AA:$AA, Articles!$H:$H, A48, Articles!$AA:$AA, "&lt;&gt;"), "")</f>
        <v/>
      </c>
    </row>
    <row r="49" spans="1:6" ht="14">
      <c r="A49" s="9" t="str">
        <f ca="1">IFERROR(__xludf.DUMMYFUNCTION("""COMPUTED_VALUE"""),"Institute of Physics Publishing TA 2020")</f>
        <v>Institute of Physics Publishing TA 2020</v>
      </c>
      <c r="B49" s="89">
        <f ca="1">IFERROR(AVERAGEIFS(Articles!$W:$W, Articles!$H:$H, A49, Articles!$W:$W, "&lt;&gt;"), "")</f>
        <v>14.764705882352942</v>
      </c>
      <c r="C49" s="90">
        <f ca="1">IFERROR(AVERAGEIFS(Articles!$X:$X, Articles!$H:$H, A49, Articles!$X:$X, "&lt;&gt;"), "")</f>
        <v>16.411764705882351</v>
      </c>
      <c r="D49" s="91">
        <f ca="1">IFERROR(AVERAGEIFS(Articles!$Y:$Y, Articles!$H:$H, A49, Articles!$Y:$Y, "&lt;&gt;"), "")</f>
        <v>4.5882352941176467</v>
      </c>
      <c r="E49" s="91">
        <f ca="1">IFERROR(AVERAGEIFS(Articles!$Z:$Z, Articles!$H:$H, A49, Articles!$Z:$Z, "&lt;&gt;"), "")</f>
        <v>0.11764705882352941</v>
      </c>
      <c r="F49" s="91">
        <f ca="1">IFERROR(AVERAGEIFS(Articles!$AA:$AA, Articles!$H:$H, A49, Articles!$AA:$AA, "&lt;&gt;"), "")</f>
        <v>5.8823529411764705E-2</v>
      </c>
    </row>
    <row r="50" spans="1:6" ht="14">
      <c r="A50" s="9" t="str">
        <f ca="1">IFERROR(__xludf.DUMMYFUNCTION("""COMPUTED_VALUE"""),"Institute of Physics Publishing TA 2021")</f>
        <v>Institute of Physics Publishing TA 2021</v>
      </c>
      <c r="B50" s="89">
        <f ca="1">IFERROR(AVERAGEIFS(Articles!$W:$W, Articles!$H:$H, A50, Articles!$W:$W, "&lt;&gt;"), "")</f>
        <v>7.666666666666667</v>
      </c>
      <c r="C50" s="90">
        <f ca="1">IFERROR(AVERAGEIFS(Articles!$X:$X, Articles!$H:$H, A50, Articles!$X:$X, "&lt;&gt;"), "")</f>
        <v>4.1904761904761907</v>
      </c>
      <c r="D50" s="91">
        <f ca="1">IFERROR(AVERAGEIFS(Articles!$Y:$Y, Articles!$H:$H, A50, Articles!$Y:$Y, "&lt;&gt;"), "")</f>
        <v>3</v>
      </c>
      <c r="E50" s="91">
        <f ca="1">IFERROR(AVERAGEIFS(Articles!$Z:$Z, Articles!$H:$H, A50, Articles!$Z:$Z, "&lt;&gt;"), "")</f>
        <v>0</v>
      </c>
      <c r="F50" s="91">
        <f ca="1">IFERROR(AVERAGEIFS(Articles!$AA:$AA, Articles!$H:$H, A50, Articles!$AA:$AA, "&lt;&gt;"), "")</f>
        <v>4.7619047619047616E-2</v>
      </c>
    </row>
    <row r="51" spans="1:6" ht="14">
      <c r="A51" s="9" t="str">
        <f ca="1">IFERROR(__xludf.DUMMYFUNCTION("""COMPUTED_VALUE"""),"Institute of Physics Publishing TA 2022")</f>
        <v>Institute of Physics Publishing TA 2022</v>
      </c>
      <c r="B51" s="89">
        <f ca="1">IFERROR(AVERAGEIFS(Articles!$W:$W, Articles!$H:$H, A51, Articles!$W:$W, "&lt;&gt;"), "")</f>
        <v>5.4761904761904763</v>
      </c>
      <c r="C51" s="90">
        <f ca="1">IFERROR(AVERAGEIFS(Articles!$X:$X, Articles!$H:$H, A51, Articles!$X:$X, "&lt;&gt;"), "")</f>
        <v>1.2380952380952381</v>
      </c>
      <c r="D51" s="91">
        <f ca="1">IFERROR(AVERAGEIFS(Articles!$Y:$Y, Articles!$H:$H, A51, Articles!$Y:$Y, "&lt;&gt;"), "")</f>
        <v>2.2857142857142856</v>
      </c>
      <c r="E51" s="91">
        <f ca="1">IFERROR(AVERAGEIFS(Articles!$Z:$Z, Articles!$H:$H, A51, Articles!$Z:$Z, "&lt;&gt;"), "")</f>
        <v>0</v>
      </c>
      <c r="F51" s="91">
        <f ca="1">IFERROR(AVERAGEIFS(Articles!$AA:$AA, Articles!$H:$H, A51, Articles!$AA:$AA, "&lt;&gt;"), "")</f>
        <v>0</v>
      </c>
    </row>
    <row r="52" spans="1:6" ht="14">
      <c r="A52" s="9" t="str">
        <f ca="1">IFERROR(__xludf.DUMMYFUNCTION("""COMPUTED_VALUE"""),"Institute of Physics Publishing TA 2023")</f>
        <v>Institute of Physics Publishing TA 2023</v>
      </c>
      <c r="B52" s="89" t="str">
        <f ca="1">IFERROR(AVERAGEIFS(Articles!$W:$W, Articles!$H:$H, A52, Articles!$W:$W, "&lt;&gt;"), "")</f>
        <v/>
      </c>
      <c r="C52" s="90" t="str">
        <f ca="1">IFERROR(AVERAGEIFS(Articles!$X:$X, Articles!$H:$H, A52, Articles!$X:$X, "&lt;&gt;"), "")</f>
        <v/>
      </c>
      <c r="D52" s="91" t="str">
        <f ca="1">IFERROR(AVERAGEIFS(Articles!$Y:$Y, Articles!$H:$H, A52, Articles!$Y:$Y, "&lt;&gt;"), "")</f>
        <v/>
      </c>
      <c r="E52" s="91" t="str">
        <f ca="1">IFERROR(AVERAGEIFS(Articles!$Z:$Z, Articles!$H:$H, A52, Articles!$Z:$Z, "&lt;&gt;"), "")</f>
        <v/>
      </c>
      <c r="F52" s="91" t="str">
        <f ca="1">IFERROR(AVERAGEIFS(Articles!$AA:$AA, Articles!$H:$H, A52, Articles!$AA:$AA, "&lt;&gt;"), "")</f>
        <v/>
      </c>
    </row>
    <row r="53" spans="1:6" ht="14">
      <c r="A53" s="9" t="str">
        <f ca="1">IFERROR(__xludf.DUMMYFUNCTION("""COMPUTED_VALUE"""),"Institute of Physics Publishing TA 2024")</f>
        <v>Institute of Physics Publishing TA 2024</v>
      </c>
      <c r="B53" s="89" t="str">
        <f ca="1">IFERROR(AVERAGEIFS(Articles!$W:$W, Articles!$H:$H, A53, Articles!$W:$W, "&lt;&gt;"), "")</f>
        <v/>
      </c>
      <c r="C53" s="90" t="str">
        <f ca="1">IFERROR(AVERAGEIFS(Articles!$X:$X, Articles!$H:$H, A53, Articles!$X:$X, "&lt;&gt;"), "")</f>
        <v/>
      </c>
      <c r="D53" s="91" t="str">
        <f ca="1">IFERROR(AVERAGEIFS(Articles!$Y:$Y, Articles!$H:$H, A53, Articles!$Y:$Y, "&lt;&gt;"), "")</f>
        <v/>
      </c>
      <c r="E53" s="91" t="str">
        <f ca="1">IFERROR(AVERAGEIFS(Articles!$Z:$Z, Articles!$H:$H, A53, Articles!$Z:$Z, "&lt;&gt;"), "")</f>
        <v/>
      </c>
      <c r="F53" s="91" t="str">
        <f ca="1">IFERROR(AVERAGEIFS(Articles!$AA:$AA, Articles!$H:$H, A53, Articles!$AA:$AA, "&lt;&gt;"), "")</f>
        <v/>
      </c>
    </row>
    <row r="54" spans="1:6" ht="14">
      <c r="A54" s="9" t="str">
        <f ca="1">IFERROR(__xludf.DUMMYFUNCTION("""COMPUTED_VALUE"""),"Institute of Physics Publishing TA 2025")</f>
        <v>Institute of Physics Publishing TA 2025</v>
      </c>
      <c r="B54" s="89" t="str">
        <f ca="1">IFERROR(AVERAGEIFS(Articles!$W:$W, Articles!$H:$H, A54, Articles!$W:$W, "&lt;&gt;"), "")</f>
        <v/>
      </c>
      <c r="C54" s="90" t="str">
        <f ca="1">IFERROR(AVERAGEIFS(Articles!$X:$X, Articles!$H:$H, A54, Articles!$X:$X, "&lt;&gt;"), "")</f>
        <v/>
      </c>
      <c r="D54" s="91" t="str">
        <f ca="1">IFERROR(AVERAGEIFS(Articles!$Y:$Y, Articles!$H:$H, A54, Articles!$Y:$Y, "&lt;&gt;"), "")</f>
        <v/>
      </c>
      <c r="E54" s="91" t="str">
        <f ca="1">IFERROR(AVERAGEIFS(Articles!$Z:$Z, Articles!$H:$H, A54, Articles!$Z:$Z, "&lt;&gt;"), "")</f>
        <v/>
      </c>
      <c r="F54" s="91" t="str">
        <f ca="1">IFERROR(AVERAGEIFS(Articles!$AA:$AA, Articles!$H:$H, A54, Articles!$AA:$AA, "&lt;&gt;"), "")</f>
        <v/>
      </c>
    </row>
    <row r="55" spans="1:6" ht="14">
      <c r="A55" s="9" t="str">
        <f ca="1">IFERROR(__xludf.DUMMYFUNCTION("""COMPUTED_VALUE"""),"Microbiology Society TA 2020")</f>
        <v>Microbiology Society TA 2020</v>
      </c>
      <c r="B55" s="89">
        <f ca="1">IFERROR(AVERAGEIFS(Articles!$W:$W, Articles!$H:$H, A55, Articles!$W:$W, "&lt;&gt;"), "")</f>
        <v>25</v>
      </c>
      <c r="C55" s="90">
        <f ca="1">IFERROR(AVERAGEIFS(Articles!$X:$X, Articles!$H:$H, A55, Articles!$X:$X, "&lt;&gt;"), "")</f>
        <v>8</v>
      </c>
      <c r="D55" s="91">
        <f ca="1">IFERROR(AVERAGEIFS(Articles!$Y:$Y, Articles!$H:$H, A55, Articles!$Y:$Y, "&lt;&gt;"), "")</f>
        <v>19.5</v>
      </c>
      <c r="E55" s="91">
        <f ca="1">IFERROR(AVERAGEIFS(Articles!$Z:$Z, Articles!$H:$H, A55, Articles!$Z:$Z, "&lt;&gt;"), "")</f>
        <v>0</v>
      </c>
      <c r="F55" s="91">
        <f ca="1">IFERROR(AVERAGEIFS(Articles!$AA:$AA, Articles!$H:$H, A55, Articles!$AA:$AA, "&lt;&gt;"), "")</f>
        <v>0.25</v>
      </c>
    </row>
    <row r="56" spans="1:6" ht="14">
      <c r="A56" s="9" t="str">
        <f ca="1">IFERROR(__xludf.DUMMYFUNCTION("""COMPUTED_VALUE"""),"Microbiology Society TA 2021")</f>
        <v>Microbiology Society TA 2021</v>
      </c>
      <c r="B56" s="89">
        <f ca="1">IFERROR(AVERAGEIFS(Articles!$W:$W, Articles!$H:$H, A56, Articles!$W:$W, "&lt;&gt;"), "")</f>
        <v>9</v>
      </c>
      <c r="C56" s="90">
        <f ca="1">IFERROR(AVERAGEIFS(Articles!$X:$X, Articles!$H:$H, A56, Articles!$X:$X, "&lt;&gt;"), "")</f>
        <v>2</v>
      </c>
      <c r="D56" s="91">
        <f ca="1">IFERROR(AVERAGEIFS(Articles!$Y:$Y, Articles!$H:$H, A56, Articles!$Y:$Y, "&lt;&gt;"), "")</f>
        <v>8</v>
      </c>
      <c r="E56" s="91">
        <f ca="1">IFERROR(AVERAGEIFS(Articles!$Z:$Z, Articles!$H:$H, A56, Articles!$Z:$Z, "&lt;&gt;"), "")</f>
        <v>0</v>
      </c>
      <c r="F56" s="91">
        <f ca="1">IFERROR(AVERAGEIFS(Articles!$AA:$AA, Articles!$H:$H, A56, Articles!$AA:$AA, "&lt;&gt;"), "")</f>
        <v>0</v>
      </c>
    </row>
    <row r="57" spans="1:6" ht="14">
      <c r="A57" s="9" t="str">
        <f ca="1">IFERROR(__xludf.DUMMYFUNCTION("""COMPUTED_VALUE"""),"Microbiology Society TA 2022")</f>
        <v>Microbiology Society TA 2022</v>
      </c>
      <c r="B57" s="89">
        <f ca="1">IFERROR(AVERAGEIFS(Articles!$W:$W, Articles!$H:$H, A57, Articles!$W:$W, "&lt;&gt;"), "")</f>
        <v>6</v>
      </c>
      <c r="C57" s="90">
        <f ca="1">IFERROR(AVERAGEIFS(Articles!$X:$X, Articles!$H:$H, A57, Articles!$X:$X, "&lt;&gt;"), "")</f>
        <v>0.75</v>
      </c>
      <c r="D57" s="91">
        <f ca="1">IFERROR(AVERAGEIFS(Articles!$Y:$Y, Articles!$H:$H, A57, Articles!$Y:$Y, "&lt;&gt;"), "")</f>
        <v>13.5</v>
      </c>
      <c r="E57" s="91">
        <f ca="1">IFERROR(AVERAGEIFS(Articles!$Z:$Z, Articles!$H:$H, A57, Articles!$Z:$Z, "&lt;&gt;"), "")</f>
        <v>0</v>
      </c>
      <c r="F57" s="91">
        <f ca="1">IFERROR(AVERAGEIFS(Articles!$AA:$AA, Articles!$H:$H, A57, Articles!$AA:$AA, "&lt;&gt;"), "")</f>
        <v>0</v>
      </c>
    </row>
    <row r="58" spans="1:6" ht="14">
      <c r="A58" s="9" t="str">
        <f ca="1">IFERROR(__xludf.DUMMYFUNCTION("""COMPUTED_VALUE"""),"Microbiology Society TA 2023")</f>
        <v>Microbiology Society TA 2023</v>
      </c>
      <c r="B58" s="89" t="str">
        <f ca="1">IFERROR(AVERAGEIFS(Articles!$W:$W, Articles!$H:$H, A58, Articles!$W:$W, "&lt;&gt;"), "")</f>
        <v/>
      </c>
      <c r="C58" s="90" t="str">
        <f ca="1">IFERROR(AVERAGEIFS(Articles!$X:$X, Articles!$H:$H, A58, Articles!$X:$X, "&lt;&gt;"), "")</f>
        <v/>
      </c>
      <c r="D58" s="91" t="str">
        <f ca="1">IFERROR(AVERAGEIFS(Articles!$Y:$Y, Articles!$H:$H, A58, Articles!$Y:$Y, "&lt;&gt;"), "")</f>
        <v/>
      </c>
      <c r="E58" s="91" t="str">
        <f ca="1">IFERROR(AVERAGEIFS(Articles!$Z:$Z, Articles!$H:$H, A58, Articles!$Z:$Z, "&lt;&gt;"), "")</f>
        <v/>
      </c>
      <c r="F58" s="91" t="str">
        <f ca="1">IFERROR(AVERAGEIFS(Articles!$AA:$AA, Articles!$H:$H, A58, Articles!$AA:$AA, "&lt;&gt;"), "")</f>
        <v/>
      </c>
    </row>
    <row r="59" spans="1:6" ht="14">
      <c r="A59" s="9" t="str">
        <f ca="1">IFERROR(__xludf.DUMMYFUNCTION("""COMPUTED_VALUE"""),"Microbiology Society TA 2024")</f>
        <v>Microbiology Society TA 2024</v>
      </c>
      <c r="B59" s="89" t="str">
        <f ca="1">IFERROR(AVERAGEIFS(Articles!$W:$W, Articles!$H:$H, A59, Articles!$W:$W, "&lt;&gt;"), "")</f>
        <v/>
      </c>
      <c r="C59" s="90" t="str">
        <f ca="1">IFERROR(AVERAGEIFS(Articles!$X:$X, Articles!$H:$H, A59, Articles!$X:$X, "&lt;&gt;"), "")</f>
        <v/>
      </c>
      <c r="D59" s="91" t="str">
        <f ca="1">IFERROR(AVERAGEIFS(Articles!$Y:$Y, Articles!$H:$H, A59, Articles!$Y:$Y, "&lt;&gt;"), "")</f>
        <v/>
      </c>
      <c r="E59" s="91" t="str">
        <f ca="1">IFERROR(AVERAGEIFS(Articles!$Z:$Z, Articles!$H:$H, A59, Articles!$Z:$Z, "&lt;&gt;"), "")</f>
        <v/>
      </c>
      <c r="F59" s="91" t="str">
        <f ca="1">IFERROR(AVERAGEIFS(Articles!$AA:$AA, Articles!$H:$H, A59, Articles!$AA:$AA, "&lt;&gt;"), "")</f>
        <v/>
      </c>
    </row>
    <row r="60" spans="1:6" ht="14">
      <c r="A60" s="9" t="str">
        <f ca="1">IFERROR(__xludf.DUMMYFUNCTION("""COMPUTED_VALUE"""),"Oxford University Press TA 2021")</f>
        <v>Oxford University Press TA 2021</v>
      </c>
      <c r="B60" s="89">
        <f ca="1">IFERROR(AVERAGEIFS(Articles!$W:$W, Articles!$H:$H, A60, Articles!$W:$W, "&lt;&gt;"), "")</f>
        <v>11.636363636363637</v>
      </c>
      <c r="C60" s="90">
        <f ca="1">IFERROR(AVERAGEIFS(Articles!$X:$X, Articles!$H:$H, A60, Articles!$X:$X, "&lt;&gt;"), "")</f>
        <v>3.3636363636363638</v>
      </c>
      <c r="D60" s="91">
        <f ca="1">IFERROR(AVERAGEIFS(Articles!$Y:$Y, Articles!$H:$H, A60, Articles!$Y:$Y, "&lt;&gt;"), "")</f>
        <v>12</v>
      </c>
      <c r="E60" s="91">
        <f ca="1">IFERROR(AVERAGEIFS(Articles!$Z:$Z, Articles!$H:$H, A60, Articles!$Z:$Z, "&lt;&gt;"), "")</f>
        <v>0</v>
      </c>
      <c r="F60" s="91">
        <f ca="1">IFERROR(AVERAGEIFS(Articles!$AA:$AA, Articles!$H:$H, A60, Articles!$AA:$AA, "&lt;&gt;"), "")</f>
        <v>0.18181818181818182</v>
      </c>
    </row>
    <row r="61" spans="1:6" ht="14">
      <c r="A61" s="9" t="str">
        <f ca="1">IFERROR(__xludf.DUMMYFUNCTION("""COMPUTED_VALUE"""),"Oxford University Press TA 2022")</f>
        <v>Oxford University Press TA 2022</v>
      </c>
      <c r="B61" s="89">
        <f ca="1">IFERROR(AVERAGEIFS(Articles!$W:$W, Articles!$H:$H, A61, Articles!$W:$W, "&lt;&gt;"), "")</f>
        <v>5.125</v>
      </c>
      <c r="C61" s="90">
        <f ca="1">IFERROR(AVERAGEIFS(Articles!$X:$X, Articles!$H:$H, A61, Articles!$X:$X, "&lt;&gt;"), "")</f>
        <v>0.875</v>
      </c>
      <c r="D61" s="91">
        <f ca="1">IFERROR(AVERAGEIFS(Articles!$Y:$Y, Articles!$H:$H, A61, Articles!$Y:$Y, "&lt;&gt;"), "")</f>
        <v>7.3125</v>
      </c>
      <c r="E61" s="91">
        <f ca="1">IFERROR(AVERAGEIFS(Articles!$Z:$Z, Articles!$H:$H, A61, Articles!$Z:$Z, "&lt;&gt;"), "")</f>
        <v>0.25</v>
      </c>
      <c r="F61" s="91">
        <f ca="1">IFERROR(AVERAGEIFS(Articles!$AA:$AA, Articles!$H:$H, A61, Articles!$AA:$AA, "&lt;&gt;"), "")</f>
        <v>0</v>
      </c>
    </row>
    <row r="62" spans="1:6" ht="14">
      <c r="A62" s="9" t="str">
        <f ca="1">IFERROR(__xludf.DUMMYFUNCTION("""COMPUTED_VALUE"""),"Oxford University Press TA 2023")</f>
        <v>Oxford University Press TA 2023</v>
      </c>
      <c r="B62" s="89" t="str">
        <f ca="1">IFERROR(AVERAGEIFS(Articles!$W:$W, Articles!$H:$H, A62, Articles!$W:$W, "&lt;&gt;"), "")</f>
        <v/>
      </c>
      <c r="C62" s="90" t="str">
        <f ca="1">IFERROR(AVERAGEIFS(Articles!$X:$X, Articles!$H:$H, A62, Articles!$X:$X, "&lt;&gt;"), "")</f>
        <v/>
      </c>
      <c r="D62" s="91" t="str">
        <f ca="1">IFERROR(AVERAGEIFS(Articles!$Y:$Y, Articles!$H:$H, A62, Articles!$Y:$Y, "&lt;&gt;"), "")</f>
        <v/>
      </c>
      <c r="E62" s="91" t="str">
        <f ca="1">IFERROR(AVERAGEIFS(Articles!$Z:$Z, Articles!$H:$H, A62, Articles!$Z:$Z, "&lt;&gt;"), "")</f>
        <v/>
      </c>
      <c r="F62" s="91" t="str">
        <f ca="1">IFERROR(AVERAGEIFS(Articles!$AA:$AA, Articles!$H:$H, A62, Articles!$AA:$AA, "&lt;&gt;"), "")</f>
        <v/>
      </c>
    </row>
    <row r="63" spans="1:6" ht="14">
      <c r="A63" s="9" t="str">
        <f ca="1">IFERROR(__xludf.DUMMYFUNCTION("""COMPUTED_VALUE"""),"Oxford University Press TA 2024")</f>
        <v>Oxford University Press TA 2024</v>
      </c>
      <c r="B63" s="89" t="str">
        <f ca="1">IFERROR(AVERAGEIFS(Articles!$W:$W, Articles!$H:$H, A63, Articles!$W:$W, "&lt;&gt;"), "")</f>
        <v/>
      </c>
      <c r="C63" s="90" t="str">
        <f ca="1">IFERROR(AVERAGEIFS(Articles!$X:$X, Articles!$H:$H, A63, Articles!$X:$X, "&lt;&gt;"), "")</f>
        <v/>
      </c>
      <c r="D63" s="91" t="str">
        <f ca="1">IFERROR(AVERAGEIFS(Articles!$Y:$Y, Articles!$H:$H, A63, Articles!$Y:$Y, "&lt;&gt;"), "")</f>
        <v/>
      </c>
      <c r="E63" s="91" t="str">
        <f ca="1">IFERROR(AVERAGEIFS(Articles!$Z:$Z, Articles!$H:$H, A63, Articles!$Z:$Z, "&lt;&gt;"), "")</f>
        <v/>
      </c>
      <c r="F63" s="91" t="str">
        <f ca="1">IFERROR(AVERAGEIFS(Articles!$AA:$AA, Articles!$H:$H, A63, Articles!$AA:$AA, "&lt;&gt;"), "")</f>
        <v/>
      </c>
    </row>
    <row r="64" spans="1:6" ht="14">
      <c r="A64" s="9" t="str">
        <f ca="1">IFERROR(__xludf.DUMMYFUNCTION("""COMPUTED_VALUE"""),"PLOS CAP 2021")</f>
        <v>PLOS CAP 2021</v>
      </c>
      <c r="B64" s="89">
        <f ca="1">IFERROR(AVERAGEIFS(Articles!$W:$W, Articles!$H:$H, A64, Articles!$W:$W, "&lt;&gt;"), "")</f>
        <v>221</v>
      </c>
      <c r="C64" s="90">
        <f ca="1">IFERROR(AVERAGEIFS(Articles!$X:$X, Articles!$H:$H, A64, Articles!$X:$X, "&lt;&gt;"), "")</f>
        <v>32.5</v>
      </c>
      <c r="D64" s="91">
        <f ca="1">IFERROR(AVERAGEIFS(Articles!$Y:$Y, Articles!$H:$H, A64, Articles!$Y:$Y, "&lt;&gt;"), "")</f>
        <v>467.5</v>
      </c>
      <c r="E64" s="91">
        <f ca="1">IFERROR(AVERAGEIFS(Articles!$Z:$Z, Articles!$H:$H, A64, Articles!$Z:$Z, "&lt;&gt;"), "")</f>
        <v>0</v>
      </c>
      <c r="F64" s="91">
        <f ca="1">IFERROR(AVERAGEIFS(Articles!$AA:$AA, Articles!$H:$H, A64, Articles!$AA:$AA, "&lt;&gt;"), "")</f>
        <v>7</v>
      </c>
    </row>
    <row r="65" spans="1:6" ht="14">
      <c r="A65" s="9" t="str">
        <f ca="1">IFERROR(__xludf.DUMMYFUNCTION("""COMPUTED_VALUE"""),"PLOS CAP 2022")</f>
        <v>PLOS CAP 2022</v>
      </c>
      <c r="B65" s="89">
        <f ca="1">IFERROR(AVERAGEIFS(Articles!$W:$W, Articles!$H:$H, A65, Articles!$W:$W, "&lt;&gt;"), "")</f>
        <v>18</v>
      </c>
      <c r="C65" s="90">
        <f ca="1">IFERROR(AVERAGEIFS(Articles!$X:$X, Articles!$H:$H, A65, Articles!$X:$X, "&lt;&gt;"), "")</f>
        <v>1</v>
      </c>
      <c r="D65" s="91">
        <f ca="1">IFERROR(AVERAGEIFS(Articles!$Y:$Y, Articles!$H:$H, A65, Articles!$Y:$Y, "&lt;&gt;"), "")</f>
        <v>73</v>
      </c>
      <c r="E65" s="91">
        <f ca="1">IFERROR(AVERAGEIFS(Articles!$Z:$Z, Articles!$H:$H, A65, Articles!$Z:$Z, "&lt;&gt;"), "")</f>
        <v>0</v>
      </c>
      <c r="F65" s="91">
        <f ca="1">IFERROR(AVERAGEIFS(Articles!$AA:$AA, Articles!$H:$H, A65, Articles!$AA:$AA, "&lt;&gt;"), "")</f>
        <v>0</v>
      </c>
    </row>
    <row r="66" spans="1:6" ht="14">
      <c r="A66" s="9" t="str">
        <f ca="1">IFERROR(__xludf.DUMMYFUNCTION("""COMPUTED_VALUE"""),"PLOS CAP 2023")</f>
        <v>PLOS CAP 2023</v>
      </c>
      <c r="B66" s="89" t="str">
        <f ca="1">IFERROR(AVERAGEIFS(Articles!$W:$W, Articles!$H:$H, A66, Articles!$W:$W, "&lt;&gt;"), "")</f>
        <v/>
      </c>
      <c r="C66" s="90" t="str">
        <f ca="1">IFERROR(AVERAGEIFS(Articles!$X:$X, Articles!$H:$H, A66, Articles!$X:$X, "&lt;&gt;"), "")</f>
        <v/>
      </c>
      <c r="D66" s="91" t="str">
        <f ca="1">IFERROR(AVERAGEIFS(Articles!$Y:$Y, Articles!$H:$H, A66, Articles!$Y:$Y, "&lt;&gt;"), "")</f>
        <v/>
      </c>
      <c r="E66" s="91" t="str">
        <f ca="1">IFERROR(AVERAGEIFS(Articles!$Z:$Z, Articles!$H:$H, A66, Articles!$Z:$Z, "&lt;&gt;"), "")</f>
        <v/>
      </c>
      <c r="F66" s="91" t="str">
        <f ca="1">IFERROR(AVERAGEIFS(Articles!$AA:$AA, Articles!$H:$H, A66, Articles!$AA:$AA, "&lt;&gt;"), "")</f>
        <v/>
      </c>
    </row>
    <row r="67" spans="1:6" ht="14">
      <c r="A67" s="9" t="str">
        <f ca="1">IFERROR(__xludf.DUMMYFUNCTION("""COMPUTED_VALUE"""),"PLOS CAP 2024")</f>
        <v>PLOS CAP 2024</v>
      </c>
      <c r="B67" s="89" t="str">
        <f ca="1">IFERROR(AVERAGEIFS(Articles!$W:$W, Articles!$H:$H, A67, Articles!$W:$W, "&lt;&gt;"), "")</f>
        <v/>
      </c>
      <c r="C67" s="90" t="str">
        <f ca="1">IFERROR(AVERAGEIFS(Articles!$X:$X, Articles!$H:$H, A67, Articles!$X:$X, "&lt;&gt;"), "")</f>
        <v/>
      </c>
      <c r="D67" s="91" t="str">
        <f ca="1">IFERROR(AVERAGEIFS(Articles!$Y:$Y, Articles!$H:$H, A67, Articles!$Y:$Y, "&lt;&gt;"), "")</f>
        <v/>
      </c>
      <c r="E67" s="91" t="str">
        <f ca="1">IFERROR(AVERAGEIFS(Articles!$Z:$Z, Articles!$H:$H, A67, Articles!$Z:$Z, "&lt;&gt;"), "")</f>
        <v/>
      </c>
      <c r="F67" s="91" t="str">
        <f ca="1">IFERROR(AVERAGEIFS(Articles!$AA:$AA, Articles!$H:$H, A67, Articles!$AA:$AA, "&lt;&gt;"), "")</f>
        <v/>
      </c>
    </row>
    <row r="68" spans="1:6" ht="14">
      <c r="A68" s="9" t="str">
        <f ca="1">IFERROR(__xludf.DUMMYFUNCTION("""COMPUTED_VALUE"""),"PLOS GE 2024")</f>
        <v>PLOS GE 2024</v>
      </c>
      <c r="B68" s="89" t="str">
        <f ca="1">IFERROR(AVERAGEIFS(Articles!$W:$W, Articles!$H:$H, A68, Articles!$W:$W, "&lt;&gt;"), "")</f>
        <v/>
      </c>
      <c r="C68" s="90" t="str">
        <f ca="1">IFERROR(AVERAGEIFS(Articles!$X:$X, Articles!$H:$H, A68, Articles!$X:$X, "&lt;&gt;"), "")</f>
        <v/>
      </c>
      <c r="D68" s="91" t="str">
        <f ca="1">IFERROR(AVERAGEIFS(Articles!$Y:$Y, Articles!$H:$H, A68, Articles!$Y:$Y, "&lt;&gt;"), "")</f>
        <v/>
      </c>
      <c r="E68" s="91" t="str">
        <f ca="1">IFERROR(AVERAGEIFS(Articles!$Z:$Z, Articles!$H:$H, A68, Articles!$Z:$Z, "&lt;&gt;"), "")</f>
        <v/>
      </c>
      <c r="F68" s="91" t="str">
        <f ca="1">IFERROR(AVERAGEIFS(Articles!$AA:$AA, Articles!$H:$H, A68, Articles!$AA:$AA, "&lt;&gt;"), "")</f>
        <v/>
      </c>
    </row>
    <row r="69" spans="1:6" ht="14">
      <c r="A69" s="9" t="str">
        <f ca="1">IFERROR(__xludf.DUMMYFUNCTION("""COMPUTED_VALUE"""),"PLOS TFF 2021")</f>
        <v>PLOS TFF 2021</v>
      </c>
      <c r="B69" s="89">
        <f ca="1">IFERROR(AVERAGEIFS(Articles!$W:$W, Articles!$H:$H, A69, Articles!$W:$W, "&lt;&gt;"), "")</f>
        <v>43.75</v>
      </c>
      <c r="C69" s="90">
        <f ca="1">IFERROR(AVERAGEIFS(Articles!$X:$X, Articles!$H:$H, A69, Articles!$X:$X, "&lt;&gt;"), "")</f>
        <v>63.85</v>
      </c>
      <c r="D69" s="91">
        <f ca="1">IFERROR(AVERAGEIFS(Articles!$Y:$Y, Articles!$H:$H, A69, Articles!$Y:$Y, "&lt;&gt;"), "")</f>
        <v>21.45</v>
      </c>
      <c r="E69" s="91">
        <f ca="1">IFERROR(AVERAGEIFS(Articles!$Z:$Z, Articles!$H:$H, A69, Articles!$Z:$Z, "&lt;&gt;"), "")</f>
        <v>47.7</v>
      </c>
      <c r="F69" s="91">
        <f ca="1">IFERROR(AVERAGEIFS(Articles!$AA:$AA, Articles!$H:$H, A69, Articles!$AA:$AA, "&lt;&gt;"), "")</f>
        <v>1.05</v>
      </c>
    </row>
    <row r="70" spans="1:6" ht="14">
      <c r="A70" s="9" t="str">
        <f ca="1">IFERROR(__xludf.DUMMYFUNCTION("""COMPUTED_VALUE"""),"PLOS TFF 2022")</f>
        <v>PLOS TFF 2022</v>
      </c>
      <c r="B70" s="89">
        <f ca="1">IFERROR(AVERAGEIFS(Articles!$W:$W, Articles!$H:$H, A70, Articles!$W:$W, "&lt;&gt;"), "")</f>
        <v>16.882352941176471</v>
      </c>
      <c r="C70" s="90">
        <f ca="1">IFERROR(AVERAGEIFS(Articles!$X:$X, Articles!$H:$H, A70, Articles!$X:$X, "&lt;&gt;"), "")</f>
        <v>46.941176470588232</v>
      </c>
      <c r="D70" s="91">
        <f ca="1">IFERROR(AVERAGEIFS(Articles!$Y:$Y, Articles!$H:$H, A70, Articles!$Y:$Y, "&lt;&gt;"), "")</f>
        <v>39.647058823529413</v>
      </c>
      <c r="E70" s="91">
        <f ca="1">IFERROR(AVERAGEIFS(Articles!$Z:$Z, Articles!$H:$H, A70, Articles!$Z:$Z, "&lt;&gt;"), "")</f>
        <v>0</v>
      </c>
      <c r="F70" s="91">
        <f ca="1">IFERROR(AVERAGEIFS(Articles!$AA:$AA, Articles!$H:$H, A70, Articles!$AA:$AA, "&lt;&gt;"), "")</f>
        <v>1.8823529411764706</v>
      </c>
    </row>
    <row r="71" spans="1:6" ht="14">
      <c r="A71" s="9" t="str">
        <f ca="1">IFERROR(__xludf.DUMMYFUNCTION("""COMPUTED_VALUE"""),"PLOS TFF 2023")</f>
        <v>PLOS TFF 2023</v>
      </c>
      <c r="B71" s="89" t="str">
        <f ca="1">IFERROR(AVERAGEIFS(Articles!$W:$W, Articles!$H:$H, A71, Articles!$W:$W, "&lt;&gt;"), "")</f>
        <v/>
      </c>
      <c r="C71" s="90" t="str">
        <f ca="1">IFERROR(AVERAGEIFS(Articles!$X:$X, Articles!$H:$H, A71, Articles!$X:$X, "&lt;&gt;"), "")</f>
        <v/>
      </c>
      <c r="D71" s="91" t="str">
        <f ca="1">IFERROR(AVERAGEIFS(Articles!$Y:$Y, Articles!$H:$H, A71, Articles!$Y:$Y, "&lt;&gt;"), "")</f>
        <v/>
      </c>
      <c r="E71" s="91" t="str">
        <f ca="1">IFERROR(AVERAGEIFS(Articles!$Z:$Z, Articles!$H:$H, A71, Articles!$Z:$Z, "&lt;&gt;"), "")</f>
        <v/>
      </c>
      <c r="F71" s="91" t="str">
        <f ca="1">IFERROR(AVERAGEIFS(Articles!$AA:$AA, Articles!$H:$H, A71, Articles!$AA:$AA, "&lt;&gt;"), "")</f>
        <v/>
      </c>
    </row>
    <row r="72" spans="1:6" ht="14">
      <c r="A72" s="9" t="str">
        <f ca="1">IFERROR(__xludf.DUMMYFUNCTION("""COMPUTED_VALUE"""),"PLOS TFF 2024")</f>
        <v>PLOS TFF 2024</v>
      </c>
      <c r="B72" s="89" t="str">
        <f ca="1">IFERROR(AVERAGEIFS(Articles!$W:$W, Articles!$H:$H, A72, Articles!$W:$W, "&lt;&gt;"), "")</f>
        <v/>
      </c>
      <c r="C72" s="90" t="str">
        <f ca="1">IFERROR(AVERAGEIFS(Articles!$X:$X, Articles!$H:$H, A72, Articles!$X:$X, "&lt;&gt;"), "")</f>
        <v/>
      </c>
      <c r="D72" s="91" t="str">
        <f ca="1">IFERROR(AVERAGEIFS(Articles!$Y:$Y, Articles!$H:$H, A72, Articles!$Y:$Y, "&lt;&gt;"), "")</f>
        <v/>
      </c>
      <c r="E72" s="91" t="str">
        <f ca="1">IFERROR(AVERAGEIFS(Articles!$Z:$Z, Articles!$H:$H, A72, Articles!$Z:$Z, "&lt;&gt;"), "")</f>
        <v/>
      </c>
      <c r="F72" s="91" t="str">
        <f ca="1">IFERROR(AVERAGEIFS(Articles!$AA:$AA, Articles!$H:$H, A72, Articles!$AA:$AA, "&lt;&gt;"), "")</f>
        <v/>
      </c>
    </row>
    <row r="73" spans="1:6" ht="14">
      <c r="A73" s="9" t="str">
        <f ca="1">IFERROR(__xludf.DUMMYFUNCTION("""COMPUTED_VALUE"""),"PNAS TA 2022")</f>
        <v>PNAS TA 2022</v>
      </c>
      <c r="B73" s="89">
        <f ca="1">IFERROR(AVERAGEIFS(Articles!$W:$W, Articles!$H:$H, A73, Articles!$W:$W, "&lt;&gt;"), "")</f>
        <v>680</v>
      </c>
      <c r="C73" s="90">
        <f ca="1">IFERROR(AVERAGEIFS(Articles!$X:$X, Articles!$H:$H, A73, Articles!$X:$X, "&lt;&gt;"), "")</f>
        <v>171</v>
      </c>
      <c r="D73" s="91">
        <f ca="1">IFERROR(AVERAGEIFS(Articles!$Y:$Y, Articles!$H:$H, A73, Articles!$Y:$Y, "&lt;&gt;"), "")</f>
        <v>1727</v>
      </c>
      <c r="E73" s="91">
        <f ca="1">IFERROR(AVERAGEIFS(Articles!$Z:$Z, Articles!$H:$H, A73, Articles!$Z:$Z, "&lt;&gt;"), "")</f>
        <v>0</v>
      </c>
      <c r="F73" s="91">
        <f ca="1">IFERROR(AVERAGEIFS(Articles!$AA:$AA, Articles!$H:$H, A73, Articles!$AA:$AA, "&lt;&gt;"), "")</f>
        <v>74</v>
      </c>
    </row>
    <row r="74" spans="1:6" ht="14">
      <c r="A74" s="9" t="str">
        <f ca="1">IFERROR(__xludf.DUMMYFUNCTION("""COMPUTED_VALUE"""),"PNAS TA 2023")</f>
        <v>PNAS TA 2023</v>
      </c>
      <c r="B74" s="89" t="str">
        <f ca="1">IFERROR(AVERAGEIFS(Articles!$W:$W, Articles!$H:$H, A74, Articles!$W:$W, "&lt;&gt;"), "")</f>
        <v/>
      </c>
      <c r="C74" s="90" t="str">
        <f ca="1">IFERROR(AVERAGEIFS(Articles!$X:$X, Articles!$H:$H, A74, Articles!$X:$X, "&lt;&gt;"), "")</f>
        <v/>
      </c>
      <c r="D74" s="91" t="str">
        <f ca="1">IFERROR(AVERAGEIFS(Articles!$Y:$Y, Articles!$H:$H, A74, Articles!$Y:$Y, "&lt;&gt;"), "")</f>
        <v/>
      </c>
      <c r="E74" s="91" t="str">
        <f ca="1">IFERROR(AVERAGEIFS(Articles!$Z:$Z, Articles!$H:$H, A74, Articles!$Z:$Z, "&lt;&gt;"), "")</f>
        <v/>
      </c>
      <c r="F74" s="91" t="str">
        <f ca="1">IFERROR(AVERAGEIFS(Articles!$AA:$AA, Articles!$H:$H, A74, Articles!$AA:$AA, "&lt;&gt;"), "")</f>
        <v/>
      </c>
    </row>
    <row r="75" spans="1:6" ht="14">
      <c r="A75" s="9" t="str">
        <f ca="1">IFERROR(__xludf.DUMMYFUNCTION("""COMPUTED_VALUE"""),"Portland Press TA 2020")</f>
        <v>Portland Press TA 2020</v>
      </c>
      <c r="B75" s="89">
        <f ca="1">IFERROR(AVERAGEIFS(Articles!$W:$W, Articles!$H:$H, A75, Articles!$W:$W, "&lt;&gt;"), "")</f>
        <v>49.333333333333336</v>
      </c>
      <c r="C75" s="90">
        <f ca="1">IFERROR(AVERAGEIFS(Articles!$X:$X, Articles!$H:$H, A75, Articles!$X:$X, "&lt;&gt;"), "")</f>
        <v>13.333333333333334</v>
      </c>
      <c r="D75" s="91">
        <f ca="1">IFERROR(AVERAGEIFS(Articles!$Y:$Y, Articles!$H:$H, A75, Articles!$Y:$Y, "&lt;&gt;"), "")</f>
        <v>0.66666666666666663</v>
      </c>
      <c r="E75" s="91">
        <f ca="1">IFERROR(AVERAGEIFS(Articles!$Z:$Z, Articles!$H:$H, A75, Articles!$Z:$Z, "&lt;&gt;"), "")</f>
        <v>0</v>
      </c>
      <c r="F75" s="91">
        <f ca="1">IFERROR(AVERAGEIFS(Articles!$AA:$AA, Articles!$H:$H, A75, Articles!$AA:$AA, "&lt;&gt;"), "")</f>
        <v>0.66666666666666663</v>
      </c>
    </row>
    <row r="76" spans="1:6" ht="14">
      <c r="A76" s="9" t="str">
        <f ca="1">IFERROR(__xludf.DUMMYFUNCTION("""COMPUTED_VALUE"""),"Portland Press TA 2021")</f>
        <v>Portland Press TA 2021</v>
      </c>
      <c r="B76" s="89">
        <f ca="1">IFERROR(AVERAGEIFS(Articles!$W:$W, Articles!$H:$H, A76, Articles!$W:$W, "&lt;&gt;"), "")</f>
        <v>14.25</v>
      </c>
      <c r="C76" s="90">
        <f ca="1">IFERROR(AVERAGEIFS(Articles!$X:$X, Articles!$H:$H, A76, Articles!$X:$X, "&lt;&gt;"), "")</f>
        <v>3.75</v>
      </c>
      <c r="D76" s="91">
        <f ca="1">IFERROR(AVERAGEIFS(Articles!$Y:$Y, Articles!$H:$H, A76, Articles!$Y:$Y, "&lt;&gt;"), "")</f>
        <v>0</v>
      </c>
      <c r="E76" s="91">
        <f ca="1">IFERROR(AVERAGEIFS(Articles!$Z:$Z, Articles!$H:$H, A76, Articles!$Z:$Z, "&lt;&gt;"), "")</f>
        <v>0</v>
      </c>
      <c r="F76" s="91">
        <f ca="1">IFERROR(AVERAGEIFS(Articles!$AA:$AA, Articles!$H:$H, A76, Articles!$AA:$AA, "&lt;&gt;"), "")</f>
        <v>0</v>
      </c>
    </row>
    <row r="77" spans="1:6" ht="14">
      <c r="A77" s="9" t="str">
        <f ca="1">IFERROR(__xludf.DUMMYFUNCTION("""COMPUTED_VALUE"""),"Portland Press TA 2022")</f>
        <v>Portland Press TA 2022</v>
      </c>
      <c r="B77" s="89">
        <f ca="1">IFERROR(AVERAGEIFS(Articles!$W:$W, Articles!$H:$H, A77, Articles!$W:$W, "&lt;&gt;"), "")</f>
        <v>3</v>
      </c>
      <c r="C77" s="90">
        <f ca="1">IFERROR(AVERAGEIFS(Articles!$X:$X, Articles!$H:$H, A77, Articles!$X:$X, "&lt;&gt;"), "")</f>
        <v>0</v>
      </c>
      <c r="D77" s="91">
        <f ca="1">IFERROR(AVERAGEIFS(Articles!$Y:$Y, Articles!$H:$H, A77, Articles!$Y:$Y, "&lt;&gt;"), "")</f>
        <v>0</v>
      </c>
      <c r="E77" s="91">
        <f ca="1">IFERROR(AVERAGEIFS(Articles!$Z:$Z, Articles!$H:$H, A77, Articles!$Z:$Z, "&lt;&gt;"), "")</f>
        <v>0</v>
      </c>
      <c r="F77" s="91">
        <f ca="1">IFERROR(AVERAGEIFS(Articles!$AA:$AA, Articles!$H:$H, A77, Articles!$AA:$AA, "&lt;&gt;"), "")</f>
        <v>0</v>
      </c>
    </row>
    <row r="78" spans="1:6" ht="14">
      <c r="A78" s="9" t="str">
        <f ca="1">IFERROR(__xludf.DUMMYFUNCTION("""COMPUTED_VALUE"""),"Portland Press TA 2023")</f>
        <v>Portland Press TA 2023</v>
      </c>
      <c r="B78" s="89" t="str">
        <f ca="1">IFERROR(AVERAGEIFS(Articles!$W:$W, Articles!$H:$H, A78, Articles!$W:$W, "&lt;&gt;"), "")</f>
        <v/>
      </c>
      <c r="C78" s="90" t="str">
        <f ca="1">IFERROR(AVERAGEIFS(Articles!$X:$X, Articles!$H:$H, A78, Articles!$X:$X, "&lt;&gt;"), "")</f>
        <v/>
      </c>
      <c r="D78" s="91" t="str">
        <f ca="1">IFERROR(AVERAGEIFS(Articles!$Y:$Y, Articles!$H:$H, A78, Articles!$Y:$Y, "&lt;&gt;"), "")</f>
        <v/>
      </c>
      <c r="E78" s="91" t="str">
        <f ca="1">IFERROR(AVERAGEIFS(Articles!$Z:$Z, Articles!$H:$H, A78, Articles!$Z:$Z, "&lt;&gt;"), "")</f>
        <v/>
      </c>
      <c r="F78" s="91" t="str">
        <f ca="1">IFERROR(AVERAGEIFS(Articles!$AA:$AA, Articles!$H:$H, A78, Articles!$AA:$AA, "&lt;&gt;"), "")</f>
        <v/>
      </c>
    </row>
    <row r="79" spans="1:6" ht="14">
      <c r="A79" s="9" t="str">
        <f ca="1">IFERROR(__xludf.DUMMYFUNCTION("""COMPUTED_VALUE"""),"Portland Press TA 2024")</f>
        <v>Portland Press TA 2024</v>
      </c>
      <c r="B79" s="89" t="str">
        <f ca="1">IFERROR(AVERAGEIFS(Articles!$W:$W, Articles!$H:$H, A79, Articles!$W:$W, "&lt;&gt;"), "")</f>
        <v/>
      </c>
      <c r="C79" s="90" t="str">
        <f ca="1">IFERROR(AVERAGEIFS(Articles!$X:$X, Articles!$H:$H, A79, Articles!$X:$X, "&lt;&gt;"), "")</f>
        <v/>
      </c>
      <c r="D79" s="91" t="str">
        <f ca="1">IFERROR(AVERAGEIFS(Articles!$Y:$Y, Articles!$H:$H, A79, Articles!$Y:$Y, "&lt;&gt;"), "")</f>
        <v/>
      </c>
      <c r="E79" s="91" t="str">
        <f ca="1">IFERROR(AVERAGEIFS(Articles!$Z:$Z, Articles!$H:$H, A79, Articles!$Z:$Z, "&lt;&gt;"), "")</f>
        <v/>
      </c>
      <c r="F79" s="91" t="str">
        <f ca="1">IFERROR(AVERAGEIFS(Articles!$AA:$AA, Articles!$H:$H, A79, Articles!$AA:$AA, "&lt;&gt;"), "")</f>
        <v/>
      </c>
    </row>
    <row r="80" spans="1:6" ht="14">
      <c r="A80" s="9" t="str">
        <f ca="1">IFERROR(__xludf.DUMMYFUNCTION("""COMPUTED_VALUE"""),"Portland Press TA 2025")</f>
        <v>Portland Press TA 2025</v>
      </c>
      <c r="B80" s="89" t="str">
        <f ca="1">IFERROR(AVERAGEIFS(Articles!$W:$W, Articles!$H:$H, A80, Articles!$W:$W, "&lt;&gt;"), "")</f>
        <v/>
      </c>
      <c r="C80" s="90" t="str">
        <f ca="1">IFERROR(AVERAGEIFS(Articles!$X:$X, Articles!$H:$H, A80, Articles!$X:$X, "&lt;&gt;"), "")</f>
        <v/>
      </c>
      <c r="D80" s="91" t="str">
        <f ca="1">IFERROR(AVERAGEIFS(Articles!$Y:$Y, Articles!$H:$H, A80, Articles!$Y:$Y, "&lt;&gt;"), "")</f>
        <v/>
      </c>
      <c r="E80" s="91" t="str">
        <f ca="1">IFERROR(AVERAGEIFS(Articles!$Z:$Z, Articles!$H:$H, A80, Articles!$Z:$Z, "&lt;&gt;"), "")</f>
        <v/>
      </c>
      <c r="F80" s="91" t="str">
        <f ca="1">IFERROR(AVERAGEIFS(Articles!$AA:$AA, Articles!$H:$H, A80, Articles!$AA:$AA, "&lt;&gt;"), "")</f>
        <v/>
      </c>
    </row>
    <row r="81" spans="1:6" ht="14">
      <c r="A81" s="9" t="str">
        <f ca="1">IFERROR(__xludf.DUMMYFUNCTION("""COMPUTED_VALUE"""),"Rockefeller University Press TA 2020")</f>
        <v>Rockefeller University Press TA 2020</v>
      </c>
      <c r="B81" s="89" t="str">
        <f ca="1">IFERROR(AVERAGEIFS(Articles!$W:$W, Articles!$H:$H, A81, Articles!$W:$W, "&lt;&gt;"), "")</f>
        <v/>
      </c>
      <c r="C81" s="90" t="str">
        <f ca="1">IFERROR(AVERAGEIFS(Articles!$X:$X, Articles!$H:$H, A81, Articles!$X:$X, "&lt;&gt;"), "")</f>
        <v/>
      </c>
      <c r="D81" s="91" t="str">
        <f ca="1">IFERROR(AVERAGEIFS(Articles!$Y:$Y, Articles!$H:$H, A81, Articles!$Y:$Y, "&lt;&gt;"), "")</f>
        <v/>
      </c>
      <c r="E81" s="91" t="str">
        <f ca="1">IFERROR(AVERAGEIFS(Articles!$Z:$Z, Articles!$H:$H, A81, Articles!$Z:$Z, "&lt;&gt;"), "")</f>
        <v/>
      </c>
      <c r="F81" s="91" t="str">
        <f ca="1">IFERROR(AVERAGEIFS(Articles!$AA:$AA, Articles!$H:$H, A81, Articles!$AA:$AA, "&lt;&gt;"), "")</f>
        <v/>
      </c>
    </row>
    <row r="82" spans="1:6" ht="14">
      <c r="A82" s="9" t="str">
        <f ca="1">IFERROR(__xludf.DUMMYFUNCTION("""COMPUTED_VALUE"""),"Rockefeller University Press TA 2021")</f>
        <v>Rockefeller University Press TA 2021</v>
      </c>
      <c r="B82" s="89" t="str">
        <f ca="1">IFERROR(AVERAGEIFS(Articles!$W:$W, Articles!$H:$H, A82, Articles!$W:$W, "&lt;&gt;"), "")</f>
        <v/>
      </c>
      <c r="C82" s="90" t="str">
        <f ca="1">IFERROR(AVERAGEIFS(Articles!$X:$X, Articles!$H:$H, A82, Articles!$X:$X, "&lt;&gt;"), "")</f>
        <v/>
      </c>
      <c r="D82" s="91" t="str">
        <f ca="1">IFERROR(AVERAGEIFS(Articles!$Y:$Y, Articles!$H:$H, A82, Articles!$Y:$Y, "&lt;&gt;"), "")</f>
        <v/>
      </c>
      <c r="E82" s="91" t="str">
        <f ca="1">IFERROR(AVERAGEIFS(Articles!$Z:$Z, Articles!$H:$H, A82, Articles!$Z:$Z, "&lt;&gt;"), "")</f>
        <v/>
      </c>
      <c r="F82" s="91" t="str">
        <f ca="1">IFERROR(AVERAGEIFS(Articles!$AA:$AA, Articles!$H:$H, A82, Articles!$AA:$AA, "&lt;&gt;"), "")</f>
        <v/>
      </c>
    </row>
    <row r="83" spans="1:6" ht="14">
      <c r="A83" s="9" t="str">
        <f ca="1">IFERROR(__xludf.DUMMYFUNCTION("""COMPUTED_VALUE"""),"Rockefeller University Press TA 2022")</f>
        <v>Rockefeller University Press TA 2022</v>
      </c>
      <c r="B83" s="89" t="str">
        <f ca="1">IFERROR(AVERAGEIFS(Articles!$W:$W, Articles!$H:$H, A83, Articles!$W:$W, "&lt;&gt;"), "")</f>
        <v/>
      </c>
      <c r="C83" s="90" t="str">
        <f ca="1">IFERROR(AVERAGEIFS(Articles!$X:$X, Articles!$H:$H, A83, Articles!$X:$X, "&lt;&gt;"), "")</f>
        <v/>
      </c>
      <c r="D83" s="91" t="str">
        <f ca="1">IFERROR(AVERAGEIFS(Articles!$Y:$Y, Articles!$H:$H, A83, Articles!$Y:$Y, "&lt;&gt;"), "")</f>
        <v/>
      </c>
      <c r="E83" s="91" t="str">
        <f ca="1">IFERROR(AVERAGEIFS(Articles!$Z:$Z, Articles!$H:$H, A83, Articles!$Z:$Z, "&lt;&gt;"), "")</f>
        <v/>
      </c>
      <c r="F83" s="91" t="str">
        <f ca="1">IFERROR(AVERAGEIFS(Articles!$AA:$AA, Articles!$H:$H, A83, Articles!$AA:$AA, "&lt;&gt;"), "")</f>
        <v/>
      </c>
    </row>
    <row r="84" spans="1:6" ht="14">
      <c r="A84" s="9" t="str">
        <f ca="1">IFERROR(__xludf.DUMMYFUNCTION("""COMPUTED_VALUE"""),"Rockefeller University Press TA 2023")</f>
        <v>Rockefeller University Press TA 2023</v>
      </c>
      <c r="B84" s="89" t="str">
        <f ca="1">IFERROR(AVERAGEIFS(Articles!$W:$W, Articles!$H:$H, A84, Articles!$W:$W, "&lt;&gt;"), "")</f>
        <v/>
      </c>
      <c r="C84" s="90" t="str">
        <f ca="1">IFERROR(AVERAGEIFS(Articles!$X:$X, Articles!$H:$H, A84, Articles!$X:$X, "&lt;&gt;"), "")</f>
        <v/>
      </c>
      <c r="D84" s="91" t="str">
        <f ca="1">IFERROR(AVERAGEIFS(Articles!$Y:$Y, Articles!$H:$H, A84, Articles!$Y:$Y, "&lt;&gt;"), "")</f>
        <v/>
      </c>
      <c r="E84" s="91" t="str">
        <f ca="1">IFERROR(AVERAGEIFS(Articles!$Z:$Z, Articles!$H:$H, A84, Articles!$Z:$Z, "&lt;&gt;"), "")</f>
        <v/>
      </c>
      <c r="F84" s="91" t="str">
        <f ca="1">IFERROR(AVERAGEIFS(Articles!$AA:$AA, Articles!$H:$H, A84, Articles!$AA:$AA, "&lt;&gt;"), "")</f>
        <v/>
      </c>
    </row>
    <row r="85" spans="1:6" ht="14">
      <c r="A85" s="9" t="str">
        <f ca="1">IFERROR(__xludf.DUMMYFUNCTION("""COMPUTED_VALUE"""),"Rockefeller University Press TA 2024")</f>
        <v>Rockefeller University Press TA 2024</v>
      </c>
      <c r="B85" s="89" t="str">
        <f ca="1">IFERROR(AVERAGEIFS(Articles!$W:$W, Articles!$H:$H, A85, Articles!$W:$W, "&lt;&gt;"), "")</f>
        <v/>
      </c>
      <c r="C85" s="90" t="str">
        <f ca="1">IFERROR(AVERAGEIFS(Articles!$X:$X, Articles!$H:$H, A85, Articles!$X:$X, "&lt;&gt;"), "")</f>
        <v/>
      </c>
      <c r="D85" s="91" t="str">
        <f ca="1">IFERROR(AVERAGEIFS(Articles!$Y:$Y, Articles!$H:$H, A85, Articles!$Y:$Y, "&lt;&gt;"), "")</f>
        <v/>
      </c>
      <c r="E85" s="91" t="str">
        <f ca="1">IFERROR(AVERAGEIFS(Articles!$Z:$Z, Articles!$H:$H, A85, Articles!$Z:$Z, "&lt;&gt;"), "")</f>
        <v/>
      </c>
      <c r="F85" s="91" t="str">
        <f ca="1">IFERROR(AVERAGEIFS(Articles!$AA:$AA, Articles!$H:$H, A85, Articles!$AA:$AA, "&lt;&gt;"), "")</f>
        <v/>
      </c>
    </row>
    <row r="86" spans="1:6" ht="14">
      <c r="A86" s="9" t="str">
        <f ca="1">IFERROR(__xludf.DUMMYFUNCTION("""COMPUTED_VALUE"""),"Rockefeller University Press TA 2025")</f>
        <v>Rockefeller University Press TA 2025</v>
      </c>
      <c r="B86" s="89" t="str">
        <f ca="1">IFERROR(AVERAGEIFS(Articles!$W:$W, Articles!$H:$H, A86, Articles!$W:$W, "&lt;&gt;"), "")</f>
        <v/>
      </c>
      <c r="C86" s="90" t="str">
        <f ca="1">IFERROR(AVERAGEIFS(Articles!$X:$X, Articles!$H:$H, A86, Articles!$X:$X, "&lt;&gt;"), "")</f>
        <v/>
      </c>
      <c r="D86" s="91" t="str">
        <f ca="1">IFERROR(AVERAGEIFS(Articles!$Y:$Y, Articles!$H:$H, A86, Articles!$Y:$Y, "&lt;&gt;"), "")</f>
        <v/>
      </c>
      <c r="E86" s="91" t="str">
        <f ca="1">IFERROR(AVERAGEIFS(Articles!$Z:$Z, Articles!$H:$H, A86, Articles!$Z:$Z, "&lt;&gt;"), "")</f>
        <v/>
      </c>
      <c r="F86" s="91" t="str">
        <f ca="1">IFERROR(AVERAGEIFS(Articles!$AA:$AA, Articles!$H:$H, A86, Articles!$AA:$AA, "&lt;&gt;"), "")</f>
        <v/>
      </c>
    </row>
    <row r="87" spans="1:6" ht="14">
      <c r="A87" s="9" t="str">
        <f ca="1">IFERROR(__xludf.DUMMYFUNCTION("""COMPUTED_VALUE"""),"Royal Society TA 2023")</f>
        <v>Royal Society TA 2023</v>
      </c>
      <c r="B87" s="89" t="str">
        <f ca="1">IFERROR(AVERAGEIFS(Articles!$W:$W, Articles!$H:$H, A87, Articles!$W:$W, "&lt;&gt;"), "")</f>
        <v/>
      </c>
      <c r="C87" s="90" t="str">
        <f ca="1">IFERROR(AVERAGEIFS(Articles!$X:$X, Articles!$H:$H, A87, Articles!$X:$X, "&lt;&gt;"), "")</f>
        <v/>
      </c>
      <c r="D87" s="91" t="str">
        <f ca="1">IFERROR(AVERAGEIFS(Articles!$Y:$Y, Articles!$H:$H, A87, Articles!$Y:$Y, "&lt;&gt;"), "")</f>
        <v/>
      </c>
      <c r="E87" s="91" t="str">
        <f ca="1">IFERROR(AVERAGEIFS(Articles!$Z:$Z, Articles!$H:$H, A87, Articles!$Z:$Z, "&lt;&gt;"), "")</f>
        <v/>
      </c>
      <c r="F87" s="91" t="str">
        <f ca="1">IFERROR(AVERAGEIFS(Articles!$AA:$AA, Articles!$H:$H, A87, Articles!$AA:$AA, "&lt;&gt;"), "")</f>
        <v/>
      </c>
    </row>
    <row r="88" spans="1:6" ht="14">
      <c r="A88" s="9" t="str">
        <f ca="1">IFERROR(__xludf.DUMMYFUNCTION("""COMPUTED_VALUE"""),"Royal Society TA 2024")</f>
        <v>Royal Society TA 2024</v>
      </c>
      <c r="B88" s="89" t="str">
        <f ca="1">IFERROR(AVERAGEIFS(Articles!$W:$W, Articles!$H:$H, A88, Articles!$W:$W, "&lt;&gt;"), "")</f>
        <v/>
      </c>
      <c r="C88" s="90" t="str">
        <f ca="1">IFERROR(AVERAGEIFS(Articles!$X:$X, Articles!$H:$H, A88, Articles!$X:$X, "&lt;&gt;"), "")</f>
        <v/>
      </c>
      <c r="D88" s="91" t="str">
        <f ca="1">IFERROR(AVERAGEIFS(Articles!$Y:$Y, Articles!$H:$H, A88, Articles!$Y:$Y, "&lt;&gt;"), "")</f>
        <v/>
      </c>
      <c r="E88" s="91" t="str">
        <f ca="1">IFERROR(AVERAGEIFS(Articles!$Z:$Z, Articles!$H:$H, A88, Articles!$Z:$Z, "&lt;&gt;"), "")</f>
        <v/>
      </c>
      <c r="F88" s="91" t="str">
        <f ca="1">IFERROR(AVERAGEIFS(Articles!$AA:$AA, Articles!$H:$H, A88, Articles!$AA:$AA, "&lt;&gt;"), "")</f>
        <v/>
      </c>
    </row>
    <row r="89" spans="1:6" ht="14">
      <c r="A89" s="9" t="str">
        <f ca="1">IFERROR(__xludf.DUMMYFUNCTION("""COMPUTED_VALUE"""),"Royal Society of Chemistry TA 2020")</f>
        <v>Royal Society of Chemistry TA 2020</v>
      </c>
      <c r="B89" s="89">
        <f ca="1">IFERROR(AVERAGEIFS(Articles!$W:$W, Articles!$H:$H, A89, Articles!$W:$W, "&lt;&gt;"), "")</f>
        <v>37.944444444444443</v>
      </c>
      <c r="C89" s="90">
        <f ca="1">IFERROR(AVERAGEIFS(Articles!$X:$X, Articles!$H:$H, A89, Articles!$X:$X, "&lt;&gt;"), "")</f>
        <v>22.166666666666668</v>
      </c>
      <c r="D89" s="91">
        <f ca="1">IFERROR(AVERAGEIFS(Articles!$Y:$Y, Articles!$H:$H, A89, Articles!$Y:$Y, "&lt;&gt;"), "")</f>
        <v>6.666666666666667</v>
      </c>
      <c r="E89" s="91">
        <f ca="1">IFERROR(AVERAGEIFS(Articles!$Z:$Z, Articles!$H:$H, A89, Articles!$Z:$Z, "&lt;&gt;"), "")</f>
        <v>0</v>
      </c>
      <c r="F89" s="91">
        <f ca="1">IFERROR(AVERAGEIFS(Articles!$AA:$AA, Articles!$H:$H, A89, Articles!$AA:$AA, "&lt;&gt;"), "")</f>
        <v>0.22222222222222221</v>
      </c>
    </row>
    <row r="90" spans="1:6" ht="14">
      <c r="A90" s="9" t="str">
        <f ca="1">IFERROR(__xludf.DUMMYFUNCTION("""COMPUTED_VALUE"""),"Royal Society of Chemistry TA 2021")</f>
        <v>Royal Society of Chemistry TA 2021</v>
      </c>
      <c r="B90" s="89">
        <f ca="1">IFERROR(AVERAGEIFS(Articles!$W:$W, Articles!$H:$H, A90, Articles!$W:$W, "&lt;&gt;"), "")</f>
        <v>15.1875</v>
      </c>
      <c r="C90" s="90">
        <f ca="1">IFERROR(AVERAGEIFS(Articles!$X:$X, Articles!$H:$H, A90, Articles!$X:$X, "&lt;&gt;"), "")</f>
        <v>6.9375</v>
      </c>
      <c r="D90" s="91">
        <f ca="1">IFERROR(AVERAGEIFS(Articles!$Y:$Y, Articles!$H:$H, A90, Articles!$Y:$Y, "&lt;&gt;"), "")</f>
        <v>6.125</v>
      </c>
      <c r="E90" s="91">
        <f ca="1">IFERROR(AVERAGEIFS(Articles!$Z:$Z, Articles!$H:$H, A90, Articles!$Z:$Z, "&lt;&gt;"), "")</f>
        <v>0</v>
      </c>
      <c r="F90" s="91">
        <f ca="1">IFERROR(AVERAGEIFS(Articles!$AA:$AA, Articles!$H:$H, A90, Articles!$AA:$AA, "&lt;&gt;"), "")</f>
        <v>6.25E-2</v>
      </c>
    </row>
    <row r="91" spans="1:6" ht="14">
      <c r="A91" s="9" t="str">
        <f ca="1">IFERROR(__xludf.DUMMYFUNCTION("""COMPUTED_VALUE"""),"Royal Society of Chemistry TA 2022")</f>
        <v>Royal Society of Chemistry TA 2022</v>
      </c>
      <c r="B91" s="89">
        <f ca="1">IFERROR(AVERAGEIFS(Articles!$W:$W, Articles!$H:$H, A91, Articles!$W:$W, "&lt;&gt;"), "")</f>
        <v>10.272727272727273</v>
      </c>
      <c r="C91" s="90">
        <f ca="1">IFERROR(AVERAGEIFS(Articles!$X:$X, Articles!$H:$H, A91, Articles!$X:$X, "&lt;&gt;"), "")</f>
        <v>2.4545454545454546</v>
      </c>
      <c r="D91" s="91">
        <f ca="1">IFERROR(AVERAGEIFS(Articles!$Y:$Y, Articles!$H:$H, A91, Articles!$Y:$Y, "&lt;&gt;"), "")</f>
        <v>10.909090909090908</v>
      </c>
      <c r="E91" s="91">
        <f ca="1">IFERROR(AVERAGEIFS(Articles!$Z:$Z, Articles!$H:$H, A91, Articles!$Z:$Z, "&lt;&gt;"), "")</f>
        <v>0</v>
      </c>
      <c r="F91" s="91">
        <f ca="1">IFERROR(AVERAGEIFS(Articles!$AA:$AA, Articles!$H:$H, A91, Articles!$AA:$AA, "&lt;&gt;"), "")</f>
        <v>9.0909090909090912E-2</v>
      </c>
    </row>
    <row r="92" spans="1:6" ht="14">
      <c r="A92" s="9" t="str">
        <f ca="1">IFERROR(__xludf.DUMMYFUNCTION("""COMPUTED_VALUE"""),"Royal Society of Chemistry TA 2023")</f>
        <v>Royal Society of Chemistry TA 2023</v>
      </c>
      <c r="B92" s="89" t="str">
        <f ca="1">IFERROR(AVERAGEIFS(Articles!$W:$W, Articles!$H:$H, A92, Articles!$W:$W, "&lt;&gt;"), "")</f>
        <v/>
      </c>
      <c r="C92" s="90" t="str">
        <f ca="1">IFERROR(AVERAGEIFS(Articles!$X:$X, Articles!$H:$H, A92, Articles!$X:$X, "&lt;&gt;"), "")</f>
        <v/>
      </c>
      <c r="D92" s="91" t="str">
        <f ca="1">IFERROR(AVERAGEIFS(Articles!$Y:$Y, Articles!$H:$H, A92, Articles!$Y:$Y, "&lt;&gt;"), "")</f>
        <v/>
      </c>
      <c r="E92" s="91" t="str">
        <f ca="1">IFERROR(AVERAGEIFS(Articles!$Z:$Z, Articles!$H:$H, A92, Articles!$Z:$Z, "&lt;&gt;"), "")</f>
        <v/>
      </c>
      <c r="F92" s="91" t="str">
        <f ca="1">IFERROR(AVERAGEIFS(Articles!$AA:$AA, Articles!$H:$H, A92, Articles!$AA:$AA, "&lt;&gt;"), "")</f>
        <v/>
      </c>
    </row>
    <row r="93" spans="1:6" ht="14">
      <c r="A93" s="9" t="str">
        <f ca="1">IFERROR(__xludf.DUMMYFUNCTION("""COMPUTED_VALUE"""),"Royal Society of Chemistry TA 2024")</f>
        <v>Royal Society of Chemistry TA 2024</v>
      </c>
      <c r="B93" s="89" t="str">
        <f ca="1">IFERROR(AVERAGEIFS(Articles!$W:$W, Articles!$H:$H, A93, Articles!$W:$W, "&lt;&gt;"), "")</f>
        <v/>
      </c>
      <c r="C93" s="90" t="str">
        <f ca="1">IFERROR(AVERAGEIFS(Articles!$X:$X, Articles!$H:$H, A93, Articles!$X:$X, "&lt;&gt;"), "")</f>
        <v/>
      </c>
      <c r="D93" s="91" t="str">
        <f ca="1">IFERROR(AVERAGEIFS(Articles!$Y:$Y, Articles!$H:$H, A93, Articles!$Y:$Y, "&lt;&gt;"), "")</f>
        <v/>
      </c>
      <c r="E93" s="91" t="str">
        <f ca="1">IFERROR(AVERAGEIFS(Articles!$Z:$Z, Articles!$H:$H, A93, Articles!$Z:$Z, "&lt;&gt;"), "")</f>
        <v/>
      </c>
      <c r="F93" s="91" t="str">
        <f ca="1">IFERROR(AVERAGEIFS(Articles!$AA:$AA, Articles!$H:$H, A93, Articles!$AA:$AA, "&lt;&gt;"), "")</f>
        <v/>
      </c>
    </row>
    <row r="94" spans="1:6" ht="14">
      <c r="A94" s="9" t="str">
        <f ca="1">IFERROR(__xludf.DUMMYFUNCTION("""COMPUTED_VALUE"""),"Sage TA 2020")</f>
        <v>Sage TA 2020</v>
      </c>
      <c r="B94" s="89">
        <f ca="1">IFERROR(AVERAGEIFS(Articles!$W:$W, Articles!$H:$H, A94, Articles!$W:$W, "&lt;&gt;"), "")</f>
        <v>33.06666666666667</v>
      </c>
      <c r="C94" s="90">
        <f ca="1">IFERROR(AVERAGEIFS(Articles!$X:$X, Articles!$H:$H, A94, Articles!$X:$X, "&lt;&gt;"), "")</f>
        <v>9.2666666666666675</v>
      </c>
      <c r="D94" s="91">
        <f ca="1">IFERROR(AVERAGEIFS(Articles!$Y:$Y, Articles!$H:$H, A94, Articles!$Y:$Y, "&lt;&gt;"), "")</f>
        <v>27.777777777777779</v>
      </c>
      <c r="E94" s="91">
        <f ca="1">IFERROR(AVERAGEIFS(Articles!$Z:$Z, Articles!$H:$H, A94, Articles!$Z:$Z, "&lt;&gt;"), "")</f>
        <v>0</v>
      </c>
      <c r="F94" s="91">
        <f ca="1">IFERROR(AVERAGEIFS(Articles!$AA:$AA, Articles!$H:$H, A94, Articles!$AA:$AA, "&lt;&gt;"), "")</f>
        <v>0.53333333333333333</v>
      </c>
    </row>
    <row r="95" spans="1:6" ht="14">
      <c r="A95" s="9" t="str">
        <f ca="1">IFERROR(__xludf.DUMMYFUNCTION("""COMPUTED_VALUE"""),"Sage TA 2021")</f>
        <v>Sage TA 2021</v>
      </c>
      <c r="B95" s="89">
        <f ca="1">IFERROR(AVERAGEIFS(Articles!$W:$W, Articles!$H:$H, A95, Articles!$W:$W, "&lt;&gt;"), "")</f>
        <v>29.3</v>
      </c>
      <c r="C95" s="90">
        <f ca="1">IFERROR(AVERAGEIFS(Articles!$X:$X, Articles!$H:$H, A95, Articles!$X:$X, "&lt;&gt;"), "")</f>
        <v>16.600000000000001</v>
      </c>
      <c r="D95" s="91">
        <f ca="1">IFERROR(AVERAGEIFS(Articles!$Y:$Y, Articles!$H:$H, A95, Articles!$Y:$Y, "&lt;&gt;"), "")</f>
        <v>29.75</v>
      </c>
      <c r="E95" s="91">
        <f ca="1">IFERROR(AVERAGEIFS(Articles!$Z:$Z, Articles!$H:$H, A95, Articles!$Z:$Z, "&lt;&gt;"), "")</f>
        <v>0.05</v>
      </c>
      <c r="F95" s="91">
        <f ca="1">IFERROR(AVERAGEIFS(Articles!$AA:$AA, Articles!$H:$H, A95, Articles!$AA:$AA, "&lt;&gt;"), "")</f>
        <v>0.4</v>
      </c>
    </row>
    <row r="96" spans="1:6" ht="14">
      <c r="A96" s="9" t="str">
        <f ca="1">IFERROR(__xludf.DUMMYFUNCTION("""COMPUTED_VALUE"""),"Sage TA 2022")</f>
        <v>Sage TA 2022</v>
      </c>
      <c r="B96" s="89" t="str">
        <f ca="1">IFERROR(AVERAGEIFS(Articles!$W:$W, Articles!$H:$H, A96, Articles!$W:$W, "&lt;&gt;"), "")</f>
        <v/>
      </c>
      <c r="C96" s="90" t="str">
        <f ca="1">IFERROR(AVERAGEIFS(Articles!$X:$X, Articles!$H:$H, A96, Articles!$X:$X, "&lt;&gt;"), "")</f>
        <v/>
      </c>
      <c r="D96" s="91" t="str">
        <f ca="1">IFERROR(AVERAGEIFS(Articles!$Y:$Y, Articles!$H:$H, A96, Articles!$Y:$Y, "&lt;&gt;"), "")</f>
        <v/>
      </c>
      <c r="E96" s="91" t="str">
        <f ca="1">IFERROR(AVERAGEIFS(Articles!$Z:$Z, Articles!$H:$H, A96, Articles!$Z:$Z, "&lt;&gt;"), "")</f>
        <v/>
      </c>
      <c r="F96" s="91" t="str">
        <f ca="1">IFERROR(AVERAGEIFS(Articles!$AA:$AA, Articles!$H:$H, A96, Articles!$AA:$AA, "&lt;&gt;"), "")</f>
        <v/>
      </c>
    </row>
    <row r="97" spans="1:6" ht="14">
      <c r="A97" s="9" t="str">
        <f ca="1">IFERROR(__xludf.DUMMYFUNCTION("""COMPUTED_VALUE"""),"Sage TA 2023")</f>
        <v>Sage TA 2023</v>
      </c>
      <c r="B97" s="89" t="str">
        <f ca="1">IFERROR(AVERAGEIFS(Articles!$W:$W, Articles!$H:$H, A97, Articles!$W:$W, "&lt;&gt;"), "")</f>
        <v/>
      </c>
      <c r="C97" s="90" t="str">
        <f ca="1">IFERROR(AVERAGEIFS(Articles!$X:$X, Articles!$H:$H, A97, Articles!$X:$X, "&lt;&gt;"), "")</f>
        <v/>
      </c>
      <c r="D97" s="91" t="str">
        <f ca="1">IFERROR(AVERAGEIFS(Articles!$Y:$Y, Articles!$H:$H, A97, Articles!$Y:$Y, "&lt;&gt;"), "")</f>
        <v/>
      </c>
      <c r="E97" s="91" t="str">
        <f ca="1">IFERROR(AVERAGEIFS(Articles!$Z:$Z, Articles!$H:$H, A97, Articles!$Z:$Z, "&lt;&gt;"), "")</f>
        <v/>
      </c>
      <c r="F97" s="91" t="str">
        <f ca="1">IFERROR(AVERAGEIFS(Articles!$AA:$AA, Articles!$H:$H, A97, Articles!$AA:$AA, "&lt;&gt;"), "")</f>
        <v/>
      </c>
    </row>
    <row r="98" spans="1:6" ht="14">
      <c r="A98" s="9" t="str">
        <f ca="1">IFERROR(__xludf.DUMMYFUNCTION("""COMPUTED_VALUE"""),"Sage TA 2024")</f>
        <v>Sage TA 2024</v>
      </c>
      <c r="B98" s="89" t="str">
        <f ca="1">IFERROR(AVERAGEIFS(Articles!$W:$W, Articles!$H:$H, A98, Articles!$W:$W, "&lt;&gt;"), "")</f>
        <v/>
      </c>
      <c r="C98" s="90" t="str">
        <f ca="1">IFERROR(AVERAGEIFS(Articles!$X:$X, Articles!$H:$H, A98, Articles!$X:$X, "&lt;&gt;"), "")</f>
        <v/>
      </c>
      <c r="D98" s="91" t="str">
        <f ca="1">IFERROR(AVERAGEIFS(Articles!$Y:$Y, Articles!$H:$H, A98, Articles!$Y:$Y, "&lt;&gt;"), "")</f>
        <v/>
      </c>
      <c r="E98" s="91" t="str">
        <f ca="1">IFERROR(AVERAGEIFS(Articles!$Z:$Z, Articles!$H:$H, A98, Articles!$Z:$Z, "&lt;&gt;"), "")</f>
        <v/>
      </c>
      <c r="F98" s="91" t="str">
        <f ca="1">IFERROR(AVERAGEIFS(Articles!$AA:$AA, Articles!$H:$H, A98, Articles!$AA:$AA, "&lt;&gt;"), "")</f>
        <v/>
      </c>
    </row>
    <row r="99" spans="1:6" ht="14">
      <c r="A99" s="9" t="str">
        <f ca="1">IFERROR(__xludf.DUMMYFUNCTION("""COMPUTED_VALUE"""),"Society for Neuroscience TA 2023")</f>
        <v>Society for Neuroscience TA 2023</v>
      </c>
      <c r="B99" s="89" t="str">
        <f ca="1">IFERROR(AVERAGEIFS(Articles!$W:$W, Articles!$H:$H, A99, Articles!$W:$W, "&lt;&gt;"), "")</f>
        <v/>
      </c>
      <c r="C99" s="90" t="str">
        <f ca="1">IFERROR(AVERAGEIFS(Articles!$X:$X, Articles!$H:$H, A99, Articles!$X:$X, "&lt;&gt;"), "")</f>
        <v/>
      </c>
      <c r="D99" s="91" t="str">
        <f ca="1">IFERROR(AVERAGEIFS(Articles!$Y:$Y, Articles!$H:$H, A99, Articles!$Y:$Y, "&lt;&gt;"), "")</f>
        <v/>
      </c>
      <c r="E99" s="91" t="str">
        <f ca="1">IFERROR(AVERAGEIFS(Articles!$Z:$Z, Articles!$H:$H, A99, Articles!$Z:$Z, "&lt;&gt;"), "")</f>
        <v/>
      </c>
      <c r="F99" s="91" t="str">
        <f ca="1">IFERROR(AVERAGEIFS(Articles!$AA:$AA, Articles!$H:$H, A99, Articles!$AA:$AA, "&lt;&gt;"), "")</f>
        <v/>
      </c>
    </row>
    <row r="100" spans="1:6" ht="14">
      <c r="A100" s="9" t="str">
        <f ca="1">IFERROR(__xludf.DUMMYFUNCTION("""COMPUTED_VALUE"""),"Society for Neuroscience TA 2024")</f>
        <v>Society for Neuroscience TA 2024</v>
      </c>
      <c r="B100" s="89" t="str">
        <f ca="1">IFERROR(AVERAGEIFS(Articles!$W:$W, Articles!$H:$H, A100, Articles!$W:$W, "&lt;&gt;"), "")</f>
        <v/>
      </c>
      <c r="C100" s="90" t="str">
        <f ca="1">IFERROR(AVERAGEIFS(Articles!$X:$X, Articles!$H:$H, A100, Articles!$X:$X, "&lt;&gt;"), "")</f>
        <v/>
      </c>
      <c r="D100" s="91" t="str">
        <f ca="1">IFERROR(AVERAGEIFS(Articles!$Y:$Y, Articles!$H:$H, A100, Articles!$Y:$Y, "&lt;&gt;"), "")</f>
        <v/>
      </c>
      <c r="E100" s="91" t="str">
        <f ca="1">IFERROR(AVERAGEIFS(Articles!$Z:$Z, Articles!$H:$H, A100, Articles!$Z:$Z, "&lt;&gt;"), "")</f>
        <v/>
      </c>
      <c r="F100" s="91" t="str">
        <f ca="1">IFERROR(AVERAGEIFS(Articles!$AA:$AA, Articles!$H:$H, A100, Articles!$AA:$AA, "&lt;&gt;"), "")</f>
        <v/>
      </c>
    </row>
    <row r="101" spans="1:6" ht="14">
      <c r="A101" s="9" t="str">
        <f ca="1">IFERROR(__xludf.DUMMYFUNCTION("""COMPUTED_VALUE"""),"Springer Compact 2016")</f>
        <v>Springer Compact 2016</v>
      </c>
      <c r="B101" s="89">
        <f ca="1">IFERROR(AVERAGEIFS(Articles!$W:$W, Articles!$H:$H, A101, Articles!$W:$W, "&lt;&gt;"), "")</f>
        <v>76.617647058823536</v>
      </c>
      <c r="C101" s="90">
        <f ca="1">IFERROR(AVERAGEIFS(Articles!$X:$X, Articles!$H:$H, A101, Articles!$X:$X, "&lt;&gt;"), "")</f>
        <v>33.882352941176471</v>
      </c>
      <c r="D101" s="91">
        <f ca="1">IFERROR(AVERAGEIFS(Articles!$Y:$Y, Articles!$H:$H, A101, Articles!$Y:$Y, "&lt;&gt;"), "")</f>
        <v>10.941176470588236</v>
      </c>
      <c r="E101" s="91">
        <f ca="1">IFERROR(AVERAGEIFS(Articles!$Z:$Z, Articles!$H:$H, A101, Articles!$Z:$Z, "&lt;&gt;"), "")</f>
        <v>518.23529411764707</v>
      </c>
      <c r="F101" s="91">
        <f ca="1">IFERROR(AVERAGEIFS(Articles!$AA:$AA, Articles!$H:$H, A101, Articles!$AA:$AA, "&lt;&gt;"), "")</f>
        <v>0.70588235294117652</v>
      </c>
    </row>
    <row r="102" spans="1:6" ht="14">
      <c r="A102" s="9" t="str">
        <f ca="1">IFERROR(__xludf.DUMMYFUNCTION("""COMPUTED_VALUE"""),"Springer Compact 2017")</f>
        <v>Springer Compact 2017</v>
      </c>
      <c r="B102" s="89">
        <f ca="1">IFERROR(AVERAGEIFS(Articles!$W:$W, Articles!$H:$H, A102, Articles!$W:$W, "&lt;&gt;"), "")</f>
        <v>57.406779661016948</v>
      </c>
      <c r="C102" s="90">
        <f ca="1">IFERROR(AVERAGEIFS(Articles!$X:$X, Articles!$H:$H, A102, Articles!$X:$X, "&lt;&gt;"), "")</f>
        <v>16.864406779661017</v>
      </c>
      <c r="D102" s="91">
        <f ca="1">IFERROR(AVERAGEIFS(Articles!$Y:$Y, Articles!$H:$H, A102, Articles!$Y:$Y, "&lt;&gt;"), "")</f>
        <v>22.237288135593221</v>
      </c>
      <c r="E102" s="91">
        <f ca="1">IFERROR(AVERAGEIFS(Articles!$Z:$Z, Articles!$H:$H, A102, Articles!$Z:$Z, "&lt;&gt;"), "")</f>
        <v>180.81355932203391</v>
      </c>
      <c r="F102" s="91">
        <f ca="1">IFERROR(AVERAGEIFS(Articles!$AA:$AA, Articles!$H:$H, A102, Articles!$AA:$AA, "&lt;&gt;"), "")</f>
        <v>0.16949152542372881</v>
      </c>
    </row>
    <row r="103" spans="1:6" ht="14">
      <c r="A103" s="9" t="str">
        <f ca="1">IFERROR(__xludf.DUMMYFUNCTION("""COMPUTED_VALUE"""),"Springer Compact 2018")</f>
        <v>Springer Compact 2018</v>
      </c>
      <c r="B103" s="89">
        <f ca="1">IFERROR(AVERAGEIFS(Articles!$W:$W, Articles!$H:$H, A103, Articles!$W:$W, "&lt;&gt;"), "")</f>
        <v>71.196428571428569</v>
      </c>
      <c r="C103" s="90">
        <f ca="1">IFERROR(AVERAGEIFS(Articles!$X:$X, Articles!$H:$H, A103, Articles!$X:$X, "&lt;&gt;"), "")</f>
        <v>16.535714285714285</v>
      </c>
      <c r="D103" s="91">
        <f ca="1">IFERROR(AVERAGEIFS(Articles!$Y:$Y, Articles!$H:$H, A103, Articles!$Y:$Y, "&lt;&gt;"), "")</f>
        <v>39.464285714285715</v>
      </c>
      <c r="E103" s="91">
        <f ca="1">IFERROR(AVERAGEIFS(Articles!$Z:$Z, Articles!$H:$H, A103, Articles!$Z:$Z, "&lt;&gt;"), "")</f>
        <v>190.51785714285714</v>
      </c>
      <c r="F103" s="91">
        <f ca="1">IFERROR(AVERAGEIFS(Articles!$AA:$AA, Articles!$H:$H, A103, Articles!$AA:$AA, "&lt;&gt;"), "")</f>
        <v>1.1071428571428572</v>
      </c>
    </row>
    <row r="104" spans="1:6" ht="14">
      <c r="A104" s="9" t="str">
        <f ca="1">IFERROR(__xludf.DUMMYFUNCTION("""COMPUTED_VALUE"""),"Springer Compact 2019")</f>
        <v>Springer Compact 2019</v>
      </c>
      <c r="B104" s="89">
        <f ca="1">IFERROR(AVERAGEIFS(Articles!$W:$W, Articles!$H:$H, A104, Articles!$W:$W, "&lt;&gt;"), "")</f>
        <v>63.721311475409834</v>
      </c>
      <c r="C104" s="90">
        <f ca="1">IFERROR(AVERAGEIFS(Articles!$X:$X, Articles!$H:$H, A104, Articles!$X:$X, "&lt;&gt;"), "")</f>
        <v>17.327868852459016</v>
      </c>
      <c r="D104" s="91">
        <f ca="1">IFERROR(AVERAGEIFS(Articles!$Y:$Y, Articles!$H:$H, A104, Articles!$Y:$Y, "&lt;&gt;"), "")</f>
        <v>34.950819672131146</v>
      </c>
      <c r="E104" s="91">
        <f ca="1">IFERROR(AVERAGEIFS(Articles!$Z:$Z, Articles!$H:$H, A104, Articles!$Z:$Z, "&lt;&gt;"), "")</f>
        <v>38.819672131147541</v>
      </c>
      <c r="F104" s="91">
        <f ca="1">IFERROR(AVERAGEIFS(Articles!$AA:$AA, Articles!$H:$H, A104, Articles!$AA:$AA, "&lt;&gt;"), "")</f>
        <v>0.57377049180327866</v>
      </c>
    </row>
    <row r="105" spans="1:6" ht="14">
      <c r="A105" s="9" t="str">
        <f ca="1">IFERROR(__xludf.DUMMYFUNCTION("""COMPUTED_VALUE"""),"Springer Compact 2020")</f>
        <v>Springer Compact 2020</v>
      </c>
      <c r="B105" s="89">
        <f ca="1">IFERROR(AVERAGEIFS(Articles!$W:$W, Articles!$H:$H, A105, Articles!$W:$W, "&lt;&gt;"), "")</f>
        <v>39.730769230769234</v>
      </c>
      <c r="C105" s="90">
        <f ca="1">IFERROR(AVERAGEIFS(Articles!$X:$X, Articles!$H:$H, A105, Articles!$X:$X, "&lt;&gt;"), "")</f>
        <v>12.961538461538462</v>
      </c>
      <c r="D105" s="91">
        <f ca="1">IFERROR(AVERAGEIFS(Articles!$Y:$Y, Articles!$H:$H, A105, Articles!$Y:$Y, "&lt;&gt;"), "")</f>
        <v>24.096153846153847</v>
      </c>
      <c r="E105" s="91">
        <f ca="1">IFERROR(AVERAGEIFS(Articles!$Z:$Z, Articles!$H:$H, A105, Articles!$Z:$Z, "&lt;&gt;"), "")</f>
        <v>0</v>
      </c>
      <c r="F105" s="91">
        <f ca="1">IFERROR(AVERAGEIFS(Articles!$AA:$AA, Articles!$H:$H, A105, Articles!$AA:$AA, "&lt;&gt;"), "")</f>
        <v>0.19230769230769232</v>
      </c>
    </row>
    <row r="106" spans="1:6" ht="14">
      <c r="A106" s="9" t="str">
        <f ca="1">IFERROR(__xludf.DUMMYFUNCTION("""COMPUTED_VALUE"""),"Springer Compact 2021")</f>
        <v>Springer Compact 2021</v>
      </c>
      <c r="B106" s="89">
        <f ca="1">IFERROR(AVERAGEIFS(Articles!$W:$W, Articles!$H:$H, A106, Articles!$W:$W, "&lt;&gt;"), "")</f>
        <v>18.47887323943662</v>
      </c>
      <c r="C106" s="90">
        <f ca="1">IFERROR(AVERAGEIFS(Articles!$X:$X, Articles!$H:$H, A106, Articles!$X:$X, "&lt;&gt;"), "")</f>
        <v>3.8732394366197185</v>
      </c>
      <c r="D106" s="91">
        <f ca="1">IFERROR(AVERAGEIFS(Articles!$Y:$Y, Articles!$H:$H, A106, Articles!$Y:$Y, "&lt;&gt;"), "")</f>
        <v>14.71830985915493</v>
      </c>
      <c r="E106" s="91">
        <f ca="1">IFERROR(AVERAGEIFS(Articles!$Z:$Z, Articles!$H:$H, A106, Articles!$Z:$Z, "&lt;&gt;"), "")</f>
        <v>0</v>
      </c>
      <c r="F106" s="91">
        <f ca="1">IFERROR(AVERAGEIFS(Articles!$AA:$AA, Articles!$H:$H, A106, Articles!$AA:$AA, "&lt;&gt;"), "")</f>
        <v>0.70422535211267601</v>
      </c>
    </row>
    <row r="107" spans="1:6" ht="14">
      <c r="A107" s="9" t="str">
        <f ca="1">IFERROR(__xludf.DUMMYFUNCTION("""COMPUTED_VALUE"""),"Springer Compact 2022")</f>
        <v>Springer Compact 2022</v>
      </c>
      <c r="B107" s="89">
        <f ca="1">IFERROR(AVERAGEIFS(Articles!$W:$W, Articles!$H:$H, A107, Articles!$W:$W, "&lt;&gt;"), "")</f>
        <v>8.3584905660377355</v>
      </c>
      <c r="C107" s="90">
        <f ca="1">IFERROR(AVERAGEIFS(Articles!$X:$X, Articles!$H:$H, A107, Articles!$X:$X, "&lt;&gt;"), "")</f>
        <v>1.8490566037735849</v>
      </c>
      <c r="D107" s="91">
        <f ca="1">IFERROR(AVERAGEIFS(Articles!$Y:$Y, Articles!$H:$H, A107, Articles!$Y:$Y, "&lt;&gt;"), "")</f>
        <v>10.528301886792454</v>
      </c>
      <c r="E107" s="91">
        <f ca="1">IFERROR(AVERAGEIFS(Articles!$Z:$Z, Articles!$H:$H, A107, Articles!$Z:$Z, "&lt;&gt;"), "")</f>
        <v>0</v>
      </c>
      <c r="F107" s="91">
        <f ca="1">IFERROR(AVERAGEIFS(Articles!$AA:$AA, Articles!$H:$H, A107, Articles!$AA:$AA, "&lt;&gt;"), "")</f>
        <v>0.20754716981132076</v>
      </c>
    </row>
    <row r="108" spans="1:6" ht="14">
      <c r="A108" s="9" t="str">
        <f ca="1">IFERROR(__xludf.DUMMYFUNCTION("""COMPUTED_VALUE"""),"Springer Nature TA 2023")</f>
        <v>Springer Nature TA 2023</v>
      </c>
      <c r="B108" s="89" t="str">
        <f ca="1">IFERROR(AVERAGEIFS(Articles!$W:$W, Articles!$H:$H, A108, Articles!$W:$W, "&lt;&gt;"), "")</f>
        <v/>
      </c>
      <c r="C108" s="90" t="str">
        <f ca="1">IFERROR(AVERAGEIFS(Articles!$X:$X, Articles!$H:$H, A108, Articles!$X:$X, "&lt;&gt;"), "")</f>
        <v/>
      </c>
      <c r="D108" s="91" t="str">
        <f ca="1">IFERROR(AVERAGEIFS(Articles!$Y:$Y, Articles!$H:$H, A108, Articles!$Y:$Y, "&lt;&gt;"), "")</f>
        <v/>
      </c>
      <c r="E108" s="91" t="str">
        <f ca="1">IFERROR(AVERAGEIFS(Articles!$Z:$Z, Articles!$H:$H, A108, Articles!$Z:$Z, "&lt;&gt;"), "")</f>
        <v/>
      </c>
      <c r="F108" s="91" t="str">
        <f ca="1">IFERROR(AVERAGEIFS(Articles!$AA:$AA, Articles!$H:$H, A108, Articles!$AA:$AA, "&lt;&gt;"), "")</f>
        <v/>
      </c>
    </row>
    <row r="109" spans="1:6" ht="14">
      <c r="A109" s="9" t="str">
        <f ca="1">IFERROR(__xludf.DUMMYFUNCTION("""COMPUTED_VALUE"""),"Springer Nature TA 2024")</f>
        <v>Springer Nature TA 2024</v>
      </c>
      <c r="B109" s="89" t="str">
        <f ca="1">IFERROR(AVERAGEIFS(Articles!$W:$W, Articles!$H:$H, A109, Articles!$W:$W, "&lt;&gt;"), "")</f>
        <v/>
      </c>
      <c r="C109" s="90" t="str">
        <f ca="1">IFERROR(AVERAGEIFS(Articles!$X:$X, Articles!$H:$H, A109, Articles!$X:$X, "&lt;&gt;"), "")</f>
        <v/>
      </c>
      <c r="D109" s="91" t="str">
        <f ca="1">IFERROR(AVERAGEIFS(Articles!$Y:$Y, Articles!$H:$H, A109, Articles!$Y:$Y, "&lt;&gt;"), "")</f>
        <v/>
      </c>
      <c r="E109" s="91" t="str">
        <f ca="1">IFERROR(AVERAGEIFS(Articles!$Z:$Z, Articles!$H:$H, A109, Articles!$Z:$Z, "&lt;&gt;"), "")</f>
        <v/>
      </c>
      <c r="F109" s="91" t="str">
        <f ca="1">IFERROR(AVERAGEIFS(Articles!$AA:$AA, Articles!$H:$H, A109, Articles!$AA:$AA, "&lt;&gt;"), "")</f>
        <v/>
      </c>
    </row>
    <row r="110" spans="1:6" ht="14">
      <c r="A110" s="9" t="str">
        <f ca="1">IFERROR(__xludf.DUMMYFUNCTION("""COMPUTED_VALUE"""),"Springer Nature TA 2025")</f>
        <v>Springer Nature TA 2025</v>
      </c>
      <c r="B110" s="89" t="str">
        <f ca="1">IFERROR(AVERAGEIFS(Articles!$W:$W, Articles!$H:$H, A110, Articles!$W:$W, "&lt;&gt;"), "")</f>
        <v/>
      </c>
      <c r="C110" s="90" t="str">
        <f ca="1">IFERROR(AVERAGEIFS(Articles!$X:$X, Articles!$H:$H, A110, Articles!$X:$X, "&lt;&gt;"), "")</f>
        <v/>
      </c>
      <c r="D110" s="91" t="str">
        <f ca="1">IFERROR(AVERAGEIFS(Articles!$Y:$Y, Articles!$H:$H, A110, Articles!$Y:$Y, "&lt;&gt;"), "")</f>
        <v/>
      </c>
      <c r="E110" s="91" t="str">
        <f ca="1">IFERROR(AVERAGEIFS(Articles!$Z:$Z, Articles!$H:$H, A110, Articles!$Z:$Z, "&lt;&gt;"), "")</f>
        <v/>
      </c>
      <c r="F110" s="91" t="str">
        <f ca="1">IFERROR(AVERAGEIFS(Articles!$AA:$AA, Articles!$H:$H, A110, Articles!$AA:$AA, "&lt;&gt;"), "")</f>
        <v/>
      </c>
    </row>
    <row r="111" spans="1:6" ht="14">
      <c r="A111" s="9" t="str">
        <f ca="1">IFERROR(__xludf.DUMMYFUNCTION("""COMPUTED_VALUE"""),"Taylor &amp; Francis TA 2021")</f>
        <v>Taylor &amp; Francis TA 2021</v>
      </c>
      <c r="B111" s="89">
        <f ca="1">IFERROR(AVERAGEIFS(Articles!$W:$W, Articles!$H:$H, A111, Articles!$W:$W, "&lt;&gt;"), "")</f>
        <v>17.506666666666668</v>
      </c>
      <c r="C111" s="90">
        <f ca="1">IFERROR(AVERAGEIFS(Articles!$X:$X, Articles!$H:$H, A111, Articles!$X:$X, "&lt;&gt;"), "")</f>
        <v>2.3066666666666666</v>
      </c>
      <c r="D111" s="91">
        <f ca="1">IFERROR(AVERAGEIFS(Articles!$Y:$Y, Articles!$H:$H, A111, Articles!$Y:$Y, "&lt;&gt;"), "")</f>
        <v>39.226666666666667</v>
      </c>
      <c r="E111" s="91">
        <f ca="1">IFERROR(AVERAGEIFS(Articles!$Z:$Z, Articles!$H:$H, A111, Articles!$Z:$Z, "&lt;&gt;"), "")</f>
        <v>0</v>
      </c>
      <c r="F111" s="91">
        <f ca="1">IFERROR(AVERAGEIFS(Articles!$AA:$AA, Articles!$H:$H, A111, Articles!$AA:$AA, "&lt;&gt;"), "")</f>
        <v>0.24</v>
      </c>
    </row>
    <row r="112" spans="1:6" ht="14">
      <c r="A112" s="9" t="str">
        <f ca="1">IFERROR(__xludf.DUMMYFUNCTION("""COMPUTED_VALUE"""),"Taylor &amp; Francis TA 2022")</f>
        <v>Taylor &amp; Francis TA 2022</v>
      </c>
      <c r="B112" s="89">
        <f ca="1">IFERROR(AVERAGEIFS(Articles!$W:$W, Articles!$H:$H, A112, Articles!$W:$W, "&lt;&gt;"), "")</f>
        <v>6.95</v>
      </c>
      <c r="C112" s="90">
        <f ca="1">IFERROR(AVERAGEIFS(Articles!$X:$X, Articles!$H:$H, A112, Articles!$X:$X, "&lt;&gt;"), "")</f>
        <v>0.63749999999999996</v>
      </c>
      <c r="D112" s="91">
        <f ca="1">IFERROR(AVERAGEIFS(Articles!$Y:$Y, Articles!$H:$H, A112, Articles!$Y:$Y, "&lt;&gt;"), "")</f>
        <v>23.887499999999999</v>
      </c>
      <c r="E112" s="91">
        <f ca="1">IFERROR(AVERAGEIFS(Articles!$Z:$Z, Articles!$H:$H, A112, Articles!$Z:$Z, "&lt;&gt;"), "")</f>
        <v>0</v>
      </c>
      <c r="F112" s="91">
        <f ca="1">IFERROR(AVERAGEIFS(Articles!$AA:$AA, Articles!$H:$H, A112, Articles!$AA:$AA, "&lt;&gt;"), "")</f>
        <v>0.15</v>
      </c>
    </row>
    <row r="113" spans="1:6" ht="14">
      <c r="A113" s="9" t="str">
        <f ca="1">IFERROR(__xludf.DUMMYFUNCTION("""COMPUTED_VALUE"""),"Taylor &amp; Francis TA 2023")</f>
        <v>Taylor &amp; Francis TA 2023</v>
      </c>
      <c r="B113" s="89" t="str">
        <f ca="1">IFERROR(AVERAGEIFS(Articles!$W:$W, Articles!$H:$H, A113, Articles!$W:$W, "&lt;&gt;"), "")</f>
        <v/>
      </c>
      <c r="C113" s="90" t="str">
        <f ca="1">IFERROR(AVERAGEIFS(Articles!$X:$X, Articles!$H:$H, A113, Articles!$X:$X, "&lt;&gt;"), "")</f>
        <v/>
      </c>
      <c r="D113" s="91" t="str">
        <f ca="1">IFERROR(AVERAGEIFS(Articles!$Y:$Y, Articles!$H:$H, A113, Articles!$Y:$Y, "&lt;&gt;"), "")</f>
        <v/>
      </c>
      <c r="E113" s="91" t="str">
        <f ca="1">IFERROR(AVERAGEIFS(Articles!$Z:$Z, Articles!$H:$H, A113, Articles!$Z:$Z, "&lt;&gt;"), "")</f>
        <v/>
      </c>
      <c r="F113" s="91" t="str">
        <f ca="1">IFERROR(AVERAGEIFS(Articles!$AA:$AA, Articles!$H:$H, A113, Articles!$AA:$AA, "&lt;&gt;"), "")</f>
        <v/>
      </c>
    </row>
    <row r="114" spans="1:6" ht="14">
      <c r="A114" s="9" t="str">
        <f ca="1">IFERROR(__xludf.DUMMYFUNCTION("""COMPUTED_VALUE"""),"Taylor &amp; Francis TA 2024")</f>
        <v>Taylor &amp; Francis TA 2024</v>
      </c>
      <c r="B114" s="89" t="str">
        <f ca="1">IFERROR(AVERAGEIFS(Articles!$W:$W, Articles!$H:$H, A114, Articles!$W:$W, "&lt;&gt;"), "")</f>
        <v/>
      </c>
      <c r="C114" s="90" t="str">
        <f ca="1">IFERROR(AVERAGEIFS(Articles!$X:$X, Articles!$H:$H, A114, Articles!$X:$X, "&lt;&gt;"), "")</f>
        <v/>
      </c>
      <c r="D114" s="91" t="str">
        <f ca="1">IFERROR(AVERAGEIFS(Articles!$Y:$Y, Articles!$H:$H, A114, Articles!$Y:$Y, "&lt;&gt;"), "")</f>
        <v/>
      </c>
      <c r="E114" s="91" t="str">
        <f ca="1">IFERROR(AVERAGEIFS(Articles!$Z:$Z, Articles!$H:$H, A114, Articles!$Z:$Z, "&lt;&gt;"), "")</f>
        <v/>
      </c>
      <c r="F114" s="91" t="str">
        <f ca="1">IFERROR(AVERAGEIFS(Articles!$AA:$AA, Articles!$H:$H, A114, Articles!$AA:$AA, "&lt;&gt;"), "")</f>
        <v/>
      </c>
    </row>
    <row r="115" spans="1:6" ht="14">
      <c r="A115" s="9" t="str">
        <f ca="1">IFERROR(__xludf.DUMMYFUNCTION("""COMPUTED_VALUE"""),"Taylor &amp; Francis TA 2025")</f>
        <v>Taylor &amp; Francis TA 2025</v>
      </c>
      <c r="B115" s="89" t="str">
        <f ca="1">IFERROR(AVERAGEIFS(Articles!$W:$W, Articles!$H:$H, A115, Articles!$W:$W, "&lt;&gt;"), "")</f>
        <v/>
      </c>
      <c r="C115" s="90" t="str">
        <f ca="1">IFERROR(AVERAGEIFS(Articles!$X:$X, Articles!$H:$H, A115, Articles!$X:$X, "&lt;&gt;"), "")</f>
        <v/>
      </c>
      <c r="D115" s="91" t="str">
        <f ca="1">IFERROR(AVERAGEIFS(Articles!$Y:$Y, Articles!$H:$H, A115, Articles!$Y:$Y, "&lt;&gt;"), "")</f>
        <v/>
      </c>
      <c r="E115" s="91" t="str">
        <f ca="1">IFERROR(AVERAGEIFS(Articles!$Z:$Z, Articles!$H:$H, A115, Articles!$Z:$Z, "&lt;&gt;"), "")</f>
        <v/>
      </c>
      <c r="F115" s="91" t="str">
        <f ca="1">IFERROR(AVERAGEIFS(Articles!$AA:$AA, Articles!$H:$H, A115, Articles!$AA:$AA, "&lt;&gt;"), "")</f>
        <v/>
      </c>
    </row>
    <row r="116" spans="1:6" ht="14">
      <c r="A116" s="9" t="str">
        <f ca="1">IFERROR(__xludf.DUMMYFUNCTION("""COMPUTED_VALUE"""),"Wiley TA 2020")</f>
        <v>Wiley TA 2020</v>
      </c>
      <c r="B116" s="89" t="str">
        <f ca="1">IFERROR(AVERAGEIFS(Articles!$W:$W, Articles!$H:$H, A116, Articles!$W:$W, "&lt;&gt;"), "")</f>
        <v/>
      </c>
      <c r="C116" s="90" t="str">
        <f ca="1">IFERROR(AVERAGEIFS(Articles!$X:$X, Articles!$H:$H, A116, Articles!$X:$X, "&lt;&gt;"), "")</f>
        <v/>
      </c>
      <c r="D116" s="91" t="str">
        <f ca="1">IFERROR(AVERAGEIFS(Articles!$Y:$Y, Articles!$H:$H, A116, Articles!$Y:$Y, "&lt;&gt;"), "")</f>
        <v/>
      </c>
      <c r="E116" s="91" t="str">
        <f ca="1">IFERROR(AVERAGEIFS(Articles!$Z:$Z, Articles!$H:$H, A116, Articles!$Z:$Z, "&lt;&gt;"), "")</f>
        <v/>
      </c>
      <c r="F116" s="91" t="str">
        <f ca="1">IFERROR(AVERAGEIFS(Articles!$AA:$AA, Articles!$H:$H, A116, Articles!$AA:$AA, "&lt;&gt;"), "")</f>
        <v/>
      </c>
    </row>
    <row r="117" spans="1:6" ht="14">
      <c r="A117" s="9" t="str">
        <f ca="1">IFERROR(__xludf.DUMMYFUNCTION("""COMPUTED_VALUE"""),"Wiley TA 2021")</f>
        <v>Wiley TA 2021</v>
      </c>
      <c r="B117" s="89" t="str">
        <f ca="1">IFERROR(AVERAGEIFS(Articles!$W:$W, Articles!$H:$H, A117, Articles!$W:$W, "&lt;&gt;"), "")</f>
        <v/>
      </c>
      <c r="C117" s="90" t="str">
        <f ca="1">IFERROR(AVERAGEIFS(Articles!$X:$X, Articles!$H:$H, A117, Articles!$X:$X, "&lt;&gt;"), "")</f>
        <v/>
      </c>
      <c r="D117" s="91" t="str">
        <f ca="1">IFERROR(AVERAGEIFS(Articles!$Y:$Y, Articles!$H:$H, A117, Articles!$Y:$Y, "&lt;&gt;"), "")</f>
        <v/>
      </c>
      <c r="E117" s="91" t="str">
        <f ca="1">IFERROR(AVERAGEIFS(Articles!$Z:$Z, Articles!$H:$H, A117, Articles!$Z:$Z, "&lt;&gt;"), "")</f>
        <v/>
      </c>
      <c r="F117" s="91" t="str">
        <f ca="1">IFERROR(AVERAGEIFS(Articles!$AA:$AA, Articles!$H:$H, A117, Articles!$AA:$AA, "&lt;&gt;"), "")</f>
        <v/>
      </c>
    </row>
    <row r="118" spans="1:6" ht="14">
      <c r="A118" s="9" t="str">
        <f ca="1">IFERROR(__xludf.DUMMYFUNCTION("""COMPUTED_VALUE"""),"Wiley TA 2022")</f>
        <v>Wiley TA 2022</v>
      </c>
      <c r="B118" s="89" t="str">
        <f ca="1">IFERROR(AVERAGEIFS(Articles!$W:$W, Articles!$H:$H, A118, Articles!$W:$W, "&lt;&gt;"), "")</f>
        <v/>
      </c>
      <c r="C118" s="90" t="str">
        <f ca="1">IFERROR(AVERAGEIFS(Articles!$X:$X, Articles!$H:$H, A118, Articles!$X:$X, "&lt;&gt;"), "")</f>
        <v/>
      </c>
      <c r="D118" s="91" t="str">
        <f ca="1">IFERROR(AVERAGEIFS(Articles!$Y:$Y, Articles!$H:$H, A118, Articles!$Y:$Y, "&lt;&gt;"), "")</f>
        <v/>
      </c>
      <c r="E118" s="91" t="str">
        <f ca="1">IFERROR(AVERAGEIFS(Articles!$Z:$Z, Articles!$H:$H, A118, Articles!$Z:$Z, "&lt;&gt;"), "")</f>
        <v/>
      </c>
      <c r="F118" s="91" t="str">
        <f ca="1">IFERROR(AVERAGEIFS(Articles!$AA:$AA, Articles!$H:$H, A118, Articles!$AA:$AA, "&lt;&gt;"), "")</f>
        <v/>
      </c>
    </row>
    <row r="119" spans="1:6" ht="14">
      <c r="A119" s="9" t="str">
        <f ca="1">IFERROR(__xludf.DUMMYFUNCTION("""COMPUTED_VALUE"""),"Wiley TA 2023")</f>
        <v>Wiley TA 2023</v>
      </c>
      <c r="B119" s="89" t="str">
        <f ca="1">IFERROR(AVERAGEIFS(Articles!$W:$W, Articles!$H:$H, A119, Articles!$W:$W, "&lt;&gt;"), "")</f>
        <v/>
      </c>
      <c r="C119" s="90" t="str">
        <f ca="1">IFERROR(AVERAGEIFS(Articles!$X:$X, Articles!$H:$H, A119, Articles!$X:$X, "&lt;&gt;"), "")</f>
        <v/>
      </c>
      <c r="D119" s="91" t="str">
        <f ca="1">IFERROR(AVERAGEIFS(Articles!$Y:$Y, Articles!$H:$H, A119, Articles!$Y:$Y, "&lt;&gt;"), "")</f>
        <v/>
      </c>
      <c r="E119" s="91" t="str">
        <f ca="1">IFERROR(AVERAGEIFS(Articles!$Z:$Z, Articles!$H:$H, A119, Articles!$Z:$Z, "&lt;&gt;"), "")</f>
        <v/>
      </c>
      <c r="F119" s="91" t="str">
        <f ca="1">IFERROR(AVERAGEIFS(Articles!$AA:$AA, Articles!$H:$H, A119, Articles!$AA:$AA, "&lt;&gt;"), "")</f>
        <v/>
      </c>
    </row>
    <row r="120" spans="1:6" ht="14">
      <c r="A120" s="9" t="str">
        <f ca="1">IFERROR(__xludf.DUMMYFUNCTION("""COMPUTED_VALUE"""),"Wiley TA 2024")</f>
        <v>Wiley TA 2024</v>
      </c>
      <c r="B120" s="89" t="str">
        <f ca="1">IFERROR(AVERAGEIFS(Articles!$W:$W, Articles!$H:$H, A120, Articles!$W:$W, "&lt;&gt;"), "")</f>
        <v/>
      </c>
      <c r="C120" s="90" t="str">
        <f ca="1">IFERROR(AVERAGEIFS(Articles!$X:$X, Articles!$H:$H, A120, Articles!$X:$X, "&lt;&gt;"), "")</f>
        <v/>
      </c>
      <c r="D120" s="91" t="str">
        <f ca="1">IFERROR(AVERAGEIFS(Articles!$Y:$Y, Articles!$H:$H, A120, Articles!$Y:$Y, "&lt;&gt;"), "")</f>
        <v/>
      </c>
      <c r="E120" s="91" t="str">
        <f ca="1">IFERROR(AVERAGEIFS(Articles!$Z:$Z, Articles!$H:$H, A120, Articles!$Z:$Z, "&lt;&gt;"), "")</f>
        <v/>
      </c>
      <c r="F120" s="91" t="str">
        <f ca="1">IFERROR(AVERAGEIFS(Articles!$AA:$AA, Articles!$H:$H, A120, Articles!$AA:$AA, "&lt;&gt;"), "")</f>
        <v/>
      </c>
    </row>
    <row r="121" spans="1:6" ht="14">
      <c r="A121" s="9" t="str">
        <f ca="1">IFERROR(__xludf.DUMMYFUNCTION("""COMPUTED_VALUE"""),"Wiley TA 2025")</f>
        <v>Wiley TA 2025</v>
      </c>
      <c r="B121" s="89" t="str">
        <f ca="1">IFERROR(AVERAGEIFS(Articles!$W:$W, Articles!$H:$H, A121, Articles!$W:$W, "&lt;&gt;"), "")</f>
        <v/>
      </c>
      <c r="C121" s="90" t="str">
        <f ca="1">IFERROR(AVERAGEIFS(Articles!$X:$X, Articles!$H:$H, A121, Articles!$X:$X, "&lt;&gt;"), "")</f>
        <v/>
      </c>
      <c r="D121" s="91" t="str">
        <f ca="1">IFERROR(AVERAGEIFS(Articles!$Y:$Y, Articles!$H:$H, A121, Articles!$Y:$Y, "&lt;&gt;"), "")</f>
        <v/>
      </c>
      <c r="E121" s="91" t="str">
        <f ca="1">IFERROR(AVERAGEIFS(Articles!$Z:$Z, Articles!$H:$H, A121, Articles!$Z:$Z, "&lt;&gt;"), "")</f>
        <v/>
      </c>
      <c r="F121" s="91" t="str">
        <f ca="1">IFERROR(AVERAGEIFS(Articles!$AA:$AA, Articles!$H:$H, A121, Articles!$AA:$AA, "&lt;&gt;"), "")</f>
        <v/>
      </c>
    </row>
    <row r="122" spans="1:6" ht="14">
      <c r="A122" s="9"/>
      <c r="B122" s="89" t="str">
        <f>IFERROR(AVERAGEIFS(Articles!$W:$W, Articles!$H:$H, A122, Articles!$W:$W, "&lt;&gt;"), "")</f>
        <v/>
      </c>
      <c r="C122" s="90" t="str">
        <f>IFERROR(AVERAGEIFS(Articles!$X:$X, Articles!$H:$H, A122, Articles!$X:$X, "&lt;&gt;"), "")</f>
        <v/>
      </c>
      <c r="D122" s="91" t="str">
        <f>IFERROR(AVERAGEIFS(Articles!$Y:$Y, Articles!$H:$H, A122, Articles!$Y:$Y, "&lt;&gt;"), "")</f>
        <v/>
      </c>
      <c r="E122" s="91" t="str">
        <f>IFERROR(AVERAGEIFS(Articles!$Z:$Z, Articles!$H:$H, A122, Articles!$Z:$Z, "&lt;&gt;"), "")</f>
        <v/>
      </c>
      <c r="F122" s="91" t="str">
        <f>IFERROR(AVERAGEIFS(Articles!$AA:$AA, Articles!$H:$H, A122, Articles!$AA:$AA, "&lt;&gt;"), "")</f>
        <v/>
      </c>
    </row>
    <row r="123" spans="1:6" ht="14">
      <c r="A123" s="9"/>
      <c r="B123" s="89" t="str">
        <f>IFERROR(AVERAGEIFS(Articles!$W:$W, Articles!$H:$H, A123, Articles!$W:$W, "&lt;&gt;"), "")</f>
        <v/>
      </c>
      <c r="C123" s="90" t="str">
        <f>IFERROR(AVERAGEIFS(Articles!$X:$X, Articles!$H:$H, A123, Articles!$X:$X, "&lt;&gt;"), "")</f>
        <v/>
      </c>
      <c r="D123" s="91" t="str">
        <f>IFERROR(AVERAGEIFS(Articles!$Y:$Y, Articles!$H:$H, A123, Articles!$Y:$Y, "&lt;&gt;"), "")</f>
        <v/>
      </c>
      <c r="E123" s="91" t="str">
        <f>IFERROR(AVERAGEIFS(Articles!$Z:$Z, Articles!$H:$H, A123, Articles!$Z:$Z, "&lt;&gt;"), "")</f>
        <v/>
      </c>
      <c r="F123" s="91" t="str">
        <f>IFERROR(AVERAGEIFS(Articles!$AA:$AA, Articles!$H:$H, A123, Articles!$AA:$AA, "&lt;&gt;"), "")</f>
        <v/>
      </c>
    </row>
    <row r="124" spans="1:6" ht="14">
      <c r="A124" s="9"/>
      <c r="B124" s="89" t="str">
        <f>IFERROR(AVERAGEIFS(Articles!$W:$W, Articles!$H:$H, A124, Articles!$W:$W, "&lt;&gt;"), "")</f>
        <v/>
      </c>
      <c r="C124" s="90" t="str">
        <f>IFERROR(AVERAGEIFS(Articles!$X:$X, Articles!$H:$H, A124, Articles!$X:$X, "&lt;&gt;"), "")</f>
        <v/>
      </c>
      <c r="D124" s="91" t="str">
        <f>IFERROR(AVERAGEIFS(Articles!$Y:$Y, Articles!$H:$H, A124, Articles!$Y:$Y, "&lt;&gt;"), "")</f>
        <v/>
      </c>
      <c r="E124" s="91" t="str">
        <f>IFERROR(AVERAGEIFS(Articles!$Z:$Z, Articles!$H:$H, A124, Articles!$Z:$Z, "&lt;&gt;"), "")</f>
        <v/>
      </c>
      <c r="F124" s="91" t="str">
        <f>IFERROR(AVERAGEIFS(Articles!$AA:$AA, Articles!$H:$H, A124, Articles!$AA:$AA, "&lt;&gt;"), "")</f>
        <v/>
      </c>
    </row>
    <row r="125" spans="1:6" ht="14">
      <c r="A125" s="9"/>
      <c r="B125" s="89" t="str">
        <f>IFERROR(AVERAGEIFS(Articles!$W:$W, Articles!$H:$H, A125, Articles!$W:$W, "&lt;&gt;"), "")</f>
        <v/>
      </c>
      <c r="C125" s="90" t="str">
        <f>IFERROR(AVERAGEIFS(Articles!$X:$X, Articles!$H:$H, A125, Articles!$X:$X, "&lt;&gt;"), "")</f>
        <v/>
      </c>
      <c r="D125" s="91" t="str">
        <f>IFERROR(AVERAGEIFS(Articles!$Y:$Y, Articles!$H:$H, A125, Articles!$Y:$Y, "&lt;&gt;"), "")</f>
        <v/>
      </c>
      <c r="E125" s="91" t="str">
        <f>IFERROR(AVERAGEIFS(Articles!$Z:$Z, Articles!$H:$H, A125, Articles!$Z:$Z, "&lt;&gt;"), "")</f>
        <v/>
      </c>
      <c r="F125" s="91" t="str">
        <f>IFERROR(AVERAGEIFS(Articles!$AA:$AA, Articles!$H:$H, A125, Articles!$AA:$AA, "&lt;&gt;"), "")</f>
        <v/>
      </c>
    </row>
    <row r="126" spans="1:6" ht="14">
      <c r="A126" s="9"/>
      <c r="B126" s="89" t="str">
        <f>IFERROR(AVERAGEIFS(Articles!$W:$W, Articles!$H:$H, A126, Articles!$W:$W, "&lt;&gt;"), "")</f>
        <v/>
      </c>
      <c r="C126" s="90" t="str">
        <f>IFERROR(AVERAGEIFS(Articles!$X:$X, Articles!$H:$H, A126, Articles!$X:$X, "&lt;&gt;"), "")</f>
        <v/>
      </c>
      <c r="D126" s="91" t="str">
        <f>IFERROR(AVERAGEIFS(Articles!$Y:$Y, Articles!$H:$H, A126, Articles!$Y:$Y, "&lt;&gt;"), "")</f>
        <v/>
      </c>
      <c r="E126" s="91" t="str">
        <f>IFERROR(AVERAGEIFS(Articles!$Z:$Z, Articles!$H:$H, A126, Articles!$Z:$Z, "&lt;&gt;"), "")</f>
        <v/>
      </c>
      <c r="F126" s="91" t="str">
        <f>IFERROR(AVERAGEIFS(Articles!$AA:$AA, Articles!$H:$H, A126, Articles!$AA:$AA, "&lt;&gt;"), "")</f>
        <v/>
      </c>
    </row>
    <row r="127" spans="1:6" ht="14">
      <c r="A127" s="9"/>
      <c r="B127" s="89" t="str">
        <f>IFERROR(AVERAGEIFS(Articles!$W:$W, Articles!$H:$H, A127, Articles!$W:$W, "&lt;&gt;"), "")</f>
        <v/>
      </c>
      <c r="C127" s="90" t="str">
        <f>IFERROR(AVERAGEIFS(Articles!$X:$X, Articles!$H:$H, A127, Articles!$X:$X, "&lt;&gt;"), "")</f>
        <v/>
      </c>
      <c r="D127" s="91" t="str">
        <f>IFERROR(AVERAGEIFS(Articles!$Y:$Y, Articles!$H:$H, A127, Articles!$Y:$Y, "&lt;&gt;"), "")</f>
        <v/>
      </c>
      <c r="E127" s="91" t="str">
        <f>IFERROR(AVERAGEIFS(Articles!$Z:$Z, Articles!$H:$H, A127, Articles!$Z:$Z, "&lt;&gt;"), "")</f>
        <v/>
      </c>
      <c r="F127" s="91" t="str">
        <f>IFERROR(AVERAGEIFS(Articles!$AA:$AA, Articles!$H:$H, A127, Articles!$AA:$AA, "&lt;&gt;"), "")</f>
        <v/>
      </c>
    </row>
    <row r="128" spans="1:6" ht="14">
      <c r="A128" s="9"/>
      <c r="B128" s="89" t="str">
        <f>IFERROR(AVERAGEIFS(Articles!$W:$W, Articles!$H:$H, A128, Articles!$W:$W, "&lt;&gt;"), "")</f>
        <v/>
      </c>
      <c r="C128" s="90" t="str">
        <f>IFERROR(AVERAGEIFS(Articles!$X:$X, Articles!$H:$H, A128, Articles!$X:$X, "&lt;&gt;"), "")</f>
        <v/>
      </c>
      <c r="D128" s="91" t="str">
        <f>IFERROR(AVERAGEIFS(Articles!$Y:$Y, Articles!$H:$H, A128, Articles!$Y:$Y, "&lt;&gt;"), "")</f>
        <v/>
      </c>
      <c r="E128" s="91" t="str">
        <f>IFERROR(AVERAGEIFS(Articles!$Z:$Z, Articles!$H:$H, A128, Articles!$Z:$Z, "&lt;&gt;"), "")</f>
        <v/>
      </c>
      <c r="F128" s="91" t="str">
        <f>IFERROR(AVERAGEIFS(Articles!$AA:$AA, Articles!$H:$H, A128, Articles!$AA:$AA, "&lt;&gt;"), "")</f>
        <v/>
      </c>
    </row>
    <row r="129" spans="1:6" ht="14">
      <c r="A129" s="9"/>
      <c r="B129" s="89" t="str">
        <f>IFERROR(AVERAGEIFS(Articles!$W:$W, Articles!$H:$H, A129, Articles!$W:$W, "&lt;&gt;"), "")</f>
        <v/>
      </c>
      <c r="C129" s="90" t="str">
        <f>IFERROR(AVERAGEIFS(Articles!$X:$X, Articles!$H:$H, A129, Articles!$X:$X, "&lt;&gt;"), "")</f>
        <v/>
      </c>
      <c r="D129" s="91" t="str">
        <f>IFERROR(AVERAGEIFS(Articles!$Y:$Y, Articles!$H:$H, A129, Articles!$Y:$Y, "&lt;&gt;"), "")</f>
        <v/>
      </c>
      <c r="E129" s="91" t="str">
        <f>IFERROR(AVERAGEIFS(Articles!$Z:$Z, Articles!$H:$H, A129, Articles!$Z:$Z, "&lt;&gt;"), "")</f>
        <v/>
      </c>
      <c r="F129" s="91" t="str">
        <f>IFERROR(AVERAGEIFS(Articles!$AA:$AA, Articles!$H:$H, A129, Articles!$AA:$AA, "&lt;&gt;"), "")</f>
        <v/>
      </c>
    </row>
    <row r="130" spans="1:6" ht="14">
      <c r="A130" s="9"/>
      <c r="B130" s="89" t="str">
        <f>IFERROR(AVERAGEIFS(Articles!$W:$W, Articles!$H:$H, A130, Articles!$W:$W, "&lt;&gt;"), "")</f>
        <v/>
      </c>
      <c r="C130" s="90" t="str">
        <f>IFERROR(AVERAGEIFS(Articles!$X:$X, Articles!$H:$H, A130, Articles!$X:$X, "&lt;&gt;"), "")</f>
        <v/>
      </c>
      <c r="D130" s="91" t="str">
        <f>IFERROR(AVERAGEIFS(Articles!$Y:$Y, Articles!$H:$H, A130, Articles!$Y:$Y, "&lt;&gt;"), "")</f>
        <v/>
      </c>
      <c r="E130" s="91" t="str">
        <f>IFERROR(AVERAGEIFS(Articles!$Z:$Z, Articles!$H:$H, A130, Articles!$Z:$Z, "&lt;&gt;"), "")</f>
        <v/>
      </c>
      <c r="F130" s="91" t="str">
        <f>IFERROR(AVERAGEIFS(Articles!$AA:$AA, Articles!$H:$H, A130, Articles!$AA:$AA, "&lt;&gt;"), "")</f>
        <v/>
      </c>
    </row>
    <row r="131" spans="1:6" ht="14">
      <c r="A131" s="9"/>
      <c r="B131" s="89" t="str">
        <f>IFERROR(AVERAGEIFS(Articles!$W:$W, Articles!$H:$H, A131, Articles!$W:$W, "&lt;&gt;"), "")</f>
        <v/>
      </c>
      <c r="C131" s="90" t="str">
        <f>IFERROR(AVERAGEIFS(Articles!$X:$X, Articles!$H:$H, A131, Articles!$X:$X, "&lt;&gt;"), "")</f>
        <v/>
      </c>
      <c r="D131" s="91" t="str">
        <f>IFERROR(AVERAGEIFS(Articles!$Y:$Y, Articles!$H:$H, A131, Articles!$Y:$Y, "&lt;&gt;"), "")</f>
        <v/>
      </c>
      <c r="E131" s="91" t="str">
        <f>IFERROR(AVERAGEIFS(Articles!$Z:$Z, Articles!$H:$H, A131, Articles!$Z:$Z, "&lt;&gt;"), "")</f>
        <v/>
      </c>
      <c r="F131" s="91" t="str">
        <f>IFERROR(AVERAGEIFS(Articles!$AA:$AA, Articles!$H:$H, A131, Articles!$AA:$AA, "&lt;&gt;"), "")</f>
        <v/>
      </c>
    </row>
    <row r="132" spans="1:6" ht="14">
      <c r="A132" s="9"/>
      <c r="B132" s="89" t="str">
        <f>IFERROR(AVERAGEIFS(Articles!$W:$W, Articles!$H:$H, A132, Articles!$W:$W, "&lt;&gt;"), "")</f>
        <v/>
      </c>
      <c r="C132" s="90" t="str">
        <f>IFERROR(AVERAGEIFS(Articles!$X:$X, Articles!$H:$H, A132, Articles!$X:$X, "&lt;&gt;"), "")</f>
        <v/>
      </c>
      <c r="D132" s="91" t="str">
        <f>IFERROR(AVERAGEIFS(Articles!$Y:$Y, Articles!$H:$H, A132, Articles!$Y:$Y, "&lt;&gt;"), "")</f>
        <v/>
      </c>
      <c r="E132" s="91" t="str">
        <f>IFERROR(AVERAGEIFS(Articles!$Z:$Z, Articles!$H:$H, A132, Articles!$Z:$Z, "&lt;&gt;"), "")</f>
        <v/>
      </c>
      <c r="F132" s="91" t="str">
        <f>IFERROR(AVERAGEIFS(Articles!$AA:$AA, Articles!$H:$H, A132, Articles!$AA:$AA, "&lt;&gt;"), "")</f>
        <v/>
      </c>
    </row>
    <row r="133" spans="1:6" ht="14">
      <c r="A133" s="9"/>
      <c r="B133" s="89" t="str">
        <f>IFERROR(AVERAGEIFS(Articles!$W:$W, Articles!$H:$H, A133, Articles!$W:$W, "&lt;&gt;"), "")</f>
        <v/>
      </c>
      <c r="C133" s="90" t="str">
        <f>IFERROR(AVERAGEIFS(Articles!$X:$X, Articles!$H:$H, A133, Articles!$X:$X, "&lt;&gt;"), "")</f>
        <v/>
      </c>
      <c r="D133" s="91" t="str">
        <f>IFERROR(AVERAGEIFS(Articles!$Y:$Y, Articles!$H:$H, A133, Articles!$Y:$Y, "&lt;&gt;"), "")</f>
        <v/>
      </c>
      <c r="E133" s="91" t="str">
        <f>IFERROR(AVERAGEIFS(Articles!$Z:$Z, Articles!$H:$H, A133, Articles!$Z:$Z, "&lt;&gt;"), "")</f>
        <v/>
      </c>
      <c r="F133" s="91" t="str">
        <f>IFERROR(AVERAGEIFS(Articles!$AA:$AA, Articles!$H:$H, A133, Articles!$AA:$AA, "&lt;&gt;"), "")</f>
        <v/>
      </c>
    </row>
    <row r="134" spans="1:6" ht="14">
      <c r="A134" s="9"/>
      <c r="B134" s="89" t="str">
        <f>IFERROR(AVERAGEIFS(Articles!$W:$W, Articles!$H:$H, A134, Articles!$W:$W, "&lt;&gt;"), "")</f>
        <v/>
      </c>
      <c r="C134" s="90" t="str">
        <f>IFERROR(AVERAGEIFS(Articles!$X:$X, Articles!$H:$H, A134, Articles!$X:$X, "&lt;&gt;"), "")</f>
        <v/>
      </c>
      <c r="D134" s="91" t="str">
        <f>IFERROR(AVERAGEIFS(Articles!$Y:$Y, Articles!$H:$H, A134, Articles!$Y:$Y, "&lt;&gt;"), "")</f>
        <v/>
      </c>
      <c r="E134" s="91" t="str">
        <f>IFERROR(AVERAGEIFS(Articles!$Z:$Z, Articles!$H:$H, A134, Articles!$Z:$Z, "&lt;&gt;"), "")</f>
        <v/>
      </c>
      <c r="F134" s="91" t="str">
        <f>IFERROR(AVERAGEIFS(Articles!$AA:$AA, Articles!$H:$H, A134, Articles!$AA:$AA, "&lt;&gt;"), "")</f>
        <v/>
      </c>
    </row>
    <row r="135" spans="1:6" ht="14">
      <c r="A135" s="9"/>
      <c r="B135" s="89" t="str">
        <f>IFERROR(AVERAGEIFS(Articles!$W:$W, Articles!$H:$H, A135, Articles!$W:$W, "&lt;&gt;"), "")</f>
        <v/>
      </c>
      <c r="C135" s="90" t="str">
        <f>IFERROR(AVERAGEIFS(Articles!$X:$X, Articles!$H:$H, A135, Articles!$X:$X, "&lt;&gt;"), "")</f>
        <v/>
      </c>
      <c r="D135" s="91" t="str">
        <f>IFERROR(AVERAGEIFS(Articles!$Y:$Y, Articles!$H:$H, A135, Articles!$Y:$Y, "&lt;&gt;"), "")</f>
        <v/>
      </c>
      <c r="E135" s="91" t="str">
        <f>IFERROR(AVERAGEIFS(Articles!$Z:$Z, Articles!$H:$H, A135, Articles!$Z:$Z, "&lt;&gt;"), "")</f>
        <v/>
      </c>
      <c r="F135" s="91" t="str">
        <f>IFERROR(AVERAGEIFS(Articles!$AA:$AA, Articles!$H:$H, A135, Articles!$AA:$AA, "&lt;&gt;"), "")</f>
        <v/>
      </c>
    </row>
    <row r="136" spans="1:6" ht="14">
      <c r="A136" s="9"/>
      <c r="B136" s="89" t="str">
        <f>IFERROR(AVERAGEIFS(Articles!$W:$W, Articles!$H:$H, A136, Articles!$W:$W, "&lt;&gt;"), "")</f>
        <v/>
      </c>
      <c r="C136" s="90" t="str">
        <f>IFERROR(AVERAGEIFS(Articles!$X:$X, Articles!$H:$H, A136, Articles!$X:$X, "&lt;&gt;"), "")</f>
        <v/>
      </c>
      <c r="D136" s="91" t="str">
        <f>IFERROR(AVERAGEIFS(Articles!$Y:$Y, Articles!$H:$H, A136, Articles!$Y:$Y, "&lt;&gt;"), "")</f>
        <v/>
      </c>
      <c r="E136" s="91" t="str">
        <f>IFERROR(AVERAGEIFS(Articles!$Z:$Z, Articles!$H:$H, A136, Articles!$Z:$Z, "&lt;&gt;"), "")</f>
        <v/>
      </c>
      <c r="F136" s="91" t="str">
        <f>IFERROR(AVERAGEIFS(Articles!$AA:$AA, Articles!$H:$H, A136, Articles!$AA:$AA, "&lt;&gt;"), "")</f>
        <v/>
      </c>
    </row>
    <row r="137" spans="1:6" ht="14">
      <c r="A137" s="9"/>
      <c r="B137" s="89" t="str">
        <f>IFERROR(AVERAGEIFS(Articles!$W:$W, Articles!$H:$H, A137, Articles!$W:$W, "&lt;&gt;"), "")</f>
        <v/>
      </c>
      <c r="C137" s="90" t="str">
        <f>IFERROR(AVERAGEIFS(Articles!$X:$X, Articles!$H:$H, A137, Articles!$X:$X, "&lt;&gt;"), "")</f>
        <v/>
      </c>
      <c r="D137" s="91" t="str">
        <f>IFERROR(AVERAGEIFS(Articles!$Y:$Y, Articles!$H:$H, A137, Articles!$Y:$Y, "&lt;&gt;"), "")</f>
        <v/>
      </c>
      <c r="E137" s="91" t="str">
        <f>IFERROR(AVERAGEIFS(Articles!$Z:$Z, Articles!$H:$H, A137, Articles!$Z:$Z, "&lt;&gt;"), "")</f>
        <v/>
      </c>
      <c r="F137" s="91" t="str">
        <f>IFERROR(AVERAGEIFS(Articles!$AA:$AA, Articles!$H:$H, A137, Articles!$AA:$AA, "&lt;&gt;"), "")</f>
        <v/>
      </c>
    </row>
    <row r="138" spans="1:6" ht="14">
      <c r="A138" s="9"/>
      <c r="B138" s="89" t="str">
        <f>IFERROR(AVERAGEIFS(Articles!$W:$W, Articles!$H:$H, A138, Articles!$W:$W, "&lt;&gt;"), "")</f>
        <v/>
      </c>
      <c r="C138" s="90" t="str">
        <f>IFERROR(AVERAGEIFS(Articles!$X:$X, Articles!$H:$H, A138, Articles!$X:$X, "&lt;&gt;"), "")</f>
        <v/>
      </c>
      <c r="D138" s="91" t="str">
        <f>IFERROR(AVERAGEIFS(Articles!$Y:$Y, Articles!$H:$H, A138, Articles!$Y:$Y, "&lt;&gt;"), "")</f>
        <v/>
      </c>
      <c r="E138" s="91" t="str">
        <f>IFERROR(AVERAGEIFS(Articles!$Z:$Z, Articles!$H:$H, A138, Articles!$Z:$Z, "&lt;&gt;"), "")</f>
        <v/>
      </c>
      <c r="F138" s="91" t="str">
        <f>IFERROR(AVERAGEIFS(Articles!$AA:$AA, Articles!$H:$H, A138, Articles!$AA:$AA, "&lt;&gt;"), "")</f>
        <v/>
      </c>
    </row>
    <row r="139" spans="1:6" ht="14">
      <c r="A139" s="9"/>
      <c r="B139" s="89" t="str">
        <f>IFERROR(AVERAGEIFS(Articles!$W:$W, Articles!$H:$H, A139, Articles!$W:$W, "&lt;&gt;"), "")</f>
        <v/>
      </c>
      <c r="C139" s="90" t="str">
        <f>IFERROR(AVERAGEIFS(Articles!$X:$X, Articles!$H:$H, A139, Articles!$X:$X, "&lt;&gt;"), "")</f>
        <v/>
      </c>
      <c r="D139" s="91" t="str">
        <f>IFERROR(AVERAGEIFS(Articles!$Y:$Y, Articles!$H:$H, A139, Articles!$Y:$Y, "&lt;&gt;"), "")</f>
        <v/>
      </c>
      <c r="E139" s="91" t="str">
        <f>IFERROR(AVERAGEIFS(Articles!$Z:$Z, Articles!$H:$H, A139, Articles!$Z:$Z, "&lt;&gt;"), "")</f>
        <v/>
      </c>
      <c r="F139" s="91" t="str">
        <f>IFERROR(AVERAGEIFS(Articles!$AA:$AA, Articles!$H:$H, A139, Articles!$AA:$AA, "&lt;&gt;"), "")</f>
        <v/>
      </c>
    </row>
    <row r="140" spans="1:6" ht="14">
      <c r="A140" s="9"/>
      <c r="B140" s="89" t="str">
        <f>IFERROR(AVERAGEIFS(Articles!$W:$W, Articles!$H:$H, A140, Articles!$W:$W, "&lt;&gt;"), "")</f>
        <v/>
      </c>
      <c r="C140" s="90" t="str">
        <f>IFERROR(AVERAGEIFS(Articles!$X:$X, Articles!$H:$H, A140, Articles!$X:$X, "&lt;&gt;"), "")</f>
        <v/>
      </c>
      <c r="D140" s="91" t="str">
        <f>IFERROR(AVERAGEIFS(Articles!$Y:$Y, Articles!$H:$H, A140, Articles!$Y:$Y, "&lt;&gt;"), "")</f>
        <v/>
      </c>
      <c r="E140" s="91" t="str">
        <f>IFERROR(AVERAGEIFS(Articles!$Z:$Z, Articles!$H:$H, A140, Articles!$Z:$Z, "&lt;&gt;"), "")</f>
        <v/>
      </c>
      <c r="F140" s="91" t="str">
        <f>IFERROR(AVERAGEIFS(Articles!$AA:$AA, Articles!$H:$H, A140, Articles!$AA:$AA, "&lt;&gt;"), "")</f>
        <v/>
      </c>
    </row>
    <row r="141" spans="1:6" ht="14">
      <c r="A141" s="9"/>
      <c r="B141" s="89" t="str">
        <f>IFERROR(AVERAGEIFS(Articles!$W:$W, Articles!$H:$H, A141, Articles!$W:$W, "&lt;&gt;"), "")</f>
        <v/>
      </c>
      <c r="C141" s="90" t="str">
        <f>IFERROR(AVERAGEIFS(Articles!$X:$X, Articles!$H:$H, A141, Articles!$X:$X, "&lt;&gt;"), "")</f>
        <v/>
      </c>
      <c r="D141" s="91" t="str">
        <f>IFERROR(AVERAGEIFS(Articles!$Y:$Y, Articles!$H:$H, A141, Articles!$Y:$Y, "&lt;&gt;"), "")</f>
        <v/>
      </c>
      <c r="E141" s="91" t="str">
        <f>IFERROR(AVERAGEIFS(Articles!$Z:$Z, Articles!$H:$H, A141, Articles!$Z:$Z, "&lt;&gt;"), "")</f>
        <v/>
      </c>
      <c r="F141" s="91" t="str">
        <f>IFERROR(AVERAGEIFS(Articles!$AA:$AA, Articles!$H:$H, A141, Articles!$AA:$AA, "&lt;&gt;"), "")</f>
        <v/>
      </c>
    </row>
    <row r="142" spans="1:6" ht="14">
      <c r="A142" s="9"/>
      <c r="B142" s="89" t="str">
        <f>IFERROR(AVERAGEIFS(Articles!$W:$W, Articles!$H:$H, A142, Articles!$W:$W, "&lt;&gt;"), "")</f>
        <v/>
      </c>
      <c r="C142" s="90" t="str">
        <f>IFERROR(AVERAGEIFS(Articles!$X:$X, Articles!$H:$H, A142, Articles!$X:$X, "&lt;&gt;"), "")</f>
        <v/>
      </c>
      <c r="D142" s="91" t="str">
        <f>IFERROR(AVERAGEIFS(Articles!$Y:$Y, Articles!$H:$H, A142, Articles!$Y:$Y, "&lt;&gt;"), "")</f>
        <v/>
      </c>
      <c r="E142" s="91" t="str">
        <f>IFERROR(AVERAGEIFS(Articles!$Z:$Z, Articles!$H:$H, A142, Articles!$Z:$Z, "&lt;&gt;"), "")</f>
        <v/>
      </c>
      <c r="F142" s="91" t="str">
        <f>IFERROR(AVERAGEIFS(Articles!$AA:$AA, Articles!$H:$H, A142, Articles!$AA:$AA, "&lt;&gt;"), "")</f>
        <v/>
      </c>
    </row>
    <row r="143" spans="1:6" ht="14">
      <c r="A143" s="9"/>
      <c r="B143" s="89" t="str">
        <f>IFERROR(AVERAGEIFS(Articles!$W:$W, Articles!$H:$H, A143, Articles!$W:$W, "&lt;&gt;"), "")</f>
        <v/>
      </c>
      <c r="C143" s="90" t="str">
        <f>IFERROR(AVERAGEIFS(Articles!$X:$X, Articles!$H:$H, A143, Articles!$X:$X, "&lt;&gt;"), "")</f>
        <v/>
      </c>
      <c r="D143" s="91" t="str">
        <f>IFERROR(AVERAGEIFS(Articles!$Y:$Y, Articles!$H:$H, A143, Articles!$Y:$Y, "&lt;&gt;"), "")</f>
        <v/>
      </c>
      <c r="E143" s="91" t="str">
        <f>IFERROR(AVERAGEIFS(Articles!$Z:$Z, Articles!$H:$H, A143, Articles!$Z:$Z, "&lt;&gt;"), "")</f>
        <v/>
      </c>
      <c r="F143" s="91" t="str">
        <f>IFERROR(AVERAGEIFS(Articles!$AA:$AA, Articles!$H:$H, A143, Articles!$AA:$AA, "&lt;&gt;"), "")</f>
        <v/>
      </c>
    </row>
    <row r="144" spans="1:6" ht="14">
      <c r="A144" s="9"/>
      <c r="B144" s="89" t="str">
        <f>IFERROR(AVERAGEIFS(Articles!$W:$W, Articles!$H:$H, A144, Articles!$W:$W, "&lt;&gt;"), "")</f>
        <v/>
      </c>
      <c r="C144" s="90" t="str">
        <f>IFERROR(AVERAGEIFS(Articles!$X:$X, Articles!$H:$H, A144, Articles!$X:$X, "&lt;&gt;"), "")</f>
        <v/>
      </c>
      <c r="D144" s="91" t="str">
        <f>IFERROR(AVERAGEIFS(Articles!$Y:$Y, Articles!$H:$H, A144, Articles!$Y:$Y, "&lt;&gt;"), "")</f>
        <v/>
      </c>
      <c r="E144" s="91" t="str">
        <f>IFERROR(AVERAGEIFS(Articles!$Z:$Z, Articles!$H:$H, A144, Articles!$Z:$Z, "&lt;&gt;"), "")</f>
        <v/>
      </c>
      <c r="F144" s="91" t="str">
        <f>IFERROR(AVERAGEIFS(Articles!$AA:$AA, Articles!$H:$H, A144, Articles!$AA:$AA, "&lt;&gt;"), "")</f>
        <v/>
      </c>
    </row>
    <row r="145" spans="1:6" ht="14">
      <c r="A145" s="9"/>
      <c r="B145" s="89" t="str">
        <f>IFERROR(AVERAGEIFS(Articles!$W:$W, Articles!$H:$H, A145, Articles!$W:$W, "&lt;&gt;"), "")</f>
        <v/>
      </c>
      <c r="C145" s="90" t="str">
        <f>IFERROR(AVERAGEIFS(Articles!$X:$X, Articles!$H:$H, A145, Articles!$X:$X, "&lt;&gt;"), "")</f>
        <v/>
      </c>
      <c r="D145" s="91" t="str">
        <f>IFERROR(AVERAGEIFS(Articles!$Y:$Y, Articles!$H:$H, A145, Articles!$Y:$Y, "&lt;&gt;"), "")</f>
        <v/>
      </c>
      <c r="E145" s="91" t="str">
        <f>IFERROR(AVERAGEIFS(Articles!$Z:$Z, Articles!$H:$H, A145, Articles!$Z:$Z, "&lt;&gt;"), "")</f>
        <v/>
      </c>
      <c r="F145" s="91" t="str">
        <f>IFERROR(AVERAGEIFS(Articles!$AA:$AA, Articles!$H:$H, A145, Articles!$AA:$AA, "&lt;&gt;"), "")</f>
        <v/>
      </c>
    </row>
    <row r="146" spans="1:6" ht="14">
      <c r="A146" s="9"/>
      <c r="B146" s="89" t="str">
        <f>IFERROR(AVERAGEIFS(Articles!$W:$W, Articles!$H:$H, A146, Articles!$W:$W, "&lt;&gt;"), "")</f>
        <v/>
      </c>
      <c r="C146" s="90" t="str">
        <f>IFERROR(AVERAGEIFS(Articles!$X:$X, Articles!$H:$H, A146, Articles!$X:$X, "&lt;&gt;"), "")</f>
        <v/>
      </c>
      <c r="D146" s="91" t="str">
        <f>IFERROR(AVERAGEIFS(Articles!$Y:$Y, Articles!$H:$H, A146, Articles!$Y:$Y, "&lt;&gt;"), "")</f>
        <v/>
      </c>
      <c r="E146" s="91" t="str">
        <f>IFERROR(AVERAGEIFS(Articles!$Z:$Z, Articles!$H:$H, A146, Articles!$Z:$Z, "&lt;&gt;"), "")</f>
        <v/>
      </c>
      <c r="F146" s="91" t="str">
        <f>IFERROR(AVERAGEIFS(Articles!$AA:$AA, Articles!$H:$H, A146, Articles!$AA:$AA, "&lt;&gt;"), "")</f>
        <v/>
      </c>
    </row>
    <row r="147" spans="1:6" ht="14">
      <c r="A147" s="9"/>
      <c r="B147" s="89" t="str">
        <f>IFERROR(AVERAGEIFS(Articles!$W:$W, Articles!$H:$H, A147, Articles!$W:$W, "&lt;&gt;"), "")</f>
        <v/>
      </c>
      <c r="C147" s="90" t="str">
        <f>IFERROR(AVERAGEIFS(Articles!$X:$X, Articles!$H:$H, A147, Articles!$X:$X, "&lt;&gt;"), "")</f>
        <v/>
      </c>
      <c r="D147" s="91" t="str">
        <f>IFERROR(AVERAGEIFS(Articles!$Y:$Y, Articles!$H:$H, A147, Articles!$Y:$Y, "&lt;&gt;"), "")</f>
        <v/>
      </c>
      <c r="E147" s="91" t="str">
        <f>IFERROR(AVERAGEIFS(Articles!$Z:$Z, Articles!$H:$H, A147, Articles!$Z:$Z, "&lt;&gt;"), "")</f>
        <v/>
      </c>
      <c r="F147" s="91" t="str">
        <f>IFERROR(AVERAGEIFS(Articles!$AA:$AA, Articles!$H:$H, A147, Articles!$AA:$AA, "&lt;&gt;"), "")</f>
        <v/>
      </c>
    </row>
    <row r="148" spans="1:6" ht="14">
      <c r="A148" s="9"/>
      <c r="B148" s="89" t="str">
        <f>IFERROR(AVERAGEIFS(Articles!$W:$W, Articles!$H:$H, A148, Articles!$W:$W, "&lt;&gt;"), "")</f>
        <v/>
      </c>
      <c r="C148" s="90" t="str">
        <f>IFERROR(AVERAGEIFS(Articles!$X:$X, Articles!$H:$H, A148, Articles!$X:$X, "&lt;&gt;"), "")</f>
        <v/>
      </c>
      <c r="D148" s="91" t="str">
        <f>IFERROR(AVERAGEIFS(Articles!$Y:$Y, Articles!$H:$H, A148, Articles!$Y:$Y, "&lt;&gt;"), "")</f>
        <v/>
      </c>
      <c r="E148" s="91" t="str">
        <f>IFERROR(AVERAGEIFS(Articles!$Z:$Z, Articles!$H:$H, A148, Articles!$Z:$Z, "&lt;&gt;"), "")</f>
        <v/>
      </c>
      <c r="F148" s="91" t="str">
        <f>IFERROR(AVERAGEIFS(Articles!$AA:$AA, Articles!$H:$H, A148, Articles!$AA:$AA, "&lt;&gt;"), "")</f>
        <v/>
      </c>
    </row>
    <row r="149" spans="1:6" ht="14">
      <c r="A149" s="9"/>
      <c r="B149" s="89" t="str">
        <f>IFERROR(AVERAGEIFS(Articles!$W:$W, Articles!$H:$H, A149, Articles!$W:$W, "&lt;&gt;"), "")</f>
        <v/>
      </c>
      <c r="C149" s="90" t="str">
        <f>IFERROR(AVERAGEIFS(Articles!$X:$X, Articles!$H:$H, A149, Articles!$X:$X, "&lt;&gt;"), "")</f>
        <v/>
      </c>
      <c r="D149" s="91" t="str">
        <f>IFERROR(AVERAGEIFS(Articles!$Y:$Y, Articles!$H:$H, A149, Articles!$Y:$Y, "&lt;&gt;"), "")</f>
        <v/>
      </c>
      <c r="E149" s="91" t="str">
        <f>IFERROR(AVERAGEIFS(Articles!$Z:$Z, Articles!$H:$H, A149, Articles!$Z:$Z, "&lt;&gt;"), "")</f>
        <v/>
      </c>
      <c r="F149" s="91" t="str">
        <f>IFERROR(AVERAGEIFS(Articles!$AA:$AA, Articles!$H:$H, A149, Articles!$AA:$AA, "&lt;&gt;"), "")</f>
        <v/>
      </c>
    </row>
    <row r="150" spans="1:6" ht="14">
      <c r="A150" s="9"/>
      <c r="B150" s="89" t="str">
        <f>IFERROR(AVERAGEIFS(Articles!$W:$W, Articles!$H:$H, A150, Articles!$W:$W, "&lt;&gt;"), "")</f>
        <v/>
      </c>
      <c r="C150" s="90" t="str">
        <f>IFERROR(AVERAGEIFS(Articles!$X:$X, Articles!$H:$H, A150, Articles!$X:$X, "&lt;&gt;"), "")</f>
        <v/>
      </c>
      <c r="D150" s="91" t="str">
        <f>IFERROR(AVERAGEIFS(Articles!$Y:$Y, Articles!$H:$H, A150, Articles!$Y:$Y, "&lt;&gt;"), "")</f>
        <v/>
      </c>
      <c r="E150" s="91" t="str">
        <f>IFERROR(AVERAGEIFS(Articles!$Z:$Z, Articles!$H:$H, A150, Articles!$Z:$Z, "&lt;&gt;"), "")</f>
        <v/>
      </c>
      <c r="F150" s="91" t="str">
        <f>IFERROR(AVERAGEIFS(Articles!$AA:$AA, Articles!$H:$H, A150, Articles!$AA:$AA, "&lt;&gt;"), "")</f>
        <v/>
      </c>
    </row>
    <row r="151" spans="1:6" ht="14">
      <c r="A151" s="9"/>
      <c r="B151" s="89" t="str">
        <f>IFERROR(AVERAGEIFS(Articles!$W:$W, Articles!$H:$H, A151, Articles!$W:$W, "&lt;&gt;"), "")</f>
        <v/>
      </c>
      <c r="C151" s="90" t="str">
        <f>IFERROR(AVERAGEIFS(Articles!$X:$X, Articles!$H:$H, A151, Articles!$X:$X, "&lt;&gt;"), "")</f>
        <v/>
      </c>
      <c r="D151" s="91" t="str">
        <f>IFERROR(AVERAGEIFS(Articles!$Y:$Y, Articles!$H:$H, A151, Articles!$Y:$Y, "&lt;&gt;"), "")</f>
        <v/>
      </c>
      <c r="E151" s="91" t="str">
        <f>IFERROR(AVERAGEIFS(Articles!$Z:$Z, Articles!$H:$H, A151, Articles!$Z:$Z, "&lt;&gt;"), "")</f>
        <v/>
      </c>
      <c r="F151" s="91" t="str">
        <f>IFERROR(AVERAGEIFS(Articles!$AA:$AA, Articles!$H:$H, A151, Articles!$AA:$AA, "&lt;&gt;"), "")</f>
        <v/>
      </c>
    </row>
    <row r="152" spans="1:6" ht="14">
      <c r="A152" s="9"/>
      <c r="B152" s="89" t="str">
        <f>IFERROR(AVERAGEIFS(Articles!$W:$W, Articles!$H:$H, A152, Articles!$W:$W, "&lt;&gt;"), "")</f>
        <v/>
      </c>
      <c r="C152" s="90" t="str">
        <f>IFERROR(AVERAGEIFS(Articles!$X:$X, Articles!$H:$H, A152, Articles!$X:$X, "&lt;&gt;"), "")</f>
        <v/>
      </c>
      <c r="D152" s="91" t="str">
        <f>IFERROR(AVERAGEIFS(Articles!$Y:$Y, Articles!$H:$H, A152, Articles!$Y:$Y, "&lt;&gt;"), "")</f>
        <v/>
      </c>
      <c r="E152" s="91" t="str">
        <f>IFERROR(AVERAGEIFS(Articles!$Z:$Z, Articles!$H:$H, A152, Articles!$Z:$Z, "&lt;&gt;"), "")</f>
        <v/>
      </c>
      <c r="F152" s="91" t="str">
        <f>IFERROR(AVERAGEIFS(Articles!$AA:$AA, Articles!$H:$H, A152, Articles!$AA:$AA, "&lt;&gt;"), "")</f>
        <v/>
      </c>
    </row>
    <row r="153" spans="1:6" ht="14">
      <c r="A153" s="9"/>
      <c r="B153" s="89" t="str">
        <f>IFERROR(AVERAGEIFS(Articles!$W:$W, Articles!$H:$H, A153, Articles!$W:$W, "&lt;&gt;"), "")</f>
        <v/>
      </c>
      <c r="C153" s="90" t="str">
        <f>IFERROR(AVERAGEIFS(Articles!$X:$X, Articles!$H:$H, A153, Articles!$X:$X, "&lt;&gt;"), "")</f>
        <v/>
      </c>
      <c r="D153" s="91" t="str">
        <f>IFERROR(AVERAGEIFS(Articles!$Y:$Y, Articles!$H:$H, A153, Articles!$Y:$Y, "&lt;&gt;"), "")</f>
        <v/>
      </c>
      <c r="E153" s="91" t="str">
        <f>IFERROR(AVERAGEIFS(Articles!$Z:$Z, Articles!$H:$H, A153, Articles!$Z:$Z, "&lt;&gt;"), "")</f>
        <v/>
      </c>
      <c r="F153" s="91" t="str">
        <f>IFERROR(AVERAGEIFS(Articles!$AA:$AA, Articles!$H:$H, A153, Articles!$AA:$AA, "&lt;&gt;"), "")</f>
        <v/>
      </c>
    </row>
    <row r="154" spans="1:6" ht="14">
      <c r="A154" s="9"/>
      <c r="B154" s="89" t="str">
        <f>IFERROR(AVERAGEIFS(Articles!$W:$W, Articles!$H:$H, A154, Articles!$W:$W, "&lt;&gt;"), "")</f>
        <v/>
      </c>
      <c r="C154" s="90" t="str">
        <f>IFERROR(AVERAGEIFS(Articles!$X:$X, Articles!$H:$H, A154, Articles!$X:$X, "&lt;&gt;"), "")</f>
        <v/>
      </c>
      <c r="D154" s="91" t="str">
        <f>IFERROR(AVERAGEIFS(Articles!$Y:$Y, Articles!$H:$H, A154, Articles!$Y:$Y, "&lt;&gt;"), "")</f>
        <v/>
      </c>
      <c r="E154" s="91" t="str">
        <f>IFERROR(AVERAGEIFS(Articles!$Z:$Z, Articles!$H:$H, A154, Articles!$Z:$Z, "&lt;&gt;"), "")</f>
        <v/>
      </c>
      <c r="F154" s="91" t="str">
        <f>IFERROR(AVERAGEIFS(Articles!$AA:$AA, Articles!$H:$H, A154, Articles!$AA:$AA, "&lt;&gt;"), "")</f>
        <v/>
      </c>
    </row>
    <row r="155" spans="1:6" ht="14">
      <c r="A155" s="9"/>
      <c r="B155" s="89" t="str">
        <f>IFERROR(AVERAGEIFS(Articles!$W:$W, Articles!$H:$H, A155, Articles!$W:$W, "&lt;&gt;"), "")</f>
        <v/>
      </c>
      <c r="C155" s="90" t="str">
        <f>IFERROR(AVERAGEIFS(Articles!$X:$X, Articles!$H:$H, A155, Articles!$X:$X, "&lt;&gt;"), "")</f>
        <v/>
      </c>
      <c r="D155" s="91" t="str">
        <f>IFERROR(AVERAGEIFS(Articles!$Y:$Y, Articles!$H:$H, A155, Articles!$Y:$Y, "&lt;&gt;"), "")</f>
        <v/>
      </c>
      <c r="E155" s="91" t="str">
        <f>IFERROR(AVERAGEIFS(Articles!$Z:$Z, Articles!$H:$H, A155, Articles!$Z:$Z, "&lt;&gt;"), "")</f>
        <v/>
      </c>
      <c r="F155" s="91" t="str">
        <f>IFERROR(AVERAGEIFS(Articles!$AA:$AA, Articles!$H:$H, A155, Articles!$AA:$AA, "&lt;&gt;"), "")</f>
        <v/>
      </c>
    </row>
    <row r="156" spans="1:6" ht="14">
      <c r="A156" s="9"/>
      <c r="B156" s="89" t="str">
        <f>IFERROR(AVERAGEIFS(Articles!$W:$W, Articles!$H:$H, A156, Articles!$W:$W, "&lt;&gt;"), "")</f>
        <v/>
      </c>
      <c r="C156" s="90" t="str">
        <f>IFERROR(AVERAGEIFS(Articles!$X:$X, Articles!$H:$H, A156, Articles!$X:$X, "&lt;&gt;"), "")</f>
        <v/>
      </c>
      <c r="D156" s="91" t="str">
        <f>IFERROR(AVERAGEIFS(Articles!$Y:$Y, Articles!$H:$H, A156, Articles!$Y:$Y, "&lt;&gt;"), "")</f>
        <v/>
      </c>
      <c r="E156" s="91" t="str">
        <f>IFERROR(AVERAGEIFS(Articles!$Z:$Z, Articles!$H:$H, A156, Articles!$Z:$Z, "&lt;&gt;"), "")</f>
        <v/>
      </c>
      <c r="F156" s="91" t="str">
        <f>IFERROR(AVERAGEIFS(Articles!$AA:$AA, Articles!$H:$H, A156, Articles!$AA:$AA, "&lt;&gt;"), "")</f>
        <v/>
      </c>
    </row>
    <row r="157" spans="1:6" ht="14">
      <c r="A157" s="9"/>
      <c r="B157" s="89" t="str">
        <f>IFERROR(AVERAGEIFS(Articles!$W:$W, Articles!$H:$H, A157, Articles!$W:$W, "&lt;&gt;"), "")</f>
        <v/>
      </c>
      <c r="C157" s="90" t="str">
        <f>IFERROR(AVERAGEIFS(Articles!$X:$X, Articles!$H:$H, A157, Articles!$X:$X, "&lt;&gt;"), "")</f>
        <v/>
      </c>
      <c r="D157" s="91" t="str">
        <f>IFERROR(AVERAGEIFS(Articles!$Y:$Y, Articles!$H:$H, A157, Articles!$Y:$Y, "&lt;&gt;"), "")</f>
        <v/>
      </c>
      <c r="E157" s="91" t="str">
        <f>IFERROR(AVERAGEIFS(Articles!$Z:$Z, Articles!$H:$H, A157, Articles!$Z:$Z, "&lt;&gt;"), "")</f>
        <v/>
      </c>
      <c r="F157" s="91" t="str">
        <f>IFERROR(AVERAGEIFS(Articles!$AA:$AA, Articles!$H:$H, A157, Articles!$AA:$AA, "&lt;&gt;"), "")</f>
        <v/>
      </c>
    </row>
    <row r="158" spans="1:6" ht="14">
      <c r="A158" s="9"/>
      <c r="B158" s="89" t="str">
        <f>IFERROR(AVERAGEIFS(Articles!$W:$W, Articles!$H:$H, A158, Articles!$W:$W, "&lt;&gt;"), "")</f>
        <v/>
      </c>
      <c r="C158" s="90" t="str">
        <f>IFERROR(AVERAGEIFS(Articles!$X:$X, Articles!$H:$H, A158, Articles!$X:$X, "&lt;&gt;"), "")</f>
        <v/>
      </c>
      <c r="D158" s="91" t="str">
        <f>IFERROR(AVERAGEIFS(Articles!$Y:$Y, Articles!$H:$H, A158, Articles!$Y:$Y, "&lt;&gt;"), "")</f>
        <v/>
      </c>
      <c r="E158" s="91" t="str">
        <f>IFERROR(AVERAGEIFS(Articles!$Z:$Z, Articles!$H:$H, A158, Articles!$Z:$Z, "&lt;&gt;"), "")</f>
        <v/>
      </c>
      <c r="F158" s="91" t="str">
        <f>IFERROR(AVERAGEIFS(Articles!$AA:$AA, Articles!$H:$H, A158, Articles!$AA:$AA, "&lt;&gt;"), "")</f>
        <v/>
      </c>
    </row>
    <row r="159" spans="1:6" ht="14">
      <c r="A159" s="9"/>
      <c r="B159" s="89" t="str">
        <f>IFERROR(AVERAGEIFS(Articles!$W:$W, Articles!$H:$H, A159, Articles!$W:$W, "&lt;&gt;"), "")</f>
        <v/>
      </c>
      <c r="C159" s="90" t="str">
        <f>IFERROR(AVERAGEIFS(Articles!$X:$X, Articles!$H:$H, A159, Articles!$X:$X, "&lt;&gt;"), "")</f>
        <v/>
      </c>
      <c r="D159" s="91" t="str">
        <f>IFERROR(AVERAGEIFS(Articles!$Y:$Y, Articles!$H:$H, A159, Articles!$Y:$Y, "&lt;&gt;"), "")</f>
        <v/>
      </c>
      <c r="E159" s="91" t="str">
        <f>IFERROR(AVERAGEIFS(Articles!$Z:$Z, Articles!$H:$H, A159, Articles!$Z:$Z, "&lt;&gt;"), "")</f>
        <v/>
      </c>
      <c r="F159" s="91" t="str">
        <f>IFERROR(AVERAGEIFS(Articles!$AA:$AA, Articles!$H:$H, A159, Articles!$AA:$AA, "&lt;&gt;"), "")</f>
        <v/>
      </c>
    </row>
    <row r="160" spans="1:6" ht="14">
      <c r="A160" s="9"/>
      <c r="B160" s="89" t="str">
        <f>IFERROR(AVERAGEIFS(Articles!$W:$W, Articles!$H:$H, A160, Articles!$W:$W, "&lt;&gt;"), "")</f>
        <v/>
      </c>
      <c r="C160" s="90" t="str">
        <f>IFERROR(AVERAGEIFS(Articles!$X:$X, Articles!$H:$H, A160, Articles!$X:$X, "&lt;&gt;"), "")</f>
        <v/>
      </c>
      <c r="D160" s="91" t="str">
        <f>IFERROR(AVERAGEIFS(Articles!$Y:$Y, Articles!$H:$H, A160, Articles!$Y:$Y, "&lt;&gt;"), "")</f>
        <v/>
      </c>
      <c r="E160" s="91" t="str">
        <f>IFERROR(AVERAGEIFS(Articles!$Z:$Z, Articles!$H:$H, A160, Articles!$Z:$Z, "&lt;&gt;"), "")</f>
        <v/>
      </c>
      <c r="F160" s="91" t="str">
        <f>IFERROR(AVERAGEIFS(Articles!$AA:$AA, Articles!$H:$H, A160, Articles!$AA:$AA, "&lt;&gt;"), "")</f>
        <v/>
      </c>
    </row>
    <row r="161" spans="1:6" ht="14">
      <c r="A161" s="9"/>
      <c r="B161" s="89" t="str">
        <f>IFERROR(AVERAGEIFS(Articles!$W:$W, Articles!$H:$H, A161, Articles!$W:$W, "&lt;&gt;"), "")</f>
        <v/>
      </c>
      <c r="C161" s="90" t="str">
        <f>IFERROR(AVERAGEIFS(Articles!$X:$X, Articles!$H:$H, A161, Articles!$X:$X, "&lt;&gt;"), "")</f>
        <v/>
      </c>
      <c r="D161" s="91" t="str">
        <f>IFERROR(AVERAGEIFS(Articles!$Y:$Y, Articles!$H:$H, A161, Articles!$Y:$Y, "&lt;&gt;"), "")</f>
        <v/>
      </c>
      <c r="E161" s="91" t="str">
        <f>IFERROR(AVERAGEIFS(Articles!$Z:$Z, Articles!$H:$H, A161, Articles!$Z:$Z, "&lt;&gt;"), "")</f>
        <v/>
      </c>
      <c r="F161" s="91" t="str">
        <f>IFERROR(AVERAGEIFS(Articles!$AA:$AA, Articles!$H:$H, A161, Articles!$AA:$AA, "&lt;&gt;"), "")</f>
        <v/>
      </c>
    </row>
    <row r="162" spans="1:6" ht="14">
      <c r="A162" s="9"/>
      <c r="B162" s="89" t="str">
        <f>IFERROR(AVERAGEIFS(Articles!$W:$W, Articles!$H:$H, A162, Articles!$W:$W, "&lt;&gt;"), "")</f>
        <v/>
      </c>
      <c r="C162" s="90" t="str">
        <f>IFERROR(AVERAGEIFS(Articles!$X:$X, Articles!$H:$H, A162, Articles!$X:$X, "&lt;&gt;"), "")</f>
        <v/>
      </c>
      <c r="D162" s="91" t="str">
        <f>IFERROR(AVERAGEIFS(Articles!$Y:$Y, Articles!$H:$H, A162, Articles!$Y:$Y, "&lt;&gt;"), "")</f>
        <v/>
      </c>
      <c r="E162" s="91" t="str">
        <f>IFERROR(AVERAGEIFS(Articles!$Z:$Z, Articles!$H:$H, A162, Articles!$Z:$Z, "&lt;&gt;"), "")</f>
        <v/>
      </c>
      <c r="F162" s="91" t="str">
        <f>IFERROR(AVERAGEIFS(Articles!$AA:$AA, Articles!$H:$H, A162, Articles!$AA:$AA, "&lt;&gt;"), "")</f>
        <v/>
      </c>
    </row>
    <row r="163" spans="1:6" ht="14">
      <c r="A163" s="9"/>
      <c r="B163" s="89" t="str">
        <f>IFERROR(AVERAGEIFS(Articles!$W:$W, Articles!$H:$H, A163, Articles!$W:$W, "&lt;&gt;"), "")</f>
        <v/>
      </c>
      <c r="C163" s="90" t="str">
        <f>IFERROR(AVERAGEIFS(Articles!$X:$X, Articles!$H:$H, A163, Articles!$X:$X, "&lt;&gt;"), "")</f>
        <v/>
      </c>
      <c r="D163" s="91" t="str">
        <f>IFERROR(AVERAGEIFS(Articles!$Y:$Y, Articles!$H:$H, A163, Articles!$Y:$Y, "&lt;&gt;"), "")</f>
        <v/>
      </c>
      <c r="E163" s="91" t="str">
        <f>IFERROR(AVERAGEIFS(Articles!$Z:$Z, Articles!$H:$H, A163, Articles!$Z:$Z, "&lt;&gt;"), "")</f>
        <v/>
      </c>
      <c r="F163" s="91" t="str">
        <f>IFERROR(AVERAGEIFS(Articles!$AA:$AA, Articles!$H:$H, A163, Articles!$AA:$AA, "&lt;&gt;"), "")</f>
        <v/>
      </c>
    </row>
    <row r="164" spans="1:6" ht="14">
      <c r="A164" s="9"/>
      <c r="B164" s="89" t="str">
        <f>IFERROR(AVERAGEIFS(Articles!$W:$W, Articles!$H:$H, A164, Articles!$W:$W, "&lt;&gt;"), "")</f>
        <v/>
      </c>
      <c r="C164" s="90" t="str">
        <f>IFERROR(AVERAGEIFS(Articles!$X:$X, Articles!$H:$H, A164, Articles!$X:$X, "&lt;&gt;"), "")</f>
        <v/>
      </c>
      <c r="D164" s="91" t="str">
        <f>IFERROR(AVERAGEIFS(Articles!$Y:$Y, Articles!$H:$H, A164, Articles!$Y:$Y, "&lt;&gt;"), "")</f>
        <v/>
      </c>
      <c r="E164" s="91" t="str">
        <f>IFERROR(AVERAGEIFS(Articles!$Z:$Z, Articles!$H:$H, A164, Articles!$Z:$Z, "&lt;&gt;"), "")</f>
        <v/>
      </c>
      <c r="F164" s="91" t="str">
        <f>IFERROR(AVERAGEIFS(Articles!$AA:$AA, Articles!$H:$H, A164, Articles!$AA:$AA, "&lt;&gt;"), "")</f>
        <v/>
      </c>
    </row>
    <row r="165" spans="1:6" ht="14">
      <c r="A165" s="9"/>
      <c r="B165" s="89" t="str">
        <f>IFERROR(AVERAGEIFS(Articles!$W:$W, Articles!$H:$H, A165, Articles!$W:$W, "&lt;&gt;"), "")</f>
        <v/>
      </c>
      <c r="C165" s="90" t="str">
        <f>IFERROR(AVERAGEIFS(Articles!$X:$X, Articles!$H:$H, A165, Articles!$X:$X, "&lt;&gt;"), "")</f>
        <v/>
      </c>
      <c r="D165" s="91" t="str">
        <f>IFERROR(AVERAGEIFS(Articles!$Y:$Y, Articles!$H:$H, A165, Articles!$Y:$Y, "&lt;&gt;"), "")</f>
        <v/>
      </c>
      <c r="E165" s="91" t="str">
        <f>IFERROR(AVERAGEIFS(Articles!$Z:$Z, Articles!$H:$H, A165, Articles!$Z:$Z, "&lt;&gt;"), "")</f>
        <v/>
      </c>
      <c r="F165" s="91" t="str">
        <f>IFERROR(AVERAGEIFS(Articles!$AA:$AA, Articles!$H:$H, A165, Articles!$AA:$AA, "&lt;&gt;"), "")</f>
        <v/>
      </c>
    </row>
    <row r="166" spans="1:6" ht="14">
      <c r="A166" s="9"/>
      <c r="B166" s="89" t="str">
        <f>IFERROR(AVERAGEIFS(Articles!$W:$W, Articles!$H:$H, A166, Articles!$W:$W, "&lt;&gt;"), "")</f>
        <v/>
      </c>
      <c r="C166" s="90" t="str">
        <f>IFERROR(AVERAGEIFS(Articles!$X:$X, Articles!$H:$H, A166, Articles!$X:$X, "&lt;&gt;"), "")</f>
        <v/>
      </c>
      <c r="D166" s="91" t="str">
        <f>IFERROR(AVERAGEIFS(Articles!$Y:$Y, Articles!$H:$H, A166, Articles!$Y:$Y, "&lt;&gt;"), "")</f>
        <v/>
      </c>
      <c r="E166" s="91" t="str">
        <f>IFERROR(AVERAGEIFS(Articles!$Z:$Z, Articles!$H:$H, A166, Articles!$Z:$Z, "&lt;&gt;"), "")</f>
        <v/>
      </c>
      <c r="F166" s="91" t="str">
        <f>IFERROR(AVERAGEIFS(Articles!$AA:$AA, Articles!$H:$H, A166, Articles!$AA:$AA, "&lt;&gt;"), "")</f>
        <v/>
      </c>
    </row>
    <row r="167" spans="1:6" ht="14">
      <c r="A167" s="9"/>
      <c r="B167" s="89" t="str">
        <f>IFERROR(AVERAGEIFS(Articles!$W:$W, Articles!$H:$H, A167, Articles!$W:$W, "&lt;&gt;"), "")</f>
        <v/>
      </c>
      <c r="C167" s="90" t="str">
        <f>IFERROR(AVERAGEIFS(Articles!$X:$X, Articles!$H:$H, A167, Articles!$X:$X, "&lt;&gt;"), "")</f>
        <v/>
      </c>
      <c r="D167" s="91" t="str">
        <f>IFERROR(AVERAGEIFS(Articles!$Y:$Y, Articles!$H:$H, A167, Articles!$Y:$Y, "&lt;&gt;"), "")</f>
        <v/>
      </c>
      <c r="E167" s="91" t="str">
        <f>IFERROR(AVERAGEIFS(Articles!$Z:$Z, Articles!$H:$H, A167, Articles!$Z:$Z, "&lt;&gt;"), "")</f>
        <v/>
      </c>
      <c r="F167" s="91" t="str">
        <f>IFERROR(AVERAGEIFS(Articles!$AA:$AA, Articles!$H:$H, A167, Articles!$AA:$AA, "&lt;&gt;"), "")</f>
        <v/>
      </c>
    </row>
    <row r="168" spans="1:6" ht="14">
      <c r="A168" s="9"/>
      <c r="B168" s="89" t="str">
        <f>IFERROR(AVERAGEIFS(Articles!$W:$W, Articles!$H:$H, A168, Articles!$W:$W, "&lt;&gt;"), "")</f>
        <v/>
      </c>
      <c r="C168" s="90" t="str">
        <f>IFERROR(AVERAGEIFS(Articles!$X:$X, Articles!$H:$H, A168, Articles!$X:$X, "&lt;&gt;"), "")</f>
        <v/>
      </c>
      <c r="D168" s="91" t="str">
        <f>IFERROR(AVERAGEIFS(Articles!$Y:$Y, Articles!$H:$H, A168, Articles!$Y:$Y, "&lt;&gt;"), "")</f>
        <v/>
      </c>
      <c r="E168" s="91" t="str">
        <f>IFERROR(AVERAGEIFS(Articles!$Z:$Z, Articles!$H:$H, A168, Articles!$Z:$Z, "&lt;&gt;"), "")</f>
        <v/>
      </c>
      <c r="F168" s="91" t="str">
        <f>IFERROR(AVERAGEIFS(Articles!$AA:$AA, Articles!$H:$H, A168, Articles!$AA:$AA, "&lt;&gt;"), "")</f>
        <v/>
      </c>
    </row>
    <row r="169" spans="1:6" ht="14">
      <c r="A169" s="9"/>
      <c r="B169" s="89" t="str">
        <f>IFERROR(AVERAGEIFS(Articles!$W:$W, Articles!$H:$H, A169, Articles!$W:$W, "&lt;&gt;"), "")</f>
        <v/>
      </c>
      <c r="C169" s="90" t="str">
        <f>IFERROR(AVERAGEIFS(Articles!$X:$X, Articles!$H:$H, A169, Articles!$X:$X, "&lt;&gt;"), "")</f>
        <v/>
      </c>
      <c r="D169" s="91" t="str">
        <f>IFERROR(AVERAGEIFS(Articles!$Y:$Y, Articles!$H:$H, A169, Articles!$Y:$Y, "&lt;&gt;"), "")</f>
        <v/>
      </c>
      <c r="E169" s="91" t="str">
        <f>IFERROR(AVERAGEIFS(Articles!$Z:$Z, Articles!$H:$H, A169, Articles!$Z:$Z, "&lt;&gt;"), "")</f>
        <v/>
      </c>
      <c r="F169" s="91" t="str">
        <f>IFERROR(AVERAGEIFS(Articles!$AA:$AA, Articles!$H:$H, A169, Articles!$AA:$AA, "&lt;&gt;"), "")</f>
        <v/>
      </c>
    </row>
    <row r="170" spans="1:6" ht="14">
      <c r="A170" s="9"/>
      <c r="B170" s="89" t="str">
        <f>IFERROR(AVERAGEIFS(Articles!$W:$W, Articles!$H:$H, A170, Articles!$W:$W, "&lt;&gt;"), "")</f>
        <v/>
      </c>
      <c r="C170" s="90" t="str">
        <f>IFERROR(AVERAGEIFS(Articles!$X:$X, Articles!$H:$H, A170, Articles!$X:$X, "&lt;&gt;"), "")</f>
        <v/>
      </c>
      <c r="D170" s="91" t="str">
        <f>IFERROR(AVERAGEIFS(Articles!$Y:$Y, Articles!$H:$H, A170, Articles!$Y:$Y, "&lt;&gt;"), "")</f>
        <v/>
      </c>
      <c r="E170" s="91" t="str">
        <f>IFERROR(AVERAGEIFS(Articles!$Z:$Z, Articles!$H:$H, A170, Articles!$Z:$Z, "&lt;&gt;"), "")</f>
        <v/>
      </c>
      <c r="F170" s="91" t="str">
        <f>IFERROR(AVERAGEIFS(Articles!$AA:$AA, Articles!$H:$H, A170, Articles!$AA:$AA, "&lt;&gt;"), "")</f>
        <v/>
      </c>
    </row>
    <row r="171" spans="1:6" ht="14">
      <c r="A171" s="9"/>
      <c r="B171" s="89" t="str">
        <f>IFERROR(AVERAGEIFS(Articles!$W:$W, Articles!$H:$H, A171, Articles!$W:$W, "&lt;&gt;"), "")</f>
        <v/>
      </c>
      <c r="C171" s="90" t="str">
        <f>IFERROR(AVERAGEIFS(Articles!$X:$X, Articles!$H:$H, A171, Articles!$X:$X, "&lt;&gt;"), "")</f>
        <v/>
      </c>
      <c r="D171" s="91" t="str">
        <f>IFERROR(AVERAGEIFS(Articles!$Y:$Y, Articles!$H:$H, A171, Articles!$Y:$Y, "&lt;&gt;"), "")</f>
        <v/>
      </c>
      <c r="E171" s="91" t="str">
        <f>IFERROR(AVERAGEIFS(Articles!$Z:$Z, Articles!$H:$H, A171, Articles!$Z:$Z, "&lt;&gt;"), "")</f>
        <v/>
      </c>
      <c r="F171" s="91" t="str">
        <f>IFERROR(AVERAGEIFS(Articles!$AA:$AA, Articles!$H:$H, A171, Articles!$AA:$AA, "&lt;&gt;"), "")</f>
        <v/>
      </c>
    </row>
    <row r="172" spans="1:6" ht="14">
      <c r="A172" s="9"/>
      <c r="B172" s="89" t="str">
        <f>IFERROR(AVERAGEIFS(Articles!$W:$W, Articles!$H:$H, A172, Articles!$W:$W, "&lt;&gt;"), "")</f>
        <v/>
      </c>
      <c r="C172" s="90" t="str">
        <f>IFERROR(AVERAGEIFS(Articles!$X:$X, Articles!$H:$H, A172, Articles!$X:$X, "&lt;&gt;"), "")</f>
        <v/>
      </c>
      <c r="D172" s="91" t="str">
        <f>IFERROR(AVERAGEIFS(Articles!$Y:$Y, Articles!$H:$H, A172, Articles!$Y:$Y, "&lt;&gt;"), "")</f>
        <v/>
      </c>
      <c r="E172" s="91" t="str">
        <f>IFERROR(AVERAGEIFS(Articles!$Z:$Z, Articles!$H:$H, A172, Articles!$Z:$Z, "&lt;&gt;"), "")</f>
        <v/>
      </c>
      <c r="F172" s="91" t="str">
        <f>IFERROR(AVERAGEIFS(Articles!$AA:$AA, Articles!$H:$H, A172, Articles!$AA:$AA, "&lt;&gt;"), "")</f>
        <v/>
      </c>
    </row>
    <row r="173" spans="1:6" ht="14">
      <c r="A173" s="9"/>
      <c r="B173" s="89" t="str">
        <f>IFERROR(AVERAGEIFS(Articles!$W:$W, Articles!$H:$H, A173, Articles!$W:$W, "&lt;&gt;"), "")</f>
        <v/>
      </c>
      <c r="C173" s="90" t="str">
        <f>IFERROR(AVERAGEIFS(Articles!$X:$X, Articles!$H:$H, A173, Articles!$X:$X, "&lt;&gt;"), "")</f>
        <v/>
      </c>
      <c r="D173" s="91" t="str">
        <f>IFERROR(AVERAGEIFS(Articles!$Y:$Y, Articles!$H:$H, A173, Articles!$Y:$Y, "&lt;&gt;"), "")</f>
        <v/>
      </c>
      <c r="E173" s="91" t="str">
        <f>IFERROR(AVERAGEIFS(Articles!$Z:$Z, Articles!$H:$H, A173, Articles!$Z:$Z, "&lt;&gt;"), "")</f>
        <v/>
      </c>
      <c r="F173" s="91" t="str">
        <f>IFERROR(AVERAGEIFS(Articles!$AA:$AA, Articles!$H:$H, A173, Articles!$AA:$AA, "&lt;&gt;"), "")</f>
        <v/>
      </c>
    </row>
    <row r="174" spans="1:6" ht="14">
      <c r="A174" s="9"/>
      <c r="B174" s="89" t="str">
        <f>IFERROR(AVERAGEIFS(Articles!$W:$W, Articles!$H:$H, A174, Articles!$W:$W, "&lt;&gt;"), "")</f>
        <v/>
      </c>
      <c r="C174" s="90" t="str">
        <f>IFERROR(AVERAGEIFS(Articles!$X:$X, Articles!$H:$H, A174, Articles!$X:$X, "&lt;&gt;"), "")</f>
        <v/>
      </c>
      <c r="D174" s="91" t="str">
        <f>IFERROR(AVERAGEIFS(Articles!$Y:$Y, Articles!$H:$H, A174, Articles!$Y:$Y, "&lt;&gt;"), "")</f>
        <v/>
      </c>
      <c r="E174" s="91" t="str">
        <f>IFERROR(AVERAGEIFS(Articles!$Z:$Z, Articles!$H:$H, A174, Articles!$Z:$Z, "&lt;&gt;"), "")</f>
        <v/>
      </c>
      <c r="F174" s="91" t="str">
        <f>IFERROR(AVERAGEIFS(Articles!$AA:$AA, Articles!$H:$H, A174, Articles!$AA:$AA, "&lt;&gt;"), "")</f>
        <v/>
      </c>
    </row>
    <row r="175" spans="1:6" ht="14">
      <c r="A175" s="9"/>
      <c r="B175" s="89" t="str">
        <f>IFERROR(AVERAGEIFS(Articles!$W:$W, Articles!$H:$H, A175, Articles!$W:$W, "&lt;&gt;"), "")</f>
        <v/>
      </c>
      <c r="C175" s="90" t="str">
        <f>IFERROR(AVERAGEIFS(Articles!$X:$X, Articles!$H:$H, A175, Articles!$X:$X, "&lt;&gt;"), "")</f>
        <v/>
      </c>
      <c r="D175" s="91" t="str">
        <f>IFERROR(AVERAGEIFS(Articles!$Y:$Y, Articles!$H:$H, A175, Articles!$Y:$Y, "&lt;&gt;"), "")</f>
        <v/>
      </c>
      <c r="E175" s="91" t="str">
        <f>IFERROR(AVERAGEIFS(Articles!$Z:$Z, Articles!$H:$H, A175, Articles!$Z:$Z, "&lt;&gt;"), "")</f>
        <v/>
      </c>
      <c r="F175" s="91" t="str">
        <f>IFERROR(AVERAGEIFS(Articles!$AA:$AA, Articles!$H:$H, A175, Articles!$AA:$AA, "&lt;&gt;"), "")</f>
        <v/>
      </c>
    </row>
    <row r="176" spans="1:6" ht="14">
      <c r="A176" s="9"/>
      <c r="B176" s="89" t="str">
        <f>IFERROR(AVERAGEIFS(Articles!$W:$W, Articles!$H:$H, A176, Articles!$W:$W, "&lt;&gt;"), "")</f>
        <v/>
      </c>
      <c r="C176" s="90" t="str">
        <f>IFERROR(AVERAGEIFS(Articles!$X:$X, Articles!$H:$H, A176, Articles!$X:$X, "&lt;&gt;"), "")</f>
        <v/>
      </c>
      <c r="D176" s="91" t="str">
        <f>IFERROR(AVERAGEIFS(Articles!$Y:$Y, Articles!$H:$H, A176, Articles!$Y:$Y, "&lt;&gt;"), "")</f>
        <v/>
      </c>
      <c r="E176" s="91" t="str">
        <f>IFERROR(AVERAGEIFS(Articles!$Z:$Z, Articles!$H:$H, A176, Articles!$Z:$Z, "&lt;&gt;"), "")</f>
        <v/>
      </c>
      <c r="F176" s="91" t="str">
        <f>IFERROR(AVERAGEIFS(Articles!$AA:$AA, Articles!$H:$H, A176, Articles!$AA:$AA, "&lt;&gt;"), "")</f>
        <v/>
      </c>
    </row>
    <row r="177" spans="1:6" ht="14">
      <c r="A177" s="9"/>
      <c r="B177" s="89" t="str">
        <f>IFERROR(AVERAGEIFS(Articles!$W:$W, Articles!$H:$H, A177, Articles!$W:$W, "&lt;&gt;"), "")</f>
        <v/>
      </c>
      <c r="C177" s="90" t="str">
        <f>IFERROR(AVERAGEIFS(Articles!$X:$X, Articles!$H:$H, A177, Articles!$X:$X, "&lt;&gt;"), "")</f>
        <v/>
      </c>
      <c r="D177" s="91" t="str">
        <f>IFERROR(AVERAGEIFS(Articles!$Y:$Y, Articles!$H:$H, A177, Articles!$Y:$Y, "&lt;&gt;"), "")</f>
        <v/>
      </c>
      <c r="E177" s="91" t="str">
        <f>IFERROR(AVERAGEIFS(Articles!$Z:$Z, Articles!$H:$H, A177, Articles!$Z:$Z, "&lt;&gt;"), "")</f>
        <v/>
      </c>
      <c r="F177" s="91" t="str">
        <f>IFERROR(AVERAGEIFS(Articles!$AA:$AA, Articles!$H:$H, A177, Articles!$AA:$AA, "&lt;&gt;"), "")</f>
        <v/>
      </c>
    </row>
    <row r="178" spans="1:6" ht="14">
      <c r="A178" s="9"/>
      <c r="B178" s="89" t="str">
        <f>IFERROR(AVERAGEIFS(Articles!$W:$W, Articles!$H:$H, A178, Articles!$W:$W, "&lt;&gt;"), "")</f>
        <v/>
      </c>
      <c r="C178" s="90" t="str">
        <f>IFERROR(AVERAGEIFS(Articles!$X:$X, Articles!$H:$H, A178, Articles!$X:$X, "&lt;&gt;"), "")</f>
        <v/>
      </c>
      <c r="D178" s="91" t="str">
        <f>IFERROR(AVERAGEIFS(Articles!$Y:$Y, Articles!$H:$H, A178, Articles!$Y:$Y, "&lt;&gt;"), "")</f>
        <v/>
      </c>
      <c r="E178" s="91" t="str">
        <f>IFERROR(AVERAGEIFS(Articles!$Z:$Z, Articles!$H:$H, A178, Articles!$Z:$Z, "&lt;&gt;"), "")</f>
        <v/>
      </c>
      <c r="F178" s="91" t="str">
        <f>IFERROR(AVERAGEIFS(Articles!$AA:$AA, Articles!$H:$H, A178, Articles!$AA:$AA, "&lt;&gt;"), "")</f>
        <v/>
      </c>
    </row>
    <row r="179" spans="1:6" ht="14">
      <c r="A179" s="9"/>
      <c r="B179" s="89" t="str">
        <f>IFERROR(AVERAGEIFS(Articles!$W:$W, Articles!$H:$H, A179, Articles!$W:$W, "&lt;&gt;"), "")</f>
        <v/>
      </c>
      <c r="C179" s="90" t="str">
        <f>IFERROR(AVERAGEIFS(Articles!$X:$X, Articles!$H:$H, A179, Articles!$X:$X, "&lt;&gt;"), "")</f>
        <v/>
      </c>
      <c r="D179" s="91" t="str">
        <f>IFERROR(AVERAGEIFS(Articles!$Y:$Y, Articles!$H:$H, A179, Articles!$Y:$Y, "&lt;&gt;"), "")</f>
        <v/>
      </c>
      <c r="E179" s="91" t="str">
        <f>IFERROR(AVERAGEIFS(Articles!$Z:$Z, Articles!$H:$H, A179, Articles!$Z:$Z, "&lt;&gt;"), "")</f>
        <v/>
      </c>
      <c r="F179" s="91" t="str">
        <f>IFERROR(AVERAGEIFS(Articles!$AA:$AA, Articles!$H:$H, A179, Articles!$AA:$AA, "&lt;&gt;"), "")</f>
        <v/>
      </c>
    </row>
    <row r="180" spans="1:6" ht="14">
      <c r="A180" s="9"/>
      <c r="B180" s="89" t="str">
        <f>IFERROR(AVERAGEIFS(Articles!$W:$W, Articles!$H:$H, A180, Articles!$W:$W, "&lt;&gt;"), "")</f>
        <v/>
      </c>
      <c r="C180" s="90" t="str">
        <f>IFERROR(AVERAGEIFS(Articles!$X:$X, Articles!$H:$H, A180, Articles!$X:$X, "&lt;&gt;"), "")</f>
        <v/>
      </c>
      <c r="D180" s="91" t="str">
        <f>IFERROR(AVERAGEIFS(Articles!$Y:$Y, Articles!$H:$H, A180, Articles!$Y:$Y, "&lt;&gt;"), "")</f>
        <v/>
      </c>
      <c r="E180" s="91" t="str">
        <f>IFERROR(AVERAGEIFS(Articles!$Z:$Z, Articles!$H:$H, A180, Articles!$Z:$Z, "&lt;&gt;"), "")</f>
        <v/>
      </c>
      <c r="F180" s="91" t="str">
        <f>IFERROR(AVERAGEIFS(Articles!$AA:$AA, Articles!$H:$H, A180, Articles!$AA:$AA, "&lt;&gt;"), "")</f>
        <v/>
      </c>
    </row>
    <row r="181" spans="1:6" ht="14">
      <c r="A181" s="9"/>
      <c r="B181" s="89" t="str">
        <f>IFERROR(AVERAGEIFS(Articles!$W:$W, Articles!$H:$H, A181, Articles!$W:$W, "&lt;&gt;"), "")</f>
        <v/>
      </c>
      <c r="C181" s="90" t="str">
        <f>IFERROR(AVERAGEIFS(Articles!$X:$X, Articles!$H:$H, A181, Articles!$X:$X, "&lt;&gt;"), "")</f>
        <v/>
      </c>
      <c r="D181" s="91" t="str">
        <f>IFERROR(AVERAGEIFS(Articles!$Y:$Y, Articles!$H:$H, A181, Articles!$Y:$Y, "&lt;&gt;"), "")</f>
        <v/>
      </c>
      <c r="E181" s="91" t="str">
        <f>IFERROR(AVERAGEIFS(Articles!$Z:$Z, Articles!$H:$H, A181, Articles!$Z:$Z, "&lt;&gt;"), "")</f>
        <v/>
      </c>
      <c r="F181" s="91" t="str">
        <f>IFERROR(AVERAGEIFS(Articles!$AA:$AA, Articles!$H:$H, A181, Articles!$AA:$AA, "&lt;&gt;"), "")</f>
        <v/>
      </c>
    </row>
    <row r="182" spans="1:6" ht="14">
      <c r="A182" s="9"/>
      <c r="B182" s="89" t="str">
        <f>IFERROR(AVERAGEIFS(Articles!$W:$W, Articles!$H:$H, A182, Articles!$W:$W, "&lt;&gt;"), "")</f>
        <v/>
      </c>
      <c r="C182" s="90" t="str">
        <f>IFERROR(AVERAGEIFS(Articles!$X:$X, Articles!$H:$H, A182, Articles!$X:$X, "&lt;&gt;"), "")</f>
        <v/>
      </c>
      <c r="D182" s="91" t="str">
        <f>IFERROR(AVERAGEIFS(Articles!$Y:$Y, Articles!$H:$H, A182, Articles!$Y:$Y, "&lt;&gt;"), "")</f>
        <v/>
      </c>
      <c r="E182" s="91" t="str">
        <f>IFERROR(AVERAGEIFS(Articles!$Z:$Z, Articles!$H:$H, A182, Articles!$Z:$Z, "&lt;&gt;"), "")</f>
        <v/>
      </c>
      <c r="F182" s="91" t="str">
        <f>IFERROR(AVERAGEIFS(Articles!$AA:$AA, Articles!$H:$H, A182, Articles!$AA:$AA, "&lt;&gt;"), "")</f>
        <v/>
      </c>
    </row>
    <row r="183" spans="1:6" ht="14">
      <c r="A183" s="9"/>
      <c r="B183" s="89" t="str">
        <f>IFERROR(AVERAGEIFS(Articles!$W:$W, Articles!$H:$H, A183, Articles!$W:$W, "&lt;&gt;"), "")</f>
        <v/>
      </c>
      <c r="C183" s="90" t="str">
        <f>IFERROR(AVERAGEIFS(Articles!$X:$X, Articles!$H:$H, A183, Articles!$X:$X, "&lt;&gt;"), "")</f>
        <v/>
      </c>
      <c r="D183" s="91" t="str">
        <f>IFERROR(AVERAGEIFS(Articles!$Y:$Y, Articles!$H:$H, A183, Articles!$Y:$Y, "&lt;&gt;"), "")</f>
        <v/>
      </c>
      <c r="E183" s="91" t="str">
        <f>IFERROR(AVERAGEIFS(Articles!$Z:$Z, Articles!$H:$H, A183, Articles!$Z:$Z, "&lt;&gt;"), "")</f>
        <v/>
      </c>
      <c r="F183" s="91" t="str">
        <f>IFERROR(AVERAGEIFS(Articles!$AA:$AA, Articles!$H:$H, A183, Articles!$AA:$AA, "&lt;&gt;"), "")</f>
        <v/>
      </c>
    </row>
    <row r="184" spans="1:6" ht="14">
      <c r="A184" s="9"/>
      <c r="B184" s="89" t="str">
        <f>IFERROR(AVERAGEIFS(Articles!$W:$W, Articles!$H:$H, A184, Articles!$W:$W, "&lt;&gt;"), "")</f>
        <v/>
      </c>
      <c r="C184" s="90" t="str">
        <f>IFERROR(AVERAGEIFS(Articles!$X:$X, Articles!$H:$H, A184, Articles!$X:$X, "&lt;&gt;"), "")</f>
        <v/>
      </c>
      <c r="D184" s="91" t="str">
        <f>IFERROR(AVERAGEIFS(Articles!$Y:$Y, Articles!$H:$H, A184, Articles!$Y:$Y, "&lt;&gt;"), "")</f>
        <v/>
      </c>
      <c r="E184" s="91" t="str">
        <f>IFERROR(AVERAGEIFS(Articles!$Z:$Z, Articles!$H:$H, A184, Articles!$Z:$Z, "&lt;&gt;"), "")</f>
        <v/>
      </c>
      <c r="F184" s="91" t="str">
        <f>IFERROR(AVERAGEIFS(Articles!$AA:$AA, Articles!$H:$H, A184, Articles!$AA:$AA, "&lt;&gt;"), "")</f>
        <v/>
      </c>
    </row>
    <row r="185" spans="1:6" ht="14">
      <c r="A185" s="9"/>
      <c r="B185" s="89" t="str">
        <f>IFERROR(AVERAGEIFS(Articles!$W:$W, Articles!$H:$H, A185, Articles!$W:$W, "&lt;&gt;"), "")</f>
        <v/>
      </c>
      <c r="C185" s="90" t="str">
        <f>IFERROR(AVERAGEIFS(Articles!$X:$X, Articles!$H:$H, A185, Articles!$X:$X, "&lt;&gt;"), "")</f>
        <v/>
      </c>
      <c r="D185" s="91" t="str">
        <f>IFERROR(AVERAGEIFS(Articles!$Y:$Y, Articles!$H:$H, A185, Articles!$Y:$Y, "&lt;&gt;"), "")</f>
        <v/>
      </c>
      <c r="E185" s="91" t="str">
        <f>IFERROR(AVERAGEIFS(Articles!$Z:$Z, Articles!$H:$H, A185, Articles!$Z:$Z, "&lt;&gt;"), "")</f>
        <v/>
      </c>
      <c r="F185" s="91" t="str">
        <f>IFERROR(AVERAGEIFS(Articles!$AA:$AA, Articles!$H:$H, A185, Articles!$AA:$AA, "&lt;&gt;"), "")</f>
        <v/>
      </c>
    </row>
    <row r="186" spans="1:6" ht="14">
      <c r="A186" s="9"/>
      <c r="B186" s="89" t="str">
        <f>IFERROR(AVERAGEIFS(Articles!$W:$W, Articles!$H:$H, A186, Articles!$W:$W, "&lt;&gt;"), "")</f>
        <v/>
      </c>
      <c r="C186" s="90" t="str">
        <f>IFERROR(AVERAGEIFS(Articles!$X:$X, Articles!$H:$H, A186, Articles!$X:$X, "&lt;&gt;"), "")</f>
        <v/>
      </c>
      <c r="D186" s="91" t="str">
        <f>IFERROR(AVERAGEIFS(Articles!$Y:$Y, Articles!$H:$H, A186, Articles!$Y:$Y, "&lt;&gt;"), "")</f>
        <v/>
      </c>
      <c r="E186" s="91" t="str">
        <f>IFERROR(AVERAGEIFS(Articles!$Z:$Z, Articles!$H:$H, A186, Articles!$Z:$Z, "&lt;&gt;"), "")</f>
        <v/>
      </c>
      <c r="F186" s="91" t="str">
        <f>IFERROR(AVERAGEIFS(Articles!$AA:$AA, Articles!$H:$H, A186, Articles!$AA:$AA, "&lt;&gt;"), "")</f>
        <v/>
      </c>
    </row>
    <row r="187" spans="1:6" ht="14">
      <c r="A187" s="9"/>
      <c r="B187" s="89" t="str">
        <f>IFERROR(AVERAGEIFS(Articles!$W:$W, Articles!$H:$H, A187, Articles!$W:$W, "&lt;&gt;"), "")</f>
        <v/>
      </c>
      <c r="C187" s="90" t="str">
        <f>IFERROR(AVERAGEIFS(Articles!$X:$X, Articles!$H:$H, A187, Articles!$X:$X, "&lt;&gt;"), "")</f>
        <v/>
      </c>
      <c r="D187" s="91" t="str">
        <f>IFERROR(AVERAGEIFS(Articles!$Y:$Y, Articles!$H:$H, A187, Articles!$Y:$Y, "&lt;&gt;"), "")</f>
        <v/>
      </c>
      <c r="E187" s="91" t="str">
        <f>IFERROR(AVERAGEIFS(Articles!$Z:$Z, Articles!$H:$H, A187, Articles!$Z:$Z, "&lt;&gt;"), "")</f>
        <v/>
      </c>
      <c r="F187" s="91" t="str">
        <f>IFERROR(AVERAGEIFS(Articles!$AA:$AA, Articles!$H:$H, A187, Articles!$AA:$AA, "&lt;&gt;"), "")</f>
        <v/>
      </c>
    </row>
    <row r="188" spans="1:6" ht="14">
      <c r="A188" s="9"/>
      <c r="B188" s="89" t="str">
        <f>IFERROR(AVERAGEIFS(Articles!$W:$W, Articles!$H:$H, A188, Articles!$W:$W, "&lt;&gt;"), "")</f>
        <v/>
      </c>
      <c r="C188" s="90" t="str">
        <f>IFERROR(AVERAGEIFS(Articles!$X:$X, Articles!$H:$H, A188, Articles!$X:$X, "&lt;&gt;"), "")</f>
        <v/>
      </c>
      <c r="D188" s="91" t="str">
        <f>IFERROR(AVERAGEIFS(Articles!$Y:$Y, Articles!$H:$H, A188, Articles!$Y:$Y, "&lt;&gt;"), "")</f>
        <v/>
      </c>
      <c r="E188" s="91" t="str">
        <f>IFERROR(AVERAGEIFS(Articles!$Z:$Z, Articles!$H:$H, A188, Articles!$Z:$Z, "&lt;&gt;"), "")</f>
        <v/>
      </c>
      <c r="F188" s="91" t="str">
        <f>IFERROR(AVERAGEIFS(Articles!$AA:$AA, Articles!$H:$H, A188, Articles!$AA:$AA, "&lt;&gt;"), "")</f>
        <v/>
      </c>
    </row>
    <row r="189" spans="1:6" ht="14">
      <c r="A189" s="9"/>
      <c r="B189" s="89" t="str">
        <f>IFERROR(AVERAGEIFS(Articles!$W:$W, Articles!$H:$H, A189, Articles!$W:$W, "&lt;&gt;"), "")</f>
        <v/>
      </c>
      <c r="C189" s="90" t="str">
        <f>IFERROR(AVERAGEIFS(Articles!$X:$X, Articles!$H:$H, A189, Articles!$X:$X, "&lt;&gt;"), "")</f>
        <v/>
      </c>
      <c r="D189" s="91" t="str">
        <f>IFERROR(AVERAGEIFS(Articles!$Y:$Y, Articles!$H:$H, A189, Articles!$Y:$Y, "&lt;&gt;"), "")</f>
        <v/>
      </c>
      <c r="E189" s="91" t="str">
        <f>IFERROR(AVERAGEIFS(Articles!$Z:$Z, Articles!$H:$H, A189, Articles!$Z:$Z, "&lt;&gt;"), "")</f>
        <v/>
      </c>
      <c r="F189" s="91" t="str">
        <f>IFERROR(AVERAGEIFS(Articles!$AA:$AA, Articles!$H:$H, A189, Articles!$AA:$AA, "&lt;&gt;"), "")</f>
        <v/>
      </c>
    </row>
    <row r="190" spans="1:6" ht="14">
      <c r="A190" s="9"/>
      <c r="B190" s="89" t="str">
        <f>IFERROR(AVERAGEIFS(Articles!$W:$W, Articles!$H:$H, A190, Articles!$W:$W, "&lt;&gt;"), "")</f>
        <v/>
      </c>
      <c r="C190" s="90" t="str">
        <f>IFERROR(AVERAGEIFS(Articles!$X:$X, Articles!$H:$H, A190, Articles!$X:$X, "&lt;&gt;"), "")</f>
        <v/>
      </c>
      <c r="D190" s="91" t="str">
        <f>IFERROR(AVERAGEIFS(Articles!$Y:$Y, Articles!$H:$H, A190, Articles!$Y:$Y, "&lt;&gt;"), "")</f>
        <v/>
      </c>
      <c r="E190" s="91" t="str">
        <f>IFERROR(AVERAGEIFS(Articles!$Z:$Z, Articles!$H:$H, A190, Articles!$Z:$Z, "&lt;&gt;"), "")</f>
        <v/>
      </c>
      <c r="F190" s="91" t="str">
        <f>IFERROR(AVERAGEIFS(Articles!$AA:$AA, Articles!$H:$H, A190, Articles!$AA:$AA, "&lt;&gt;"), "")</f>
        <v/>
      </c>
    </row>
    <row r="191" spans="1:6" ht="14">
      <c r="A191" s="9"/>
      <c r="B191" s="89" t="str">
        <f>IFERROR(AVERAGEIFS(Articles!$W:$W, Articles!$H:$H, A191, Articles!$W:$W, "&lt;&gt;"), "")</f>
        <v/>
      </c>
      <c r="C191" s="90" t="str">
        <f>IFERROR(AVERAGEIFS(Articles!$X:$X, Articles!$H:$H, A191, Articles!$X:$X, "&lt;&gt;"), "")</f>
        <v/>
      </c>
      <c r="D191" s="91" t="str">
        <f>IFERROR(AVERAGEIFS(Articles!$Y:$Y, Articles!$H:$H, A191, Articles!$Y:$Y, "&lt;&gt;"), "")</f>
        <v/>
      </c>
      <c r="E191" s="91" t="str">
        <f>IFERROR(AVERAGEIFS(Articles!$Z:$Z, Articles!$H:$H, A191, Articles!$Z:$Z, "&lt;&gt;"), "")</f>
        <v/>
      </c>
      <c r="F191" s="91" t="str">
        <f>IFERROR(AVERAGEIFS(Articles!$AA:$AA, Articles!$H:$H, A191, Articles!$AA:$AA, "&lt;&gt;"), "")</f>
        <v/>
      </c>
    </row>
    <row r="192" spans="1:6" ht="14">
      <c r="A192" s="9"/>
      <c r="B192" s="89" t="str">
        <f>IFERROR(AVERAGEIFS(Articles!$W:$W, Articles!$H:$H, A192, Articles!$W:$W, "&lt;&gt;"), "")</f>
        <v/>
      </c>
      <c r="C192" s="90" t="str">
        <f>IFERROR(AVERAGEIFS(Articles!$X:$X, Articles!$H:$H, A192, Articles!$X:$X, "&lt;&gt;"), "")</f>
        <v/>
      </c>
      <c r="D192" s="91" t="str">
        <f>IFERROR(AVERAGEIFS(Articles!$Y:$Y, Articles!$H:$H, A192, Articles!$Y:$Y, "&lt;&gt;"), "")</f>
        <v/>
      </c>
      <c r="E192" s="91" t="str">
        <f>IFERROR(AVERAGEIFS(Articles!$Z:$Z, Articles!$H:$H, A192, Articles!$Z:$Z, "&lt;&gt;"), "")</f>
        <v/>
      </c>
      <c r="F192" s="91" t="str">
        <f>IFERROR(AVERAGEIFS(Articles!$AA:$AA, Articles!$H:$H, A192, Articles!$AA:$AA, "&lt;&gt;"), "")</f>
        <v/>
      </c>
    </row>
    <row r="193" spans="1:6" ht="14">
      <c r="A193" s="9"/>
      <c r="B193" s="89" t="str">
        <f>IFERROR(AVERAGEIFS(Articles!$W:$W, Articles!$H:$H, A193, Articles!$W:$W, "&lt;&gt;"), "")</f>
        <v/>
      </c>
      <c r="C193" s="90" t="str">
        <f>IFERROR(AVERAGEIFS(Articles!$X:$X, Articles!$H:$H, A193, Articles!$X:$X, "&lt;&gt;"), "")</f>
        <v/>
      </c>
      <c r="D193" s="91" t="str">
        <f>IFERROR(AVERAGEIFS(Articles!$Y:$Y, Articles!$H:$H, A193, Articles!$Y:$Y, "&lt;&gt;"), "")</f>
        <v/>
      </c>
      <c r="E193" s="91" t="str">
        <f>IFERROR(AVERAGEIFS(Articles!$Z:$Z, Articles!$H:$H, A193, Articles!$Z:$Z, "&lt;&gt;"), "")</f>
        <v/>
      </c>
      <c r="F193" s="91" t="str">
        <f>IFERROR(AVERAGEIFS(Articles!$AA:$AA, Articles!$H:$H, A193, Articles!$AA:$AA, "&lt;&gt;"), "")</f>
        <v/>
      </c>
    </row>
    <row r="194" spans="1:6" ht="14">
      <c r="A194" s="9"/>
      <c r="B194" s="89" t="str">
        <f>IFERROR(AVERAGEIFS(Articles!$W:$W, Articles!$H:$H, A194, Articles!$W:$W, "&lt;&gt;"), "")</f>
        <v/>
      </c>
      <c r="C194" s="90" t="str">
        <f>IFERROR(AVERAGEIFS(Articles!$X:$X, Articles!$H:$H, A194, Articles!$X:$X, "&lt;&gt;"), "")</f>
        <v/>
      </c>
      <c r="D194" s="91" t="str">
        <f>IFERROR(AVERAGEIFS(Articles!$Y:$Y, Articles!$H:$H, A194, Articles!$Y:$Y, "&lt;&gt;"), "")</f>
        <v/>
      </c>
      <c r="E194" s="91" t="str">
        <f>IFERROR(AVERAGEIFS(Articles!$Z:$Z, Articles!$H:$H, A194, Articles!$Z:$Z, "&lt;&gt;"), "")</f>
        <v/>
      </c>
      <c r="F194" s="91" t="str">
        <f>IFERROR(AVERAGEIFS(Articles!$AA:$AA, Articles!$H:$H, A194, Articles!$AA:$AA, "&lt;&gt;"), "")</f>
        <v/>
      </c>
    </row>
    <row r="195" spans="1:6" ht="14">
      <c r="A195" s="9"/>
      <c r="B195" s="89" t="str">
        <f>IFERROR(AVERAGEIFS(Articles!$W:$W, Articles!$H:$H, A195, Articles!$W:$W, "&lt;&gt;"), "")</f>
        <v/>
      </c>
      <c r="C195" s="90" t="str">
        <f>IFERROR(AVERAGEIFS(Articles!$X:$X, Articles!$H:$H, A195, Articles!$X:$X, "&lt;&gt;"), "")</f>
        <v/>
      </c>
      <c r="D195" s="91" t="str">
        <f>IFERROR(AVERAGEIFS(Articles!$Y:$Y, Articles!$H:$H, A195, Articles!$Y:$Y, "&lt;&gt;"), "")</f>
        <v/>
      </c>
      <c r="E195" s="91" t="str">
        <f>IFERROR(AVERAGEIFS(Articles!$Z:$Z, Articles!$H:$H, A195, Articles!$Z:$Z, "&lt;&gt;"), "")</f>
        <v/>
      </c>
      <c r="F195" s="91" t="str">
        <f>IFERROR(AVERAGEIFS(Articles!$AA:$AA, Articles!$H:$H, A195, Articles!$AA:$AA, "&lt;&gt;"), "")</f>
        <v/>
      </c>
    </row>
    <row r="196" spans="1:6" ht="14">
      <c r="A196" s="9"/>
      <c r="B196" s="89" t="str">
        <f>IFERROR(AVERAGEIFS(Articles!$W:$W, Articles!$H:$H, A196, Articles!$W:$W, "&lt;&gt;"), "")</f>
        <v/>
      </c>
      <c r="C196" s="90" t="str">
        <f>IFERROR(AVERAGEIFS(Articles!$X:$X, Articles!$H:$H, A196, Articles!$X:$X, "&lt;&gt;"), "")</f>
        <v/>
      </c>
      <c r="D196" s="91" t="str">
        <f>IFERROR(AVERAGEIFS(Articles!$Y:$Y, Articles!$H:$H, A196, Articles!$Y:$Y, "&lt;&gt;"), "")</f>
        <v/>
      </c>
      <c r="E196" s="91" t="str">
        <f>IFERROR(AVERAGEIFS(Articles!$Z:$Z, Articles!$H:$H, A196, Articles!$Z:$Z, "&lt;&gt;"), "")</f>
        <v/>
      </c>
      <c r="F196" s="91" t="str">
        <f>IFERROR(AVERAGEIFS(Articles!$AA:$AA, Articles!$H:$H, A196, Articles!$AA:$AA, "&lt;&gt;"), "")</f>
        <v/>
      </c>
    </row>
    <row r="197" spans="1:6" ht="14">
      <c r="A197" s="9"/>
      <c r="B197" s="89" t="str">
        <f>IFERROR(AVERAGEIFS(Articles!$W:$W, Articles!$H:$H, A197, Articles!$W:$W, "&lt;&gt;"), "")</f>
        <v/>
      </c>
      <c r="C197" s="90" t="str">
        <f>IFERROR(AVERAGEIFS(Articles!$X:$X, Articles!$H:$H, A197, Articles!$X:$X, "&lt;&gt;"), "")</f>
        <v/>
      </c>
      <c r="D197" s="91" t="str">
        <f>IFERROR(AVERAGEIFS(Articles!$Y:$Y, Articles!$H:$H, A197, Articles!$Y:$Y, "&lt;&gt;"), "")</f>
        <v/>
      </c>
      <c r="E197" s="91" t="str">
        <f>IFERROR(AVERAGEIFS(Articles!$Z:$Z, Articles!$H:$H, A197, Articles!$Z:$Z, "&lt;&gt;"), "")</f>
        <v/>
      </c>
      <c r="F197" s="91" t="str">
        <f>IFERROR(AVERAGEIFS(Articles!$AA:$AA, Articles!$H:$H, A197, Articles!$AA:$AA, "&lt;&gt;"), "")</f>
        <v/>
      </c>
    </row>
    <row r="198" spans="1:6" ht="14">
      <c r="A198" s="9"/>
      <c r="B198" s="89" t="str">
        <f>IFERROR(AVERAGEIFS(Articles!$W:$W, Articles!$H:$H, A198, Articles!$W:$W, "&lt;&gt;"), "")</f>
        <v/>
      </c>
      <c r="C198" s="90" t="str">
        <f>IFERROR(AVERAGEIFS(Articles!$X:$X, Articles!$H:$H, A198, Articles!$X:$X, "&lt;&gt;"), "")</f>
        <v/>
      </c>
      <c r="D198" s="91" t="str">
        <f>IFERROR(AVERAGEIFS(Articles!$Y:$Y, Articles!$H:$H, A198, Articles!$Y:$Y, "&lt;&gt;"), "")</f>
        <v/>
      </c>
      <c r="E198" s="91" t="str">
        <f>IFERROR(AVERAGEIFS(Articles!$Z:$Z, Articles!$H:$H, A198, Articles!$Z:$Z, "&lt;&gt;"), "")</f>
        <v/>
      </c>
      <c r="F198" s="91" t="str">
        <f>IFERROR(AVERAGEIFS(Articles!$AA:$AA, Articles!$H:$H, A198, Articles!$AA:$AA, "&lt;&gt;"), "")</f>
        <v/>
      </c>
    </row>
    <row r="199" spans="1:6" ht="14">
      <c r="A199" s="9"/>
      <c r="B199" s="89" t="str">
        <f>IFERROR(AVERAGEIFS(Articles!$W:$W, Articles!$H:$H, A199, Articles!$W:$W, "&lt;&gt;"), "")</f>
        <v/>
      </c>
      <c r="C199" s="90" t="str">
        <f>IFERROR(AVERAGEIFS(Articles!$X:$X, Articles!$H:$H, A199, Articles!$X:$X, "&lt;&gt;"), "")</f>
        <v/>
      </c>
      <c r="D199" s="91" t="str">
        <f>IFERROR(AVERAGEIFS(Articles!$Y:$Y, Articles!$H:$H, A199, Articles!$Y:$Y, "&lt;&gt;"), "")</f>
        <v/>
      </c>
      <c r="E199" s="91" t="str">
        <f>IFERROR(AVERAGEIFS(Articles!$Z:$Z, Articles!$H:$H, A199, Articles!$Z:$Z, "&lt;&gt;"), "")</f>
        <v/>
      </c>
      <c r="F199" s="91" t="str">
        <f>IFERROR(AVERAGEIFS(Articles!$AA:$AA, Articles!$H:$H, A199, Articles!$AA:$AA, "&lt;&gt;"), "")</f>
        <v/>
      </c>
    </row>
    <row r="200" spans="1:6" ht="14">
      <c r="A200" s="9"/>
      <c r="B200" s="89" t="str">
        <f>IFERROR(AVERAGEIFS(Articles!$W:$W, Articles!$H:$H, A200, Articles!$W:$W, "&lt;&gt;"), "")</f>
        <v/>
      </c>
      <c r="C200" s="90" t="str">
        <f>IFERROR(AVERAGEIFS(Articles!$X:$X, Articles!$H:$H, A200, Articles!$X:$X, "&lt;&gt;"), "")</f>
        <v/>
      </c>
      <c r="D200" s="91" t="str">
        <f>IFERROR(AVERAGEIFS(Articles!$Y:$Y, Articles!$H:$H, A200, Articles!$Y:$Y, "&lt;&gt;"), "")</f>
        <v/>
      </c>
      <c r="E200" s="91" t="str">
        <f>IFERROR(AVERAGEIFS(Articles!$Z:$Z, Articles!$H:$H, A200, Articles!$Z:$Z, "&lt;&gt;"), "")</f>
        <v/>
      </c>
      <c r="F200" s="91" t="str">
        <f>IFERROR(AVERAGEIFS(Articles!$AA:$AA, Articles!$H:$H, A200, Articles!$AA:$AA, "&lt;&gt;"), "")</f>
        <v/>
      </c>
    </row>
    <row r="201" spans="1:6" ht="14">
      <c r="A201" s="9"/>
      <c r="B201" s="89" t="str">
        <f>IFERROR(AVERAGEIFS(Articles!$W:$W, Articles!$H:$H, A201, Articles!$W:$W, "&lt;&gt;"), "")</f>
        <v/>
      </c>
      <c r="C201" s="90" t="str">
        <f>IFERROR(AVERAGEIFS(Articles!$X:$X, Articles!$H:$H, A201, Articles!$X:$X, "&lt;&gt;"), "")</f>
        <v/>
      </c>
      <c r="D201" s="91" t="str">
        <f>IFERROR(AVERAGEIFS(Articles!$Y:$Y, Articles!$H:$H, A201, Articles!$Y:$Y, "&lt;&gt;"), "")</f>
        <v/>
      </c>
      <c r="E201" s="91" t="str">
        <f>IFERROR(AVERAGEIFS(Articles!$Z:$Z, Articles!$H:$H, A201, Articles!$Z:$Z, "&lt;&gt;"), "")</f>
        <v/>
      </c>
      <c r="F201" s="91" t="str">
        <f>IFERROR(AVERAGEIFS(Articles!$AA:$AA, Articles!$H:$H, A201, Articles!$AA:$AA, "&lt;&gt;"), "")</f>
        <v/>
      </c>
    </row>
    <row r="202" spans="1:6" ht="14">
      <c r="A202" s="9"/>
      <c r="B202" s="89" t="str">
        <f>IFERROR(AVERAGEIFS(Articles!$W:$W, Articles!$H:$H, A202, Articles!$W:$W, "&lt;&gt;"), "")</f>
        <v/>
      </c>
      <c r="C202" s="90" t="str">
        <f>IFERROR(AVERAGEIFS(Articles!$X:$X, Articles!$H:$H, A202, Articles!$X:$X, "&lt;&gt;"), "")</f>
        <v/>
      </c>
      <c r="D202" s="91" t="str">
        <f>IFERROR(AVERAGEIFS(Articles!$Y:$Y, Articles!$H:$H, A202, Articles!$Y:$Y, "&lt;&gt;"), "")</f>
        <v/>
      </c>
      <c r="E202" s="91" t="str">
        <f>IFERROR(AVERAGEIFS(Articles!$Z:$Z, Articles!$H:$H, A202, Articles!$Z:$Z, "&lt;&gt;"), "")</f>
        <v/>
      </c>
      <c r="F202" s="91" t="str">
        <f>IFERROR(AVERAGEIFS(Articles!$AA:$AA, Articles!$H:$H, A202, Articles!$AA:$AA, "&lt;&gt;"), "")</f>
        <v/>
      </c>
    </row>
    <row r="203" spans="1:6" ht="14">
      <c r="A203" s="9"/>
      <c r="B203" s="89" t="str">
        <f>IFERROR(AVERAGEIFS(Articles!$W:$W, Articles!$H:$H, A203, Articles!$W:$W, "&lt;&gt;"), "")</f>
        <v/>
      </c>
      <c r="C203" s="90" t="str">
        <f>IFERROR(AVERAGEIFS(Articles!$X:$X, Articles!$H:$H, A203, Articles!$X:$X, "&lt;&gt;"), "")</f>
        <v/>
      </c>
      <c r="D203" s="91" t="str">
        <f>IFERROR(AVERAGEIFS(Articles!$Y:$Y, Articles!$H:$H, A203, Articles!$Y:$Y, "&lt;&gt;"), "")</f>
        <v/>
      </c>
      <c r="E203" s="91" t="str">
        <f>IFERROR(AVERAGEIFS(Articles!$Z:$Z, Articles!$H:$H, A203, Articles!$Z:$Z, "&lt;&gt;"), "")</f>
        <v/>
      </c>
      <c r="F203" s="91" t="str">
        <f>IFERROR(AVERAGEIFS(Articles!$AA:$AA, Articles!$H:$H, A203, Articles!$AA:$AA, "&lt;&gt;"), "")</f>
        <v/>
      </c>
    </row>
    <row r="204" spans="1:6" ht="14">
      <c r="A204" s="9"/>
      <c r="B204" s="89" t="str">
        <f>IFERROR(AVERAGEIFS(Articles!$W:$W, Articles!$H:$H, A204, Articles!$W:$W, "&lt;&gt;"), "")</f>
        <v/>
      </c>
      <c r="C204" s="90" t="str">
        <f>IFERROR(AVERAGEIFS(Articles!$X:$X, Articles!$H:$H, A204, Articles!$X:$X, "&lt;&gt;"), "")</f>
        <v/>
      </c>
      <c r="D204" s="91" t="str">
        <f>IFERROR(AVERAGEIFS(Articles!$Y:$Y, Articles!$H:$H, A204, Articles!$Y:$Y, "&lt;&gt;"), "")</f>
        <v/>
      </c>
      <c r="E204" s="91" t="str">
        <f>IFERROR(AVERAGEIFS(Articles!$Z:$Z, Articles!$H:$H, A204, Articles!$Z:$Z, "&lt;&gt;"), "")</f>
        <v/>
      </c>
      <c r="F204" s="91" t="str">
        <f>IFERROR(AVERAGEIFS(Articles!$AA:$AA, Articles!$H:$H, A204, Articles!$AA:$AA, "&lt;&gt;"), "")</f>
        <v/>
      </c>
    </row>
    <row r="205" spans="1:6" ht="14">
      <c r="A205" s="9"/>
      <c r="B205" s="89" t="str">
        <f>IFERROR(AVERAGEIFS(Articles!$W:$W, Articles!$H:$H, A205, Articles!$W:$W, "&lt;&gt;"), "")</f>
        <v/>
      </c>
      <c r="C205" s="90" t="str">
        <f>IFERROR(AVERAGEIFS(Articles!$X:$X, Articles!$H:$H, A205, Articles!$X:$X, "&lt;&gt;"), "")</f>
        <v/>
      </c>
      <c r="D205" s="91" t="str">
        <f>IFERROR(AVERAGEIFS(Articles!$Y:$Y, Articles!$H:$H, A205, Articles!$Y:$Y, "&lt;&gt;"), "")</f>
        <v/>
      </c>
      <c r="E205" s="91" t="str">
        <f>IFERROR(AVERAGEIFS(Articles!$Z:$Z, Articles!$H:$H, A205, Articles!$Z:$Z, "&lt;&gt;"), "")</f>
        <v/>
      </c>
      <c r="F205" s="91" t="str">
        <f>IFERROR(AVERAGEIFS(Articles!$AA:$AA, Articles!$H:$H, A205, Articles!$AA:$AA, "&lt;&gt;"), "")</f>
        <v/>
      </c>
    </row>
    <row r="206" spans="1:6" ht="14">
      <c r="A206" s="9"/>
      <c r="B206" s="89" t="str">
        <f>IFERROR(AVERAGEIFS(Articles!$W:$W, Articles!$H:$H, A206, Articles!$W:$W, "&lt;&gt;"), "")</f>
        <v/>
      </c>
      <c r="C206" s="90" t="str">
        <f>IFERROR(AVERAGEIFS(Articles!$X:$X, Articles!$H:$H, A206, Articles!$X:$X, "&lt;&gt;"), "")</f>
        <v/>
      </c>
      <c r="D206" s="91" t="str">
        <f>IFERROR(AVERAGEIFS(Articles!$Y:$Y, Articles!$H:$H, A206, Articles!$Y:$Y, "&lt;&gt;"), "")</f>
        <v/>
      </c>
      <c r="E206" s="91" t="str">
        <f>IFERROR(AVERAGEIFS(Articles!$Z:$Z, Articles!$H:$H, A206, Articles!$Z:$Z, "&lt;&gt;"), "")</f>
        <v/>
      </c>
      <c r="F206" s="91" t="str">
        <f>IFERROR(AVERAGEIFS(Articles!$AA:$AA, Articles!$H:$H, A206, Articles!$AA:$AA, "&lt;&gt;"), "")</f>
        <v/>
      </c>
    </row>
    <row r="207" spans="1:6" ht="14">
      <c r="A207" s="9"/>
      <c r="B207" s="89" t="str">
        <f>IFERROR(AVERAGEIFS(Articles!$W:$W, Articles!$H:$H, A207, Articles!$W:$W, "&lt;&gt;"), "")</f>
        <v/>
      </c>
      <c r="C207" s="90" t="str">
        <f>IFERROR(AVERAGEIFS(Articles!$X:$X, Articles!$H:$H, A207, Articles!$X:$X, "&lt;&gt;"), "")</f>
        <v/>
      </c>
      <c r="D207" s="91" t="str">
        <f>IFERROR(AVERAGEIFS(Articles!$Y:$Y, Articles!$H:$H, A207, Articles!$Y:$Y, "&lt;&gt;"), "")</f>
        <v/>
      </c>
      <c r="E207" s="91" t="str">
        <f>IFERROR(AVERAGEIFS(Articles!$Z:$Z, Articles!$H:$H, A207, Articles!$Z:$Z, "&lt;&gt;"), "")</f>
        <v/>
      </c>
      <c r="F207" s="91" t="str">
        <f>IFERROR(AVERAGEIFS(Articles!$AA:$AA, Articles!$H:$H, A207, Articles!$AA:$AA, "&lt;&gt;"), "")</f>
        <v/>
      </c>
    </row>
    <row r="208" spans="1:6" ht="14">
      <c r="A208" s="9"/>
      <c r="B208" s="89" t="str">
        <f>IFERROR(AVERAGEIFS(Articles!$W:$W, Articles!$H:$H, A208, Articles!$W:$W, "&lt;&gt;"), "")</f>
        <v/>
      </c>
      <c r="C208" s="90" t="str">
        <f>IFERROR(AVERAGEIFS(Articles!$X:$X, Articles!$H:$H, A208, Articles!$X:$X, "&lt;&gt;"), "")</f>
        <v/>
      </c>
      <c r="D208" s="91" t="str">
        <f>IFERROR(AVERAGEIFS(Articles!$Y:$Y, Articles!$H:$H, A208, Articles!$Y:$Y, "&lt;&gt;"), "")</f>
        <v/>
      </c>
      <c r="E208" s="91" t="str">
        <f>IFERROR(AVERAGEIFS(Articles!$Z:$Z, Articles!$H:$H, A208, Articles!$Z:$Z, "&lt;&gt;"), "")</f>
        <v/>
      </c>
      <c r="F208" s="91" t="str">
        <f>IFERROR(AVERAGEIFS(Articles!$AA:$AA, Articles!$H:$H, A208, Articles!$AA:$AA, "&lt;&gt;"), "")</f>
        <v/>
      </c>
    </row>
    <row r="209" spans="1:6" ht="14">
      <c r="A209" s="9"/>
      <c r="B209" s="89" t="str">
        <f>IFERROR(AVERAGEIFS(Articles!$W:$W, Articles!$H:$H, A209, Articles!$W:$W, "&lt;&gt;"), "")</f>
        <v/>
      </c>
      <c r="C209" s="90" t="str">
        <f>IFERROR(AVERAGEIFS(Articles!$X:$X, Articles!$H:$H, A209, Articles!$X:$X, "&lt;&gt;"), "")</f>
        <v/>
      </c>
      <c r="D209" s="91" t="str">
        <f>IFERROR(AVERAGEIFS(Articles!$Y:$Y, Articles!$H:$H, A209, Articles!$Y:$Y, "&lt;&gt;"), "")</f>
        <v/>
      </c>
      <c r="E209" s="91" t="str">
        <f>IFERROR(AVERAGEIFS(Articles!$Z:$Z, Articles!$H:$H, A209, Articles!$Z:$Z, "&lt;&gt;"), "")</f>
        <v/>
      </c>
      <c r="F209" s="91" t="str">
        <f>IFERROR(AVERAGEIFS(Articles!$AA:$AA, Articles!$H:$H, A209, Articles!$AA:$AA, "&lt;&gt;"), "")</f>
        <v/>
      </c>
    </row>
    <row r="210" spans="1:6" ht="14">
      <c r="A210" s="9"/>
      <c r="B210" s="89" t="str">
        <f>IFERROR(AVERAGEIFS(Articles!$W:$W, Articles!$H:$H, A210, Articles!$W:$W, "&lt;&gt;"), "")</f>
        <v/>
      </c>
      <c r="C210" s="90" t="str">
        <f>IFERROR(AVERAGEIFS(Articles!$X:$X, Articles!$H:$H, A210, Articles!$X:$X, "&lt;&gt;"), "")</f>
        <v/>
      </c>
      <c r="D210" s="91" t="str">
        <f>IFERROR(AVERAGEIFS(Articles!$Y:$Y, Articles!$H:$H, A210, Articles!$Y:$Y, "&lt;&gt;"), "")</f>
        <v/>
      </c>
      <c r="E210" s="91" t="str">
        <f>IFERROR(AVERAGEIFS(Articles!$Z:$Z, Articles!$H:$H, A210, Articles!$Z:$Z, "&lt;&gt;"), "")</f>
        <v/>
      </c>
      <c r="F210" s="91" t="str">
        <f>IFERROR(AVERAGEIFS(Articles!$AA:$AA, Articles!$H:$H, A210, Articles!$AA:$AA, "&lt;&gt;"), "")</f>
        <v/>
      </c>
    </row>
    <row r="211" spans="1:6" ht="14">
      <c r="A211" s="9"/>
      <c r="B211" s="89" t="str">
        <f>IFERROR(AVERAGEIFS(Articles!$W:$W, Articles!$H:$H, A211, Articles!$W:$W, "&lt;&gt;"), "")</f>
        <v/>
      </c>
      <c r="C211" s="90" t="str">
        <f>IFERROR(AVERAGEIFS(Articles!$X:$X, Articles!$H:$H, A211, Articles!$X:$X, "&lt;&gt;"), "")</f>
        <v/>
      </c>
      <c r="D211" s="91" t="str">
        <f>IFERROR(AVERAGEIFS(Articles!$Y:$Y, Articles!$H:$H, A211, Articles!$Y:$Y, "&lt;&gt;"), "")</f>
        <v/>
      </c>
      <c r="E211" s="91" t="str">
        <f>IFERROR(AVERAGEIFS(Articles!$Z:$Z, Articles!$H:$H, A211, Articles!$Z:$Z, "&lt;&gt;"), "")</f>
        <v/>
      </c>
      <c r="F211" s="91" t="str">
        <f>IFERROR(AVERAGEIFS(Articles!$AA:$AA, Articles!$H:$H, A211, Articles!$AA:$AA, "&lt;&gt;"), "")</f>
        <v/>
      </c>
    </row>
    <row r="212" spans="1:6" ht="14">
      <c r="A212" s="9"/>
      <c r="B212" s="89" t="str">
        <f>IFERROR(AVERAGEIFS(Articles!$W:$W, Articles!$H:$H, A212, Articles!$W:$W, "&lt;&gt;"), "")</f>
        <v/>
      </c>
      <c r="C212" s="90" t="str">
        <f>IFERROR(AVERAGEIFS(Articles!$X:$X, Articles!$H:$H, A212, Articles!$X:$X, "&lt;&gt;"), "")</f>
        <v/>
      </c>
      <c r="D212" s="91" t="str">
        <f>IFERROR(AVERAGEIFS(Articles!$Y:$Y, Articles!$H:$H, A212, Articles!$Y:$Y, "&lt;&gt;"), "")</f>
        <v/>
      </c>
      <c r="E212" s="91" t="str">
        <f>IFERROR(AVERAGEIFS(Articles!$Z:$Z, Articles!$H:$H, A212, Articles!$Z:$Z, "&lt;&gt;"), "")</f>
        <v/>
      </c>
      <c r="F212" s="91" t="str">
        <f>IFERROR(AVERAGEIFS(Articles!$AA:$AA, Articles!$H:$H, A212, Articles!$AA:$AA, "&lt;&gt;"), "")</f>
        <v/>
      </c>
    </row>
    <row r="213" spans="1:6" ht="14">
      <c r="A213" s="9"/>
      <c r="B213" s="89" t="str">
        <f>IFERROR(AVERAGEIFS(Articles!$W:$W, Articles!$H:$H, A213, Articles!$W:$W, "&lt;&gt;"), "")</f>
        <v/>
      </c>
      <c r="C213" s="90" t="str">
        <f>IFERROR(AVERAGEIFS(Articles!$X:$X, Articles!$H:$H, A213, Articles!$X:$X, "&lt;&gt;"), "")</f>
        <v/>
      </c>
      <c r="D213" s="91" t="str">
        <f>IFERROR(AVERAGEIFS(Articles!$Y:$Y, Articles!$H:$H, A213, Articles!$Y:$Y, "&lt;&gt;"), "")</f>
        <v/>
      </c>
      <c r="E213" s="91" t="str">
        <f>IFERROR(AVERAGEIFS(Articles!$Z:$Z, Articles!$H:$H, A213, Articles!$Z:$Z, "&lt;&gt;"), "")</f>
        <v/>
      </c>
      <c r="F213" s="91" t="str">
        <f>IFERROR(AVERAGEIFS(Articles!$AA:$AA, Articles!$H:$H, A213, Articles!$AA:$AA, "&lt;&gt;"), "")</f>
        <v/>
      </c>
    </row>
    <row r="214" spans="1:6" ht="14">
      <c r="A214" s="9"/>
      <c r="B214" s="89" t="str">
        <f>IFERROR(AVERAGEIFS(Articles!$W:$W, Articles!$H:$H, A214, Articles!$W:$W, "&lt;&gt;"), "")</f>
        <v/>
      </c>
      <c r="C214" s="90" t="str">
        <f>IFERROR(AVERAGEIFS(Articles!$X:$X, Articles!$H:$H, A214, Articles!$X:$X, "&lt;&gt;"), "")</f>
        <v/>
      </c>
      <c r="D214" s="91" t="str">
        <f>IFERROR(AVERAGEIFS(Articles!$Y:$Y, Articles!$H:$H, A214, Articles!$Y:$Y, "&lt;&gt;"), "")</f>
        <v/>
      </c>
      <c r="E214" s="91" t="str">
        <f>IFERROR(AVERAGEIFS(Articles!$Z:$Z, Articles!$H:$H, A214, Articles!$Z:$Z, "&lt;&gt;"), "")</f>
        <v/>
      </c>
      <c r="F214" s="91" t="str">
        <f>IFERROR(AVERAGEIFS(Articles!$AA:$AA, Articles!$H:$H, A214, Articles!$AA:$AA, "&lt;&gt;"), "")</f>
        <v/>
      </c>
    </row>
    <row r="215" spans="1:6" ht="14">
      <c r="A215" s="9"/>
      <c r="B215" s="89" t="str">
        <f>IFERROR(AVERAGEIFS(Articles!$W:$W, Articles!$H:$H, A215, Articles!$W:$W, "&lt;&gt;"), "")</f>
        <v/>
      </c>
      <c r="C215" s="90" t="str">
        <f>IFERROR(AVERAGEIFS(Articles!$X:$X, Articles!$H:$H, A215, Articles!$X:$X, "&lt;&gt;"), "")</f>
        <v/>
      </c>
      <c r="D215" s="91" t="str">
        <f>IFERROR(AVERAGEIFS(Articles!$Y:$Y, Articles!$H:$H, A215, Articles!$Y:$Y, "&lt;&gt;"), "")</f>
        <v/>
      </c>
      <c r="E215" s="91" t="str">
        <f>IFERROR(AVERAGEIFS(Articles!$Z:$Z, Articles!$H:$H, A215, Articles!$Z:$Z, "&lt;&gt;"), "")</f>
        <v/>
      </c>
      <c r="F215" s="91" t="str">
        <f>IFERROR(AVERAGEIFS(Articles!$AA:$AA, Articles!$H:$H, A215, Articles!$AA:$AA, "&lt;&gt;"), "")</f>
        <v/>
      </c>
    </row>
    <row r="216" spans="1:6" ht="14">
      <c r="A216" s="9"/>
      <c r="B216" s="89" t="str">
        <f>IFERROR(AVERAGEIFS(Articles!$W:$W, Articles!$H:$H, A216, Articles!$W:$W, "&lt;&gt;"), "")</f>
        <v/>
      </c>
      <c r="C216" s="90" t="str">
        <f>IFERROR(AVERAGEIFS(Articles!$X:$X, Articles!$H:$H, A216, Articles!$X:$X, "&lt;&gt;"), "")</f>
        <v/>
      </c>
      <c r="D216" s="91" t="str">
        <f>IFERROR(AVERAGEIFS(Articles!$Y:$Y, Articles!$H:$H, A216, Articles!$Y:$Y, "&lt;&gt;"), "")</f>
        <v/>
      </c>
      <c r="E216" s="91" t="str">
        <f>IFERROR(AVERAGEIFS(Articles!$Z:$Z, Articles!$H:$H, A216, Articles!$Z:$Z, "&lt;&gt;"), "")</f>
        <v/>
      </c>
      <c r="F216" s="91" t="str">
        <f>IFERROR(AVERAGEIFS(Articles!$AA:$AA, Articles!$H:$H, A216, Articles!$AA:$AA, "&lt;&gt;"), "")</f>
        <v/>
      </c>
    </row>
    <row r="217" spans="1:6" ht="14">
      <c r="A217" s="9"/>
      <c r="B217" s="89" t="str">
        <f>IFERROR(AVERAGEIFS(Articles!$W:$W, Articles!$H:$H, A217, Articles!$W:$W, "&lt;&gt;"), "")</f>
        <v/>
      </c>
      <c r="C217" s="90" t="str">
        <f>IFERROR(AVERAGEIFS(Articles!$X:$X, Articles!$H:$H, A217, Articles!$X:$X, "&lt;&gt;"), "")</f>
        <v/>
      </c>
      <c r="D217" s="91" t="str">
        <f>IFERROR(AVERAGEIFS(Articles!$Y:$Y, Articles!$H:$H, A217, Articles!$Y:$Y, "&lt;&gt;"), "")</f>
        <v/>
      </c>
      <c r="E217" s="91" t="str">
        <f>IFERROR(AVERAGEIFS(Articles!$Z:$Z, Articles!$H:$H, A217, Articles!$Z:$Z, "&lt;&gt;"), "")</f>
        <v/>
      </c>
      <c r="F217" s="91" t="str">
        <f>IFERROR(AVERAGEIFS(Articles!$AA:$AA, Articles!$H:$H, A217, Articles!$AA:$AA, "&lt;&gt;"), "")</f>
        <v/>
      </c>
    </row>
    <row r="218" spans="1:6" ht="14">
      <c r="A218" s="9"/>
      <c r="B218" s="89" t="str">
        <f>IFERROR(AVERAGEIFS(Articles!$W:$W, Articles!$H:$H, A218, Articles!$W:$W, "&lt;&gt;"), "")</f>
        <v/>
      </c>
      <c r="C218" s="90" t="str">
        <f>IFERROR(AVERAGEIFS(Articles!$X:$X, Articles!$H:$H, A218, Articles!$X:$X, "&lt;&gt;"), "")</f>
        <v/>
      </c>
      <c r="D218" s="91" t="str">
        <f>IFERROR(AVERAGEIFS(Articles!$Y:$Y, Articles!$H:$H, A218, Articles!$Y:$Y, "&lt;&gt;"), "")</f>
        <v/>
      </c>
      <c r="E218" s="91" t="str">
        <f>IFERROR(AVERAGEIFS(Articles!$Z:$Z, Articles!$H:$H, A218, Articles!$Z:$Z, "&lt;&gt;"), "")</f>
        <v/>
      </c>
      <c r="F218" s="91" t="str">
        <f>IFERROR(AVERAGEIFS(Articles!$AA:$AA, Articles!$H:$H, A218, Articles!$AA:$AA, "&lt;&gt;"), "")</f>
        <v/>
      </c>
    </row>
    <row r="219" spans="1:6" ht="14">
      <c r="A219" s="9"/>
      <c r="B219" s="89" t="str">
        <f>IFERROR(AVERAGEIFS(Articles!$W:$W, Articles!$H:$H, A219, Articles!$W:$W, "&lt;&gt;"), "")</f>
        <v/>
      </c>
      <c r="C219" s="90" t="str">
        <f>IFERROR(AVERAGEIFS(Articles!$X:$X, Articles!$H:$H, A219, Articles!$X:$X, "&lt;&gt;"), "")</f>
        <v/>
      </c>
      <c r="D219" s="91" t="str">
        <f>IFERROR(AVERAGEIFS(Articles!$Y:$Y, Articles!$H:$H, A219, Articles!$Y:$Y, "&lt;&gt;"), "")</f>
        <v/>
      </c>
      <c r="E219" s="91" t="str">
        <f>IFERROR(AVERAGEIFS(Articles!$Z:$Z, Articles!$H:$H, A219, Articles!$Z:$Z, "&lt;&gt;"), "")</f>
        <v/>
      </c>
      <c r="F219" s="91" t="str">
        <f>IFERROR(AVERAGEIFS(Articles!$AA:$AA, Articles!$H:$H, A219, Articles!$AA:$AA, "&lt;&gt;"), "")</f>
        <v/>
      </c>
    </row>
    <row r="220" spans="1:6" ht="14">
      <c r="A220" s="9"/>
      <c r="B220" s="89" t="str">
        <f>IFERROR(AVERAGEIFS(Articles!$W:$W, Articles!$H:$H, A220, Articles!$W:$W, "&lt;&gt;"), "")</f>
        <v/>
      </c>
      <c r="C220" s="90" t="str">
        <f>IFERROR(AVERAGEIFS(Articles!$X:$X, Articles!$H:$H, A220, Articles!$X:$X, "&lt;&gt;"), "")</f>
        <v/>
      </c>
      <c r="D220" s="91" t="str">
        <f>IFERROR(AVERAGEIFS(Articles!$Y:$Y, Articles!$H:$H, A220, Articles!$Y:$Y, "&lt;&gt;"), "")</f>
        <v/>
      </c>
      <c r="E220" s="91" t="str">
        <f>IFERROR(AVERAGEIFS(Articles!$Z:$Z, Articles!$H:$H, A220, Articles!$Z:$Z, "&lt;&gt;"), "")</f>
        <v/>
      </c>
      <c r="F220" s="91" t="str">
        <f>IFERROR(AVERAGEIFS(Articles!$AA:$AA, Articles!$H:$H, A220, Articles!$AA:$AA, "&lt;&gt;"), "")</f>
        <v/>
      </c>
    </row>
    <row r="221" spans="1:6" ht="14">
      <c r="A221" s="9"/>
      <c r="B221" s="89" t="str">
        <f>IFERROR(AVERAGEIFS(Articles!$W:$W, Articles!$H:$H, A221, Articles!$W:$W, "&lt;&gt;"), "")</f>
        <v/>
      </c>
      <c r="C221" s="90" t="str">
        <f>IFERROR(AVERAGEIFS(Articles!$X:$X, Articles!$H:$H, A221, Articles!$X:$X, "&lt;&gt;"), "")</f>
        <v/>
      </c>
      <c r="D221" s="91" t="str">
        <f>IFERROR(AVERAGEIFS(Articles!$Y:$Y, Articles!$H:$H, A221, Articles!$Y:$Y, "&lt;&gt;"), "")</f>
        <v/>
      </c>
      <c r="E221" s="91" t="str">
        <f>IFERROR(AVERAGEIFS(Articles!$Z:$Z, Articles!$H:$H, A221, Articles!$Z:$Z, "&lt;&gt;"), "")</f>
        <v/>
      </c>
      <c r="F221" s="91" t="str">
        <f>IFERROR(AVERAGEIFS(Articles!$AA:$AA, Articles!$H:$H, A221, Articles!$AA:$AA, "&lt;&gt;"), "")</f>
        <v/>
      </c>
    </row>
    <row r="222" spans="1:6" ht="14">
      <c r="A222" s="9"/>
      <c r="B222" s="89" t="str">
        <f>IFERROR(AVERAGEIFS(Articles!$W:$W, Articles!$H:$H, A222, Articles!$W:$W, "&lt;&gt;"), "")</f>
        <v/>
      </c>
      <c r="C222" s="90" t="str">
        <f>IFERROR(AVERAGEIFS(Articles!$X:$X, Articles!$H:$H, A222, Articles!$X:$X, "&lt;&gt;"), "")</f>
        <v/>
      </c>
      <c r="D222" s="91" t="str">
        <f>IFERROR(AVERAGEIFS(Articles!$Y:$Y, Articles!$H:$H, A222, Articles!$Y:$Y, "&lt;&gt;"), "")</f>
        <v/>
      </c>
      <c r="E222" s="91" t="str">
        <f>IFERROR(AVERAGEIFS(Articles!$Z:$Z, Articles!$H:$H, A222, Articles!$Z:$Z, "&lt;&gt;"), "")</f>
        <v/>
      </c>
      <c r="F222" s="91" t="str">
        <f>IFERROR(AVERAGEIFS(Articles!$AA:$AA, Articles!$H:$H, A222, Articles!$AA:$AA, "&lt;&gt;"), "")</f>
        <v/>
      </c>
    </row>
    <row r="223" spans="1:6" ht="14">
      <c r="A223" s="9"/>
      <c r="B223" s="89" t="str">
        <f>IFERROR(AVERAGEIFS(Articles!$W:$W, Articles!$H:$H, A223, Articles!$W:$W, "&lt;&gt;"), "")</f>
        <v/>
      </c>
      <c r="C223" s="90" t="str">
        <f>IFERROR(AVERAGEIFS(Articles!$X:$X, Articles!$H:$H, A223, Articles!$X:$X, "&lt;&gt;"), "")</f>
        <v/>
      </c>
      <c r="D223" s="91" t="str">
        <f>IFERROR(AVERAGEIFS(Articles!$Y:$Y, Articles!$H:$H, A223, Articles!$Y:$Y, "&lt;&gt;"), "")</f>
        <v/>
      </c>
      <c r="E223" s="91" t="str">
        <f>IFERROR(AVERAGEIFS(Articles!$Z:$Z, Articles!$H:$H, A223, Articles!$Z:$Z, "&lt;&gt;"), "")</f>
        <v/>
      </c>
      <c r="F223" s="91" t="str">
        <f>IFERROR(AVERAGEIFS(Articles!$AA:$AA, Articles!$H:$H, A223, Articles!$AA:$AA, "&lt;&gt;"), "")</f>
        <v/>
      </c>
    </row>
    <row r="224" spans="1:6" ht="14">
      <c r="A224" s="9"/>
      <c r="B224" s="89" t="str">
        <f>IFERROR(AVERAGEIFS(Articles!$W:$W, Articles!$H:$H, A224, Articles!$W:$W, "&lt;&gt;"), "")</f>
        <v/>
      </c>
      <c r="C224" s="90" t="str">
        <f>IFERROR(AVERAGEIFS(Articles!$X:$X, Articles!$H:$H, A224, Articles!$X:$X, "&lt;&gt;"), "")</f>
        <v/>
      </c>
      <c r="D224" s="91" t="str">
        <f>IFERROR(AVERAGEIFS(Articles!$Y:$Y, Articles!$H:$H, A224, Articles!$Y:$Y, "&lt;&gt;"), "")</f>
        <v/>
      </c>
      <c r="E224" s="91" t="str">
        <f>IFERROR(AVERAGEIFS(Articles!$Z:$Z, Articles!$H:$H, A224, Articles!$Z:$Z, "&lt;&gt;"), "")</f>
        <v/>
      </c>
      <c r="F224" s="91" t="str">
        <f>IFERROR(AVERAGEIFS(Articles!$AA:$AA, Articles!$H:$H, A224, Articles!$AA:$AA, "&lt;&gt;"), "")</f>
        <v/>
      </c>
    </row>
    <row r="225" spans="1:6" ht="14">
      <c r="A225" s="9"/>
      <c r="B225" s="89" t="str">
        <f>IFERROR(AVERAGEIFS(Articles!$W:$W, Articles!$H:$H, A225, Articles!$W:$W, "&lt;&gt;"), "")</f>
        <v/>
      </c>
      <c r="C225" s="90" t="str">
        <f>IFERROR(AVERAGEIFS(Articles!$X:$X, Articles!$H:$H, A225, Articles!$X:$X, "&lt;&gt;"), "")</f>
        <v/>
      </c>
      <c r="D225" s="91" t="str">
        <f>IFERROR(AVERAGEIFS(Articles!$Y:$Y, Articles!$H:$H, A225, Articles!$Y:$Y, "&lt;&gt;"), "")</f>
        <v/>
      </c>
      <c r="E225" s="91" t="str">
        <f>IFERROR(AVERAGEIFS(Articles!$Z:$Z, Articles!$H:$H, A225, Articles!$Z:$Z, "&lt;&gt;"), "")</f>
        <v/>
      </c>
      <c r="F225" s="91" t="str">
        <f>IFERROR(AVERAGEIFS(Articles!$AA:$AA, Articles!$H:$H, A225, Articles!$AA:$AA, "&lt;&gt;"), "")</f>
        <v/>
      </c>
    </row>
    <row r="226" spans="1:6" ht="14">
      <c r="A226" s="9"/>
      <c r="B226" s="89" t="str">
        <f>IFERROR(AVERAGEIFS(Articles!$W:$W, Articles!$H:$H, A226, Articles!$W:$W, "&lt;&gt;"), "")</f>
        <v/>
      </c>
      <c r="C226" s="90" t="str">
        <f>IFERROR(AVERAGEIFS(Articles!$X:$X, Articles!$H:$H, A226, Articles!$X:$X, "&lt;&gt;"), "")</f>
        <v/>
      </c>
      <c r="D226" s="91" t="str">
        <f>IFERROR(AVERAGEIFS(Articles!$Y:$Y, Articles!$H:$H, A226, Articles!$Y:$Y, "&lt;&gt;"), "")</f>
        <v/>
      </c>
      <c r="E226" s="91" t="str">
        <f>IFERROR(AVERAGEIFS(Articles!$Z:$Z, Articles!$H:$H, A226, Articles!$Z:$Z, "&lt;&gt;"), "")</f>
        <v/>
      </c>
      <c r="F226" s="91" t="str">
        <f>IFERROR(AVERAGEIFS(Articles!$AA:$AA, Articles!$H:$H, A226, Articles!$AA:$AA, "&lt;&gt;"), "")</f>
        <v/>
      </c>
    </row>
    <row r="227" spans="1:6" ht="14">
      <c r="A227" s="9"/>
      <c r="B227" s="89" t="str">
        <f>IFERROR(AVERAGEIFS(Articles!$W:$W, Articles!$H:$H, A227, Articles!$W:$W, "&lt;&gt;"), "")</f>
        <v/>
      </c>
      <c r="C227" s="90" t="str">
        <f>IFERROR(AVERAGEIFS(Articles!$X:$X, Articles!$H:$H, A227, Articles!$X:$X, "&lt;&gt;"), "")</f>
        <v/>
      </c>
      <c r="D227" s="91" t="str">
        <f>IFERROR(AVERAGEIFS(Articles!$Y:$Y, Articles!$H:$H, A227, Articles!$Y:$Y, "&lt;&gt;"), "")</f>
        <v/>
      </c>
      <c r="E227" s="91" t="str">
        <f>IFERROR(AVERAGEIFS(Articles!$Z:$Z, Articles!$H:$H, A227, Articles!$Z:$Z, "&lt;&gt;"), "")</f>
        <v/>
      </c>
      <c r="F227" s="91" t="str">
        <f>IFERROR(AVERAGEIFS(Articles!$AA:$AA, Articles!$H:$H, A227, Articles!$AA:$AA, "&lt;&gt;"), "")</f>
        <v/>
      </c>
    </row>
    <row r="228" spans="1:6" ht="14">
      <c r="A228" s="9"/>
      <c r="B228" s="89" t="str">
        <f>IFERROR(AVERAGEIFS(Articles!$W:$W, Articles!$H:$H, A228, Articles!$W:$W, "&lt;&gt;"), "")</f>
        <v/>
      </c>
      <c r="C228" s="90" t="str">
        <f>IFERROR(AVERAGEIFS(Articles!$X:$X, Articles!$H:$H, A228, Articles!$X:$X, "&lt;&gt;"), "")</f>
        <v/>
      </c>
      <c r="D228" s="91" t="str">
        <f>IFERROR(AVERAGEIFS(Articles!$Y:$Y, Articles!$H:$H, A228, Articles!$Y:$Y, "&lt;&gt;"), "")</f>
        <v/>
      </c>
      <c r="E228" s="91" t="str">
        <f>IFERROR(AVERAGEIFS(Articles!$Z:$Z, Articles!$H:$H, A228, Articles!$Z:$Z, "&lt;&gt;"), "")</f>
        <v/>
      </c>
      <c r="F228" s="91" t="str">
        <f>IFERROR(AVERAGEIFS(Articles!$AA:$AA, Articles!$H:$H, A228, Articles!$AA:$AA, "&lt;&gt;"), "")</f>
        <v/>
      </c>
    </row>
    <row r="229" spans="1:6" ht="14">
      <c r="A229" s="9"/>
      <c r="B229" s="89" t="str">
        <f>IFERROR(AVERAGEIFS(Articles!$W:$W, Articles!$H:$H, A229, Articles!$W:$W, "&lt;&gt;"), "")</f>
        <v/>
      </c>
      <c r="C229" s="90" t="str">
        <f>IFERROR(AVERAGEIFS(Articles!$X:$X, Articles!$H:$H, A229, Articles!$X:$X, "&lt;&gt;"), "")</f>
        <v/>
      </c>
      <c r="D229" s="91" t="str">
        <f>IFERROR(AVERAGEIFS(Articles!$Y:$Y, Articles!$H:$H, A229, Articles!$Y:$Y, "&lt;&gt;"), "")</f>
        <v/>
      </c>
      <c r="E229" s="91" t="str">
        <f>IFERROR(AVERAGEIFS(Articles!$Z:$Z, Articles!$H:$H, A229, Articles!$Z:$Z, "&lt;&gt;"), "")</f>
        <v/>
      </c>
      <c r="F229" s="91" t="str">
        <f>IFERROR(AVERAGEIFS(Articles!$AA:$AA, Articles!$H:$H, A229, Articles!$AA:$AA, "&lt;&gt;"), "")</f>
        <v/>
      </c>
    </row>
    <row r="230" spans="1:6" ht="14">
      <c r="A230" s="9"/>
      <c r="B230" s="89" t="str">
        <f>IFERROR(AVERAGEIFS(Articles!$W:$W, Articles!$H:$H, A230, Articles!$W:$W, "&lt;&gt;"), "")</f>
        <v/>
      </c>
      <c r="C230" s="90" t="str">
        <f>IFERROR(AVERAGEIFS(Articles!$X:$X, Articles!$H:$H, A230, Articles!$X:$X, "&lt;&gt;"), "")</f>
        <v/>
      </c>
      <c r="D230" s="91" t="str">
        <f>IFERROR(AVERAGEIFS(Articles!$Y:$Y, Articles!$H:$H, A230, Articles!$Y:$Y, "&lt;&gt;"), "")</f>
        <v/>
      </c>
      <c r="E230" s="91" t="str">
        <f>IFERROR(AVERAGEIFS(Articles!$Z:$Z, Articles!$H:$H, A230, Articles!$Z:$Z, "&lt;&gt;"), "")</f>
        <v/>
      </c>
      <c r="F230" s="91" t="str">
        <f>IFERROR(AVERAGEIFS(Articles!$AA:$AA, Articles!$H:$H, A230, Articles!$AA:$AA, "&lt;&gt;"), "")</f>
        <v/>
      </c>
    </row>
    <row r="231" spans="1:6" ht="14">
      <c r="A231" s="9"/>
      <c r="B231" s="89" t="str">
        <f>IFERROR(AVERAGEIFS(Articles!$W:$W, Articles!$H:$H, A231, Articles!$W:$W, "&lt;&gt;"), "")</f>
        <v/>
      </c>
      <c r="C231" s="90" t="str">
        <f>IFERROR(AVERAGEIFS(Articles!$X:$X, Articles!$H:$H, A231, Articles!$X:$X, "&lt;&gt;"), "")</f>
        <v/>
      </c>
      <c r="D231" s="91" t="str">
        <f>IFERROR(AVERAGEIFS(Articles!$Y:$Y, Articles!$H:$H, A231, Articles!$Y:$Y, "&lt;&gt;"), "")</f>
        <v/>
      </c>
      <c r="E231" s="91" t="str">
        <f>IFERROR(AVERAGEIFS(Articles!$Z:$Z, Articles!$H:$H, A231, Articles!$Z:$Z, "&lt;&gt;"), "")</f>
        <v/>
      </c>
      <c r="F231" s="91" t="str">
        <f>IFERROR(AVERAGEIFS(Articles!$AA:$AA, Articles!$H:$H, A231, Articles!$AA:$AA, "&lt;&gt;"), "")</f>
        <v/>
      </c>
    </row>
    <row r="232" spans="1:6" ht="14">
      <c r="A232" s="9"/>
      <c r="B232" s="89" t="str">
        <f>IFERROR(AVERAGEIFS(Articles!$W:$W, Articles!$H:$H, A232, Articles!$W:$W, "&lt;&gt;"), "")</f>
        <v/>
      </c>
      <c r="C232" s="90" t="str">
        <f>IFERROR(AVERAGEIFS(Articles!$X:$X, Articles!$H:$H, A232, Articles!$X:$X, "&lt;&gt;"), "")</f>
        <v/>
      </c>
      <c r="D232" s="91" t="str">
        <f>IFERROR(AVERAGEIFS(Articles!$Y:$Y, Articles!$H:$H, A232, Articles!$Y:$Y, "&lt;&gt;"), "")</f>
        <v/>
      </c>
      <c r="E232" s="91" t="str">
        <f>IFERROR(AVERAGEIFS(Articles!$Z:$Z, Articles!$H:$H, A232, Articles!$Z:$Z, "&lt;&gt;"), "")</f>
        <v/>
      </c>
      <c r="F232" s="91" t="str">
        <f>IFERROR(AVERAGEIFS(Articles!$AA:$AA, Articles!$H:$H, A232, Articles!$AA:$AA, "&lt;&gt;"), "")</f>
        <v/>
      </c>
    </row>
    <row r="233" spans="1:6" ht="14">
      <c r="A233" s="9"/>
      <c r="B233" s="89" t="str">
        <f>IFERROR(AVERAGEIFS(Articles!$W:$W, Articles!$H:$H, A233, Articles!$W:$W, "&lt;&gt;"), "")</f>
        <v/>
      </c>
      <c r="C233" s="90" t="str">
        <f>IFERROR(AVERAGEIFS(Articles!$X:$X, Articles!$H:$H, A233, Articles!$X:$X, "&lt;&gt;"), "")</f>
        <v/>
      </c>
      <c r="D233" s="91" t="str">
        <f>IFERROR(AVERAGEIFS(Articles!$Y:$Y, Articles!$H:$H, A233, Articles!$Y:$Y, "&lt;&gt;"), "")</f>
        <v/>
      </c>
      <c r="E233" s="91" t="str">
        <f>IFERROR(AVERAGEIFS(Articles!$Z:$Z, Articles!$H:$H, A233, Articles!$Z:$Z, "&lt;&gt;"), "")</f>
        <v/>
      </c>
      <c r="F233" s="91" t="str">
        <f>IFERROR(AVERAGEIFS(Articles!$AA:$AA, Articles!$H:$H, A233, Articles!$AA:$AA, "&lt;&gt;"), "")</f>
        <v/>
      </c>
    </row>
    <row r="234" spans="1:6" ht="14">
      <c r="A234" s="9"/>
      <c r="B234" s="89" t="str">
        <f>IFERROR(AVERAGEIFS(Articles!$W:$W, Articles!$H:$H, A234, Articles!$W:$W, "&lt;&gt;"), "")</f>
        <v/>
      </c>
      <c r="C234" s="90" t="str">
        <f>IFERROR(AVERAGEIFS(Articles!$X:$X, Articles!$H:$H, A234, Articles!$X:$X, "&lt;&gt;"), "")</f>
        <v/>
      </c>
      <c r="D234" s="91" t="str">
        <f>IFERROR(AVERAGEIFS(Articles!$Y:$Y, Articles!$H:$H, A234, Articles!$Y:$Y, "&lt;&gt;"), "")</f>
        <v/>
      </c>
      <c r="E234" s="91" t="str">
        <f>IFERROR(AVERAGEIFS(Articles!$Z:$Z, Articles!$H:$H, A234, Articles!$Z:$Z, "&lt;&gt;"), "")</f>
        <v/>
      </c>
      <c r="F234" s="91" t="str">
        <f>IFERROR(AVERAGEIFS(Articles!$AA:$AA, Articles!$H:$H, A234, Articles!$AA:$AA, "&lt;&gt;"), "")</f>
        <v/>
      </c>
    </row>
    <row r="235" spans="1:6" ht="14">
      <c r="A235" s="9"/>
      <c r="B235" s="89" t="str">
        <f>IFERROR(AVERAGEIFS(Articles!$W:$W, Articles!$H:$H, A235, Articles!$W:$W, "&lt;&gt;"), "")</f>
        <v/>
      </c>
      <c r="C235" s="90" t="str">
        <f>IFERROR(AVERAGEIFS(Articles!$X:$X, Articles!$H:$H, A235, Articles!$X:$X, "&lt;&gt;"), "")</f>
        <v/>
      </c>
      <c r="D235" s="91" t="str">
        <f>IFERROR(AVERAGEIFS(Articles!$Y:$Y, Articles!$H:$H, A235, Articles!$Y:$Y, "&lt;&gt;"), "")</f>
        <v/>
      </c>
      <c r="E235" s="91" t="str">
        <f>IFERROR(AVERAGEIFS(Articles!$Z:$Z, Articles!$H:$H, A235, Articles!$Z:$Z, "&lt;&gt;"), "")</f>
        <v/>
      </c>
      <c r="F235" s="91" t="str">
        <f>IFERROR(AVERAGEIFS(Articles!$AA:$AA, Articles!$H:$H, A235, Articles!$AA:$AA, "&lt;&gt;"), "")</f>
        <v/>
      </c>
    </row>
    <row r="236" spans="1:6" ht="14">
      <c r="A236" s="9"/>
      <c r="B236" s="89" t="str">
        <f>IFERROR(AVERAGEIFS(Articles!$W:$W, Articles!$H:$H, A236, Articles!$W:$W, "&lt;&gt;"), "")</f>
        <v/>
      </c>
      <c r="C236" s="90" t="str">
        <f>IFERROR(AVERAGEIFS(Articles!$X:$X, Articles!$H:$H, A236, Articles!$X:$X, "&lt;&gt;"), "")</f>
        <v/>
      </c>
      <c r="D236" s="91" t="str">
        <f>IFERROR(AVERAGEIFS(Articles!$Y:$Y, Articles!$H:$H, A236, Articles!$Y:$Y, "&lt;&gt;"), "")</f>
        <v/>
      </c>
      <c r="E236" s="91" t="str">
        <f>IFERROR(AVERAGEIFS(Articles!$Z:$Z, Articles!$H:$H, A236, Articles!$Z:$Z, "&lt;&gt;"), "")</f>
        <v/>
      </c>
      <c r="F236" s="91" t="str">
        <f>IFERROR(AVERAGEIFS(Articles!$AA:$AA, Articles!$H:$H, A236, Articles!$AA:$AA, "&lt;&gt;"), "")</f>
        <v/>
      </c>
    </row>
    <row r="237" spans="1:6" ht="14">
      <c r="A237" s="9"/>
      <c r="B237" s="89" t="str">
        <f>IFERROR(AVERAGEIFS(Articles!$W:$W, Articles!$H:$H, A237, Articles!$W:$W, "&lt;&gt;"), "")</f>
        <v/>
      </c>
      <c r="C237" s="90" t="str">
        <f>IFERROR(AVERAGEIFS(Articles!$X:$X, Articles!$H:$H, A237, Articles!$X:$X, "&lt;&gt;"), "")</f>
        <v/>
      </c>
      <c r="D237" s="91" t="str">
        <f>IFERROR(AVERAGEIFS(Articles!$Y:$Y, Articles!$H:$H, A237, Articles!$Y:$Y, "&lt;&gt;"), "")</f>
        <v/>
      </c>
      <c r="E237" s="91" t="str">
        <f>IFERROR(AVERAGEIFS(Articles!$Z:$Z, Articles!$H:$H, A237, Articles!$Z:$Z, "&lt;&gt;"), "")</f>
        <v/>
      </c>
      <c r="F237" s="91" t="str">
        <f>IFERROR(AVERAGEIFS(Articles!$AA:$AA, Articles!$H:$H, A237, Articles!$AA:$AA, "&lt;&gt;"), "")</f>
        <v/>
      </c>
    </row>
    <row r="238" spans="1:6" ht="14">
      <c r="A238" s="9"/>
      <c r="B238" s="89" t="str">
        <f>IFERROR(AVERAGEIFS(Articles!$W:$W, Articles!$H:$H, A238, Articles!$W:$W, "&lt;&gt;"), "")</f>
        <v/>
      </c>
      <c r="C238" s="90" t="str">
        <f>IFERROR(AVERAGEIFS(Articles!$X:$X, Articles!$H:$H, A238, Articles!$X:$X, "&lt;&gt;"), "")</f>
        <v/>
      </c>
      <c r="D238" s="91" t="str">
        <f>IFERROR(AVERAGEIFS(Articles!$Y:$Y, Articles!$H:$H, A238, Articles!$Y:$Y, "&lt;&gt;"), "")</f>
        <v/>
      </c>
      <c r="E238" s="91" t="str">
        <f>IFERROR(AVERAGEIFS(Articles!$Z:$Z, Articles!$H:$H, A238, Articles!$Z:$Z, "&lt;&gt;"), "")</f>
        <v/>
      </c>
      <c r="F238" s="91" t="str">
        <f>IFERROR(AVERAGEIFS(Articles!$AA:$AA, Articles!$H:$H, A238, Articles!$AA:$AA, "&lt;&gt;"), "")</f>
        <v/>
      </c>
    </row>
    <row r="239" spans="1:6" ht="14">
      <c r="A239" s="9"/>
      <c r="B239" s="89" t="str">
        <f>IFERROR(AVERAGEIFS(Articles!$W:$W, Articles!$H:$H, A239, Articles!$W:$W, "&lt;&gt;"), "")</f>
        <v/>
      </c>
      <c r="C239" s="90" t="str">
        <f>IFERROR(AVERAGEIFS(Articles!$X:$X, Articles!$H:$H, A239, Articles!$X:$X, "&lt;&gt;"), "")</f>
        <v/>
      </c>
      <c r="D239" s="91" t="str">
        <f>IFERROR(AVERAGEIFS(Articles!$Y:$Y, Articles!$H:$H, A239, Articles!$Y:$Y, "&lt;&gt;"), "")</f>
        <v/>
      </c>
      <c r="E239" s="91" t="str">
        <f>IFERROR(AVERAGEIFS(Articles!$Z:$Z, Articles!$H:$H, A239, Articles!$Z:$Z, "&lt;&gt;"), "")</f>
        <v/>
      </c>
      <c r="F239" s="91" t="str">
        <f>IFERROR(AVERAGEIFS(Articles!$AA:$AA, Articles!$H:$H, A239, Articles!$AA:$AA, "&lt;&gt;"), "")</f>
        <v/>
      </c>
    </row>
    <row r="240" spans="1:6" ht="14">
      <c r="A240" s="9"/>
      <c r="B240" s="89" t="str">
        <f>IFERROR(AVERAGEIFS(Articles!$W:$W, Articles!$H:$H, A240, Articles!$W:$W, "&lt;&gt;"), "")</f>
        <v/>
      </c>
      <c r="C240" s="90" t="str">
        <f>IFERROR(AVERAGEIFS(Articles!$X:$X, Articles!$H:$H, A240, Articles!$X:$X, "&lt;&gt;"), "")</f>
        <v/>
      </c>
      <c r="D240" s="91" t="str">
        <f>IFERROR(AVERAGEIFS(Articles!$Y:$Y, Articles!$H:$H, A240, Articles!$Y:$Y, "&lt;&gt;"), "")</f>
        <v/>
      </c>
      <c r="E240" s="91" t="str">
        <f>IFERROR(AVERAGEIFS(Articles!$Z:$Z, Articles!$H:$H, A240, Articles!$Z:$Z, "&lt;&gt;"), "")</f>
        <v/>
      </c>
      <c r="F240" s="91" t="str">
        <f>IFERROR(AVERAGEIFS(Articles!$AA:$AA, Articles!$H:$H, A240, Articles!$AA:$AA, "&lt;&gt;"), "")</f>
        <v/>
      </c>
    </row>
    <row r="241" spans="1:6" ht="14">
      <c r="A241" s="9"/>
      <c r="B241" s="89" t="str">
        <f>IFERROR(AVERAGEIFS(Articles!$W:$W, Articles!$H:$H, A241, Articles!$W:$W, "&lt;&gt;"), "")</f>
        <v/>
      </c>
      <c r="C241" s="90" t="str">
        <f>IFERROR(AVERAGEIFS(Articles!$X:$X, Articles!$H:$H, A241, Articles!$X:$X, "&lt;&gt;"), "")</f>
        <v/>
      </c>
      <c r="D241" s="91" t="str">
        <f>IFERROR(AVERAGEIFS(Articles!$Y:$Y, Articles!$H:$H, A241, Articles!$Y:$Y, "&lt;&gt;"), "")</f>
        <v/>
      </c>
      <c r="E241" s="91" t="str">
        <f>IFERROR(AVERAGEIFS(Articles!$Z:$Z, Articles!$H:$H, A241, Articles!$Z:$Z, "&lt;&gt;"), "")</f>
        <v/>
      </c>
      <c r="F241" s="91" t="str">
        <f>IFERROR(AVERAGEIFS(Articles!$AA:$AA, Articles!$H:$H, A241, Articles!$AA:$AA, "&lt;&gt;"), "")</f>
        <v/>
      </c>
    </row>
    <row r="242" spans="1:6" ht="14">
      <c r="A242" s="9"/>
      <c r="B242" s="89" t="str">
        <f>IFERROR(AVERAGEIFS(Articles!$W:$W, Articles!$H:$H, A242, Articles!$W:$W, "&lt;&gt;"), "")</f>
        <v/>
      </c>
      <c r="C242" s="90" t="str">
        <f>IFERROR(AVERAGEIFS(Articles!$X:$X, Articles!$H:$H, A242, Articles!$X:$X, "&lt;&gt;"), "")</f>
        <v/>
      </c>
      <c r="D242" s="91" t="str">
        <f>IFERROR(AVERAGEIFS(Articles!$Y:$Y, Articles!$H:$H, A242, Articles!$Y:$Y, "&lt;&gt;"), "")</f>
        <v/>
      </c>
      <c r="E242" s="91" t="str">
        <f>IFERROR(AVERAGEIFS(Articles!$Z:$Z, Articles!$H:$H, A242, Articles!$Z:$Z, "&lt;&gt;"), "")</f>
        <v/>
      </c>
      <c r="F242" s="91" t="str">
        <f>IFERROR(AVERAGEIFS(Articles!$AA:$AA, Articles!$H:$H, A242, Articles!$AA:$AA, "&lt;&gt;"), "")</f>
        <v/>
      </c>
    </row>
    <row r="243" spans="1:6" ht="14">
      <c r="A243" s="9"/>
      <c r="B243" s="89" t="str">
        <f>IFERROR(AVERAGEIFS(Articles!$W:$W, Articles!$H:$H, A243, Articles!$W:$W, "&lt;&gt;"), "")</f>
        <v/>
      </c>
      <c r="C243" s="90" t="str">
        <f>IFERROR(AVERAGEIFS(Articles!$X:$X, Articles!$H:$H, A243, Articles!$X:$X, "&lt;&gt;"), "")</f>
        <v/>
      </c>
      <c r="D243" s="91" t="str">
        <f>IFERROR(AVERAGEIFS(Articles!$Y:$Y, Articles!$H:$H, A243, Articles!$Y:$Y, "&lt;&gt;"), "")</f>
        <v/>
      </c>
      <c r="E243" s="91" t="str">
        <f>IFERROR(AVERAGEIFS(Articles!$Z:$Z, Articles!$H:$H, A243, Articles!$Z:$Z, "&lt;&gt;"), "")</f>
        <v/>
      </c>
      <c r="F243" s="91" t="str">
        <f>IFERROR(AVERAGEIFS(Articles!$AA:$AA, Articles!$H:$H, A243, Articles!$AA:$AA, "&lt;&gt;"), "")</f>
        <v/>
      </c>
    </row>
    <row r="244" spans="1:6" ht="14">
      <c r="A244" s="9"/>
      <c r="B244" s="89" t="str">
        <f>IFERROR(AVERAGEIFS(Articles!$W:$W, Articles!$H:$H, A244, Articles!$W:$W, "&lt;&gt;"), "")</f>
        <v/>
      </c>
      <c r="C244" s="90" t="str">
        <f>IFERROR(AVERAGEIFS(Articles!$X:$X, Articles!$H:$H, A244, Articles!$X:$X, "&lt;&gt;"), "")</f>
        <v/>
      </c>
      <c r="D244" s="91" t="str">
        <f>IFERROR(AVERAGEIFS(Articles!$Y:$Y, Articles!$H:$H, A244, Articles!$Y:$Y, "&lt;&gt;"), "")</f>
        <v/>
      </c>
      <c r="E244" s="91" t="str">
        <f>IFERROR(AVERAGEIFS(Articles!$Z:$Z, Articles!$H:$H, A244, Articles!$Z:$Z, "&lt;&gt;"), "")</f>
        <v/>
      </c>
      <c r="F244" s="91" t="str">
        <f>IFERROR(AVERAGEIFS(Articles!$AA:$AA, Articles!$H:$H, A244, Articles!$AA:$AA, "&lt;&gt;"), "")</f>
        <v/>
      </c>
    </row>
    <row r="245" spans="1:6" ht="14">
      <c r="A245" s="9"/>
      <c r="B245" s="89" t="str">
        <f>IFERROR(AVERAGEIFS(Articles!$W:$W, Articles!$H:$H, A245, Articles!$W:$W, "&lt;&gt;"), "")</f>
        <v/>
      </c>
      <c r="C245" s="90" t="str">
        <f>IFERROR(AVERAGEIFS(Articles!$X:$X, Articles!$H:$H, A245, Articles!$X:$X, "&lt;&gt;"), "")</f>
        <v/>
      </c>
      <c r="D245" s="91" t="str">
        <f>IFERROR(AVERAGEIFS(Articles!$Y:$Y, Articles!$H:$H, A245, Articles!$Y:$Y, "&lt;&gt;"), "")</f>
        <v/>
      </c>
      <c r="E245" s="91" t="str">
        <f>IFERROR(AVERAGEIFS(Articles!$Z:$Z, Articles!$H:$H, A245, Articles!$Z:$Z, "&lt;&gt;"), "")</f>
        <v/>
      </c>
      <c r="F245" s="91" t="str">
        <f>IFERROR(AVERAGEIFS(Articles!$AA:$AA, Articles!$H:$H, A245, Articles!$AA:$AA, "&lt;&gt;"), "")</f>
        <v/>
      </c>
    </row>
    <row r="246" spans="1:6" ht="14">
      <c r="A246" s="9"/>
      <c r="B246" s="89" t="str">
        <f>IFERROR(AVERAGEIFS(Articles!$W:$W, Articles!$H:$H, A246, Articles!$W:$W, "&lt;&gt;"), "")</f>
        <v/>
      </c>
      <c r="C246" s="90" t="str">
        <f>IFERROR(AVERAGEIFS(Articles!$X:$X, Articles!$H:$H, A246, Articles!$X:$X, "&lt;&gt;"), "")</f>
        <v/>
      </c>
      <c r="D246" s="91" t="str">
        <f>IFERROR(AVERAGEIFS(Articles!$Y:$Y, Articles!$H:$H, A246, Articles!$Y:$Y, "&lt;&gt;"), "")</f>
        <v/>
      </c>
      <c r="E246" s="91" t="str">
        <f>IFERROR(AVERAGEIFS(Articles!$Z:$Z, Articles!$H:$H, A246, Articles!$Z:$Z, "&lt;&gt;"), "")</f>
        <v/>
      </c>
      <c r="F246" s="91" t="str">
        <f>IFERROR(AVERAGEIFS(Articles!$AA:$AA, Articles!$H:$H, A246, Articles!$AA:$AA, "&lt;&gt;"), "")</f>
        <v/>
      </c>
    </row>
    <row r="247" spans="1:6" ht="14">
      <c r="A247" s="9"/>
      <c r="B247" s="89" t="str">
        <f>IFERROR(AVERAGEIFS(Articles!$W:$W, Articles!$H:$H, A247, Articles!$W:$W, "&lt;&gt;"), "")</f>
        <v/>
      </c>
      <c r="C247" s="90" t="str">
        <f>IFERROR(AVERAGEIFS(Articles!$X:$X, Articles!$H:$H, A247, Articles!$X:$X, "&lt;&gt;"), "")</f>
        <v/>
      </c>
      <c r="D247" s="91" t="str">
        <f>IFERROR(AVERAGEIFS(Articles!$Y:$Y, Articles!$H:$H, A247, Articles!$Y:$Y, "&lt;&gt;"), "")</f>
        <v/>
      </c>
      <c r="E247" s="91" t="str">
        <f>IFERROR(AVERAGEIFS(Articles!$Z:$Z, Articles!$H:$H, A247, Articles!$Z:$Z, "&lt;&gt;"), "")</f>
        <v/>
      </c>
      <c r="F247" s="91" t="str">
        <f>IFERROR(AVERAGEIFS(Articles!$AA:$AA, Articles!$H:$H, A247, Articles!$AA:$AA, "&lt;&gt;"), "")</f>
        <v/>
      </c>
    </row>
    <row r="248" spans="1:6" ht="14">
      <c r="A248" s="9"/>
      <c r="B248" s="89" t="str">
        <f>IFERROR(AVERAGEIFS(Articles!$W:$W, Articles!$H:$H, A248, Articles!$W:$W, "&lt;&gt;"), "")</f>
        <v/>
      </c>
      <c r="C248" s="90" t="str">
        <f>IFERROR(AVERAGEIFS(Articles!$X:$X, Articles!$H:$H, A248, Articles!$X:$X, "&lt;&gt;"), "")</f>
        <v/>
      </c>
      <c r="D248" s="91" t="str">
        <f>IFERROR(AVERAGEIFS(Articles!$Y:$Y, Articles!$H:$H, A248, Articles!$Y:$Y, "&lt;&gt;"), "")</f>
        <v/>
      </c>
      <c r="E248" s="91" t="str">
        <f>IFERROR(AVERAGEIFS(Articles!$Z:$Z, Articles!$H:$H, A248, Articles!$Z:$Z, "&lt;&gt;"), "")</f>
        <v/>
      </c>
      <c r="F248" s="91" t="str">
        <f>IFERROR(AVERAGEIFS(Articles!$AA:$AA, Articles!$H:$H, A248, Articles!$AA:$AA, "&lt;&gt;"), "")</f>
        <v/>
      </c>
    </row>
    <row r="249" spans="1:6" ht="14">
      <c r="A249" s="9"/>
      <c r="B249" s="89" t="str">
        <f>IFERROR(AVERAGEIFS(Articles!$W:$W, Articles!$H:$H, A249, Articles!$W:$W, "&lt;&gt;"), "")</f>
        <v/>
      </c>
      <c r="C249" s="90" t="str">
        <f>IFERROR(AVERAGEIFS(Articles!$X:$X, Articles!$H:$H, A249, Articles!$X:$X, "&lt;&gt;"), "")</f>
        <v/>
      </c>
      <c r="D249" s="91" t="str">
        <f>IFERROR(AVERAGEIFS(Articles!$Y:$Y, Articles!$H:$H, A249, Articles!$Y:$Y, "&lt;&gt;"), "")</f>
        <v/>
      </c>
      <c r="E249" s="91" t="str">
        <f>IFERROR(AVERAGEIFS(Articles!$Z:$Z, Articles!$H:$H, A249, Articles!$Z:$Z, "&lt;&gt;"), "")</f>
        <v/>
      </c>
      <c r="F249" s="91" t="str">
        <f>IFERROR(AVERAGEIFS(Articles!$AA:$AA, Articles!$H:$H, A249, Articles!$AA:$AA, "&lt;&gt;"), "")</f>
        <v/>
      </c>
    </row>
    <row r="250" spans="1:6" ht="14">
      <c r="A250" s="9"/>
      <c r="B250" s="89" t="str">
        <f>IFERROR(AVERAGEIFS(Articles!$W:$W, Articles!$H:$H, A250, Articles!$W:$W, "&lt;&gt;"), "")</f>
        <v/>
      </c>
      <c r="C250" s="90" t="str">
        <f>IFERROR(AVERAGEIFS(Articles!$X:$X, Articles!$H:$H, A250, Articles!$X:$X, "&lt;&gt;"), "")</f>
        <v/>
      </c>
      <c r="D250" s="91" t="str">
        <f>IFERROR(AVERAGEIFS(Articles!$Y:$Y, Articles!$H:$H, A250, Articles!$Y:$Y, "&lt;&gt;"), "")</f>
        <v/>
      </c>
      <c r="E250" s="91" t="str">
        <f>IFERROR(AVERAGEIFS(Articles!$Z:$Z, Articles!$H:$H, A250, Articles!$Z:$Z, "&lt;&gt;"), "")</f>
        <v/>
      </c>
      <c r="F250" s="91" t="str">
        <f>IFERROR(AVERAGEIFS(Articles!$AA:$AA, Articles!$H:$H, A250, Articles!$AA:$AA, "&lt;&gt;"), "")</f>
        <v/>
      </c>
    </row>
    <row r="251" spans="1:6" ht="14">
      <c r="A251" s="9"/>
      <c r="B251" s="89" t="str">
        <f>IFERROR(AVERAGEIFS(Articles!$W:$W, Articles!$H:$H, A251, Articles!$W:$W, "&lt;&gt;"), "")</f>
        <v/>
      </c>
      <c r="C251" s="90" t="str">
        <f>IFERROR(AVERAGEIFS(Articles!$X:$X, Articles!$H:$H, A251, Articles!$X:$X, "&lt;&gt;"), "")</f>
        <v/>
      </c>
      <c r="D251" s="91" t="str">
        <f>IFERROR(AVERAGEIFS(Articles!$Y:$Y, Articles!$H:$H, A251, Articles!$Y:$Y, "&lt;&gt;"), "")</f>
        <v/>
      </c>
      <c r="E251" s="91" t="str">
        <f>IFERROR(AVERAGEIFS(Articles!$Z:$Z, Articles!$H:$H, A251, Articles!$Z:$Z, "&lt;&gt;"), "")</f>
        <v/>
      </c>
      <c r="F251" s="91" t="str">
        <f>IFERROR(AVERAGEIFS(Articles!$AA:$AA, Articles!$H:$H, A251, Articles!$AA:$AA, "&lt;&gt;"), "")</f>
        <v/>
      </c>
    </row>
    <row r="252" spans="1:6" ht="14">
      <c r="A252" s="9"/>
      <c r="B252" s="89" t="str">
        <f>IFERROR(AVERAGEIFS(Articles!$W:$W, Articles!$H:$H, A252, Articles!$W:$W, "&lt;&gt;"), "")</f>
        <v/>
      </c>
      <c r="C252" s="90" t="str">
        <f>IFERROR(AVERAGEIFS(Articles!$X:$X, Articles!$H:$H, A252, Articles!$X:$X, "&lt;&gt;"), "")</f>
        <v/>
      </c>
      <c r="D252" s="91" t="str">
        <f>IFERROR(AVERAGEIFS(Articles!$Y:$Y, Articles!$H:$H, A252, Articles!$Y:$Y, "&lt;&gt;"), "")</f>
        <v/>
      </c>
      <c r="E252" s="91" t="str">
        <f>IFERROR(AVERAGEIFS(Articles!$Z:$Z, Articles!$H:$H, A252, Articles!$Z:$Z, "&lt;&gt;"), "")</f>
        <v/>
      </c>
      <c r="F252" s="91" t="str">
        <f>IFERROR(AVERAGEIFS(Articles!$AA:$AA, Articles!$H:$H, A252, Articles!$AA:$AA, "&lt;&gt;"), "")</f>
        <v/>
      </c>
    </row>
    <row r="253" spans="1:6" ht="14">
      <c r="A253" s="9"/>
      <c r="B253" s="89" t="str">
        <f>IFERROR(AVERAGEIFS(Articles!$W:$W, Articles!$H:$H, A253, Articles!$W:$W, "&lt;&gt;"), "")</f>
        <v/>
      </c>
      <c r="C253" s="90" t="str">
        <f>IFERROR(AVERAGEIFS(Articles!$X:$X, Articles!$H:$H, A253, Articles!$X:$X, "&lt;&gt;"), "")</f>
        <v/>
      </c>
      <c r="D253" s="91" t="str">
        <f>IFERROR(AVERAGEIFS(Articles!$Y:$Y, Articles!$H:$H, A253, Articles!$Y:$Y, "&lt;&gt;"), "")</f>
        <v/>
      </c>
      <c r="E253" s="91" t="str">
        <f>IFERROR(AVERAGEIFS(Articles!$Z:$Z, Articles!$H:$H, A253, Articles!$Z:$Z, "&lt;&gt;"), "")</f>
        <v/>
      </c>
      <c r="F253" s="91" t="str">
        <f>IFERROR(AVERAGEIFS(Articles!$AA:$AA, Articles!$H:$H, A253, Articles!$AA:$AA, "&lt;&gt;"), "")</f>
        <v/>
      </c>
    </row>
    <row r="254" spans="1:6" ht="14">
      <c r="A254" s="9"/>
      <c r="B254" s="89" t="str">
        <f>IFERROR(AVERAGEIFS(Articles!$W:$W, Articles!$H:$H, A254, Articles!$W:$W, "&lt;&gt;"), "")</f>
        <v/>
      </c>
      <c r="C254" s="90" t="str">
        <f>IFERROR(AVERAGEIFS(Articles!$X:$X, Articles!$H:$H, A254, Articles!$X:$X, "&lt;&gt;"), "")</f>
        <v/>
      </c>
      <c r="D254" s="91" t="str">
        <f>IFERROR(AVERAGEIFS(Articles!$Y:$Y, Articles!$H:$H, A254, Articles!$Y:$Y, "&lt;&gt;"), "")</f>
        <v/>
      </c>
      <c r="E254" s="91" t="str">
        <f>IFERROR(AVERAGEIFS(Articles!$Z:$Z, Articles!$H:$H, A254, Articles!$Z:$Z, "&lt;&gt;"), "")</f>
        <v/>
      </c>
      <c r="F254" s="91" t="str">
        <f>IFERROR(AVERAGEIFS(Articles!$AA:$AA, Articles!$H:$H, A254, Articles!$AA:$AA, "&lt;&gt;"), "")</f>
        <v/>
      </c>
    </row>
    <row r="255" spans="1:6" ht="14">
      <c r="A255" s="9"/>
      <c r="B255" s="89" t="str">
        <f>IFERROR(AVERAGEIFS(Articles!$W:$W, Articles!$H:$H, A255, Articles!$W:$W, "&lt;&gt;"), "")</f>
        <v/>
      </c>
      <c r="C255" s="90" t="str">
        <f>IFERROR(AVERAGEIFS(Articles!$X:$X, Articles!$H:$H, A255, Articles!$X:$X, "&lt;&gt;"), "")</f>
        <v/>
      </c>
      <c r="D255" s="91" t="str">
        <f>IFERROR(AVERAGEIFS(Articles!$Y:$Y, Articles!$H:$H, A255, Articles!$Y:$Y, "&lt;&gt;"), "")</f>
        <v/>
      </c>
      <c r="E255" s="91" t="str">
        <f>IFERROR(AVERAGEIFS(Articles!$Z:$Z, Articles!$H:$H, A255, Articles!$Z:$Z, "&lt;&gt;"), "")</f>
        <v/>
      </c>
      <c r="F255" s="91" t="str">
        <f>IFERROR(AVERAGEIFS(Articles!$AA:$AA, Articles!$H:$H, A255, Articles!$AA:$AA, "&lt;&gt;"), "")</f>
        <v/>
      </c>
    </row>
    <row r="256" spans="1:6" ht="14">
      <c r="A256" s="9"/>
      <c r="B256" s="89" t="str">
        <f>IFERROR(AVERAGEIFS(Articles!$W:$W, Articles!$H:$H, A256, Articles!$W:$W, "&lt;&gt;"), "")</f>
        <v/>
      </c>
      <c r="C256" s="90" t="str">
        <f>IFERROR(AVERAGEIFS(Articles!$X:$X, Articles!$H:$H, A256, Articles!$X:$X, "&lt;&gt;"), "")</f>
        <v/>
      </c>
      <c r="D256" s="91" t="str">
        <f>IFERROR(AVERAGEIFS(Articles!$Y:$Y, Articles!$H:$H, A256, Articles!$Y:$Y, "&lt;&gt;"), "")</f>
        <v/>
      </c>
      <c r="E256" s="91" t="str">
        <f>IFERROR(AVERAGEIFS(Articles!$Z:$Z, Articles!$H:$H, A256, Articles!$Z:$Z, "&lt;&gt;"), "")</f>
        <v/>
      </c>
      <c r="F256" s="91" t="str">
        <f>IFERROR(AVERAGEIFS(Articles!$AA:$AA, Articles!$H:$H, A256, Articles!$AA:$AA, "&lt;&gt;"), "")</f>
        <v/>
      </c>
    </row>
    <row r="257" spans="1:6" ht="14">
      <c r="A257" s="9"/>
      <c r="B257" s="89" t="str">
        <f>IFERROR(AVERAGEIFS(Articles!$W:$W, Articles!$H:$H, A257, Articles!$W:$W, "&lt;&gt;"), "")</f>
        <v/>
      </c>
      <c r="C257" s="90" t="str">
        <f>IFERROR(AVERAGEIFS(Articles!$X:$X, Articles!$H:$H, A257, Articles!$X:$X, "&lt;&gt;"), "")</f>
        <v/>
      </c>
      <c r="D257" s="91" t="str">
        <f>IFERROR(AVERAGEIFS(Articles!$Y:$Y, Articles!$H:$H, A257, Articles!$Y:$Y, "&lt;&gt;"), "")</f>
        <v/>
      </c>
      <c r="E257" s="91" t="str">
        <f>IFERROR(AVERAGEIFS(Articles!$Z:$Z, Articles!$H:$H, A257, Articles!$Z:$Z, "&lt;&gt;"), "")</f>
        <v/>
      </c>
      <c r="F257" s="91" t="str">
        <f>IFERROR(AVERAGEIFS(Articles!$AA:$AA, Articles!$H:$H, A257, Articles!$AA:$AA, "&lt;&gt;"), "")</f>
        <v/>
      </c>
    </row>
    <row r="258" spans="1:6" ht="14">
      <c r="A258" s="9"/>
      <c r="B258" s="89" t="str">
        <f>IFERROR(AVERAGEIFS(Articles!$W:$W, Articles!$H:$H, A258, Articles!$W:$W, "&lt;&gt;"), "")</f>
        <v/>
      </c>
      <c r="C258" s="90" t="str">
        <f>IFERROR(AVERAGEIFS(Articles!$X:$X, Articles!$H:$H, A258, Articles!$X:$X, "&lt;&gt;"), "")</f>
        <v/>
      </c>
      <c r="D258" s="91" t="str">
        <f>IFERROR(AVERAGEIFS(Articles!$Y:$Y, Articles!$H:$H, A258, Articles!$Y:$Y, "&lt;&gt;"), "")</f>
        <v/>
      </c>
      <c r="E258" s="91" t="str">
        <f>IFERROR(AVERAGEIFS(Articles!$Z:$Z, Articles!$H:$H, A258, Articles!$Z:$Z, "&lt;&gt;"), "")</f>
        <v/>
      </c>
      <c r="F258" s="91" t="str">
        <f>IFERROR(AVERAGEIFS(Articles!$AA:$AA, Articles!$H:$H, A258, Articles!$AA:$AA, "&lt;&gt;"), "")</f>
        <v/>
      </c>
    </row>
    <row r="259" spans="1:6" ht="14">
      <c r="A259" s="9"/>
      <c r="B259" s="89" t="str">
        <f>IFERROR(AVERAGEIFS(Articles!$W:$W, Articles!$H:$H, A259, Articles!$W:$W, "&lt;&gt;"), "")</f>
        <v/>
      </c>
      <c r="C259" s="90" t="str">
        <f>IFERROR(AVERAGEIFS(Articles!$X:$X, Articles!$H:$H, A259, Articles!$X:$X, "&lt;&gt;"), "")</f>
        <v/>
      </c>
      <c r="D259" s="91" t="str">
        <f>IFERROR(AVERAGEIFS(Articles!$Y:$Y, Articles!$H:$H, A259, Articles!$Y:$Y, "&lt;&gt;"), "")</f>
        <v/>
      </c>
      <c r="E259" s="91" t="str">
        <f>IFERROR(AVERAGEIFS(Articles!$Z:$Z, Articles!$H:$H, A259, Articles!$Z:$Z, "&lt;&gt;"), "")</f>
        <v/>
      </c>
      <c r="F259" s="91" t="str">
        <f>IFERROR(AVERAGEIFS(Articles!$AA:$AA, Articles!$H:$H, A259, Articles!$AA:$AA, "&lt;&gt;"), "")</f>
        <v/>
      </c>
    </row>
    <row r="260" spans="1:6" ht="14">
      <c r="A260" s="9"/>
      <c r="B260" s="89" t="str">
        <f>IFERROR(AVERAGEIFS(Articles!$W:$W, Articles!$H:$H, A260, Articles!$W:$W, "&lt;&gt;"), "")</f>
        <v/>
      </c>
      <c r="C260" s="90" t="str">
        <f>IFERROR(AVERAGEIFS(Articles!$X:$X, Articles!$H:$H, A260, Articles!$X:$X, "&lt;&gt;"), "")</f>
        <v/>
      </c>
      <c r="D260" s="91" t="str">
        <f>IFERROR(AVERAGEIFS(Articles!$Y:$Y, Articles!$H:$H, A260, Articles!$Y:$Y, "&lt;&gt;"), "")</f>
        <v/>
      </c>
      <c r="E260" s="91" t="str">
        <f>IFERROR(AVERAGEIFS(Articles!$Z:$Z, Articles!$H:$H, A260, Articles!$Z:$Z, "&lt;&gt;"), "")</f>
        <v/>
      </c>
      <c r="F260" s="91" t="str">
        <f>IFERROR(AVERAGEIFS(Articles!$AA:$AA, Articles!$H:$H, A260, Articles!$AA:$AA, "&lt;&gt;"), "")</f>
        <v/>
      </c>
    </row>
    <row r="261" spans="1:6" ht="14">
      <c r="A261" s="9"/>
      <c r="B261" s="89" t="str">
        <f>IFERROR(AVERAGEIFS(Articles!$W:$W, Articles!$H:$H, A261, Articles!$W:$W, "&lt;&gt;"), "")</f>
        <v/>
      </c>
      <c r="C261" s="90" t="str">
        <f>IFERROR(AVERAGEIFS(Articles!$X:$X, Articles!$H:$H, A261, Articles!$X:$X, "&lt;&gt;"), "")</f>
        <v/>
      </c>
      <c r="D261" s="91" t="str">
        <f>IFERROR(AVERAGEIFS(Articles!$Y:$Y, Articles!$H:$H, A261, Articles!$Y:$Y, "&lt;&gt;"), "")</f>
        <v/>
      </c>
      <c r="E261" s="91" t="str">
        <f>IFERROR(AVERAGEIFS(Articles!$Z:$Z, Articles!$H:$H, A261, Articles!$Z:$Z, "&lt;&gt;"), "")</f>
        <v/>
      </c>
      <c r="F261" s="91" t="str">
        <f>IFERROR(AVERAGEIFS(Articles!$AA:$AA, Articles!$H:$H, A261, Articles!$AA:$AA, "&lt;&gt;"), "")</f>
        <v/>
      </c>
    </row>
    <row r="262" spans="1:6" ht="14">
      <c r="A262" s="9"/>
      <c r="B262" s="89" t="str">
        <f>IFERROR(AVERAGEIFS(Articles!$W:$W, Articles!$H:$H, A262, Articles!$W:$W, "&lt;&gt;"), "")</f>
        <v/>
      </c>
      <c r="C262" s="90" t="str">
        <f>IFERROR(AVERAGEIFS(Articles!$X:$X, Articles!$H:$H, A262, Articles!$X:$X, "&lt;&gt;"), "")</f>
        <v/>
      </c>
      <c r="D262" s="91" t="str">
        <f>IFERROR(AVERAGEIFS(Articles!$Y:$Y, Articles!$H:$H, A262, Articles!$Y:$Y, "&lt;&gt;"), "")</f>
        <v/>
      </c>
      <c r="E262" s="91" t="str">
        <f>IFERROR(AVERAGEIFS(Articles!$Z:$Z, Articles!$H:$H, A262, Articles!$Z:$Z, "&lt;&gt;"), "")</f>
        <v/>
      </c>
      <c r="F262" s="91" t="str">
        <f>IFERROR(AVERAGEIFS(Articles!$AA:$AA, Articles!$H:$H, A262, Articles!$AA:$AA, "&lt;&gt;"), "")</f>
        <v/>
      </c>
    </row>
    <row r="263" spans="1:6" ht="14">
      <c r="A263" s="9"/>
      <c r="B263" s="89" t="str">
        <f>IFERROR(AVERAGEIFS(Articles!$W:$W, Articles!$H:$H, A263, Articles!$W:$W, "&lt;&gt;"), "")</f>
        <v/>
      </c>
      <c r="C263" s="90" t="str">
        <f>IFERROR(AVERAGEIFS(Articles!$X:$X, Articles!$H:$H, A263, Articles!$X:$X, "&lt;&gt;"), "")</f>
        <v/>
      </c>
      <c r="D263" s="91" t="str">
        <f>IFERROR(AVERAGEIFS(Articles!$Y:$Y, Articles!$H:$H, A263, Articles!$Y:$Y, "&lt;&gt;"), "")</f>
        <v/>
      </c>
      <c r="E263" s="91" t="str">
        <f>IFERROR(AVERAGEIFS(Articles!$Z:$Z, Articles!$H:$H, A263, Articles!$Z:$Z, "&lt;&gt;"), "")</f>
        <v/>
      </c>
      <c r="F263" s="91" t="str">
        <f>IFERROR(AVERAGEIFS(Articles!$AA:$AA, Articles!$H:$H, A263, Articles!$AA:$AA, "&lt;&gt;"), "")</f>
        <v/>
      </c>
    </row>
    <row r="264" spans="1:6" ht="14">
      <c r="A264" s="9"/>
      <c r="B264" s="89" t="str">
        <f>IFERROR(AVERAGEIFS(Articles!$W:$W, Articles!$H:$H, A264, Articles!$W:$W, "&lt;&gt;"), "")</f>
        <v/>
      </c>
      <c r="C264" s="90" t="str">
        <f>IFERROR(AVERAGEIFS(Articles!$X:$X, Articles!$H:$H, A264, Articles!$X:$X, "&lt;&gt;"), "")</f>
        <v/>
      </c>
      <c r="D264" s="91" t="str">
        <f>IFERROR(AVERAGEIFS(Articles!$Y:$Y, Articles!$H:$H, A264, Articles!$Y:$Y, "&lt;&gt;"), "")</f>
        <v/>
      </c>
      <c r="E264" s="91" t="str">
        <f>IFERROR(AVERAGEIFS(Articles!$Z:$Z, Articles!$H:$H, A264, Articles!$Z:$Z, "&lt;&gt;"), "")</f>
        <v/>
      </c>
      <c r="F264" s="91" t="str">
        <f>IFERROR(AVERAGEIFS(Articles!$AA:$AA, Articles!$H:$H, A264, Articles!$AA:$AA, "&lt;&gt;"), "")</f>
        <v/>
      </c>
    </row>
    <row r="265" spans="1:6" ht="14">
      <c r="A265" s="9"/>
      <c r="B265" s="89" t="str">
        <f>IFERROR(AVERAGEIFS(Articles!$W:$W, Articles!$H:$H, A265, Articles!$W:$W, "&lt;&gt;"), "")</f>
        <v/>
      </c>
      <c r="C265" s="90" t="str">
        <f>IFERROR(AVERAGEIFS(Articles!$X:$X, Articles!$H:$H, A265, Articles!$X:$X, "&lt;&gt;"), "")</f>
        <v/>
      </c>
      <c r="D265" s="91" t="str">
        <f>IFERROR(AVERAGEIFS(Articles!$Y:$Y, Articles!$H:$H, A265, Articles!$Y:$Y, "&lt;&gt;"), "")</f>
        <v/>
      </c>
      <c r="E265" s="91" t="str">
        <f>IFERROR(AVERAGEIFS(Articles!$Z:$Z, Articles!$H:$H, A265, Articles!$Z:$Z, "&lt;&gt;"), "")</f>
        <v/>
      </c>
      <c r="F265" s="91" t="str">
        <f>IFERROR(AVERAGEIFS(Articles!$AA:$AA, Articles!$H:$H, A265, Articles!$AA:$AA, "&lt;&gt;"), "")</f>
        <v/>
      </c>
    </row>
    <row r="266" spans="1:6" ht="14">
      <c r="A266" s="9"/>
      <c r="B266" s="89" t="str">
        <f>IFERROR(AVERAGEIFS(Articles!$W:$W, Articles!$H:$H, A266, Articles!$W:$W, "&lt;&gt;"), "")</f>
        <v/>
      </c>
      <c r="C266" s="90" t="str">
        <f>IFERROR(AVERAGEIFS(Articles!$X:$X, Articles!$H:$H, A266, Articles!$X:$X, "&lt;&gt;"), "")</f>
        <v/>
      </c>
      <c r="D266" s="91" t="str">
        <f>IFERROR(AVERAGEIFS(Articles!$Y:$Y, Articles!$H:$H, A266, Articles!$Y:$Y, "&lt;&gt;"), "")</f>
        <v/>
      </c>
      <c r="E266" s="91" t="str">
        <f>IFERROR(AVERAGEIFS(Articles!$Z:$Z, Articles!$H:$H, A266, Articles!$Z:$Z, "&lt;&gt;"), "")</f>
        <v/>
      </c>
      <c r="F266" s="91" t="str">
        <f>IFERROR(AVERAGEIFS(Articles!$AA:$AA, Articles!$H:$H, A266, Articles!$AA:$AA, "&lt;&gt;"), "")</f>
        <v/>
      </c>
    </row>
    <row r="267" spans="1:6" ht="14">
      <c r="A267" s="9"/>
      <c r="B267" s="89" t="str">
        <f>IFERROR(AVERAGEIFS(Articles!$W:$W, Articles!$H:$H, A267, Articles!$W:$W, "&lt;&gt;"), "")</f>
        <v/>
      </c>
      <c r="C267" s="90" t="str">
        <f>IFERROR(AVERAGEIFS(Articles!$X:$X, Articles!$H:$H, A267, Articles!$X:$X, "&lt;&gt;"), "")</f>
        <v/>
      </c>
      <c r="D267" s="91" t="str">
        <f>IFERROR(AVERAGEIFS(Articles!$Y:$Y, Articles!$H:$H, A267, Articles!$Y:$Y, "&lt;&gt;"), "")</f>
        <v/>
      </c>
      <c r="E267" s="91" t="str">
        <f>IFERROR(AVERAGEIFS(Articles!$Z:$Z, Articles!$H:$H, A267, Articles!$Z:$Z, "&lt;&gt;"), "")</f>
        <v/>
      </c>
      <c r="F267" s="91" t="str">
        <f>IFERROR(AVERAGEIFS(Articles!$AA:$AA, Articles!$H:$H, A267, Articles!$AA:$AA, "&lt;&gt;"), "")</f>
        <v/>
      </c>
    </row>
    <row r="268" spans="1:6" ht="14">
      <c r="A268" s="9"/>
      <c r="B268" s="89" t="str">
        <f>IFERROR(AVERAGEIFS(Articles!$W:$W, Articles!$H:$H, A268, Articles!$W:$W, "&lt;&gt;"), "")</f>
        <v/>
      </c>
      <c r="C268" s="90" t="str">
        <f>IFERROR(AVERAGEIFS(Articles!$X:$X, Articles!$H:$H, A268, Articles!$X:$X, "&lt;&gt;"), "")</f>
        <v/>
      </c>
      <c r="D268" s="91" t="str">
        <f>IFERROR(AVERAGEIFS(Articles!$Y:$Y, Articles!$H:$H, A268, Articles!$Y:$Y, "&lt;&gt;"), "")</f>
        <v/>
      </c>
      <c r="E268" s="91" t="str">
        <f>IFERROR(AVERAGEIFS(Articles!$Z:$Z, Articles!$H:$H, A268, Articles!$Z:$Z, "&lt;&gt;"), "")</f>
        <v/>
      </c>
      <c r="F268" s="91" t="str">
        <f>IFERROR(AVERAGEIFS(Articles!$AA:$AA, Articles!$H:$H, A268, Articles!$AA:$AA, "&lt;&gt;"), "")</f>
        <v/>
      </c>
    </row>
    <row r="269" spans="1:6" ht="14">
      <c r="A269" s="9"/>
      <c r="B269" s="89" t="str">
        <f>IFERROR(AVERAGEIFS(Articles!$W:$W, Articles!$H:$H, A269, Articles!$W:$W, "&lt;&gt;"), "")</f>
        <v/>
      </c>
      <c r="C269" s="90" t="str">
        <f>IFERROR(AVERAGEIFS(Articles!$X:$X, Articles!$H:$H, A269, Articles!$X:$X, "&lt;&gt;"), "")</f>
        <v/>
      </c>
      <c r="D269" s="91" t="str">
        <f>IFERROR(AVERAGEIFS(Articles!$Y:$Y, Articles!$H:$H, A269, Articles!$Y:$Y, "&lt;&gt;"), "")</f>
        <v/>
      </c>
      <c r="E269" s="91" t="str">
        <f>IFERROR(AVERAGEIFS(Articles!$Z:$Z, Articles!$H:$H, A269, Articles!$Z:$Z, "&lt;&gt;"), "")</f>
        <v/>
      </c>
      <c r="F269" s="91" t="str">
        <f>IFERROR(AVERAGEIFS(Articles!$AA:$AA, Articles!$H:$H, A269, Articles!$AA:$AA, "&lt;&gt;"), "")</f>
        <v/>
      </c>
    </row>
    <row r="270" spans="1:6" ht="12.5">
      <c r="A270" s="9"/>
      <c r="B270" s="89"/>
      <c r="C270" s="89"/>
      <c r="D270" s="89"/>
      <c r="E270" s="89"/>
      <c r="F270" s="89"/>
    </row>
    <row r="271" spans="1:6" ht="12.5">
      <c r="A271" s="9"/>
      <c r="B271" s="89"/>
      <c r="C271" s="89"/>
      <c r="D271" s="89"/>
      <c r="E271" s="89"/>
      <c r="F271" s="89"/>
    </row>
    <row r="272" spans="1:6" ht="12.5">
      <c r="A272" s="9"/>
      <c r="B272" s="89"/>
      <c r="C272" s="89"/>
      <c r="D272" s="89"/>
      <c r="E272" s="89"/>
      <c r="F272" s="89"/>
    </row>
    <row r="273" spans="1:6" ht="12.5">
      <c r="A273" s="9"/>
      <c r="B273" s="89"/>
      <c r="C273" s="89"/>
      <c r="D273" s="89"/>
      <c r="E273" s="89"/>
      <c r="F273" s="89"/>
    </row>
    <row r="274" spans="1:6" ht="12.5">
      <c r="A274" s="9"/>
      <c r="B274" s="89"/>
      <c r="C274" s="89"/>
      <c r="D274" s="89"/>
      <c r="E274" s="89"/>
      <c r="F274" s="89"/>
    </row>
    <row r="275" spans="1:6" ht="12.5">
      <c r="A275" s="9"/>
      <c r="B275" s="89"/>
      <c r="C275" s="89"/>
      <c r="D275" s="89"/>
      <c r="E275" s="89"/>
      <c r="F275" s="89"/>
    </row>
    <row r="276" spans="1:6" ht="12.5">
      <c r="A276" s="9"/>
      <c r="B276" s="89"/>
      <c r="C276" s="89"/>
      <c r="D276" s="89"/>
      <c r="E276" s="89"/>
      <c r="F276" s="89"/>
    </row>
    <row r="277" spans="1:6" ht="12.5">
      <c r="A277" s="9"/>
      <c r="B277" s="89"/>
      <c r="C277" s="89"/>
      <c r="D277" s="89"/>
      <c r="E277" s="89"/>
      <c r="F277" s="89"/>
    </row>
    <row r="278" spans="1:6" ht="12.5">
      <c r="A278" s="9"/>
      <c r="B278" s="89"/>
      <c r="C278" s="89"/>
      <c r="D278" s="89"/>
      <c r="E278" s="89"/>
      <c r="F278" s="89"/>
    </row>
    <row r="279" spans="1:6" ht="12.5">
      <c r="A279" s="9"/>
      <c r="B279" s="89"/>
      <c r="C279" s="89"/>
      <c r="D279" s="89"/>
      <c r="E279" s="89"/>
      <c r="F279" s="89"/>
    </row>
    <row r="280" spans="1:6" ht="12.5">
      <c r="A280" s="9"/>
      <c r="B280" s="89"/>
      <c r="C280" s="89"/>
      <c r="D280" s="89"/>
      <c r="E280" s="89"/>
      <c r="F280" s="89"/>
    </row>
    <row r="281" spans="1:6" ht="12.5">
      <c r="A281" s="9"/>
      <c r="B281" s="89"/>
      <c r="C281" s="89"/>
      <c r="D281" s="89"/>
      <c r="E281" s="89"/>
      <c r="F281" s="89"/>
    </row>
    <row r="282" spans="1:6" ht="12.5">
      <c r="A282" s="9"/>
      <c r="B282" s="89"/>
      <c r="C282" s="89"/>
      <c r="D282" s="89"/>
      <c r="E282" s="89"/>
      <c r="F282" s="89"/>
    </row>
    <row r="283" spans="1:6" ht="12.5">
      <c r="A283" s="9"/>
      <c r="B283" s="89"/>
      <c r="C283" s="89"/>
      <c r="D283" s="89"/>
      <c r="E283" s="89"/>
      <c r="F283" s="89"/>
    </row>
    <row r="284" spans="1:6" ht="12.5">
      <c r="A284" s="9"/>
      <c r="B284" s="89"/>
      <c r="C284" s="89"/>
      <c r="D284" s="89"/>
      <c r="E284" s="89"/>
      <c r="F284" s="89"/>
    </row>
    <row r="285" spans="1:6" ht="12.5">
      <c r="A285" s="9"/>
      <c r="B285" s="89"/>
      <c r="C285" s="89"/>
      <c r="D285" s="89"/>
      <c r="E285" s="89"/>
      <c r="F285" s="89"/>
    </row>
    <row r="286" spans="1:6" ht="12.5">
      <c r="A286" s="9"/>
      <c r="B286" s="89"/>
      <c r="C286" s="89"/>
      <c r="D286" s="89"/>
      <c r="E286" s="89"/>
      <c r="F286" s="89"/>
    </row>
    <row r="287" spans="1:6" ht="12.5">
      <c r="A287" s="9"/>
      <c r="B287" s="89"/>
      <c r="C287" s="89"/>
      <c r="D287" s="89"/>
      <c r="E287" s="89"/>
      <c r="F287" s="89"/>
    </row>
    <row r="288" spans="1:6" ht="12.5">
      <c r="A288" s="9"/>
      <c r="B288" s="89"/>
      <c r="C288" s="89"/>
      <c r="D288" s="89"/>
      <c r="E288" s="89"/>
      <c r="F288" s="89"/>
    </row>
    <row r="289" spans="1:6" ht="12.5">
      <c r="A289" s="9"/>
      <c r="B289" s="89"/>
      <c r="C289" s="89"/>
      <c r="D289" s="89"/>
      <c r="E289" s="89"/>
      <c r="F289" s="89"/>
    </row>
    <row r="290" spans="1:6" ht="12.5">
      <c r="A290" s="9"/>
      <c r="B290" s="89"/>
      <c r="C290" s="89"/>
      <c r="D290" s="89"/>
      <c r="E290" s="89"/>
      <c r="F290" s="89"/>
    </row>
    <row r="291" spans="1:6" ht="12.5">
      <c r="A291" s="9"/>
      <c r="B291" s="89"/>
      <c r="C291" s="89"/>
      <c r="D291" s="89"/>
      <c r="E291" s="89"/>
      <c r="F291" s="89"/>
    </row>
    <row r="292" spans="1:6" ht="12.5">
      <c r="A292" s="9"/>
      <c r="B292" s="89"/>
      <c r="C292" s="89"/>
      <c r="D292" s="89"/>
      <c r="E292" s="89"/>
      <c r="F292" s="89"/>
    </row>
    <row r="293" spans="1:6" ht="12.5">
      <c r="A293" s="9"/>
      <c r="B293" s="89"/>
      <c r="C293" s="89"/>
      <c r="D293" s="89"/>
      <c r="E293" s="89"/>
      <c r="F293" s="89"/>
    </row>
    <row r="294" spans="1:6" ht="12.5">
      <c r="A294" s="9"/>
      <c r="B294" s="89"/>
      <c r="C294" s="89"/>
      <c r="D294" s="89"/>
      <c r="E294" s="89"/>
      <c r="F294" s="89"/>
    </row>
    <row r="295" spans="1:6" ht="12.5">
      <c r="A295" s="9"/>
      <c r="B295" s="89"/>
      <c r="C295" s="89"/>
      <c r="D295" s="89"/>
      <c r="E295" s="89"/>
      <c r="F295" s="89"/>
    </row>
    <row r="296" spans="1:6" ht="12.5">
      <c r="A296" s="9"/>
      <c r="B296" s="89"/>
      <c r="C296" s="89"/>
      <c r="D296" s="89"/>
      <c r="E296" s="89"/>
      <c r="F296" s="89"/>
    </row>
    <row r="297" spans="1:6" ht="12.5">
      <c r="A297" s="9"/>
      <c r="B297" s="89"/>
      <c r="C297" s="89"/>
      <c r="D297" s="89"/>
      <c r="E297" s="89"/>
      <c r="F297" s="89"/>
    </row>
    <row r="298" spans="1:6" ht="12.5">
      <c r="A298" s="9"/>
      <c r="B298" s="89"/>
      <c r="C298" s="89"/>
      <c r="D298" s="89"/>
      <c r="E298" s="89"/>
      <c r="F298" s="89"/>
    </row>
    <row r="299" spans="1:6" ht="12.5">
      <c r="A299" s="9"/>
      <c r="B299" s="89"/>
      <c r="C299" s="89"/>
      <c r="D299" s="89"/>
      <c r="E299" s="89"/>
      <c r="F299" s="89"/>
    </row>
    <row r="300" spans="1:6" ht="12.5">
      <c r="A300" s="9"/>
      <c r="B300" s="89"/>
      <c r="C300" s="89"/>
      <c r="D300" s="89"/>
      <c r="E300" s="89"/>
      <c r="F300" s="89"/>
    </row>
    <row r="301" spans="1:6" ht="12.5">
      <c r="A301" s="9"/>
      <c r="B301" s="89"/>
      <c r="C301" s="89"/>
      <c r="D301" s="89"/>
      <c r="E301" s="89"/>
      <c r="F301" s="89"/>
    </row>
    <row r="302" spans="1:6" ht="12.5">
      <c r="A302" s="9"/>
      <c r="B302" s="89"/>
      <c r="C302" s="89"/>
      <c r="D302" s="89"/>
      <c r="E302" s="89"/>
      <c r="F302" s="89"/>
    </row>
    <row r="303" spans="1:6" ht="12.5">
      <c r="A303" s="9"/>
      <c r="B303" s="89"/>
      <c r="C303" s="89"/>
      <c r="D303" s="89"/>
      <c r="E303" s="89"/>
      <c r="F303" s="89"/>
    </row>
    <row r="304" spans="1:6" ht="12.5">
      <c r="A304" s="9"/>
      <c r="B304" s="89"/>
      <c r="C304" s="89"/>
      <c r="D304" s="89"/>
      <c r="E304" s="89"/>
      <c r="F304" s="89"/>
    </row>
    <row r="305" spans="1:6" ht="12.5">
      <c r="A305" s="9"/>
      <c r="B305" s="89"/>
      <c r="C305" s="89"/>
      <c r="D305" s="89"/>
      <c r="E305" s="89"/>
      <c r="F305" s="89"/>
    </row>
    <row r="306" spans="1:6" ht="12.5">
      <c r="A306" s="9"/>
      <c r="B306" s="89"/>
      <c r="C306" s="89"/>
      <c r="D306" s="89"/>
      <c r="E306" s="89"/>
      <c r="F306" s="89"/>
    </row>
    <row r="307" spans="1:6" ht="12.5">
      <c r="A307" s="9"/>
      <c r="B307" s="89"/>
      <c r="C307" s="89"/>
      <c r="D307" s="89"/>
      <c r="E307" s="89"/>
      <c r="F307" s="89"/>
    </row>
    <row r="308" spans="1:6" ht="12.5">
      <c r="A308" s="9"/>
      <c r="B308" s="89"/>
      <c r="C308" s="89"/>
      <c r="D308" s="89"/>
      <c r="E308" s="89"/>
      <c r="F308" s="89"/>
    </row>
    <row r="309" spans="1:6" ht="12.5">
      <c r="A309" s="9"/>
      <c r="B309" s="89"/>
      <c r="C309" s="89"/>
      <c r="D309" s="89"/>
      <c r="E309" s="89"/>
      <c r="F309" s="89"/>
    </row>
    <row r="310" spans="1:6" ht="12.5">
      <c r="A310" s="9"/>
      <c r="B310" s="89"/>
      <c r="C310" s="89"/>
      <c r="D310" s="89"/>
      <c r="E310" s="89"/>
      <c r="F310" s="89"/>
    </row>
    <row r="311" spans="1:6" ht="12.5">
      <c r="A311" s="9"/>
      <c r="B311" s="89"/>
      <c r="C311" s="89"/>
      <c r="D311" s="89"/>
      <c r="E311" s="89"/>
      <c r="F311" s="89"/>
    </row>
    <row r="312" spans="1:6" ht="12.5">
      <c r="A312" s="9"/>
      <c r="B312" s="89"/>
      <c r="C312" s="89"/>
      <c r="D312" s="89"/>
      <c r="E312" s="89"/>
      <c r="F312" s="89"/>
    </row>
    <row r="313" spans="1:6" ht="12.5">
      <c r="A313" s="9"/>
      <c r="B313" s="89"/>
      <c r="C313" s="89"/>
      <c r="D313" s="89"/>
      <c r="E313" s="89"/>
      <c r="F313" s="89"/>
    </row>
    <row r="314" spans="1:6" ht="12.5">
      <c r="A314" s="9"/>
      <c r="B314" s="89"/>
      <c r="C314" s="89"/>
      <c r="D314" s="89"/>
      <c r="E314" s="89"/>
      <c r="F314" s="89"/>
    </row>
    <row r="315" spans="1:6" ht="12.5">
      <c r="A315" s="9"/>
      <c r="B315" s="89"/>
      <c r="C315" s="89"/>
      <c r="D315" s="89"/>
      <c r="E315" s="89"/>
      <c r="F315" s="89"/>
    </row>
    <row r="316" spans="1:6" ht="12.5">
      <c r="A316" s="9"/>
      <c r="B316" s="89"/>
      <c r="C316" s="89"/>
      <c r="D316" s="89"/>
      <c r="E316" s="89"/>
      <c r="F316" s="89"/>
    </row>
    <row r="317" spans="1:6" ht="12.5">
      <c r="A317" s="9"/>
      <c r="B317" s="89"/>
      <c r="C317" s="89"/>
      <c r="D317" s="89"/>
      <c r="E317" s="89"/>
      <c r="F317" s="89"/>
    </row>
    <row r="318" spans="1:6" ht="12.5">
      <c r="A318" s="9"/>
      <c r="B318" s="89"/>
      <c r="C318" s="89"/>
      <c r="D318" s="89"/>
      <c r="E318" s="89"/>
      <c r="F318" s="89"/>
    </row>
    <row r="319" spans="1:6" ht="12.5">
      <c r="A319" s="9"/>
      <c r="B319" s="89"/>
      <c r="C319" s="89"/>
      <c r="D319" s="89"/>
      <c r="E319" s="89"/>
      <c r="F319" s="89"/>
    </row>
    <row r="320" spans="1:6" ht="12.5">
      <c r="A320" s="9"/>
      <c r="B320" s="89"/>
      <c r="C320" s="89"/>
      <c r="D320" s="89"/>
      <c r="E320" s="89"/>
      <c r="F320" s="89"/>
    </row>
    <row r="321" spans="1:6" ht="12.5">
      <c r="A321" s="9"/>
      <c r="B321" s="89"/>
      <c r="C321" s="89"/>
      <c r="D321" s="89"/>
      <c r="E321" s="89"/>
      <c r="F321" s="89"/>
    </row>
    <row r="322" spans="1:6" ht="12.5">
      <c r="A322" s="9"/>
      <c r="B322" s="89"/>
      <c r="C322" s="89"/>
      <c r="D322" s="89"/>
      <c r="E322" s="89"/>
      <c r="F322" s="89"/>
    </row>
    <row r="323" spans="1:6" ht="12.5">
      <c r="A323" s="9"/>
      <c r="B323" s="89"/>
      <c r="C323" s="89"/>
      <c r="D323" s="89"/>
      <c r="E323" s="89"/>
      <c r="F323" s="89"/>
    </row>
    <row r="324" spans="1:6" ht="12.5">
      <c r="A324" s="9"/>
      <c r="B324" s="89"/>
      <c r="C324" s="89"/>
      <c r="D324" s="89"/>
      <c r="E324" s="89"/>
      <c r="F324" s="89"/>
    </row>
    <row r="325" spans="1:6" ht="12.5">
      <c r="A325" s="9"/>
      <c r="B325" s="89"/>
      <c r="C325" s="89"/>
      <c r="D325" s="89"/>
      <c r="E325" s="89"/>
      <c r="F325" s="89"/>
    </row>
    <row r="326" spans="1:6" ht="12.5">
      <c r="A326" s="9"/>
      <c r="B326" s="89"/>
      <c r="C326" s="89"/>
      <c r="D326" s="89"/>
      <c r="E326" s="89"/>
      <c r="F326" s="89"/>
    </row>
    <row r="327" spans="1:6" ht="12.5">
      <c r="A327" s="9"/>
      <c r="B327" s="89"/>
      <c r="C327" s="89"/>
      <c r="D327" s="89"/>
      <c r="E327" s="89"/>
      <c r="F327" s="89"/>
    </row>
    <row r="328" spans="1:6" ht="12.5">
      <c r="A328" s="9"/>
      <c r="B328" s="89"/>
      <c r="C328" s="89"/>
      <c r="D328" s="89"/>
      <c r="E328" s="89"/>
      <c r="F328" s="89"/>
    </row>
    <row r="329" spans="1:6" ht="12.5">
      <c r="A329" s="9"/>
      <c r="B329" s="89"/>
      <c r="C329" s="89"/>
      <c r="D329" s="89"/>
      <c r="E329" s="89"/>
      <c r="F329" s="89"/>
    </row>
    <row r="330" spans="1:6" ht="12.5">
      <c r="A330" s="9"/>
      <c r="B330" s="89"/>
      <c r="C330" s="89"/>
      <c r="D330" s="89"/>
      <c r="E330" s="89"/>
      <c r="F330" s="89"/>
    </row>
    <row r="331" spans="1:6" ht="12.5">
      <c r="A331" s="9"/>
      <c r="B331" s="89"/>
      <c r="C331" s="89"/>
      <c r="D331" s="89"/>
      <c r="E331" s="89"/>
      <c r="F331" s="89"/>
    </row>
    <row r="332" spans="1:6" ht="12.5">
      <c r="A332" s="9"/>
      <c r="B332" s="89"/>
      <c r="C332" s="89"/>
      <c r="D332" s="89"/>
      <c r="E332" s="89"/>
      <c r="F332" s="89"/>
    </row>
    <row r="333" spans="1:6" ht="12.5">
      <c r="A333" s="9"/>
      <c r="B333" s="89"/>
      <c r="C333" s="89"/>
      <c r="D333" s="89"/>
      <c r="E333" s="89"/>
      <c r="F333" s="89"/>
    </row>
    <row r="334" spans="1:6" ht="12.5">
      <c r="A334" s="9"/>
      <c r="B334" s="89"/>
      <c r="C334" s="89"/>
      <c r="D334" s="89"/>
      <c r="E334" s="89"/>
      <c r="F334" s="89"/>
    </row>
    <row r="335" spans="1:6" ht="12.5">
      <c r="A335" s="9"/>
      <c r="B335" s="89"/>
      <c r="C335" s="89"/>
      <c r="D335" s="89"/>
      <c r="E335" s="89"/>
      <c r="F335" s="89"/>
    </row>
    <row r="336" spans="1:6" ht="12.5">
      <c r="A336" s="9"/>
      <c r="B336" s="89"/>
      <c r="C336" s="89"/>
      <c r="D336" s="89"/>
      <c r="E336" s="89"/>
      <c r="F336" s="89"/>
    </row>
    <row r="337" spans="1:6" ht="12.5">
      <c r="A337" s="9"/>
      <c r="B337" s="89"/>
      <c r="C337" s="89"/>
      <c r="D337" s="89"/>
      <c r="E337" s="89"/>
      <c r="F337" s="89"/>
    </row>
    <row r="338" spans="1:6" ht="12.5">
      <c r="A338" s="9"/>
      <c r="B338" s="89"/>
      <c r="C338" s="89"/>
      <c r="D338" s="89"/>
      <c r="E338" s="89"/>
      <c r="F338" s="89"/>
    </row>
    <row r="339" spans="1:6" ht="12.5">
      <c r="A339" s="9"/>
      <c r="B339" s="89"/>
      <c r="C339" s="89"/>
      <c r="D339" s="89"/>
      <c r="E339" s="89"/>
      <c r="F339" s="89"/>
    </row>
    <row r="340" spans="1:6" ht="12.5">
      <c r="A340" s="9"/>
      <c r="B340" s="89"/>
      <c r="C340" s="89"/>
      <c r="D340" s="89"/>
      <c r="E340" s="89"/>
      <c r="F340" s="89"/>
    </row>
    <row r="341" spans="1:6" ht="12.5">
      <c r="A341" s="9"/>
      <c r="B341" s="89"/>
      <c r="C341" s="89"/>
      <c r="D341" s="89"/>
      <c r="E341" s="89"/>
      <c r="F341" s="89"/>
    </row>
    <row r="342" spans="1:6" ht="12.5">
      <c r="A342" s="9"/>
      <c r="B342" s="89"/>
      <c r="C342" s="89"/>
      <c r="D342" s="89"/>
      <c r="E342" s="89"/>
      <c r="F342" s="89"/>
    </row>
    <row r="343" spans="1:6" ht="12.5">
      <c r="A343" s="9"/>
      <c r="B343" s="89"/>
      <c r="C343" s="89"/>
      <c r="D343" s="89"/>
      <c r="E343" s="89"/>
      <c r="F343" s="89"/>
    </row>
    <row r="344" spans="1:6" ht="12.5">
      <c r="A344" s="9"/>
      <c r="B344" s="89"/>
      <c r="C344" s="89"/>
      <c r="D344" s="89"/>
      <c r="E344" s="89"/>
      <c r="F344" s="89"/>
    </row>
    <row r="345" spans="1:6" ht="12.5">
      <c r="A345" s="9"/>
      <c r="B345" s="89"/>
      <c r="C345" s="89"/>
      <c r="D345" s="89"/>
      <c r="E345" s="89"/>
      <c r="F345" s="89"/>
    </row>
    <row r="346" spans="1:6" ht="12.5">
      <c r="A346" s="9"/>
      <c r="B346" s="89"/>
      <c r="C346" s="89"/>
      <c r="D346" s="89"/>
      <c r="E346" s="89"/>
      <c r="F346" s="89"/>
    </row>
    <row r="347" spans="1:6" ht="12.5">
      <c r="A347" s="9"/>
      <c r="B347" s="89"/>
      <c r="C347" s="89"/>
      <c r="D347" s="89"/>
      <c r="E347" s="89"/>
      <c r="F347" s="89"/>
    </row>
    <row r="348" spans="1:6" ht="12.5">
      <c r="A348" s="9"/>
      <c r="B348" s="89"/>
      <c r="C348" s="89"/>
      <c r="D348" s="89"/>
      <c r="E348" s="89"/>
      <c r="F348" s="89"/>
    </row>
    <row r="349" spans="1:6" ht="12.5">
      <c r="A349" s="9"/>
      <c r="B349" s="89"/>
      <c r="C349" s="89"/>
      <c r="D349" s="89"/>
      <c r="E349" s="89"/>
      <c r="F349" s="89"/>
    </row>
    <row r="350" spans="1:6" ht="12.5">
      <c r="A350" s="9"/>
      <c r="B350" s="89"/>
      <c r="C350" s="89"/>
      <c r="D350" s="89"/>
      <c r="E350" s="89"/>
      <c r="F350" s="89"/>
    </row>
    <row r="351" spans="1:6" ht="12.5">
      <c r="A351" s="9"/>
      <c r="B351" s="89"/>
      <c r="C351" s="89"/>
      <c r="D351" s="89"/>
      <c r="E351" s="89"/>
      <c r="F351" s="89"/>
    </row>
    <row r="352" spans="1:6" ht="12.5">
      <c r="A352" s="9"/>
      <c r="B352" s="89"/>
      <c r="C352" s="89"/>
      <c r="D352" s="89"/>
      <c r="E352" s="89"/>
      <c r="F352" s="89"/>
    </row>
    <row r="353" spans="1:6" ht="12.5">
      <c r="A353" s="9"/>
      <c r="B353" s="89"/>
      <c r="C353" s="89"/>
      <c r="D353" s="89"/>
      <c r="E353" s="89"/>
      <c r="F353" s="89"/>
    </row>
    <row r="354" spans="1:6" ht="12.5">
      <c r="A354" s="9"/>
      <c r="B354" s="89"/>
      <c r="C354" s="89"/>
      <c r="D354" s="89"/>
      <c r="E354" s="89"/>
      <c r="F354" s="89"/>
    </row>
    <row r="355" spans="1:6" ht="12.5">
      <c r="A355" s="9"/>
      <c r="B355" s="89"/>
      <c r="C355" s="89"/>
      <c r="D355" s="89"/>
      <c r="E355" s="89"/>
      <c r="F355" s="89"/>
    </row>
    <row r="356" spans="1:6" ht="12.5">
      <c r="A356" s="9"/>
      <c r="B356" s="89"/>
      <c r="C356" s="89"/>
      <c r="D356" s="89"/>
      <c r="E356" s="89"/>
      <c r="F356" s="89"/>
    </row>
    <row r="357" spans="1:6" ht="12.5">
      <c r="A357" s="9"/>
      <c r="B357" s="89"/>
      <c r="C357" s="89"/>
      <c r="D357" s="89"/>
      <c r="E357" s="89"/>
      <c r="F357" s="89"/>
    </row>
    <row r="358" spans="1:6" ht="12.5">
      <c r="A358" s="9"/>
      <c r="B358" s="89"/>
      <c r="C358" s="89"/>
      <c r="D358" s="89"/>
      <c r="E358" s="89"/>
      <c r="F358" s="89"/>
    </row>
    <row r="359" spans="1:6" ht="12.5">
      <c r="A359" s="9"/>
      <c r="B359" s="89"/>
      <c r="C359" s="89"/>
      <c r="D359" s="89"/>
      <c r="E359" s="89"/>
      <c r="F359" s="89"/>
    </row>
    <row r="360" spans="1:6" ht="12.5">
      <c r="A360" s="9"/>
      <c r="B360" s="89"/>
      <c r="C360" s="89"/>
      <c r="D360" s="89"/>
      <c r="E360" s="89"/>
      <c r="F360" s="89"/>
    </row>
    <row r="361" spans="1:6" ht="12.5">
      <c r="A361" s="9"/>
      <c r="B361" s="89"/>
      <c r="C361" s="89"/>
      <c r="D361" s="89"/>
      <c r="E361" s="89"/>
      <c r="F361" s="89"/>
    </row>
    <row r="362" spans="1:6" ht="12.5">
      <c r="A362" s="9"/>
      <c r="B362" s="89"/>
      <c r="C362" s="89"/>
      <c r="D362" s="89"/>
      <c r="E362" s="89"/>
      <c r="F362" s="89"/>
    </row>
    <row r="363" spans="1:6" ht="12.5">
      <c r="A363" s="9"/>
      <c r="B363" s="89"/>
      <c r="C363" s="89"/>
      <c r="D363" s="89"/>
      <c r="E363" s="89"/>
      <c r="F363" s="89"/>
    </row>
    <row r="364" spans="1:6" ht="12.5">
      <c r="A364" s="9"/>
      <c r="B364" s="89"/>
      <c r="C364" s="89"/>
      <c r="D364" s="89"/>
      <c r="E364" s="89"/>
      <c r="F364" s="89"/>
    </row>
    <row r="365" spans="1:6" ht="12.5">
      <c r="A365" s="9"/>
      <c r="B365" s="89"/>
      <c r="C365" s="89"/>
      <c r="D365" s="89"/>
      <c r="E365" s="89"/>
      <c r="F365" s="89"/>
    </row>
    <row r="366" spans="1:6" ht="12.5">
      <c r="A366" s="9"/>
      <c r="B366" s="89"/>
      <c r="C366" s="89"/>
      <c r="D366" s="89"/>
      <c r="E366" s="89"/>
      <c r="F366" s="89"/>
    </row>
    <row r="367" spans="1:6" ht="12.5">
      <c r="A367" s="9"/>
      <c r="B367" s="89"/>
      <c r="C367" s="89"/>
      <c r="D367" s="89"/>
      <c r="E367" s="89"/>
      <c r="F367" s="89"/>
    </row>
    <row r="368" spans="1:6" ht="12.5">
      <c r="A368" s="9"/>
      <c r="B368" s="89"/>
      <c r="C368" s="89"/>
      <c r="D368" s="89"/>
      <c r="E368" s="89"/>
      <c r="F368" s="89"/>
    </row>
    <row r="369" spans="1:6" ht="12.5">
      <c r="A369" s="9"/>
      <c r="B369" s="89"/>
      <c r="C369" s="89"/>
      <c r="D369" s="89"/>
      <c r="E369" s="89"/>
      <c r="F369" s="89"/>
    </row>
    <row r="370" spans="1:6" ht="12.5">
      <c r="A370" s="9"/>
      <c r="B370" s="89"/>
      <c r="C370" s="89"/>
      <c r="D370" s="89"/>
      <c r="E370" s="89"/>
      <c r="F370" s="89"/>
    </row>
    <row r="371" spans="1:6" ht="12.5">
      <c r="A371" s="9"/>
      <c r="B371" s="89"/>
      <c r="C371" s="89"/>
      <c r="D371" s="89"/>
      <c r="E371" s="89"/>
      <c r="F371" s="89"/>
    </row>
    <row r="372" spans="1:6" ht="12.5">
      <c r="A372" s="9"/>
      <c r="B372" s="89"/>
      <c r="C372" s="89"/>
      <c r="D372" s="89"/>
      <c r="E372" s="89"/>
      <c r="F372" s="89"/>
    </row>
    <row r="373" spans="1:6" ht="12.5">
      <c r="A373" s="9"/>
      <c r="B373" s="89"/>
      <c r="C373" s="89"/>
      <c r="D373" s="89"/>
      <c r="E373" s="89"/>
      <c r="F373" s="89"/>
    </row>
    <row r="374" spans="1:6" ht="12.5">
      <c r="A374" s="9"/>
      <c r="B374" s="89"/>
      <c r="C374" s="89"/>
      <c r="D374" s="89"/>
      <c r="E374" s="89"/>
      <c r="F374" s="89"/>
    </row>
    <row r="375" spans="1:6" ht="12.5">
      <c r="A375" s="9"/>
      <c r="B375" s="89"/>
      <c r="C375" s="89"/>
      <c r="D375" s="89"/>
      <c r="E375" s="89"/>
      <c r="F375" s="89"/>
    </row>
    <row r="376" spans="1:6" ht="12.5">
      <c r="A376" s="9"/>
      <c r="B376" s="89"/>
      <c r="C376" s="89"/>
      <c r="D376" s="89"/>
      <c r="E376" s="89"/>
      <c r="F376" s="89"/>
    </row>
    <row r="377" spans="1:6" ht="12.5">
      <c r="A377" s="9"/>
      <c r="B377" s="89"/>
      <c r="C377" s="89"/>
      <c r="D377" s="89"/>
      <c r="E377" s="89"/>
      <c r="F377" s="89"/>
    </row>
    <row r="378" spans="1:6" ht="12.5">
      <c r="A378" s="9"/>
      <c r="B378" s="89"/>
      <c r="C378" s="89"/>
      <c r="D378" s="89"/>
      <c r="E378" s="89"/>
      <c r="F378" s="89"/>
    </row>
    <row r="379" spans="1:6" ht="12.5">
      <c r="A379" s="9"/>
      <c r="B379" s="89"/>
      <c r="C379" s="89"/>
      <c r="D379" s="89"/>
      <c r="E379" s="89"/>
      <c r="F379" s="89"/>
    </row>
    <row r="380" spans="1:6" ht="12.5">
      <c r="A380" s="9"/>
      <c r="B380" s="89"/>
      <c r="C380" s="89"/>
      <c r="D380" s="89"/>
      <c r="E380" s="89"/>
      <c r="F380" s="89"/>
    </row>
    <row r="381" spans="1:6" ht="12.5">
      <c r="A381" s="9"/>
      <c r="B381" s="89"/>
      <c r="C381" s="89"/>
      <c r="D381" s="89"/>
      <c r="E381" s="89"/>
      <c r="F381" s="89"/>
    </row>
    <row r="382" spans="1:6" ht="12.5">
      <c r="A382" s="9"/>
      <c r="B382" s="89"/>
      <c r="C382" s="89"/>
      <c r="D382" s="89"/>
      <c r="E382" s="89"/>
      <c r="F382" s="89"/>
    </row>
    <row r="383" spans="1:6" ht="12.5">
      <c r="A383" s="9"/>
      <c r="B383" s="89"/>
      <c r="C383" s="89"/>
      <c r="D383" s="89"/>
      <c r="E383" s="89"/>
      <c r="F383" s="89"/>
    </row>
    <row r="384" spans="1:6" ht="12.5">
      <c r="A384" s="9"/>
      <c r="B384" s="89"/>
      <c r="C384" s="89"/>
      <c r="D384" s="89"/>
      <c r="E384" s="89"/>
      <c r="F384" s="89"/>
    </row>
    <row r="385" spans="1:6" ht="12.5">
      <c r="A385" s="9"/>
      <c r="B385" s="89"/>
      <c r="C385" s="89"/>
      <c r="D385" s="89"/>
      <c r="E385" s="89"/>
      <c r="F385" s="89"/>
    </row>
    <row r="386" spans="1:6" ht="12.5">
      <c r="A386" s="9"/>
      <c r="B386" s="89"/>
      <c r="C386" s="89"/>
      <c r="D386" s="89"/>
      <c r="E386" s="89"/>
      <c r="F386" s="89"/>
    </row>
    <row r="387" spans="1:6" ht="12.5">
      <c r="A387" s="9"/>
      <c r="B387" s="89"/>
      <c r="C387" s="89"/>
      <c r="D387" s="89"/>
      <c r="E387" s="89"/>
      <c r="F387" s="89"/>
    </row>
    <row r="388" spans="1:6" ht="12.5">
      <c r="A388" s="9"/>
      <c r="B388" s="89"/>
      <c r="C388" s="89"/>
      <c r="D388" s="89"/>
      <c r="E388" s="89"/>
      <c r="F388" s="89"/>
    </row>
    <row r="389" spans="1:6" ht="12.5">
      <c r="A389" s="9"/>
      <c r="B389" s="89"/>
      <c r="C389" s="89"/>
      <c r="D389" s="89"/>
      <c r="E389" s="89"/>
      <c r="F389" s="89"/>
    </row>
    <row r="390" spans="1:6" ht="12.5">
      <c r="A390" s="9"/>
      <c r="B390" s="89"/>
      <c r="C390" s="89"/>
      <c r="D390" s="89"/>
      <c r="E390" s="89"/>
      <c r="F390" s="89"/>
    </row>
    <row r="391" spans="1:6" ht="12.5">
      <c r="A391" s="9"/>
      <c r="B391" s="89"/>
      <c r="C391" s="89"/>
      <c r="D391" s="89"/>
      <c r="E391" s="89"/>
      <c r="F391" s="89"/>
    </row>
    <row r="392" spans="1:6" ht="12.5">
      <c r="A392" s="9"/>
      <c r="B392" s="89"/>
      <c r="C392" s="89"/>
      <c r="D392" s="89"/>
      <c r="E392" s="89"/>
      <c r="F392" s="89"/>
    </row>
    <row r="393" spans="1:6" ht="12.5">
      <c r="A393" s="9"/>
      <c r="B393" s="89"/>
      <c r="C393" s="89"/>
      <c r="D393" s="89"/>
      <c r="E393" s="89"/>
      <c r="F393" s="89"/>
    </row>
    <row r="394" spans="1:6" ht="12.5">
      <c r="A394" s="9"/>
      <c r="B394" s="89"/>
      <c r="C394" s="89"/>
      <c r="D394" s="89"/>
      <c r="E394" s="89"/>
      <c r="F394" s="89"/>
    </row>
    <row r="395" spans="1:6" ht="12.5">
      <c r="A395" s="9"/>
      <c r="B395" s="89"/>
      <c r="C395" s="89"/>
      <c r="D395" s="89"/>
      <c r="E395" s="89"/>
      <c r="F395" s="89"/>
    </row>
    <row r="396" spans="1:6" ht="12.5">
      <c r="A396" s="9"/>
      <c r="B396" s="89"/>
      <c r="C396" s="89"/>
      <c r="D396" s="89"/>
      <c r="E396" s="89"/>
      <c r="F396" s="89"/>
    </row>
    <row r="397" spans="1:6" ht="12.5">
      <c r="A397" s="9"/>
      <c r="B397" s="89"/>
      <c r="C397" s="89"/>
      <c r="D397" s="89"/>
      <c r="E397" s="89"/>
      <c r="F397" s="89"/>
    </row>
    <row r="398" spans="1:6" ht="12.5">
      <c r="A398" s="9"/>
      <c r="B398" s="89"/>
      <c r="C398" s="89"/>
      <c r="D398" s="89"/>
      <c r="E398" s="89"/>
      <c r="F398" s="89"/>
    </row>
    <row r="399" spans="1:6" ht="12.5">
      <c r="A399" s="9"/>
      <c r="B399" s="89"/>
      <c r="C399" s="89"/>
      <c r="D399" s="89"/>
      <c r="E399" s="89"/>
      <c r="F399" s="89"/>
    </row>
    <row r="400" spans="1:6" ht="12.5">
      <c r="A400" s="9"/>
      <c r="B400" s="89"/>
      <c r="C400" s="89"/>
      <c r="D400" s="89"/>
      <c r="E400" s="89"/>
      <c r="F400" s="89"/>
    </row>
    <row r="401" spans="1:6" ht="12.5">
      <c r="A401" s="9"/>
      <c r="B401" s="89"/>
      <c r="C401" s="89"/>
      <c r="D401" s="89"/>
      <c r="E401" s="89"/>
      <c r="F401" s="89"/>
    </row>
    <row r="402" spans="1:6" ht="12.5">
      <c r="A402" s="9"/>
      <c r="B402" s="89"/>
      <c r="C402" s="89"/>
      <c r="D402" s="89"/>
      <c r="E402" s="89"/>
      <c r="F402" s="89"/>
    </row>
    <row r="403" spans="1:6" ht="12.5">
      <c r="A403" s="9"/>
      <c r="B403" s="89"/>
      <c r="C403" s="89"/>
      <c r="D403" s="89"/>
      <c r="E403" s="89"/>
      <c r="F403" s="89"/>
    </row>
    <row r="404" spans="1:6" ht="12.5">
      <c r="A404" s="9"/>
      <c r="B404" s="89"/>
      <c r="C404" s="89"/>
      <c r="D404" s="89"/>
      <c r="E404" s="89"/>
      <c r="F404" s="89"/>
    </row>
    <row r="405" spans="1:6" ht="12.5">
      <c r="A405" s="9"/>
      <c r="B405" s="89"/>
      <c r="C405" s="89"/>
      <c r="D405" s="89"/>
      <c r="E405" s="89"/>
      <c r="F405" s="89"/>
    </row>
    <row r="406" spans="1:6" ht="12.5">
      <c r="A406" s="9"/>
      <c r="B406" s="89"/>
      <c r="C406" s="89"/>
      <c r="D406" s="89"/>
      <c r="E406" s="89"/>
      <c r="F406" s="89"/>
    </row>
    <row r="407" spans="1:6" ht="12.5">
      <c r="A407" s="9"/>
      <c r="B407" s="89"/>
      <c r="C407" s="89"/>
      <c r="D407" s="89"/>
      <c r="E407" s="89"/>
      <c r="F407" s="89"/>
    </row>
    <row r="408" spans="1:6" ht="12.5">
      <c r="A408" s="9"/>
      <c r="B408" s="89"/>
      <c r="C408" s="89"/>
      <c r="D408" s="89"/>
      <c r="E408" s="89"/>
      <c r="F408" s="89"/>
    </row>
    <row r="409" spans="1:6" ht="12.5">
      <c r="A409" s="9"/>
      <c r="B409" s="89"/>
      <c r="C409" s="89"/>
      <c r="D409" s="89"/>
      <c r="E409" s="89"/>
      <c r="F409" s="89"/>
    </row>
    <row r="410" spans="1:6" ht="12.5">
      <c r="A410" s="9"/>
      <c r="B410" s="89"/>
      <c r="C410" s="89"/>
      <c r="D410" s="89"/>
      <c r="E410" s="89"/>
      <c r="F410" s="89"/>
    </row>
    <row r="411" spans="1:6" ht="12.5">
      <c r="A411" s="9"/>
      <c r="B411" s="89"/>
      <c r="C411" s="89"/>
      <c r="D411" s="89"/>
      <c r="E411" s="89"/>
      <c r="F411" s="89"/>
    </row>
    <row r="412" spans="1:6" ht="12.5">
      <c r="A412" s="9"/>
      <c r="B412" s="89"/>
      <c r="C412" s="89"/>
      <c r="D412" s="89"/>
      <c r="E412" s="89"/>
      <c r="F412" s="89"/>
    </row>
    <row r="413" spans="1:6" ht="12.5">
      <c r="A413" s="9"/>
      <c r="B413" s="89"/>
      <c r="C413" s="89"/>
      <c r="D413" s="89"/>
      <c r="E413" s="89"/>
      <c r="F413" s="89"/>
    </row>
    <row r="414" spans="1:6" ht="12.5">
      <c r="A414" s="9"/>
      <c r="B414" s="89"/>
      <c r="C414" s="89"/>
      <c r="D414" s="89"/>
      <c r="E414" s="89"/>
      <c r="F414" s="89"/>
    </row>
    <row r="415" spans="1:6" ht="12.5">
      <c r="A415" s="9"/>
      <c r="B415" s="89"/>
      <c r="C415" s="89"/>
      <c r="D415" s="89"/>
      <c r="E415" s="89"/>
      <c r="F415" s="89"/>
    </row>
    <row r="416" spans="1:6" ht="12.5">
      <c r="A416" s="9"/>
      <c r="B416" s="89"/>
      <c r="C416" s="89"/>
      <c r="D416" s="89"/>
      <c r="E416" s="89"/>
      <c r="F416" s="89"/>
    </row>
    <row r="417" spans="1:6" ht="12.5">
      <c r="A417" s="9"/>
      <c r="B417" s="89"/>
      <c r="C417" s="89"/>
      <c r="D417" s="89"/>
      <c r="E417" s="89"/>
      <c r="F417" s="89"/>
    </row>
    <row r="418" spans="1:6" ht="12.5">
      <c r="A418" s="9"/>
      <c r="B418" s="89"/>
      <c r="C418" s="89"/>
      <c r="D418" s="89"/>
      <c r="E418" s="89"/>
      <c r="F418" s="89"/>
    </row>
    <row r="419" spans="1:6" ht="12.5">
      <c r="A419" s="9"/>
      <c r="B419" s="89"/>
      <c r="C419" s="89"/>
      <c r="D419" s="89"/>
      <c r="E419" s="89"/>
      <c r="F419" s="89"/>
    </row>
    <row r="420" spans="1:6" ht="12.5">
      <c r="A420" s="9"/>
      <c r="B420" s="89"/>
      <c r="C420" s="89"/>
      <c r="D420" s="89"/>
      <c r="E420" s="89"/>
      <c r="F420" s="89"/>
    </row>
    <row r="421" spans="1:6" ht="12.5">
      <c r="A421" s="9"/>
      <c r="B421" s="89"/>
      <c r="C421" s="89"/>
      <c r="D421" s="89"/>
      <c r="E421" s="89"/>
      <c r="F421" s="89"/>
    </row>
    <row r="422" spans="1:6" ht="12.5">
      <c r="A422" s="9"/>
      <c r="B422" s="89"/>
      <c r="C422" s="89"/>
      <c r="D422" s="89"/>
      <c r="E422" s="89"/>
      <c r="F422" s="89"/>
    </row>
    <row r="423" spans="1:6" ht="12.5">
      <c r="A423" s="9"/>
      <c r="B423" s="89"/>
      <c r="C423" s="89"/>
      <c r="D423" s="89"/>
      <c r="E423" s="89"/>
      <c r="F423" s="89"/>
    </row>
    <row r="424" spans="1:6" ht="12.5">
      <c r="A424" s="9"/>
      <c r="B424" s="89"/>
      <c r="C424" s="89"/>
      <c r="D424" s="89"/>
      <c r="E424" s="89"/>
      <c r="F424" s="89"/>
    </row>
    <row r="425" spans="1:6" ht="12.5">
      <c r="A425" s="9"/>
      <c r="B425" s="89"/>
      <c r="C425" s="89"/>
      <c r="D425" s="89"/>
      <c r="E425" s="89"/>
      <c r="F425" s="89"/>
    </row>
    <row r="426" spans="1:6" ht="12.5">
      <c r="A426" s="9"/>
      <c r="B426" s="89"/>
      <c r="C426" s="89"/>
      <c r="D426" s="89"/>
      <c r="E426" s="89"/>
      <c r="F426" s="89"/>
    </row>
    <row r="427" spans="1:6" ht="12.5">
      <c r="A427" s="9"/>
      <c r="B427" s="89"/>
      <c r="C427" s="89"/>
      <c r="D427" s="89"/>
      <c r="E427" s="89"/>
      <c r="F427" s="89"/>
    </row>
    <row r="428" spans="1:6" ht="12.5">
      <c r="A428" s="9"/>
      <c r="B428" s="89"/>
      <c r="C428" s="89"/>
      <c r="D428" s="89"/>
      <c r="E428" s="89"/>
      <c r="F428" s="89"/>
    </row>
    <row r="429" spans="1:6" ht="12.5">
      <c r="A429" s="9"/>
      <c r="B429" s="89"/>
      <c r="C429" s="89"/>
      <c r="D429" s="89"/>
      <c r="E429" s="89"/>
      <c r="F429" s="89"/>
    </row>
    <row r="430" spans="1:6" ht="12.5">
      <c r="A430" s="9"/>
      <c r="B430" s="89"/>
      <c r="C430" s="89"/>
      <c r="D430" s="89"/>
      <c r="E430" s="89"/>
      <c r="F430" s="89"/>
    </row>
    <row r="431" spans="1:6" ht="12.5">
      <c r="A431" s="9"/>
      <c r="B431" s="89"/>
      <c r="C431" s="89"/>
      <c r="D431" s="89"/>
      <c r="E431" s="89"/>
      <c r="F431" s="89"/>
    </row>
    <row r="432" spans="1:6" ht="12.5">
      <c r="A432" s="9"/>
      <c r="B432" s="89"/>
      <c r="C432" s="89"/>
      <c r="D432" s="89"/>
      <c r="E432" s="89"/>
      <c r="F432" s="89"/>
    </row>
    <row r="433" spans="1:6" ht="12.5">
      <c r="A433" s="9"/>
      <c r="B433" s="89"/>
      <c r="C433" s="89"/>
      <c r="D433" s="89"/>
      <c r="E433" s="89"/>
      <c r="F433" s="89"/>
    </row>
    <row r="434" spans="1:6" ht="12.5">
      <c r="A434" s="9"/>
      <c r="B434" s="89"/>
      <c r="C434" s="89"/>
      <c r="D434" s="89"/>
      <c r="E434" s="89"/>
      <c r="F434" s="89"/>
    </row>
    <row r="435" spans="1:6" ht="12.5">
      <c r="A435" s="9"/>
      <c r="B435" s="89"/>
      <c r="C435" s="89"/>
      <c r="D435" s="89"/>
      <c r="E435" s="89"/>
      <c r="F435" s="89"/>
    </row>
    <row r="436" spans="1:6" ht="12.5">
      <c r="A436" s="9"/>
      <c r="B436" s="89"/>
      <c r="C436" s="89"/>
      <c r="D436" s="89"/>
      <c r="E436" s="89"/>
      <c r="F436" s="89"/>
    </row>
    <row r="437" spans="1:6" ht="12.5">
      <c r="A437" s="9"/>
      <c r="B437" s="89"/>
      <c r="C437" s="89"/>
      <c r="D437" s="89"/>
      <c r="E437" s="89"/>
      <c r="F437" s="89"/>
    </row>
    <row r="438" spans="1:6" ht="12.5">
      <c r="A438" s="9"/>
      <c r="B438" s="89"/>
      <c r="C438" s="89"/>
      <c r="D438" s="89"/>
      <c r="E438" s="89"/>
      <c r="F438" s="89"/>
    </row>
    <row r="439" spans="1:6" ht="12.5">
      <c r="A439" s="9"/>
      <c r="B439" s="89"/>
      <c r="C439" s="89"/>
      <c r="D439" s="89"/>
      <c r="E439" s="89"/>
      <c r="F439" s="89"/>
    </row>
    <row r="440" spans="1:6" ht="12.5">
      <c r="A440" s="9"/>
      <c r="B440" s="89"/>
      <c r="C440" s="89"/>
      <c r="D440" s="89"/>
      <c r="E440" s="89"/>
      <c r="F440" s="89"/>
    </row>
    <row r="441" spans="1:6" ht="12.5">
      <c r="A441" s="9"/>
      <c r="B441" s="89"/>
      <c r="C441" s="89"/>
      <c r="D441" s="89"/>
      <c r="E441" s="89"/>
      <c r="F441" s="89"/>
    </row>
    <row r="442" spans="1:6" ht="12.5">
      <c r="A442" s="9"/>
      <c r="B442" s="89"/>
      <c r="C442" s="89"/>
      <c r="D442" s="89"/>
      <c r="E442" s="89"/>
      <c r="F442" s="89"/>
    </row>
    <row r="443" spans="1:6" ht="12.5">
      <c r="A443" s="9"/>
      <c r="B443" s="89"/>
      <c r="C443" s="89"/>
      <c r="D443" s="89"/>
      <c r="E443" s="89"/>
      <c r="F443" s="89"/>
    </row>
    <row r="444" spans="1:6" ht="12.5">
      <c r="A444" s="9"/>
      <c r="B444" s="89"/>
      <c r="C444" s="89"/>
      <c r="D444" s="89"/>
      <c r="E444" s="89"/>
      <c r="F444" s="89"/>
    </row>
    <row r="445" spans="1:6" ht="12.5">
      <c r="A445" s="9"/>
      <c r="B445" s="89"/>
      <c r="C445" s="89"/>
      <c r="D445" s="89"/>
      <c r="E445" s="89"/>
      <c r="F445" s="89"/>
    </row>
    <row r="446" spans="1:6" ht="12.5">
      <c r="A446" s="9"/>
      <c r="B446" s="89"/>
      <c r="C446" s="89"/>
      <c r="D446" s="89"/>
      <c r="E446" s="89"/>
      <c r="F446" s="89"/>
    </row>
    <row r="447" spans="1:6" ht="12.5">
      <c r="A447" s="9"/>
      <c r="B447" s="89"/>
      <c r="C447" s="89"/>
      <c r="D447" s="89"/>
      <c r="E447" s="89"/>
      <c r="F447" s="89"/>
    </row>
    <row r="448" spans="1:6" ht="12.5">
      <c r="A448" s="9"/>
      <c r="B448" s="89"/>
      <c r="C448" s="89"/>
      <c r="D448" s="89"/>
      <c r="E448" s="89"/>
      <c r="F448" s="89"/>
    </row>
    <row r="449" spans="1:6" ht="12.5">
      <c r="A449" s="9"/>
      <c r="B449" s="89"/>
      <c r="C449" s="89"/>
      <c r="D449" s="89"/>
      <c r="E449" s="89"/>
      <c r="F449" s="89"/>
    </row>
    <row r="450" spans="1:6" ht="12.5">
      <c r="A450" s="9"/>
      <c r="B450" s="89"/>
      <c r="C450" s="89"/>
      <c r="D450" s="89"/>
      <c r="E450" s="89"/>
      <c r="F450" s="89"/>
    </row>
    <row r="451" spans="1:6" ht="12.5">
      <c r="A451" s="9"/>
      <c r="B451" s="89"/>
      <c r="C451" s="89"/>
      <c r="D451" s="89"/>
      <c r="E451" s="89"/>
      <c r="F451" s="89"/>
    </row>
    <row r="452" spans="1:6" ht="12.5">
      <c r="A452" s="9"/>
      <c r="B452" s="89"/>
      <c r="C452" s="89"/>
      <c r="D452" s="89"/>
      <c r="E452" s="89"/>
      <c r="F452" s="89"/>
    </row>
    <row r="453" spans="1:6" ht="12.5">
      <c r="A453" s="9"/>
      <c r="B453" s="89"/>
      <c r="C453" s="89"/>
      <c r="D453" s="89"/>
      <c r="E453" s="89"/>
      <c r="F453" s="89"/>
    </row>
    <row r="454" spans="1:6" ht="12.5">
      <c r="A454" s="9"/>
      <c r="B454" s="89"/>
      <c r="C454" s="89"/>
      <c r="D454" s="89"/>
      <c r="E454" s="89"/>
      <c r="F454" s="89"/>
    </row>
    <row r="455" spans="1:6" ht="12.5">
      <c r="A455" s="9"/>
      <c r="B455" s="89"/>
      <c r="C455" s="89"/>
      <c r="D455" s="89"/>
      <c r="E455" s="89"/>
      <c r="F455" s="89"/>
    </row>
    <row r="456" spans="1:6" ht="12.5">
      <c r="A456" s="9"/>
      <c r="B456" s="89"/>
      <c r="C456" s="89"/>
      <c r="D456" s="89"/>
      <c r="E456" s="89"/>
      <c r="F456" s="89"/>
    </row>
    <row r="457" spans="1:6" ht="12.5">
      <c r="A457" s="9"/>
      <c r="B457" s="89"/>
      <c r="C457" s="89"/>
      <c r="D457" s="89"/>
      <c r="E457" s="89"/>
      <c r="F457" s="89"/>
    </row>
    <row r="458" spans="1:6" ht="12.5">
      <c r="A458" s="9"/>
      <c r="B458" s="89"/>
      <c r="C458" s="89"/>
      <c r="D458" s="89"/>
      <c r="E458" s="89"/>
      <c r="F458" s="89"/>
    </row>
    <row r="459" spans="1:6" ht="12.5">
      <c r="A459" s="9"/>
      <c r="B459" s="89"/>
      <c r="C459" s="89"/>
      <c r="D459" s="89"/>
      <c r="E459" s="89"/>
      <c r="F459" s="89"/>
    </row>
    <row r="460" spans="1:6" ht="12.5">
      <c r="A460" s="9"/>
      <c r="B460" s="89"/>
      <c r="C460" s="89"/>
      <c r="D460" s="89"/>
      <c r="E460" s="89"/>
      <c r="F460" s="89"/>
    </row>
    <row r="461" spans="1:6" ht="12.5">
      <c r="A461" s="9"/>
      <c r="B461" s="89"/>
      <c r="C461" s="89"/>
      <c r="D461" s="89"/>
      <c r="E461" s="89"/>
      <c r="F461" s="89"/>
    </row>
    <row r="462" spans="1:6" ht="12.5">
      <c r="A462" s="9"/>
      <c r="B462" s="89"/>
      <c r="C462" s="89"/>
      <c r="D462" s="89"/>
      <c r="E462" s="89"/>
      <c r="F462" s="89"/>
    </row>
    <row r="463" spans="1:6" ht="12.5">
      <c r="A463" s="9"/>
      <c r="B463" s="89"/>
      <c r="C463" s="89"/>
      <c r="D463" s="89"/>
      <c r="E463" s="89"/>
      <c r="F463" s="89"/>
    </row>
    <row r="464" spans="1:6" ht="12.5">
      <c r="A464" s="9"/>
      <c r="B464" s="89"/>
      <c r="C464" s="89"/>
      <c r="D464" s="89"/>
      <c r="E464" s="89"/>
      <c r="F464" s="89"/>
    </row>
    <row r="465" spans="1:6" ht="12.5">
      <c r="A465" s="9"/>
      <c r="B465" s="89"/>
      <c r="C465" s="89"/>
      <c r="D465" s="89"/>
      <c r="E465" s="89"/>
      <c r="F465" s="89"/>
    </row>
    <row r="466" spans="1:6" ht="12.5">
      <c r="A466" s="9"/>
      <c r="B466" s="89"/>
      <c r="C466" s="89"/>
      <c r="D466" s="89"/>
      <c r="E466" s="89"/>
      <c r="F466" s="89"/>
    </row>
    <row r="467" spans="1:6" ht="12.5">
      <c r="A467" s="9"/>
      <c r="B467" s="89"/>
      <c r="C467" s="89"/>
      <c r="D467" s="89"/>
      <c r="E467" s="89"/>
      <c r="F467" s="89"/>
    </row>
    <row r="468" spans="1:6" ht="12.5">
      <c r="A468" s="9"/>
      <c r="B468" s="89"/>
      <c r="C468" s="89"/>
      <c r="D468" s="89"/>
      <c r="E468" s="89"/>
      <c r="F468" s="89"/>
    </row>
    <row r="469" spans="1:6" ht="12.5">
      <c r="A469" s="9"/>
      <c r="B469" s="89"/>
      <c r="C469" s="89"/>
      <c r="D469" s="89"/>
      <c r="E469" s="89"/>
      <c r="F469" s="89"/>
    </row>
    <row r="470" spans="1:6" ht="12.5">
      <c r="A470" s="9"/>
      <c r="B470" s="89"/>
      <c r="C470" s="89"/>
      <c r="D470" s="89"/>
      <c r="E470" s="89"/>
      <c r="F470" s="89"/>
    </row>
    <row r="471" spans="1:6" ht="12.5">
      <c r="A471" s="9"/>
      <c r="B471" s="89"/>
      <c r="C471" s="89"/>
      <c r="D471" s="89"/>
      <c r="E471" s="89"/>
      <c r="F471" s="89"/>
    </row>
    <row r="472" spans="1:6" ht="12.5">
      <c r="A472" s="9"/>
      <c r="B472" s="89"/>
      <c r="C472" s="89"/>
      <c r="D472" s="89"/>
      <c r="E472" s="89"/>
      <c r="F472" s="89"/>
    </row>
    <row r="473" spans="1:6" ht="12.5">
      <c r="A473" s="9"/>
      <c r="B473" s="89"/>
      <c r="C473" s="89"/>
      <c r="D473" s="89"/>
      <c r="E473" s="89"/>
      <c r="F473" s="89"/>
    </row>
    <row r="474" spans="1:6" ht="12.5">
      <c r="A474" s="9"/>
      <c r="B474" s="89"/>
      <c r="C474" s="89"/>
      <c r="D474" s="89"/>
      <c r="E474" s="89"/>
      <c r="F474" s="89"/>
    </row>
    <row r="475" spans="1:6" ht="12.5">
      <c r="A475" s="9"/>
      <c r="B475" s="89"/>
      <c r="C475" s="89"/>
      <c r="D475" s="89"/>
      <c r="E475" s="89"/>
      <c r="F475" s="89"/>
    </row>
    <row r="476" spans="1:6" ht="12.5">
      <c r="A476" s="9"/>
      <c r="B476" s="89"/>
      <c r="C476" s="89"/>
      <c r="D476" s="89"/>
      <c r="E476" s="89"/>
      <c r="F476" s="89"/>
    </row>
    <row r="477" spans="1:6" ht="12.5">
      <c r="A477" s="9"/>
      <c r="B477" s="89"/>
      <c r="C477" s="89"/>
      <c r="D477" s="89"/>
      <c r="E477" s="89"/>
      <c r="F477" s="89"/>
    </row>
    <row r="478" spans="1:6" ht="12.5">
      <c r="A478" s="9"/>
      <c r="B478" s="89"/>
      <c r="C478" s="89"/>
      <c r="D478" s="89"/>
      <c r="E478" s="89"/>
      <c r="F478" s="89"/>
    </row>
    <row r="479" spans="1:6" ht="12.5">
      <c r="A479" s="9"/>
      <c r="B479" s="89"/>
      <c r="C479" s="89"/>
      <c r="D479" s="89"/>
      <c r="E479" s="89"/>
      <c r="F479" s="89"/>
    </row>
    <row r="480" spans="1:6" ht="12.5">
      <c r="A480" s="9"/>
      <c r="B480" s="89"/>
      <c r="C480" s="89"/>
      <c r="D480" s="89"/>
      <c r="E480" s="89"/>
      <c r="F480" s="89"/>
    </row>
    <row r="481" spans="1:6" ht="12.5">
      <c r="A481" s="9"/>
      <c r="B481" s="89"/>
      <c r="C481" s="89"/>
      <c r="D481" s="89"/>
      <c r="E481" s="89"/>
      <c r="F481" s="89"/>
    </row>
    <row r="482" spans="1:6" ht="12.5">
      <c r="A482" s="9"/>
      <c r="B482" s="89"/>
      <c r="C482" s="89"/>
      <c r="D482" s="89"/>
      <c r="E482" s="89"/>
      <c r="F482" s="89"/>
    </row>
    <row r="483" spans="1:6" ht="12.5">
      <c r="A483" s="9"/>
      <c r="B483" s="89"/>
      <c r="C483" s="89"/>
      <c r="D483" s="89"/>
      <c r="E483" s="89"/>
      <c r="F483" s="89"/>
    </row>
    <row r="484" spans="1:6" ht="12.5">
      <c r="A484" s="9"/>
      <c r="B484" s="89"/>
      <c r="C484" s="89"/>
      <c r="D484" s="89"/>
      <c r="E484" s="89"/>
      <c r="F484" s="89"/>
    </row>
    <row r="485" spans="1:6" ht="12.5">
      <c r="A485" s="9"/>
      <c r="B485" s="89"/>
      <c r="C485" s="89"/>
      <c r="D485" s="89"/>
      <c r="E485" s="89"/>
      <c r="F485" s="89"/>
    </row>
    <row r="486" spans="1:6" ht="12.5">
      <c r="A486" s="9"/>
      <c r="B486" s="89"/>
      <c r="C486" s="89"/>
      <c r="D486" s="89"/>
      <c r="E486" s="89"/>
      <c r="F486" s="89"/>
    </row>
    <row r="487" spans="1:6" ht="12.5">
      <c r="A487" s="9"/>
      <c r="B487" s="89"/>
      <c r="C487" s="89"/>
      <c r="D487" s="89"/>
      <c r="E487" s="89"/>
      <c r="F487" s="89"/>
    </row>
    <row r="488" spans="1:6" ht="12.5">
      <c r="A488" s="9"/>
      <c r="B488" s="89"/>
      <c r="C488" s="89"/>
      <c r="D488" s="89"/>
      <c r="E488" s="89"/>
      <c r="F488" s="89"/>
    </row>
    <row r="489" spans="1:6" ht="12.5">
      <c r="A489" s="9"/>
      <c r="B489" s="89"/>
      <c r="C489" s="89"/>
      <c r="D489" s="89"/>
      <c r="E489" s="89"/>
      <c r="F489" s="89"/>
    </row>
    <row r="490" spans="1:6" ht="12.5">
      <c r="A490" s="9"/>
      <c r="B490" s="89"/>
      <c r="C490" s="89"/>
      <c r="D490" s="89"/>
      <c r="E490" s="89"/>
      <c r="F490" s="89"/>
    </row>
    <row r="491" spans="1:6" ht="12.5">
      <c r="A491" s="9"/>
      <c r="B491" s="89"/>
      <c r="C491" s="89"/>
      <c r="D491" s="89"/>
      <c r="E491" s="89"/>
      <c r="F491" s="89"/>
    </row>
    <row r="492" spans="1:6" ht="12.5">
      <c r="A492" s="9"/>
      <c r="B492" s="89"/>
      <c r="C492" s="89"/>
      <c r="D492" s="89"/>
      <c r="E492" s="89"/>
      <c r="F492" s="89"/>
    </row>
    <row r="493" spans="1:6" ht="12.5">
      <c r="A493" s="9"/>
      <c r="B493" s="89"/>
      <c r="C493" s="89"/>
      <c r="D493" s="89"/>
      <c r="E493" s="89"/>
      <c r="F493" s="89"/>
    </row>
    <row r="494" spans="1:6" ht="12.5">
      <c r="A494" s="9"/>
      <c r="B494" s="89"/>
      <c r="C494" s="89"/>
      <c r="D494" s="89"/>
      <c r="E494" s="89"/>
      <c r="F494" s="89"/>
    </row>
    <row r="495" spans="1:6" ht="12.5">
      <c r="A495" s="9"/>
      <c r="B495" s="89"/>
      <c r="C495" s="89"/>
      <c r="D495" s="89"/>
      <c r="E495" s="89"/>
      <c r="F495" s="89"/>
    </row>
    <row r="496" spans="1:6" ht="12.5">
      <c r="A496" s="9"/>
      <c r="B496" s="89"/>
      <c r="C496" s="89"/>
      <c r="D496" s="89"/>
      <c r="E496" s="89"/>
      <c r="F496" s="89"/>
    </row>
    <row r="497" spans="1:6" ht="12.5">
      <c r="A497" s="9"/>
      <c r="B497" s="89"/>
      <c r="C497" s="89"/>
      <c r="D497" s="89"/>
      <c r="E497" s="89"/>
      <c r="F497" s="89"/>
    </row>
    <row r="498" spans="1:6" ht="12.5">
      <c r="A498" s="9"/>
      <c r="B498" s="89"/>
      <c r="C498" s="89"/>
      <c r="D498" s="89"/>
      <c r="E498" s="89"/>
      <c r="F498" s="89"/>
    </row>
    <row r="499" spans="1:6" ht="12.5">
      <c r="A499" s="9"/>
      <c r="B499" s="89"/>
      <c r="C499" s="89"/>
      <c r="D499" s="89"/>
      <c r="E499" s="89"/>
      <c r="F499" s="89"/>
    </row>
    <row r="500" spans="1:6" ht="12.5">
      <c r="A500" s="9"/>
      <c r="B500" s="89"/>
      <c r="C500" s="89"/>
      <c r="D500" s="89"/>
      <c r="E500" s="89"/>
      <c r="F500" s="89"/>
    </row>
    <row r="501" spans="1:6" ht="12.5">
      <c r="A501" s="9"/>
      <c r="B501" s="89"/>
      <c r="C501" s="89"/>
      <c r="D501" s="89"/>
      <c r="E501" s="89"/>
      <c r="F501" s="89"/>
    </row>
    <row r="502" spans="1:6" ht="12.5">
      <c r="A502" s="9"/>
      <c r="B502" s="89"/>
      <c r="C502" s="89"/>
      <c r="D502" s="89"/>
      <c r="E502" s="89"/>
      <c r="F502" s="89"/>
    </row>
    <row r="503" spans="1:6" ht="12.5">
      <c r="A503" s="9"/>
      <c r="B503" s="89"/>
      <c r="C503" s="89"/>
      <c r="D503" s="89"/>
      <c r="E503" s="89"/>
      <c r="F503" s="89"/>
    </row>
    <row r="504" spans="1:6" ht="12.5">
      <c r="A504" s="9"/>
      <c r="B504" s="89"/>
      <c r="C504" s="89"/>
      <c r="D504" s="89"/>
      <c r="E504" s="89"/>
      <c r="F504" s="89"/>
    </row>
    <row r="505" spans="1:6" ht="12.5">
      <c r="A505" s="9"/>
      <c r="B505" s="89"/>
      <c r="C505" s="89"/>
      <c r="D505" s="89"/>
      <c r="E505" s="89"/>
      <c r="F505" s="89"/>
    </row>
    <row r="506" spans="1:6" ht="12.5">
      <c r="A506" s="9"/>
      <c r="B506" s="89"/>
      <c r="C506" s="89"/>
      <c r="D506" s="89"/>
      <c r="E506" s="89"/>
      <c r="F506" s="89"/>
    </row>
    <row r="507" spans="1:6" ht="12.5">
      <c r="A507" s="9"/>
      <c r="B507" s="89"/>
      <c r="C507" s="89"/>
      <c r="D507" s="89"/>
      <c r="E507" s="89"/>
      <c r="F507" s="89"/>
    </row>
    <row r="508" spans="1:6" ht="12.5">
      <c r="A508" s="9"/>
      <c r="B508" s="89"/>
      <c r="C508" s="89"/>
      <c r="D508" s="89"/>
      <c r="E508" s="89"/>
      <c r="F508" s="89"/>
    </row>
    <row r="509" spans="1:6" ht="12.5">
      <c r="A509" s="9"/>
      <c r="B509" s="89"/>
      <c r="C509" s="89"/>
      <c r="D509" s="89"/>
      <c r="E509" s="89"/>
      <c r="F509" s="89"/>
    </row>
    <row r="510" spans="1:6" ht="12.5">
      <c r="A510" s="9"/>
      <c r="B510" s="89"/>
      <c r="C510" s="89"/>
      <c r="D510" s="89"/>
      <c r="E510" s="89"/>
      <c r="F510" s="89"/>
    </row>
    <row r="511" spans="1:6" ht="12.5">
      <c r="A511" s="9"/>
      <c r="B511" s="89"/>
      <c r="C511" s="89"/>
      <c r="D511" s="89"/>
      <c r="E511" s="89"/>
      <c r="F511" s="89"/>
    </row>
    <row r="512" spans="1:6" ht="12.5">
      <c r="A512" s="9"/>
      <c r="B512" s="89"/>
      <c r="C512" s="89"/>
      <c r="D512" s="89"/>
      <c r="E512" s="89"/>
      <c r="F512" s="89"/>
    </row>
    <row r="513" spans="1:6" ht="12.5">
      <c r="A513" s="9"/>
      <c r="B513" s="89"/>
      <c r="C513" s="89"/>
      <c r="D513" s="89"/>
      <c r="E513" s="89"/>
      <c r="F513" s="89"/>
    </row>
    <row r="514" spans="1:6" ht="12.5">
      <c r="A514" s="9"/>
      <c r="B514" s="89"/>
      <c r="C514" s="89"/>
      <c r="D514" s="89"/>
      <c r="E514" s="89"/>
      <c r="F514" s="89"/>
    </row>
    <row r="515" spans="1:6" ht="12.5">
      <c r="A515" s="9"/>
      <c r="B515" s="89"/>
      <c r="C515" s="89"/>
      <c r="D515" s="89"/>
      <c r="E515" s="89"/>
      <c r="F515" s="89"/>
    </row>
    <row r="516" spans="1:6" ht="12.5">
      <c r="A516" s="9"/>
      <c r="B516" s="89"/>
      <c r="C516" s="89"/>
      <c r="D516" s="89"/>
      <c r="E516" s="89"/>
      <c r="F516" s="89"/>
    </row>
    <row r="517" spans="1:6" ht="12.5">
      <c r="A517" s="9"/>
      <c r="B517" s="89"/>
      <c r="C517" s="89"/>
      <c r="D517" s="89"/>
      <c r="E517" s="89"/>
      <c r="F517" s="89"/>
    </row>
    <row r="518" spans="1:6" ht="12.5">
      <c r="A518" s="9"/>
      <c r="B518" s="89"/>
      <c r="C518" s="89"/>
      <c r="D518" s="89"/>
      <c r="E518" s="89"/>
      <c r="F518" s="89"/>
    </row>
    <row r="519" spans="1:6" ht="12.5">
      <c r="A519" s="9"/>
      <c r="B519" s="89"/>
      <c r="C519" s="89"/>
      <c r="D519" s="89"/>
      <c r="E519" s="89"/>
      <c r="F519" s="89"/>
    </row>
    <row r="520" spans="1:6" ht="12.5">
      <c r="A520" s="9"/>
      <c r="B520" s="89"/>
      <c r="C520" s="89"/>
      <c r="D520" s="89"/>
      <c r="E520" s="89"/>
      <c r="F520" s="89"/>
    </row>
    <row r="521" spans="1:6" ht="12.5">
      <c r="A521" s="9"/>
      <c r="B521" s="89"/>
      <c r="C521" s="89"/>
      <c r="D521" s="89"/>
      <c r="E521" s="89"/>
      <c r="F521" s="89"/>
    </row>
    <row r="522" spans="1:6" ht="12.5">
      <c r="A522" s="9"/>
      <c r="B522" s="89"/>
      <c r="C522" s="89"/>
      <c r="D522" s="89"/>
      <c r="E522" s="89"/>
      <c r="F522" s="89"/>
    </row>
    <row r="523" spans="1:6" ht="12.5">
      <c r="A523" s="9"/>
      <c r="B523" s="89"/>
      <c r="C523" s="89"/>
      <c r="D523" s="89"/>
      <c r="E523" s="89"/>
      <c r="F523" s="89"/>
    </row>
    <row r="524" spans="1:6" ht="12.5">
      <c r="A524" s="9"/>
      <c r="B524" s="89"/>
      <c r="C524" s="89"/>
      <c r="D524" s="89"/>
      <c r="E524" s="89"/>
      <c r="F524" s="89"/>
    </row>
    <row r="525" spans="1:6" ht="12.5">
      <c r="A525" s="9"/>
      <c r="B525" s="89"/>
      <c r="C525" s="89"/>
      <c r="D525" s="89"/>
      <c r="E525" s="89"/>
      <c r="F525" s="89"/>
    </row>
    <row r="526" spans="1:6" ht="12.5">
      <c r="A526" s="9"/>
      <c r="B526" s="89"/>
      <c r="C526" s="89"/>
      <c r="D526" s="89"/>
      <c r="E526" s="89"/>
      <c r="F526" s="89"/>
    </row>
    <row r="527" spans="1:6" ht="12.5">
      <c r="A527" s="9"/>
      <c r="B527" s="89"/>
      <c r="C527" s="89"/>
      <c r="D527" s="89"/>
      <c r="E527" s="89"/>
      <c r="F527" s="89"/>
    </row>
    <row r="528" spans="1:6" ht="12.5">
      <c r="A528" s="9"/>
      <c r="B528" s="89"/>
      <c r="C528" s="89"/>
      <c r="D528" s="89"/>
      <c r="E528" s="89"/>
      <c r="F528" s="89"/>
    </row>
    <row r="529" spans="1:6" ht="12.5">
      <c r="A529" s="9"/>
      <c r="B529" s="89"/>
      <c r="C529" s="89"/>
      <c r="D529" s="89"/>
      <c r="E529" s="89"/>
      <c r="F529" s="89"/>
    </row>
    <row r="530" spans="1:6" ht="12.5">
      <c r="A530" s="9"/>
      <c r="B530" s="89"/>
      <c r="C530" s="89"/>
      <c r="D530" s="89"/>
      <c r="E530" s="89"/>
      <c r="F530" s="89"/>
    </row>
    <row r="531" spans="1:6" ht="12.5">
      <c r="A531" s="9"/>
      <c r="B531" s="89"/>
      <c r="C531" s="89"/>
      <c r="D531" s="89"/>
      <c r="E531" s="89"/>
      <c r="F531" s="89"/>
    </row>
    <row r="532" spans="1:6" ht="12.5">
      <c r="A532" s="9"/>
      <c r="B532" s="89"/>
      <c r="C532" s="89"/>
      <c r="D532" s="89"/>
      <c r="E532" s="89"/>
      <c r="F532" s="89"/>
    </row>
    <row r="533" spans="1:6" ht="12.5">
      <c r="A533" s="9"/>
      <c r="B533" s="89"/>
      <c r="C533" s="89"/>
      <c r="D533" s="89"/>
      <c r="E533" s="89"/>
      <c r="F533" s="89"/>
    </row>
    <row r="534" spans="1:6" ht="12.5">
      <c r="A534" s="9"/>
      <c r="B534" s="89"/>
      <c r="C534" s="89"/>
      <c r="D534" s="89"/>
      <c r="E534" s="89"/>
      <c r="F534" s="89"/>
    </row>
    <row r="535" spans="1:6" ht="12.5">
      <c r="A535" s="9"/>
      <c r="B535" s="89"/>
      <c r="C535" s="89"/>
      <c r="D535" s="89"/>
      <c r="E535" s="89"/>
      <c r="F535" s="89"/>
    </row>
    <row r="536" spans="1:6" ht="12.5">
      <c r="A536" s="9"/>
      <c r="B536" s="89"/>
      <c r="C536" s="89"/>
      <c r="D536" s="89"/>
      <c r="E536" s="89"/>
      <c r="F536" s="89"/>
    </row>
    <row r="537" spans="1:6" ht="12.5">
      <c r="A537" s="9"/>
      <c r="B537" s="89"/>
      <c r="C537" s="89"/>
      <c r="D537" s="89"/>
      <c r="E537" s="89"/>
      <c r="F537" s="89"/>
    </row>
    <row r="538" spans="1:6" ht="12.5">
      <c r="A538" s="9"/>
      <c r="B538" s="89"/>
      <c r="C538" s="89"/>
      <c r="D538" s="89"/>
      <c r="E538" s="89"/>
      <c r="F538" s="89"/>
    </row>
    <row r="539" spans="1:6" ht="12.5">
      <c r="A539" s="9"/>
      <c r="B539" s="89"/>
      <c r="C539" s="89"/>
      <c r="D539" s="89"/>
      <c r="E539" s="89"/>
      <c r="F539" s="89"/>
    </row>
    <row r="540" spans="1:6" ht="12.5">
      <c r="A540" s="9"/>
      <c r="B540" s="89"/>
      <c r="C540" s="89"/>
      <c r="D540" s="89"/>
      <c r="E540" s="89"/>
      <c r="F540" s="89"/>
    </row>
    <row r="541" spans="1:6" ht="12.5">
      <c r="A541" s="9"/>
      <c r="B541" s="89"/>
      <c r="C541" s="89"/>
      <c r="D541" s="89"/>
      <c r="E541" s="89"/>
      <c r="F541" s="89"/>
    </row>
    <row r="542" spans="1:6" ht="12.5">
      <c r="A542" s="9"/>
      <c r="B542" s="89"/>
      <c r="C542" s="89"/>
      <c r="D542" s="89"/>
      <c r="E542" s="89"/>
      <c r="F542" s="89"/>
    </row>
    <row r="543" spans="1:6" ht="12.5">
      <c r="A543" s="9"/>
      <c r="B543" s="89"/>
      <c r="C543" s="89"/>
      <c r="D543" s="89"/>
      <c r="E543" s="89"/>
      <c r="F543" s="89"/>
    </row>
    <row r="544" spans="1:6" ht="12.5">
      <c r="A544" s="9"/>
      <c r="B544" s="89"/>
      <c r="C544" s="89"/>
      <c r="D544" s="89"/>
      <c r="E544" s="89"/>
      <c r="F544" s="89"/>
    </row>
    <row r="545" spans="1:6" ht="12.5">
      <c r="A545" s="9"/>
      <c r="B545" s="89"/>
      <c r="C545" s="89"/>
      <c r="D545" s="89"/>
      <c r="E545" s="89"/>
      <c r="F545" s="89"/>
    </row>
    <row r="546" spans="1:6" ht="12.5">
      <c r="A546" s="9"/>
      <c r="B546" s="89"/>
      <c r="C546" s="89"/>
      <c r="D546" s="89"/>
      <c r="E546" s="89"/>
      <c r="F546" s="89"/>
    </row>
    <row r="547" spans="1:6" ht="12.5">
      <c r="A547" s="9"/>
      <c r="B547" s="89"/>
      <c r="C547" s="89"/>
      <c r="D547" s="89"/>
      <c r="E547" s="89"/>
      <c r="F547" s="89"/>
    </row>
    <row r="548" spans="1:6" ht="12.5">
      <c r="A548" s="9"/>
      <c r="B548" s="89"/>
      <c r="C548" s="89"/>
      <c r="D548" s="89"/>
      <c r="E548" s="89"/>
      <c r="F548" s="89"/>
    </row>
    <row r="549" spans="1:6" ht="12.5">
      <c r="A549" s="9"/>
      <c r="B549" s="89"/>
      <c r="C549" s="89"/>
      <c r="D549" s="89"/>
      <c r="E549" s="89"/>
      <c r="F549" s="89"/>
    </row>
    <row r="550" spans="1:6" ht="12.5">
      <c r="A550" s="9"/>
      <c r="B550" s="89"/>
      <c r="C550" s="89"/>
      <c r="D550" s="89"/>
      <c r="E550" s="89"/>
      <c r="F550" s="89"/>
    </row>
    <row r="551" spans="1:6" ht="12.5">
      <c r="A551" s="9"/>
      <c r="B551" s="89"/>
      <c r="C551" s="89"/>
      <c r="D551" s="89"/>
      <c r="E551" s="89"/>
      <c r="F551" s="89"/>
    </row>
    <row r="552" spans="1:6" ht="12.5">
      <c r="A552" s="9"/>
      <c r="B552" s="89"/>
      <c r="C552" s="89"/>
      <c r="D552" s="89"/>
      <c r="E552" s="89"/>
      <c r="F552" s="89"/>
    </row>
    <row r="553" spans="1:6" ht="12.5">
      <c r="A553" s="9"/>
      <c r="B553" s="89"/>
      <c r="C553" s="89"/>
      <c r="D553" s="89"/>
      <c r="E553" s="89"/>
      <c r="F553" s="89"/>
    </row>
    <row r="554" spans="1:6" ht="12.5">
      <c r="A554" s="9"/>
      <c r="B554" s="89"/>
      <c r="C554" s="89"/>
      <c r="D554" s="89"/>
      <c r="E554" s="89"/>
      <c r="F554" s="89"/>
    </row>
    <row r="555" spans="1:6" ht="12.5">
      <c r="A555" s="9"/>
      <c r="B555" s="89"/>
      <c r="C555" s="89"/>
      <c r="D555" s="89"/>
      <c r="E555" s="89"/>
      <c r="F555" s="89"/>
    </row>
    <row r="556" spans="1:6" ht="12.5">
      <c r="A556" s="9"/>
      <c r="B556" s="89"/>
      <c r="C556" s="89"/>
      <c r="D556" s="89"/>
      <c r="E556" s="89"/>
      <c r="F556" s="89"/>
    </row>
    <row r="557" spans="1:6" ht="12.5">
      <c r="A557" s="9"/>
      <c r="B557" s="89"/>
      <c r="C557" s="89"/>
      <c r="D557" s="89"/>
      <c r="E557" s="89"/>
      <c r="F557" s="89"/>
    </row>
    <row r="558" spans="1:6" ht="12.5">
      <c r="A558" s="9"/>
      <c r="B558" s="89"/>
      <c r="C558" s="89"/>
      <c r="D558" s="89"/>
      <c r="E558" s="89"/>
      <c r="F558" s="89"/>
    </row>
    <row r="559" spans="1:6" ht="12.5">
      <c r="A559" s="9"/>
      <c r="B559" s="89"/>
      <c r="C559" s="89"/>
      <c r="D559" s="89"/>
      <c r="E559" s="89"/>
      <c r="F559" s="89"/>
    </row>
    <row r="560" spans="1:6" ht="12.5">
      <c r="A560" s="9"/>
      <c r="B560" s="89"/>
      <c r="C560" s="89"/>
      <c r="D560" s="89"/>
      <c r="E560" s="89"/>
      <c r="F560" s="89"/>
    </row>
    <row r="561" spans="1:6" ht="12.5">
      <c r="A561" s="9"/>
      <c r="B561" s="89"/>
      <c r="C561" s="89"/>
      <c r="D561" s="89"/>
      <c r="E561" s="89"/>
      <c r="F561" s="89"/>
    </row>
    <row r="562" spans="1:6" ht="12.5">
      <c r="A562" s="9"/>
      <c r="B562" s="89"/>
      <c r="C562" s="89"/>
      <c r="D562" s="89"/>
      <c r="E562" s="89"/>
      <c r="F562" s="89"/>
    </row>
    <row r="563" spans="1:6" ht="12.5">
      <c r="A563" s="9"/>
      <c r="B563" s="89"/>
      <c r="C563" s="89"/>
      <c r="D563" s="89"/>
      <c r="E563" s="89"/>
      <c r="F563" s="89"/>
    </row>
    <row r="564" spans="1:6" ht="12.5">
      <c r="A564" s="9"/>
      <c r="B564" s="89"/>
      <c r="C564" s="89"/>
      <c r="D564" s="89"/>
      <c r="E564" s="89"/>
      <c r="F564" s="89"/>
    </row>
    <row r="565" spans="1:6" ht="12.5">
      <c r="A565" s="9"/>
      <c r="B565" s="89"/>
      <c r="C565" s="89"/>
      <c r="D565" s="89"/>
      <c r="E565" s="89"/>
      <c r="F565" s="89"/>
    </row>
    <row r="566" spans="1:6" ht="12.5">
      <c r="A566" s="9"/>
      <c r="B566" s="89"/>
      <c r="C566" s="89"/>
      <c r="D566" s="89"/>
      <c r="E566" s="89"/>
      <c r="F566" s="89"/>
    </row>
    <row r="567" spans="1:6" ht="12.5">
      <c r="A567" s="9"/>
      <c r="B567" s="89"/>
      <c r="C567" s="89"/>
      <c r="D567" s="89"/>
      <c r="E567" s="89"/>
      <c r="F567" s="89"/>
    </row>
    <row r="568" spans="1:6" ht="12.5">
      <c r="A568" s="9"/>
      <c r="B568" s="89"/>
      <c r="C568" s="89"/>
      <c r="D568" s="89"/>
      <c r="E568" s="89"/>
      <c r="F568" s="89"/>
    </row>
    <row r="569" spans="1:6" ht="12.5">
      <c r="A569" s="9"/>
      <c r="B569" s="89"/>
      <c r="C569" s="89"/>
      <c r="D569" s="89"/>
      <c r="E569" s="89"/>
      <c r="F569" s="89"/>
    </row>
    <row r="570" spans="1:6" ht="12.5">
      <c r="A570" s="9"/>
      <c r="B570" s="89"/>
      <c r="C570" s="89"/>
      <c r="D570" s="89"/>
      <c r="E570" s="89"/>
      <c r="F570" s="89"/>
    </row>
    <row r="571" spans="1:6" ht="12.5">
      <c r="A571" s="9"/>
      <c r="B571" s="89"/>
      <c r="C571" s="89"/>
      <c r="D571" s="89"/>
      <c r="E571" s="89"/>
      <c r="F571" s="89"/>
    </row>
    <row r="572" spans="1:6" ht="12.5">
      <c r="A572" s="9"/>
      <c r="B572" s="89"/>
      <c r="C572" s="89"/>
      <c r="D572" s="89"/>
      <c r="E572" s="89"/>
      <c r="F572" s="89"/>
    </row>
    <row r="573" spans="1:6" ht="12.5">
      <c r="A573" s="9"/>
      <c r="B573" s="89"/>
      <c r="C573" s="89"/>
      <c r="D573" s="89"/>
      <c r="E573" s="89"/>
      <c r="F573" s="89"/>
    </row>
    <row r="574" spans="1:6" ht="12.5">
      <c r="A574" s="9"/>
      <c r="B574" s="89"/>
      <c r="C574" s="89"/>
      <c r="D574" s="89"/>
      <c r="E574" s="89"/>
      <c r="F574" s="89"/>
    </row>
    <row r="575" spans="1:6" ht="12.5">
      <c r="A575" s="9"/>
      <c r="B575" s="89"/>
      <c r="C575" s="89"/>
      <c r="D575" s="89"/>
      <c r="E575" s="89"/>
      <c r="F575" s="89"/>
    </row>
    <row r="576" spans="1:6" ht="12.5">
      <c r="A576" s="9"/>
      <c r="B576" s="89"/>
      <c r="C576" s="89"/>
      <c r="D576" s="89"/>
      <c r="E576" s="89"/>
      <c r="F576" s="89"/>
    </row>
    <row r="577" spans="1:6" ht="12.5">
      <c r="A577" s="9"/>
      <c r="B577" s="89"/>
      <c r="C577" s="89"/>
      <c r="D577" s="89"/>
      <c r="E577" s="89"/>
      <c r="F577" s="89"/>
    </row>
    <row r="578" spans="1:6" ht="12.5">
      <c r="A578" s="9"/>
      <c r="B578" s="89"/>
      <c r="C578" s="89"/>
      <c r="D578" s="89"/>
      <c r="E578" s="89"/>
      <c r="F578" s="89"/>
    </row>
    <row r="579" spans="1:6" ht="12.5">
      <c r="A579" s="9"/>
      <c r="B579" s="89"/>
      <c r="C579" s="89"/>
      <c r="D579" s="89"/>
      <c r="E579" s="89"/>
      <c r="F579" s="89"/>
    </row>
    <row r="580" spans="1:6" ht="12.5">
      <c r="A580" s="9"/>
      <c r="B580" s="89"/>
      <c r="C580" s="89"/>
      <c r="D580" s="89"/>
      <c r="E580" s="89"/>
      <c r="F580" s="89"/>
    </row>
    <row r="581" spans="1:6" ht="12.5">
      <c r="A581" s="9"/>
      <c r="B581" s="89"/>
      <c r="C581" s="89"/>
      <c r="D581" s="89"/>
      <c r="E581" s="89"/>
      <c r="F581" s="89"/>
    </row>
    <row r="582" spans="1:6" ht="12.5">
      <c r="A582" s="9"/>
      <c r="B582" s="89"/>
      <c r="C582" s="89"/>
      <c r="D582" s="89"/>
      <c r="E582" s="89"/>
      <c r="F582" s="89"/>
    </row>
    <row r="583" spans="1:6" ht="12.5">
      <c r="A583" s="9"/>
      <c r="B583" s="89"/>
      <c r="C583" s="89"/>
      <c r="D583" s="89"/>
      <c r="E583" s="89"/>
      <c r="F583" s="89"/>
    </row>
    <row r="584" spans="1:6" ht="12.5">
      <c r="A584" s="9"/>
      <c r="B584" s="89"/>
      <c r="C584" s="89"/>
      <c r="D584" s="89"/>
      <c r="E584" s="89"/>
      <c r="F584" s="89"/>
    </row>
    <row r="585" spans="1:6" ht="12.5">
      <c r="A585" s="9"/>
      <c r="B585" s="89"/>
      <c r="C585" s="89"/>
      <c r="D585" s="89"/>
      <c r="E585" s="89"/>
      <c r="F585" s="89"/>
    </row>
    <row r="586" spans="1:6" ht="12.5">
      <c r="A586" s="9"/>
      <c r="B586" s="89"/>
      <c r="C586" s="89"/>
      <c r="D586" s="89"/>
      <c r="E586" s="89"/>
      <c r="F586" s="89"/>
    </row>
    <row r="587" spans="1:6" ht="12.5">
      <c r="A587" s="9"/>
      <c r="B587" s="89"/>
      <c r="C587" s="89"/>
      <c r="D587" s="89"/>
      <c r="E587" s="89"/>
      <c r="F587" s="89"/>
    </row>
    <row r="588" spans="1:6" ht="12.5">
      <c r="A588" s="9"/>
      <c r="B588" s="89"/>
      <c r="C588" s="89"/>
      <c r="D588" s="89"/>
      <c r="E588" s="89"/>
      <c r="F588" s="89"/>
    </row>
    <row r="589" spans="1:6" ht="12.5">
      <c r="A589" s="9"/>
      <c r="B589" s="89"/>
      <c r="C589" s="89"/>
      <c r="D589" s="89"/>
      <c r="E589" s="89"/>
      <c r="F589" s="89"/>
    </row>
    <row r="590" spans="1:6" ht="12.5">
      <c r="A590" s="9"/>
      <c r="B590" s="89"/>
      <c r="C590" s="89"/>
      <c r="D590" s="89"/>
      <c r="E590" s="89"/>
      <c r="F590" s="89"/>
    </row>
    <row r="591" spans="1:6" ht="12.5">
      <c r="A591" s="9"/>
      <c r="B591" s="89"/>
      <c r="C591" s="89"/>
      <c r="D591" s="89"/>
      <c r="E591" s="89"/>
      <c r="F591" s="89"/>
    </row>
    <row r="592" spans="1:6" ht="12.5">
      <c r="A592" s="9"/>
      <c r="B592" s="89"/>
      <c r="C592" s="89"/>
      <c r="D592" s="89"/>
      <c r="E592" s="89"/>
      <c r="F592" s="89"/>
    </row>
    <row r="593" spans="1:6" ht="12.5">
      <c r="A593" s="9"/>
      <c r="B593" s="89"/>
      <c r="C593" s="89"/>
      <c r="D593" s="89"/>
      <c r="E593" s="89"/>
      <c r="F593" s="89"/>
    </row>
    <row r="594" spans="1:6" ht="12.5">
      <c r="A594" s="9"/>
      <c r="B594" s="89"/>
      <c r="C594" s="89"/>
      <c r="D594" s="89"/>
      <c r="E594" s="89"/>
      <c r="F594" s="89"/>
    </row>
    <row r="595" spans="1:6" ht="12.5">
      <c r="A595" s="9"/>
      <c r="B595" s="89"/>
      <c r="C595" s="89"/>
      <c r="D595" s="89"/>
      <c r="E595" s="89"/>
      <c r="F595" s="89"/>
    </row>
    <row r="596" spans="1:6" ht="12.5">
      <c r="A596" s="9"/>
      <c r="B596" s="89"/>
      <c r="C596" s="89"/>
      <c r="D596" s="89"/>
      <c r="E596" s="89"/>
      <c r="F596" s="89"/>
    </row>
    <row r="597" spans="1:6" ht="12.5">
      <c r="A597" s="9"/>
      <c r="B597" s="89"/>
      <c r="C597" s="89"/>
      <c r="D597" s="89"/>
      <c r="E597" s="89"/>
      <c r="F597" s="89"/>
    </row>
    <row r="598" spans="1:6" ht="12.5">
      <c r="A598" s="9"/>
      <c r="B598" s="89"/>
      <c r="C598" s="89"/>
      <c r="D598" s="89"/>
      <c r="E598" s="89"/>
      <c r="F598" s="89"/>
    </row>
    <row r="599" spans="1:6" ht="12.5">
      <c r="A599" s="9"/>
      <c r="B599" s="89"/>
      <c r="C599" s="89"/>
      <c r="D599" s="89"/>
      <c r="E599" s="89"/>
      <c r="F599" s="89"/>
    </row>
    <row r="600" spans="1:6" ht="12.5">
      <c r="A600" s="9"/>
      <c r="B600" s="89"/>
      <c r="C600" s="89"/>
      <c r="D600" s="89"/>
      <c r="E600" s="89"/>
      <c r="F600" s="89"/>
    </row>
    <row r="601" spans="1:6" ht="12.5">
      <c r="A601" s="9"/>
      <c r="B601" s="89"/>
      <c r="C601" s="89"/>
      <c r="D601" s="89"/>
      <c r="E601" s="89"/>
      <c r="F601" s="89"/>
    </row>
    <row r="602" spans="1:6" ht="12.5">
      <c r="A602" s="9"/>
      <c r="B602" s="89"/>
      <c r="C602" s="89"/>
      <c r="D602" s="89"/>
      <c r="E602" s="89"/>
      <c r="F602" s="89"/>
    </row>
    <row r="603" spans="1:6" ht="12.5">
      <c r="A603" s="9"/>
      <c r="B603" s="89"/>
      <c r="C603" s="89"/>
      <c r="D603" s="89"/>
      <c r="E603" s="89"/>
      <c r="F603" s="89"/>
    </row>
    <row r="604" spans="1:6" ht="12.5">
      <c r="A604" s="9"/>
      <c r="B604" s="89"/>
      <c r="C604" s="89"/>
      <c r="D604" s="89"/>
      <c r="E604" s="89"/>
      <c r="F604" s="89"/>
    </row>
    <row r="605" spans="1:6" ht="12.5">
      <c r="A605" s="9"/>
      <c r="B605" s="89"/>
      <c r="C605" s="89"/>
      <c r="D605" s="89"/>
      <c r="E605" s="89"/>
      <c r="F605" s="89"/>
    </row>
    <row r="606" spans="1:6" ht="12.5">
      <c r="A606" s="9"/>
      <c r="B606" s="89"/>
      <c r="C606" s="89"/>
      <c r="D606" s="89"/>
      <c r="E606" s="89"/>
      <c r="F606" s="89"/>
    </row>
    <row r="607" spans="1:6" ht="12.5">
      <c r="A607" s="9"/>
      <c r="B607" s="89"/>
      <c r="C607" s="89"/>
      <c r="D607" s="89"/>
      <c r="E607" s="89"/>
      <c r="F607" s="89"/>
    </row>
    <row r="608" spans="1:6" ht="12.5">
      <c r="A608" s="9"/>
      <c r="B608" s="89"/>
      <c r="C608" s="89"/>
      <c r="D608" s="89"/>
      <c r="E608" s="89"/>
      <c r="F608" s="89"/>
    </row>
    <row r="609" spans="1:6" ht="12.5">
      <c r="A609" s="9"/>
      <c r="B609" s="89"/>
      <c r="C609" s="89"/>
      <c r="D609" s="89"/>
      <c r="E609" s="89"/>
      <c r="F609" s="89"/>
    </row>
    <row r="610" spans="1:6" ht="12.5">
      <c r="A610" s="9"/>
      <c r="B610" s="89"/>
      <c r="C610" s="89"/>
      <c r="D610" s="89"/>
      <c r="E610" s="89"/>
      <c r="F610" s="89"/>
    </row>
    <row r="611" spans="1:6" ht="12.5">
      <c r="A611" s="9"/>
      <c r="B611" s="89"/>
      <c r="C611" s="89"/>
      <c r="D611" s="89"/>
      <c r="E611" s="89"/>
      <c r="F611" s="89"/>
    </row>
    <row r="612" spans="1:6" ht="12.5">
      <c r="A612" s="9"/>
      <c r="B612" s="89"/>
      <c r="C612" s="89"/>
      <c r="D612" s="89"/>
      <c r="E612" s="89"/>
      <c r="F612" s="89"/>
    </row>
    <row r="613" spans="1:6" ht="12.5">
      <c r="A613" s="9"/>
      <c r="B613" s="89"/>
      <c r="C613" s="89"/>
      <c r="D613" s="89"/>
      <c r="E613" s="89"/>
      <c r="F613" s="89"/>
    </row>
    <row r="614" spans="1:6" ht="12.5">
      <c r="A614" s="9"/>
      <c r="B614" s="89"/>
      <c r="C614" s="89"/>
      <c r="D614" s="89"/>
      <c r="E614" s="89"/>
      <c r="F614" s="89"/>
    </row>
    <row r="615" spans="1:6" ht="12.5">
      <c r="A615" s="9"/>
      <c r="B615" s="89"/>
      <c r="C615" s="89"/>
      <c r="D615" s="89"/>
      <c r="E615" s="89"/>
      <c r="F615" s="89"/>
    </row>
    <row r="616" spans="1:6" ht="12.5">
      <c r="A616" s="9"/>
      <c r="B616" s="89"/>
      <c r="C616" s="89"/>
      <c r="D616" s="89"/>
      <c r="E616" s="89"/>
      <c r="F616" s="89"/>
    </row>
    <row r="617" spans="1:6" ht="12.5">
      <c r="A617" s="9"/>
      <c r="B617" s="89"/>
      <c r="C617" s="89"/>
      <c r="D617" s="89"/>
      <c r="E617" s="89"/>
      <c r="F617" s="89"/>
    </row>
    <row r="618" spans="1:6" ht="12.5">
      <c r="A618" s="9"/>
      <c r="B618" s="89"/>
      <c r="C618" s="89"/>
      <c r="D618" s="89"/>
      <c r="E618" s="89"/>
      <c r="F618" s="89"/>
    </row>
    <row r="619" spans="1:6" ht="12.5">
      <c r="A619" s="9"/>
      <c r="B619" s="89"/>
      <c r="C619" s="89"/>
      <c r="D619" s="89"/>
      <c r="E619" s="89"/>
      <c r="F619" s="89"/>
    </row>
    <row r="620" spans="1:6" ht="12.5">
      <c r="A620" s="9"/>
      <c r="B620" s="89"/>
      <c r="C620" s="89"/>
      <c r="D620" s="89"/>
      <c r="E620" s="89"/>
      <c r="F620" s="89"/>
    </row>
    <row r="621" spans="1:6" ht="12.5">
      <c r="A621" s="9"/>
      <c r="B621" s="89"/>
      <c r="C621" s="89"/>
      <c r="D621" s="89"/>
      <c r="E621" s="89"/>
      <c r="F621" s="89"/>
    </row>
    <row r="622" spans="1:6" ht="12.5">
      <c r="A622" s="9"/>
      <c r="B622" s="89"/>
      <c r="C622" s="89"/>
      <c r="D622" s="89"/>
      <c r="E622" s="89"/>
      <c r="F622" s="89"/>
    </row>
    <row r="623" spans="1:6" ht="12.5">
      <c r="A623" s="9"/>
      <c r="B623" s="89"/>
      <c r="C623" s="89"/>
      <c r="D623" s="89"/>
      <c r="E623" s="89"/>
      <c r="F623" s="89"/>
    </row>
    <row r="624" spans="1:6" ht="12.5">
      <c r="A624" s="9"/>
      <c r="B624" s="89"/>
      <c r="C624" s="89"/>
      <c r="D624" s="89"/>
      <c r="E624" s="89"/>
      <c r="F624" s="89"/>
    </row>
    <row r="625" spans="1:6" ht="12.5">
      <c r="A625" s="9"/>
      <c r="B625" s="89"/>
      <c r="C625" s="89"/>
      <c r="D625" s="89"/>
      <c r="E625" s="89"/>
      <c r="F625" s="89"/>
    </row>
    <row r="626" spans="1:6" ht="12.5">
      <c r="A626" s="9"/>
      <c r="B626" s="89"/>
      <c r="C626" s="89"/>
      <c r="D626" s="89"/>
      <c r="E626" s="89"/>
      <c r="F626" s="89"/>
    </row>
    <row r="627" spans="1:6" ht="12.5">
      <c r="A627" s="9"/>
      <c r="B627" s="89"/>
      <c r="C627" s="89"/>
      <c r="D627" s="89"/>
      <c r="E627" s="89"/>
      <c r="F627" s="89"/>
    </row>
    <row r="628" spans="1:6" ht="12.5">
      <c r="A628" s="9"/>
      <c r="B628" s="89"/>
      <c r="C628" s="89"/>
      <c r="D628" s="89"/>
      <c r="E628" s="89"/>
      <c r="F628" s="89"/>
    </row>
    <row r="629" spans="1:6" ht="12.5">
      <c r="A629" s="9"/>
      <c r="B629" s="89"/>
      <c r="C629" s="89"/>
      <c r="D629" s="89"/>
      <c r="E629" s="89"/>
      <c r="F629" s="89"/>
    </row>
    <row r="630" spans="1:6" ht="12.5">
      <c r="A630" s="9"/>
      <c r="B630" s="89"/>
      <c r="C630" s="89"/>
      <c r="D630" s="89"/>
      <c r="E630" s="89"/>
      <c r="F630" s="89"/>
    </row>
    <row r="631" spans="1:6" ht="12.5">
      <c r="A631" s="9"/>
      <c r="B631" s="89"/>
      <c r="C631" s="89"/>
      <c r="D631" s="89"/>
      <c r="E631" s="89"/>
      <c r="F631" s="89"/>
    </row>
    <row r="632" spans="1:6" ht="12.5">
      <c r="A632" s="9"/>
      <c r="B632" s="89"/>
      <c r="C632" s="89"/>
      <c r="D632" s="89"/>
      <c r="E632" s="89"/>
      <c r="F632" s="89"/>
    </row>
    <row r="633" spans="1:6" ht="12.5">
      <c r="A633" s="9"/>
      <c r="B633" s="89"/>
      <c r="C633" s="89"/>
      <c r="D633" s="89"/>
      <c r="E633" s="89"/>
      <c r="F633" s="89"/>
    </row>
    <row r="634" spans="1:6" ht="12.5">
      <c r="A634" s="9"/>
      <c r="B634" s="89"/>
      <c r="C634" s="89"/>
      <c r="D634" s="89"/>
      <c r="E634" s="89"/>
      <c r="F634" s="89"/>
    </row>
    <row r="635" spans="1:6" ht="12.5">
      <c r="A635" s="9"/>
      <c r="B635" s="89"/>
      <c r="C635" s="89"/>
      <c r="D635" s="89"/>
      <c r="E635" s="89"/>
      <c r="F635" s="89"/>
    </row>
    <row r="636" spans="1:6" ht="12.5">
      <c r="A636" s="9"/>
      <c r="B636" s="89"/>
      <c r="C636" s="89"/>
      <c r="D636" s="89"/>
      <c r="E636" s="89"/>
      <c r="F636" s="89"/>
    </row>
    <row r="637" spans="1:6" ht="12.5">
      <c r="A637" s="9"/>
      <c r="B637" s="89"/>
      <c r="C637" s="89"/>
      <c r="D637" s="89"/>
      <c r="E637" s="89"/>
      <c r="F637" s="89"/>
    </row>
    <row r="638" spans="1:6" ht="12.5">
      <c r="A638" s="9"/>
      <c r="B638" s="89"/>
      <c r="C638" s="89"/>
      <c r="D638" s="89"/>
      <c r="E638" s="89"/>
      <c r="F638" s="89"/>
    </row>
    <row r="639" spans="1:6" ht="12.5">
      <c r="A639" s="9"/>
      <c r="B639" s="89"/>
      <c r="C639" s="89"/>
      <c r="D639" s="89"/>
      <c r="E639" s="89"/>
      <c r="F639" s="89"/>
    </row>
    <row r="640" spans="1:6" ht="12.5">
      <c r="A640" s="9"/>
      <c r="B640" s="89"/>
      <c r="C640" s="89"/>
      <c r="D640" s="89"/>
      <c r="E640" s="89"/>
      <c r="F640" s="89"/>
    </row>
    <row r="641" spans="1:6" ht="12.5">
      <c r="A641" s="9"/>
      <c r="B641" s="89"/>
      <c r="C641" s="89"/>
      <c r="D641" s="89"/>
      <c r="E641" s="89"/>
      <c r="F641" s="89"/>
    </row>
    <row r="642" spans="1:6" ht="12.5">
      <c r="A642" s="9"/>
      <c r="B642" s="89"/>
      <c r="C642" s="89"/>
      <c r="D642" s="89"/>
      <c r="E642" s="89"/>
      <c r="F642" s="89"/>
    </row>
    <row r="643" spans="1:6" ht="12.5">
      <c r="A643" s="9"/>
      <c r="B643" s="89"/>
      <c r="C643" s="89"/>
      <c r="D643" s="89"/>
      <c r="E643" s="89"/>
      <c r="F643" s="89"/>
    </row>
    <row r="644" spans="1:6" ht="12.5">
      <c r="A644" s="9"/>
      <c r="B644" s="89"/>
      <c r="C644" s="89"/>
      <c r="D644" s="89"/>
      <c r="E644" s="89"/>
      <c r="F644" s="89"/>
    </row>
    <row r="645" spans="1:6" ht="12.5">
      <c r="A645" s="9"/>
      <c r="B645" s="89"/>
      <c r="C645" s="89"/>
      <c r="D645" s="89"/>
      <c r="E645" s="89"/>
      <c r="F645" s="89"/>
    </row>
    <row r="646" spans="1:6" ht="12.5">
      <c r="A646" s="9"/>
      <c r="B646" s="89"/>
      <c r="C646" s="89"/>
      <c r="D646" s="89"/>
      <c r="E646" s="89"/>
      <c r="F646" s="89"/>
    </row>
    <row r="647" spans="1:6" ht="12.5">
      <c r="A647" s="9"/>
      <c r="B647" s="89"/>
      <c r="C647" s="89"/>
      <c r="D647" s="89"/>
      <c r="E647" s="89"/>
      <c r="F647" s="89"/>
    </row>
    <row r="648" spans="1:6" ht="12.5">
      <c r="A648" s="9"/>
      <c r="B648" s="89"/>
      <c r="C648" s="89"/>
      <c r="D648" s="89"/>
      <c r="E648" s="89"/>
      <c r="F648" s="89"/>
    </row>
    <row r="649" spans="1:6" ht="12.5">
      <c r="A649" s="9"/>
      <c r="B649" s="89"/>
      <c r="C649" s="89"/>
      <c r="D649" s="89"/>
      <c r="E649" s="89"/>
      <c r="F649" s="89"/>
    </row>
    <row r="650" spans="1:6" ht="12.5">
      <c r="A650" s="9"/>
      <c r="B650" s="89"/>
      <c r="C650" s="89"/>
      <c r="D650" s="89"/>
      <c r="E650" s="89"/>
      <c r="F650" s="89"/>
    </row>
    <row r="651" spans="1:6" ht="12.5">
      <c r="A651" s="9"/>
      <c r="B651" s="89"/>
      <c r="C651" s="89"/>
      <c r="D651" s="89"/>
      <c r="E651" s="89"/>
      <c r="F651" s="89"/>
    </row>
    <row r="652" spans="1:6" ht="12.5">
      <c r="A652" s="9"/>
      <c r="B652" s="89"/>
      <c r="C652" s="89"/>
      <c r="D652" s="89"/>
      <c r="E652" s="89"/>
      <c r="F652" s="89"/>
    </row>
    <row r="653" spans="1:6" ht="12.5">
      <c r="A653" s="9"/>
      <c r="B653" s="89"/>
      <c r="C653" s="89"/>
      <c r="D653" s="89"/>
      <c r="E653" s="89"/>
      <c r="F653" s="89"/>
    </row>
    <row r="654" spans="1:6" ht="12.5">
      <c r="A654" s="9"/>
      <c r="B654" s="89"/>
      <c r="C654" s="89"/>
      <c r="D654" s="89"/>
      <c r="E654" s="89"/>
      <c r="F654" s="89"/>
    </row>
    <row r="655" spans="1:6" ht="12.5">
      <c r="A655" s="9"/>
      <c r="B655" s="89"/>
      <c r="C655" s="89"/>
      <c r="D655" s="89"/>
      <c r="E655" s="89"/>
      <c r="F655" s="89"/>
    </row>
    <row r="656" spans="1:6" ht="12.5">
      <c r="A656" s="9"/>
      <c r="B656" s="89"/>
      <c r="C656" s="89"/>
      <c r="D656" s="89"/>
      <c r="E656" s="89"/>
      <c r="F656" s="89"/>
    </row>
    <row r="657" spans="1:6" ht="12.5">
      <c r="A657" s="9"/>
      <c r="B657" s="89"/>
      <c r="C657" s="89"/>
      <c r="D657" s="89"/>
      <c r="E657" s="89"/>
      <c r="F657" s="89"/>
    </row>
    <row r="658" spans="1:6" ht="12.5">
      <c r="A658" s="9"/>
      <c r="B658" s="89"/>
      <c r="C658" s="89"/>
      <c r="D658" s="89"/>
      <c r="E658" s="89"/>
      <c r="F658" s="89"/>
    </row>
    <row r="659" spans="1:6" ht="12.5">
      <c r="A659" s="9"/>
      <c r="B659" s="89"/>
      <c r="C659" s="89"/>
      <c r="D659" s="89"/>
      <c r="E659" s="89"/>
      <c r="F659" s="89"/>
    </row>
    <row r="660" spans="1:6" ht="12.5">
      <c r="A660" s="9"/>
      <c r="B660" s="89"/>
      <c r="C660" s="89"/>
      <c r="D660" s="89"/>
      <c r="E660" s="89"/>
      <c r="F660" s="89"/>
    </row>
    <row r="661" spans="1:6" ht="12.5">
      <c r="A661" s="9"/>
      <c r="B661" s="89"/>
      <c r="C661" s="89"/>
      <c r="D661" s="89"/>
      <c r="E661" s="89"/>
      <c r="F661" s="89"/>
    </row>
    <row r="662" spans="1:6" ht="12.5">
      <c r="A662" s="9"/>
      <c r="B662" s="89"/>
      <c r="C662" s="89"/>
      <c r="D662" s="89"/>
      <c r="E662" s="89"/>
      <c r="F662" s="89"/>
    </row>
    <row r="663" spans="1:6" ht="12.5">
      <c r="A663" s="9"/>
      <c r="B663" s="89"/>
      <c r="C663" s="89"/>
      <c r="D663" s="89"/>
      <c r="E663" s="89"/>
      <c r="F663" s="89"/>
    </row>
    <row r="664" spans="1:6" ht="12.5">
      <c r="A664" s="9"/>
      <c r="B664" s="89"/>
      <c r="C664" s="89"/>
      <c r="D664" s="89"/>
      <c r="E664" s="89"/>
      <c r="F664" s="89"/>
    </row>
    <row r="665" spans="1:6" ht="12.5">
      <c r="A665" s="9"/>
      <c r="B665" s="89"/>
      <c r="C665" s="89"/>
      <c r="D665" s="89"/>
      <c r="E665" s="89"/>
      <c r="F665" s="89"/>
    </row>
    <row r="666" spans="1:6" ht="12.5">
      <c r="A666" s="9"/>
      <c r="B666" s="89"/>
      <c r="C666" s="89"/>
      <c r="D666" s="89"/>
      <c r="E666" s="89"/>
      <c r="F666" s="89"/>
    </row>
    <row r="667" spans="1:6" ht="12.5">
      <c r="A667" s="9"/>
      <c r="B667" s="89"/>
      <c r="C667" s="89"/>
      <c r="D667" s="89"/>
      <c r="E667" s="89"/>
      <c r="F667" s="89"/>
    </row>
    <row r="668" spans="1:6" ht="12.5">
      <c r="A668" s="9"/>
      <c r="B668" s="89"/>
      <c r="C668" s="89"/>
      <c r="D668" s="89"/>
      <c r="E668" s="89"/>
      <c r="F668" s="89"/>
    </row>
    <row r="669" spans="1:6" ht="12.5">
      <c r="A669" s="9"/>
      <c r="B669" s="89"/>
      <c r="C669" s="89"/>
      <c r="D669" s="89"/>
      <c r="E669" s="89"/>
      <c r="F669" s="89"/>
    </row>
    <row r="670" spans="1:6" ht="12.5">
      <c r="A670" s="9"/>
      <c r="B670" s="89"/>
      <c r="C670" s="89"/>
      <c r="D670" s="89"/>
      <c r="E670" s="89"/>
      <c r="F670" s="89"/>
    </row>
    <row r="671" spans="1:6" ht="12.5">
      <c r="A671" s="9"/>
      <c r="B671" s="89"/>
      <c r="C671" s="89"/>
      <c r="D671" s="89"/>
      <c r="E671" s="89"/>
      <c r="F671" s="89"/>
    </row>
    <row r="672" spans="1:6" ht="12.5">
      <c r="A672" s="9"/>
      <c r="B672" s="89"/>
      <c r="C672" s="89"/>
      <c r="D672" s="89"/>
      <c r="E672" s="89"/>
      <c r="F672" s="89"/>
    </row>
    <row r="673" spans="1:6" ht="12.5">
      <c r="A673" s="9"/>
      <c r="B673" s="89"/>
      <c r="C673" s="89"/>
      <c r="D673" s="89"/>
      <c r="E673" s="89"/>
      <c r="F673" s="89"/>
    </row>
    <row r="674" spans="1:6" ht="12.5">
      <c r="A674" s="9"/>
      <c r="B674" s="89"/>
      <c r="C674" s="89"/>
      <c r="D674" s="89"/>
      <c r="E674" s="89"/>
      <c r="F674" s="89"/>
    </row>
    <row r="675" spans="1:6" ht="12.5">
      <c r="A675" s="9"/>
      <c r="B675" s="89"/>
      <c r="C675" s="89"/>
      <c r="D675" s="89"/>
      <c r="E675" s="89"/>
      <c r="F675" s="89"/>
    </row>
    <row r="676" spans="1:6" ht="12.5">
      <c r="A676" s="9"/>
      <c r="B676" s="89"/>
      <c r="C676" s="89"/>
      <c r="D676" s="89"/>
      <c r="E676" s="89"/>
      <c r="F676" s="89"/>
    </row>
    <row r="677" spans="1:6" ht="12.5">
      <c r="A677" s="9"/>
      <c r="B677" s="89"/>
      <c r="C677" s="89"/>
      <c r="D677" s="89"/>
      <c r="E677" s="89"/>
      <c r="F677" s="89"/>
    </row>
    <row r="678" spans="1:6" ht="12.5">
      <c r="A678" s="9"/>
      <c r="B678" s="89"/>
      <c r="C678" s="89"/>
      <c r="D678" s="89"/>
      <c r="E678" s="89"/>
      <c r="F678" s="89"/>
    </row>
    <row r="679" spans="1:6" ht="12.5">
      <c r="A679" s="9"/>
      <c r="B679" s="89"/>
      <c r="C679" s="89"/>
      <c r="D679" s="89"/>
      <c r="E679" s="89"/>
      <c r="F679" s="89"/>
    </row>
    <row r="680" spans="1:6" ht="12.5">
      <c r="A680" s="9"/>
      <c r="B680" s="89"/>
      <c r="C680" s="89"/>
      <c r="D680" s="89"/>
      <c r="E680" s="89"/>
      <c r="F680" s="89"/>
    </row>
    <row r="681" spans="1:6" ht="12.5">
      <c r="A681" s="9"/>
      <c r="B681" s="89"/>
      <c r="C681" s="89"/>
      <c r="D681" s="89"/>
      <c r="E681" s="89"/>
      <c r="F681" s="89"/>
    </row>
    <row r="682" spans="1:6" ht="12.5">
      <c r="A682" s="9"/>
      <c r="B682" s="89"/>
      <c r="C682" s="89"/>
      <c r="D682" s="89"/>
      <c r="E682" s="89"/>
      <c r="F682" s="89"/>
    </row>
    <row r="683" spans="1:6" ht="12.5">
      <c r="A683" s="9"/>
      <c r="B683" s="89"/>
      <c r="C683" s="89"/>
      <c r="D683" s="89"/>
      <c r="E683" s="89"/>
      <c r="F683" s="89"/>
    </row>
    <row r="684" spans="1:6" ht="12.5">
      <c r="A684" s="9"/>
      <c r="B684" s="89"/>
      <c r="C684" s="89"/>
      <c r="D684" s="89"/>
      <c r="E684" s="89"/>
      <c r="F684" s="89"/>
    </row>
    <row r="685" spans="1:6" ht="12.5">
      <c r="A685" s="9"/>
      <c r="B685" s="89"/>
      <c r="C685" s="89"/>
      <c r="D685" s="89"/>
      <c r="E685" s="89"/>
      <c r="F685" s="89"/>
    </row>
    <row r="686" spans="1:6" ht="12.5">
      <c r="A686" s="9"/>
      <c r="B686" s="89"/>
      <c r="C686" s="89"/>
      <c r="D686" s="89"/>
      <c r="E686" s="89"/>
      <c r="F686" s="89"/>
    </row>
    <row r="687" spans="1:6" ht="12.5">
      <c r="A687" s="9"/>
      <c r="B687" s="89"/>
      <c r="C687" s="89"/>
      <c r="D687" s="89"/>
      <c r="E687" s="89"/>
      <c r="F687" s="89"/>
    </row>
    <row r="688" spans="1:6" ht="12.5">
      <c r="A688" s="9"/>
      <c r="B688" s="89"/>
      <c r="C688" s="89"/>
      <c r="D688" s="89"/>
      <c r="E688" s="89"/>
      <c r="F688" s="89"/>
    </row>
    <row r="689" spans="1:6" ht="12.5">
      <c r="A689" s="9"/>
      <c r="B689" s="89"/>
      <c r="C689" s="89"/>
      <c r="D689" s="89"/>
      <c r="E689" s="89"/>
      <c r="F689" s="89"/>
    </row>
    <row r="690" spans="1:6" ht="12.5">
      <c r="A690" s="9"/>
      <c r="B690" s="89"/>
      <c r="C690" s="89"/>
      <c r="D690" s="89"/>
      <c r="E690" s="89"/>
      <c r="F690" s="89"/>
    </row>
    <row r="691" spans="1:6" ht="12.5">
      <c r="A691" s="9"/>
      <c r="B691" s="89"/>
      <c r="C691" s="89"/>
      <c r="D691" s="89"/>
      <c r="E691" s="89"/>
      <c r="F691" s="89"/>
    </row>
    <row r="692" spans="1:6" ht="12.5">
      <c r="A692" s="9"/>
      <c r="B692" s="89"/>
      <c r="C692" s="89"/>
      <c r="D692" s="89"/>
      <c r="E692" s="89"/>
      <c r="F692" s="89"/>
    </row>
    <row r="693" spans="1:6" ht="12.5">
      <c r="A693" s="9"/>
      <c r="B693" s="89"/>
      <c r="C693" s="89"/>
      <c r="D693" s="89"/>
      <c r="E693" s="89"/>
      <c r="F693" s="89"/>
    </row>
    <row r="694" spans="1:6" ht="12.5">
      <c r="A694" s="9"/>
      <c r="B694" s="89"/>
      <c r="C694" s="89"/>
      <c r="D694" s="89"/>
      <c r="E694" s="89"/>
      <c r="F694" s="89"/>
    </row>
    <row r="695" spans="1:6" ht="12.5">
      <c r="A695" s="9"/>
      <c r="B695" s="89"/>
      <c r="C695" s="89"/>
      <c r="D695" s="89"/>
      <c r="E695" s="89"/>
      <c r="F695" s="89"/>
    </row>
    <row r="696" spans="1:6" ht="12.5">
      <c r="A696" s="9"/>
      <c r="B696" s="89"/>
      <c r="C696" s="89"/>
      <c r="D696" s="89"/>
      <c r="E696" s="89"/>
      <c r="F696" s="89"/>
    </row>
    <row r="697" spans="1:6" ht="12.5">
      <c r="A697" s="9"/>
      <c r="B697" s="89"/>
      <c r="C697" s="89"/>
      <c r="D697" s="89"/>
      <c r="E697" s="89"/>
      <c r="F697" s="89"/>
    </row>
    <row r="698" spans="1:6" ht="12.5">
      <c r="A698" s="9"/>
      <c r="B698" s="89"/>
      <c r="C698" s="89"/>
      <c r="D698" s="89"/>
      <c r="E698" s="89"/>
      <c r="F698" s="89"/>
    </row>
    <row r="699" spans="1:6" ht="12.5">
      <c r="A699" s="9"/>
      <c r="B699" s="89"/>
      <c r="C699" s="89"/>
      <c r="D699" s="89"/>
      <c r="E699" s="89"/>
      <c r="F699" s="89"/>
    </row>
    <row r="700" spans="1:6" ht="12.5">
      <c r="A700" s="9"/>
      <c r="B700" s="89"/>
      <c r="C700" s="89"/>
      <c r="D700" s="89"/>
      <c r="E700" s="89"/>
      <c r="F700" s="89"/>
    </row>
    <row r="701" spans="1:6" ht="12.5">
      <c r="A701" s="9"/>
      <c r="B701" s="89"/>
      <c r="C701" s="89"/>
      <c r="D701" s="89"/>
      <c r="E701" s="89"/>
      <c r="F701" s="89"/>
    </row>
    <row r="702" spans="1:6" ht="12.5">
      <c r="A702" s="9"/>
      <c r="B702" s="89"/>
      <c r="C702" s="89"/>
      <c r="D702" s="89"/>
      <c r="E702" s="89"/>
      <c r="F702" s="89"/>
    </row>
    <row r="703" spans="1:6" ht="12.5">
      <c r="A703" s="9"/>
      <c r="B703" s="89"/>
      <c r="C703" s="89"/>
      <c r="D703" s="89"/>
      <c r="E703" s="89"/>
      <c r="F703" s="89"/>
    </row>
    <row r="704" spans="1:6" ht="12.5">
      <c r="A704" s="9"/>
      <c r="B704" s="89"/>
      <c r="C704" s="89"/>
      <c r="D704" s="89"/>
      <c r="E704" s="89"/>
      <c r="F704" s="89"/>
    </row>
    <row r="705" spans="1:6" ht="12.5">
      <c r="A705" s="9"/>
      <c r="B705" s="89"/>
      <c r="C705" s="89"/>
      <c r="D705" s="89"/>
      <c r="E705" s="89"/>
      <c r="F705" s="89"/>
    </row>
    <row r="706" spans="1:6" ht="12.5">
      <c r="A706" s="9"/>
      <c r="B706" s="89"/>
      <c r="C706" s="89"/>
      <c r="D706" s="89"/>
      <c r="E706" s="89"/>
      <c r="F706" s="89"/>
    </row>
    <row r="707" spans="1:6" ht="12.5">
      <c r="A707" s="9"/>
      <c r="B707" s="89"/>
      <c r="C707" s="89"/>
      <c r="D707" s="89"/>
      <c r="E707" s="89"/>
      <c r="F707" s="89"/>
    </row>
    <row r="708" spans="1:6" ht="12.5">
      <c r="A708" s="9"/>
      <c r="B708" s="89"/>
      <c r="C708" s="89"/>
      <c r="D708" s="89"/>
      <c r="E708" s="89"/>
      <c r="F708" s="89"/>
    </row>
    <row r="709" spans="1:6" ht="12.5">
      <c r="A709" s="9"/>
      <c r="B709" s="89"/>
      <c r="C709" s="89"/>
      <c r="D709" s="89"/>
      <c r="E709" s="89"/>
      <c r="F709" s="89"/>
    </row>
    <row r="710" spans="1:6" ht="12.5">
      <c r="A710" s="9"/>
      <c r="B710" s="89"/>
      <c r="C710" s="89"/>
      <c r="D710" s="89"/>
      <c r="E710" s="89"/>
      <c r="F710" s="89"/>
    </row>
    <row r="711" spans="1:6" ht="12.5">
      <c r="A711" s="9"/>
      <c r="B711" s="89"/>
      <c r="C711" s="89"/>
      <c r="D711" s="89"/>
      <c r="E711" s="89"/>
      <c r="F711" s="89"/>
    </row>
    <row r="712" spans="1:6" ht="12.5">
      <c r="A712" s="9"/>
      <c r="B712" s="89"/>
      <c r="C712" s="89"/>
      <c r="D712" s="89"/>
      <c r="E712" s="89"/>
      <c r="F712" s="89"/>
    </row>
    <row r="713" spans="1:6" ht="12.5">
      <c r="A713" s="9"/>
      <c r="B713" s="89"/>
      <c r="C713" s="89"/>
      <c r="D713" s="89"/>
      <c r="E713" s="89"/>
      <c r="F713" s="89"/>
    </row>
    <row r="714" spans="1:6" ht="12.5">
      <c r="A714" s="9"/>
      <c r="B714" s="89"/>
      <c r="C714" s="89"/>
      <c r="D714" s="89"/>
      <c r="E714" s="89"/>
      <c r="F714" s="89"/>
    </row>
    <row r="715" spans="1:6" ht="12.5">
      <c r="A715" s="9"/>
      <c r="B715" s="89"/>
      <c r="C715" s="89"/>
      <c r="D715" s="89"/>
      <c r="E715" s="89"/>
      <c r="F715" s="89"/>
    </row>
    <row r="716" spans="1:6" ht="12.5">
      <c r="A716" s="9"/>
      <c r="B716" s="89"/>
      <c r="C716" s="89"/>
      <c r="D716" s="89"/>
      <c r="E716" s="89"/>
      <c r="F716" s="89"/>
    </row>
    <row r="717" spans="1:6" ht="12.5">
      <c r="A717" s="9"/>
      <c r="B717" s="89"/>
      <c r="C717" s="89"/>
      <c r="D717" s="89"/>
      <c r="E717" s="89"/>
      <c r="F717" s="89"/>
    </row>
    <row r="718" spans="1:6" ht="12.5">
      <c r="A718" s="9"/>
      <c r="B718" s="89"/>
      <c r="C718" s="89"/>
      <c r="D718" s="89"/>
      <c r="E718" s="89"/>
      <c r="F718" s="89"/>
    </row>
    <row r="719" spans="1:6" ht="12.5">
      <c r="A719" s="9"/>
      <c r="B719" s="89"/>
      <c r="C719" s="89"/>
      <c r="D719" s="89"/>
      <c r="E719" s="89"/>
      <c r="F719" s="89"/>
    </row>
    <row r="720" spans="1:6" ht="12.5">
      <c r="A720" s="9"/>
      <c r="B720" s="89"/>
      <c r="C720" s="89"/>
      <c r="D720" s="89"/>
      <c r="E720" s="89"/>
      <c r="F720" s="89"/>
    </row>
    <row r="721" spans="1:6" ht="12.5">
      <c r="A721" s="9"/>
      <c r="B721" s="89"/>
      <c r="C721" s="89"/>
      <c r="D721" s="89"/>
      <c r="E721" s="89"/>
      <c r="F721" s="89"/>
    </row>
    <row r="722" spans="1:6" ht="12.5">
      <c r="A722" s="9"/>
      <c r="B722" s="89"/>
      <c r="C722" s="89"/>
      <c r="D722" s="89"/>
      <c r="E722" s="89"/>
      <c r="F722" s="89"/>
    </row>
    <row r="723" spans="1:6" ht="12.5">
      <c r="A723" s="9"/>
      <c r="B723" s="89"/>
      <c r="C723" s="89"/>
      <c r="D723" s="89"/>
      <c r="E723" s="89"/>
      <c r="F723" s="89"/>
    </row>
    <row r="724" spans="1:6" ht="12.5">
      <c r="A724" s="9"/>
      <c r="B724" s="89"/>
      <c r="C724" s="89"/>
      <c r="D724" s="89"/>
      <c r="E724" s="89"/>
      <c r="F724" s="89"/>
    </row>
    <row r="725" spans="1:6" ht="12.5">
      <c r="A725" s="9"/>
      <c r="B725" s="89"/>
      <c r="C725" s="89"/>
      <c r="D725" s="89"/>
      <c r="E725" s="89"/>
      <c r="F725" s="89"/>
    </row>
    <row r="726" spans="1:6" ht="12.5">
      <c r="A726" s="9"/>
      <c r="B726" s="89"/>
      <c r="C726" s="89"/>
      <c r="D726" s="89"/>
      <c r="E726" s="89"/>
      <c r="F726" s="89"/>
    </row>
    <row r="727" spans="1:6" ht="12.5">
      <c r="A727" s="9"/>
      <c r="B727" s="89"/>
      <c r="C727" s="89"/>
      <c r="D727" s="89"/>
      <c r="E727" s="89"/>
      <c r="F727" s="89"/>
    </row>
    <row r="728" spans="1:6" ht="12.5">
      <c r="A728" s="9"/>
      <c r="B728" s="89"/>
      <c r="C728" s="89"/>
      <c r="D728" s="89"/>
      <c r="E728" s="89"/>
      <c r="F728" s="89"/>
    </row>
    <row r="729" spans="1:6" ht="12.5">
      <c r="A729" s="9"/>
      <c r="B729" s="89"/>
      <c r="C729" s="89"/>
      <c r="D729" s="89"/>
      <c r="E729" s="89"/>
      <c r="F729" s="89"/>
    </row>
    <row r="730" spans="1:6" ht="12.5">
      <c r="A730" s="9"/>
      <c r="B730" s="89"/>
      <c r="C730" s="89"/>
      <c r="D730" s="89"/>
      <c r="E730" s="89"/>
      <c r="F730" s="89"/>
    </row>
    <row r="731" spans="1:6" ht="12.5">
      <c r="A731" s="9"/>
      <c r="B731" s="89"/>
      <c r="C731" s="89"/>
      <c r="D731" s="89"/>
      <c r="E731" s="89"/>
      <c r="F731" s="89"/>
    </row>
    <row r="732" spans="1:6" ht="12.5">
      <c r="A732" s="9"/>
      <c r="B732" s="89"/>
      <c r="C732" s="89"/>
      <c r="D732" s="89"/>
      <c r="E732" s="89"/>
      <c r="F732" s="89"/>
    </row>
    <row r="733" spans="1:6" ht="12.5">
      <c r="A733" s="9"/>
      <c r="B733" s="89"/>
      <c r="C733" s="89"/>
      <c r="D733" s="89"/>
      <c r="E733" s="89"/>
      <c r="F733" s="89"/>
    </row>
    <row r="734" spans="1:6" ht="12.5">
      <c r="A734" s="9"/>
      <c r="B734" s="89"/>
      <c r="C734" s="89"/>
      <c r="D734" s="89"/>
      <c r="E734" s="89"/>
      <c r="F734" s="89"/>
    </row>
    <row r="735" spans="1:6" ht="12.5">
      <c r="A735" s="9"/>
      <c r="B735" s="89"/>
      <c r="C735" s="89"/>
      <c r="D735" s="89"/>
      <c r="E735" s="89"/>
      <c r="F735" s="89"/>
    </row>
    <row r="736" spans="1:6" ht="12.5">
      <c r="A736" s="9"/>
      <c r="B736" s="89"/>
      <c r="C736" s="89"/>
      <c r="D736" s="89"/>
      <c r="E736" s="89"/>
      <c r="F736" s="89"/>
    </row>
    <row r="737" spans="1:6" ht="12.5">
      <c r="A737" s="9"/>
      <c r="B737" s="89"/>
      <c r="C737" s="89"/>
      <c r="D737" s="89"/>
      <c r="E737" s="89"/>
      <c r="F737" s="89"/>
    </row>
    <row r="738" spans="1:6" ht="12.5">
      <c r="A738" s="9"/>
      <c r="B738" s="89"/>
      <c r="C738" s="89"/>
      <c r="D738" s="89"/>
      <c r="E738" s="89"/>
      <c r="F738" s="89"/>
    </row>
    <row r="739" spans="1:6" ht="12.5">
      <c r="A739" s="9"/>
      <c r="B739" s="89"/>
      <c r="C739" s="89"/>
      <c r="D739" s="89"/>
      <c r="E739" s="89"/>
      <c r="F739" s="89"/>
    </row>
    <row r="740" spans="1:6" ht="12.5">
      <c r="A740" s="9"/>
      <c r="B740" s="89"/>
      <c r="C740" s="89"/>
      <c r="D740" s="89"/>
      <c r="E740" s="89"/>
      <c r="F740" s="89"/>
    </row>
    <row r="741" spans="1:6" ht="12.5">
      <c r="A741" s="9"/>
      <c r="B741" s="89"/>
      <c r="C741" s="89"/>
      <c r="D741" s="89"/>
      <c r="E741" s="89"/>
      <c r="F741" s="89"/>
    </row>
    <row r="742" spans="1:6" ht="12.5">
      <c r="A742" s="9"/>
      <c r="B742" s="89"/>
      <c r="C742" s="89"/>
      <c r="D742" s="89"/>
      <c r="E742" s="89"/>
      <c r="F742" s="89"/>
    </row>
    <row r="743" spans="1:6" ht="12.5">
      <c r="A743" s="9"/>
      <c r="B743" s="89"/>
      <c r="C743" s="89"/>
      <c r="D743" s="89"/>
      <c r="E743" s="89"/>
      <c r="F743" s="89"/>
    </row>
    <row r="744" spans="1:6" ht="12.5">
      <c r="A744" s="9"/>
      <c r="B744" s="89"/>
      <c r="C744" s="89"/>
      <c r="D744" s="89"/>
      <c r="E744" s="89"/>
      <c r="F744" s="89"/>
    </row>
    <row r="745" spans="1:6" ht="12.5">
      <c r="A745" s="9"/>
      <c r="B745" s="89"/>
      <c r="C745" s="89"/>
      <c r="D745" s="89"/>
      <c r="E745" s="89"/>
      <c r="F745" s="89"/>
    </row>
    <row r="746" spans="1:6" ht="12.5">
      <c r="A746" s="9"/>
      <c r="B746" s="89"/>
      <c r="C746" s="89"/>
      <c r="D746" s="89"/>
      <c r="E746" s="89"/>
      <c r="F746" s="89"/>
    </row>
    <row r="747" spans="1:6" ht="12.5">
      <c r="A747" s="9"/>
      <c r="B747" s="89"/>
      <c r="C747" s="89"/>
      <c r="D747" s="89"/>
      <c r="E747" s="89"/>
      <c r="F747" s="89"/>
    </row>
    <row r="748" spans="1:6" ht="12.5">
      <c r="A748" s="9"/>
      <c r="B748" s="89"/>
      <c r="C748" s="89"/>
      <c r="D748" s="89"/>
      <c r="E748" s="89"/>
      <c r="F748" s="89"/>
    </row>
    <row r="749" spans="1:6" ht="12.5">
      <c r="A749" s="9"/>
      <c r="B749" s="89"/>
      <c r="C749" s="89"/>
      <c r="D749" s="89"/>
      <c r="E749" s="89"/>
      <c r="F749" s="89"/>
    </row>
    <row r="750" spans="1:6" ht="12.5">
      <c r="A750" s="9"/>
      <c r="B750" s="89"/>
      <c r="C750" s="89"/>
      <c r="D750" s="89"/>
      <c r="E750" s="89"/>
      <c r="F750" s="89"/>
    </row>
    <row r="751" spans="1:6" ht="12.5">
      <c r="A751" s="9"/>
      <c r="B751" s="89"/>
      <c r="C751" s="89"/>
      <c r="D751" s="89"/>
      <c r="E751" s="89"/>
      <c r="F751" s="89"/>
    </row>
    <row r="752" spans="1:6" ht="12.5">
      <c r="A752" s="9"/>
      <c r="B752" s="89"/>
      <c r="C752" s="89"/>
      <c r="D752" s="89"/>
      <c r="E752" s="89"/>
      <c r="F752" s="89"/>
    </row>
    <row r="753" spans="1:6" ht="12.5">
      <c r="A753" s="9"/>
      <c r="B753" s="89"/>
      <c r="C753" s="89"/>
      <c r="D753" s="89"/>
      <c r="E753" s="89"/>
      <c r="F753" s="89"/>
    </row>
    <row r="754" spans="1:6" ht="12.5">
      <c r="A754" s="9"/>
      <c r="B754" s="89"/>
      <c r="C754" s="89"/>
      <c r="D754" s="89"/>
      <c r="E754" s="89"/>
      <c r="F754" s="89"/>
    </row>
    <row r="755" spans="1:6" ht="12.5">
      <c r="A755" s="9"/>
      <c r="B755" s="89"/>
      <c r="C755" s="89"/>
      <c r="D755" s="89"/>
      <c r="E755" s="89"/>
      <c r="F755" s="89"/>
    </row>
    <row r="756" spans="1:6" ht="12.5">
      <c r="A756" s="9"/>
      <c r="B756" s="89"/>
      <c r="C756" s="89"/>
      <c r="D756" s="89"/>
      <c r="E756" s="89"/>
      <c r="F756" s="89"/>
    </row>
    <row r="757" spans="1:6" ht="12.5">
      <c r="A757" s="9"/>
      <c r="B757" s="89"/>
      <c r="C757" s="89"/>
      <c r="D757" s="89"/>
      <c r="E757" s="89"/>
      <c r="F757" s="89"/>
    </row>
    <row r="758" spans="1:6" ht="12.5">
      <c r="A758" s="9"/>
      <c r="B758" s="89"/>
      <c r="C758" s="89"/>
      <c r="D758" s="89"/>
      <c r="E758" s="89"/>
      <c r="F758" s="89"/>
    </row>
    <row r="759" spans="1:6" ht="12.5">
      <c r="A759" s="9"/>
      <c r="B759" s="89"/>
      <c r="C759" s="89"/>
      <c r="D759" s="89"/>
      <c r="E759" s="89"/>
      <c r="F759" s="89"/>
    </row>
    <row r="760" spans="1:6" ht="12.5">
      <c r="A760" s="9"/>
      <c r="B760" s="89"/>
      <c r="C760" s="89"/>
      <c r="D760" s="89"/>
      <c r="E760" s="89"/>
      <c r="F760" s="89"/>
    </row>
    <row r="761" spans="1:6" ht="12.5">
      <c r="A761" s="9"/>
      <c r="B761" s="89"/>
      <c r="C761" s="89"/>
      <c r="D761" s="89"/>
      <c r="E761" s="89"/>
      <c r="F761" s="89"/>
    </row>
    <row r="762" spans="1:6" ht="12.5">
      <c r="A762" s="9"/>
      <c r="B762" s="89"/>
      <c r="C762" s="89"/>
      <c r="D762" s="89"/>
      <c r="E762" s="89"/>
      <c r="F762" s="89"/>
    </row>
    <row r="763" spans="1:6" ht="12.5">
      <c r="A763" s="9"/>
      <c r="B763" s="89"/>
      <c r="C763" s="89"/>
      <c r="D763" s="89"/>
      <c r="E763" s="89"/>
      <c r="F763" s="89"/>
    </row>
    <row r="764" spans="1:6" ht="12.5">
      <c r="A764" s="9"/>
      <c r="B764" s="89"/>
      <c r="C764" s="89"/>
      <c r="D764" s="89"/>
      <c r="E764" s="89"/>
      <c r="F764" s="89"/>
    </row>
    <row r="765" spans="1:6" ht="12.5">
      <c r="A765" s="9"/>
      <c r="B765" s="89"/>
      <c r="C765" s="89"/>
      <c r="D765" s="89"/>
      <c r="E765" s="89"/>
      <c r="F765" s="89"/>
    </row>
    <row r="766" spans="1:6" ht="12.5">
      <c r="A766" s="9"/>
      <c r="B766" s="89"/>
      <c r="C766" s="89"/>
      <c r="D766" s="89"/>
      <c r="E766" s="89"/>
      <c r="F766" s="89"/>
    </row>
    <row r="767" spans="1:6" ht="12.5">
      <c r="A767" s="9"/>
      <c r="B767" s="89"/>
      <c r="C767" s="89"/>
      <c r="D767" s="89"/>
      <c r="E767" s="89"/>
      <c r="F767" s="89"/>
    </row>
    <row r="768" spans="1:6" ht="12.5">
      <c r="A768" s="9"/>
      <c r="B768" s="89"/>
      <c r="C768" s="89"/>
      <c r="D768" s="89"/>
      <c r="E768" s="89"/>
      <c r="F768" s="89"/>
    </row>
    <row r="769" spans="1:6" ht="12.5">
      <c r="A769" s="9"/>
      <c r="B769" s="89"/>
      <c r="C769" s="89"/>
      <c r="D769" s="89"/>
      <c r="E769" s="89"/>
      <c r="F769" s="89"/>
    </row>
    <row r="770" spans="1:6" ht="12.5">
      <c r="A770" s="9"/>
      <c r="B770" s="89"/>
      <c r="C770" s="89"/>
      <c r="D770" s="89"/>
      <c r="E770" s="89"/>
      <c r="F770" s="89"/>
    </row>
    <row r="771" spans="1:6" ht="12.5">
      <c r="A771" s="9"/>
      <c r="B771" s="89"/>
      <c r="C771" s="89"/>
      <c r="D771" s="89"/>
      <c r="E771" s="89"/>
      <c r="F771" s="89"/>
    </row>
    <row r="772" spans="1:6" ht="12.5">
      <c r="A772" s="9"/>
      <c r="B772" s="89"/>
      <c r="C772" s="89"/>
      <c r="D772" s="89"/>
      <c r="E772" s="89"/>
      <c r="F772" s="89"/>
    </row>
    <row r="773" spans="1:6" ht="12.5">
      <c r="A773" s="9"/>
      <c r="B773" s="89"/>
      <c r="C773" s="89"/>
      <c r="D773" s="89"/>
      <c r="E773" s="89"/>
      <c r="F773" s="89"/>
    </row>
    <row r="774" spans="1:6" ht="12.5">
      <c r="A774" s="9"/>
      <c r="B774" s="89"/>
      <c r="C774" s="89"/>
      <c r="D774" s="89"/>
      <c r="E774" s="89"/>
      <c r="F774" s="89"/>
    </row>
    <row r="775" spans="1:6" ht="12.5">
      <c r="A775" s="9"/>
      <c r="B775" s="89"/>
      <c r="C775" s="89"/>
      <c r="D775" s="89"/>
      <c r="E775" s="89"/>
      <c r="F775" s="89"/>
    </row>
    <row r="776" spans="1:6" ht="12.5">
      <c r="A776" s="9"/>
      <c r="B776" s="89"/>
      <c r="C776" s="89"/>
      <c r="D776" s="89"/>
      <c r="E776" s="89"/>
      <c r="F776" s="89"/>
    </row>
    <row r="777" spans="1:6" ht="12.5">
      <c r="A777" s="9"/>
      <c r="B777" s="89"/>
      <c r="C777" s="89"/>
      <c r="D777" s="89"/>
      <c r="E777" s="89"/>
      <c r="F777" s="89"/>
    </row>
    <row r="778" spans="1:6" ht="12.5">
      <c r="A778" s="9"/>
      <c r="B778" s="89"/>
      <c r="C778" s="89"/>
      <c r="D778" s="89"/>
      <c r="E778" s="89"/>
      <c r="F778" s="89"/>
    </row>
    <row r="779" spans="1:6" ht="12.5">
      <c r="A779" s="9"/>
      <c r="B779" s="89"/>
      <c r="C779" s="89"/>
      <c r="D779" s="89"/>
      <c r="E779" s="89"/>
      <c r="F779" s="89"/>
    </row>
    <row r="780" spans="1:6" ht="12.5">
      <c r="A780" s="9"/>
      <c r="B780" s="89"/>
      <c r="C780" s="89"/>
      <c r="D780" s="89"/>
      <c r="E780" s="89"/>
      <c r="F780" s="89"/>
    </row>
    <row r="781" spans="1:6" ht="12.5">
      <c r="A781" s="9"/>
      <c r="B781" s="89"/>
      <c r="C781" s="89"/>
      <c r="D781" s="89"/>
      <c r="E781" s="89"/>
      <c r="F781" s="89"/>
    </row>
    <row r="782" spans="1:6" ht="12.5">
      <c r="A782" s="9"/>
      <c r="B782" s="89"/>
      <c r="C782" s="89"/>
      <c r="D782" s="89"/>
      <c r="E782" s="89"/>
      <c r="F782" s="89"/>
    </row>
    <row r="783" spans="1:6" ht="12.5">
      <c r="A783" s="9"/>
      <c r="B783" s="89"/>
      <c r="C783" s="89"/>
      <c r="D783" s="89"/>
      <c r="E783" s="89"/>
      <c r="F783" s="89"/>
    </row>
    <row r="784" spans="1:6" ht="12.5">
      <c r="A784" s="9"/>
      <c r="B784" s="89"/>
      <c r="C784" s="89"/>
      <c r="D784" s="89"/>
      <c r="E784" s="89"/>
      <c r="F784" s="89"/>
    </row>
    <row r="785" spans="1:6" ht="12.5">
      <c r="A785" s="9"/>
      <c r="B785" s="89"/>
      <c r="C785" s="89"/>
      <c r="D785" s="89"/>
      <c r="E785" s="89"/>
      <c r="F785" s="89"/>
    </row>
    <row r="786" spans="1:6" ht="12.5">
      <c r="A786" s="9"/>
      <c r="B786" s="89"/>
      <c r="C786" s="89"/>
      <c r="D786" s="89"/>
      <c r="E786" s="89"/>
      <c r="F786" s="89"/>
    </row>
    <row r="787" spans="1:6" ht="12.5">
      <c r="A787" s="9"/>
      <c r="B787" s="89"/>
      <c r="C787" s="89"/>
      <c r="D787" s="89"/>
      <c r="E787" s="89"/>
      <c r="F787" s="89"/>
    </row>
    <row r="788" spans="1:6" ht="12.5">
      <c r="A788" s="9"/>
      <c r="B788" s="89"/>
      <c r="C788" s="89"/>
      <c r="D788" s="89"/>
      <c r="E788" s="89"/>
      <c r="F788" s="89"/>
    </row>
    <row r="789" spans="1:6" ht="12.5">
      <c r="A789" s="9"/>
      <c r="B789" s="89"/>
      <c r="C789" s="89"/>
      <c r="D789" s="89"/>
      <c r="E789" s="89"/>
      <c r="F789" s="89"/>
    </row>
    <row r="790" spans="1:6" ht="12.5">
      <c r="A790" s="9"/>
      <c r="B790" s="89"/>
      <c r="C790" s="89"/>
      <c r="D790" s="89"/>
      <c r="E790" s="89"/>
      <c r="F790" s="89"/>
    </row>
    <row r="791" spans="1:6" ht="12.5">
      <c r="A791" s="9"/>
      <c r="B791" s="89"/>
      <c r="C791" s="89"/>
      <c r="D791" s="89"/>
      <c r="E791" s="89"/>
      <c r="F791" s="89"/>
    </row>
    <row r="792" spans="1:6" ht="12.5">
      <c r="A792" s="9"/>
      <c r="B792" s="89"/>
      <c r="C792" s="89"/>
      <c r="D792" s="89"/>
      <c r="E792" s="89"/>
      <c r="F792" s="89"/>
    </row>
    <row r="793" spans="1:6" ht="12.5">
      <c r="A793" s="9"/>
      <c r="B793" s="89"/>
      <c r="C793" s="89"/>
      <c r="D793" s="89"/>
      <c r="E793" s="89"/>
      <c r="F793" s="89"/>
    </row>
    <row r="794" spans="1:6" ht="12.5">
      <c r="A794" s="9"/>
      <c r="B794" s="89"/>
      <c r="C794" s="89"/>
      <c r="D794" s="89"/>
      <c r="E794" s="89"/>
      <c r="F794" s="89"/>
    </row>
    <row r="795" spans="1:6" ht="12.5">
      <c r="A795" s="9"/>
      <c r="B795" s="89"/>
      <c r="C795" s="89"/>
      <c r="D795" s="89"/>
      <c r="E795" s="89"/>
      <c r="F795" s="89"/>
    </row>
    <row r="796" spans="1:6" ht="12.5">
      <c r="A796" s="9"/>
      <c r="B796" s="89"/>
      <c r="C796" s="89"/>
      <c r="D796" s="89"/>
      <c r="E796" s="89"/>
      <c r="F796" s="89"/>
    </row>
    <row r="797" spans="1:6" ht="12.5">
      <c r="A797" s="9"/>
      <c r="B797" s="89"/>
      <c r="C797" s="89"/>
      <c r="D797" s="89"/>
      <c r="E797" s="89"/>
      <c r="F797" s="89"/>
    </row>
    <row r="798" spans="1:6" ht="12.5">
      <c r="A798" s="9"/>
      <c r="B798" s="89"/>
      <c r="C798" s="89"/>
      <c r="D798" s="89"/>
      <c r="E798" s="89"/>
      <c r="F798" s="89"/>
    </row>
    <row r="799" spans="1:6" ht="12.5">
      <c r="A799" s="9"/>
      <c r="B799" s="89"/>
      <c r="C799" s="89"/>
      <c r="D799" s="89"/>
      <c r="E799" s="89"/>
      <c r="F799" s="89"/>
    </row>
    <row r="800" spans="1:6" ht="12.5">
      <c r="A800" s="9"/>
      <c r="B800" s="89"/>
      <c r="C800" s="89"/>
      <c r="D800" s="89"/>
      <c r="E800" s="89"/>
      <c r="F800" s="89"/>
    </row>
    <row r="801" spans="1:6" ht="12.5">
      <c r="A801" s="9"/>
      <c r="B801" s="89"/>
      <c r="C801" s="89"/>
      <c r="D801" s="89"/>
      <c r="E801" s="89"/>
      <c r="F801" s="89"/>
    </row>
    <row r="802" spans="1:6" ht="12.5">
      <c r="A802" s="9"/>
      <c r="B802" s="89"/>
      <c r="C802" s="89"/>
      <c r="D802" s="89"/>
      <c r="E802" s="89"/>
      <c r="F802" s="89"/>
    </row>
    <row r="803" spans="1:6" ht="12.5">
      <c r="A803" s="9"/>
      <c r="B803" s="89"/>
      <c r="C803" s="89"/>
      <c r="D803" s="89"/>
      <c r="E803" s="89"/>
      <c r="F803" s="89"/>
    </row>
    <row r="804" spans="1:6" ht="12.5">
      <c r="A804" s="9"/>
      <c r="B804" s="89"/>
      <c r="C804" s="89"/>
      <c r="D804" s="89"/>
      <c r="E804" s="89"/>
      <c r="F804" s="89"/>
    </row>
    <row r="805" spans="1:6" ht="12.5">
      <c r="A805" s="9"/>
      <c r="B805" s="89"/>
      <c r="C805" s="89"/>
      <c r="D805" s="89"/>
      <c r="E805" s="89"/>
      <c r="F805" s="89"/>
    </row>
    <row r="806" spans="1:6" ht="12.5">
      <c r="A806" s="9"/>
      <c r="B806" s="89"/>
      <c r="C806" s="89"/>
      <c r="D806" s="89"/>
      <c r="E806" s="89"/>
      <c r="F806" s="89"/>
    </row>
    <row r="807" spans="1:6" ht="12.5">
      <c r="A807" s="9"/>
      <c r="B807" s="89"/>
      <c r="C807" s="89"/>
      <c r="D807" s="89"/>
      <c r="E807" s="89"/>
      <c r="F807" s="89"/>
    </row>
    <row r="808" spans="1:6" ht="12.5">
      <c r="A808" s="9"/>
      <c r="B808" s="89"/>
      <c r="C808" s="89"/>
      <c r="D808" s="89"/>
      <c r="E808" s="89"/>
      <c r="F808" s="89"/>
    </row>
    <row r="809" spans="1:6" ht="12.5">
      <c r="A809" s="9"/>
      <c r="B809" s="89"/>
      <c r="C809" s="89"/>
      <c r="D809" s="89"/>
      <c r="E809" s="89"/>
      <c r="F809" s="89"/>
    </row>
    <row r="810" spans="1:6" ht="12.5">
      <c r="A810" s="9"/>
      <c r="B810" s="89"/>
      <c r="C810" s="89"/>
      <c r="D810" s="89"/>
      <c r="E810" s="89"/>
      <c r="F810" s="89"/>
    </row>
    <row r="811" spans="1:6" ht="12.5">
      <c r="A811" s="9"/>
      <c r="B811" s="89"/>
      <c r="C811" s="89"/>
      <c r="D811" s="89"/>
      <c r="E811" s="89"/>
      <c r="F811" s="89"/>
    </row>
    <row r="812" spans="1:6" ht="12.5">
      <c r="A812" s="9"/>
      <c r="B812" s="89"/>
      <c r="C812" s="89"/>
      <c r="D812" s="89"/>
      <c r="E812" s="89"/>
      <c r="F812" s="89"/>
    </row>
    <row r="813" spans="1:6" ht="12.5">
      <c r="A813" s="9"/>
      <c r="B813" s="89"/>
      <c r="C813" s="89"/>
      <c r="D813" s="89"/>
      <c r="E813" s="89"/>
      <c r="F813" s="89"/>
    </row>
    <row r="814" spans="1:6" ht="12.5">
      <c r="A814" s="9"/>
      <c r="B814" s="89"/>
      <c r="C814" s="89"/>
      <c r="D814" s="89"/>
      <c r="E814" s="89"/>
      <c r="F814" s="89"/>
    </row>
    <row r="815" spans="1:6" ht="12.5">
      <c r="A815" s="9"/>
      <c r="B815" s="89"/>
      <c r="C815" s="89"/>
      <c r="D815" s="89"/>
      <c r="E815" s="89"/>
      <c r="F815" s="89"/>
    </row>
    <row r="816" spans="1:6" ht="12.5">
      <c r="A816" s="9"/>
      <c r="B816" s="89"/>
      <c r="C816" s="89"/>
      <c r="D816" s="89"/>
      <c r="E816" s="89"/>
      <c r="F816" s="89"/>
    </row>
    <row r="817" spans="1:6" ht="12.5">
      <c r="A817" s="9"/>
      <c r="B817" s="89"/>
      <c r="C817" s="89"/>
      <c r="D817" s="89"/>
      <c r="E817" s="89"/>
      <c r="F817" s="89"/>
    </row>
    <row r="818" spans="1:6" ht="12.5">
      <c r="A818" s="9"/>
      <c r="B818" s="89"/>
      <c r="C818" s="89"/>
      <c r="D818" s="89"/>
      <c r="E818" s="89"/>
      <c r="F818" s="89"/>
    </row>
    <row r="819" spans="1:6" ht="12.5">
      <c r="A819" s="9"/>
      <c r="B819" s="89"/>
      <c r="C819" s="89"/>
      <c r="D819" s="89"/>
      <c r="E819" s="89"/>
      <c r="F819" s="89"/>
    </row>
    <row r="820" spans="1:6" ht="12.5">
      <c r="A820" s="9"/>
      <c r="B820" s="89"/>
      <c r="C820" s="89"/>
      <c r="D820" s="89"/>
      <c r="E820" s="89"/>
      <c r="F820" s="89"/>
    </row>
    <row r="821" spans="1:6" ht="12.5">
      <c r="A821" s="9"/>
      <c r="B821" s="89"/>
      <c r="C821" s="89"/>
      <c r="D821" s="89"/>
      <c r="E821" s="89"/>
      <c r="F821" s="89"/>
    </row>
    <row r="822" spans="1:6" ht="12.5">
      <c r="A822" s="9"/>
      <c r="B822" s="89"/>
      <c r="C822" s="89"/>
      <c r="D822" s="89"/>
      <c r="E822" s="89"/>
      <c r="F822" s="89"/>
    </row>
    <row r="823" spans="1:6" ht="12.5">
      <c r="A823" s="9"/>
      <c r="B823" s="89"/>
      <c r="C823" s="89"/>
      <c r="D823" s="89"/>
      <c r="E823" s="89"/>
      <c r="F823" s="89"/>
    </row>
    <row r="824" spans="1:6" ht="12.5">
      <c r="A824" s="9"/>
      <c r="B824" s="89"/>
      <c r="C824" s="89"/>
      <c r="D824" s="89"/>
      <c r="E824" s="89"/>
      <c r="F824" s="89"/>
    </row>
    <row r="825" spans="1:6" ht="12.5">
      <c r="A825" s="9"/>
      <c r="B825" s="89"/>
      <c r="C825" s="89"/>
      <c r="D825" s="89"/>
      <c r="E825" s="89"/>
      <c r="F825" s="89"/>
    </row>
    <row r="826" spans="1:6" ht="12.5">
      <c r="A826" s="9"/>
      <c r="B826" s="89"/>
      <c r="C826" s="89"/>
      <c r="D826" s="89"/>
      <c r="E826" s="89"/>
      <c r="F826" s="89"/>
    </row>
    <row r="827" spans="1:6" ht="12.5">
      <c r="A827" s="9"/>
      <c r="B827" s="89"/>
      <c r="C827" s="89"/>
      <c r="D827" s="89"/>
      <c r="E827" s="89"/>
      <c r="F827" s="89"/>
    </row>
    <row r="828" spans="1:6" ht="12.5">
      <c r="A828" s="9"/>
      <c r="B828" s="89"/>
      <c r="C828" s="89"/>
      <c r="D828" s="89"/>
      <c r="E828" s="89"/>
      <c r="F828" s="89"/>
    </row>
    <row r="829" spans="1:6" ht="12.5">
      <c r="A829" s="9"/>
      <c r="B829" s="89"/>
      <c r="C829" s="89"/>
      <c r="D829" s="89"/>
      <c r="E829" s="89"/>
      <c r="F829" s="89"/>
    </row>
    <row r="830" spans="1:6" ht="12.5">
      <c r="A830" s="9"/>
      <c r="B830" s="89"/>
      <c r="C830" s="89"/>
      <c r="D830" s="89"/>
      <c r="E830" s="89"/>
      <c r="F830" s="89"/>
    </row>
    <row r="831" spans="1:6" ht="12.5">
      <c r="A831" s="9"/>
      <c r="B831" s="89"/>
      <c r="C831" s="89"/>
      <c r="D831" s="89"/>
      <c r="E831" s="89"/>
      <c r="F831" s="89"/>
    </row>
    <row r="832" spans="1:6" ht="12.5">
      <c r="A832" s="9"/>
      <c r="B832" s="89"/>
      <c r="C832" s="89"/>
      <c r="D832" s="89"/>
      <c r="E832" s="89"/>
      <c r="F832" s="89"/>
    </row>
    <row r="833" spans="1:6" ht="12.5">
      <c r="A833" s="9"/>
      <c r="B833" s="89"/>
      <c r="C833" s="89"/>
      <c r="D833" s="89"/>
      <c r="E833" s="89"/>
      <c r="F833" s="89"/>
    </row>
    <row r="834" spans="1:6" ht="12.5">
      <c r="A834" s="9"/>
      <c r="B834" s="89"/>
      <c r="C834" s="89"/>
      <c r="D834" s="89"/>
      <c r="E834" s="89"/>
      <c r="F834" s="89"/>
    </row>
    <row r="835" spans="1:6" ht="12.5">
      <c r="A835" s="9"/>
      <c r="B835" s="89"/>
      <c r="C835" s="89"/>
      <c r="D835" s="89"/>
      <c r="E835" s="89"/>
      <c r="F835" s="89"/>
    </row>
    <row r="836" spans="1:6" ht="12.5">
      <c r="A836" s="9"/>
      <c r="B836" s="89"/>
      <c r="C836" s="89"/>
      <c r="D836" s="89"/>
      <c r="E836" s="89"/>
      <c r="F836" s="89"/>
    </row>
    <row r="837" spans="1:6" ht="12.5">
      <c r="A837" s="9"/>
      <c r="B837" s="89"/>
      <c r="C837" s="89"/>
      <c r="D837" s="89"/>
      <c r="E837" s="89"/>
      <c r="F837" s="89"/>
    </row>
    <row r="838" spans="1:6" ht="12.5">
      <c r="A838" s="9"/>
      <c r="B838" s="89"/>
      <c r="C838" s="89"/>
      <c r="D838" s="89"/>
      <c r="E838" s="89"/>
      <c r="F838" s="89"/>
    </row>
    <row r="839" spans="1:6" ht="12.5">
      <c r="A839" s="9"/>
      <c r="B839" s="89"/>
      <c r="C839" s="89"/>
      <c r="D839" s="89"/>
      <c r="E839" s="89"/>
      <c r="F839" s="89"/>
    </row>
    <row r="840" spans="1:6" ht="12.5">
      <c r="A840" s="9"/>
      <c r="B840" s="89"/>
      <c r="C840" s="89"/>
      <c r="D840" s="89"/>
      <c r="E840" s="89"/>
      <c r="F840" s="89"/>
    </row>
    <row r="841" spans="1:6" ht="12.5">
      <c r="A841" s="9"/>
      <c r="B841" s="89"/>
      <c r="C841" s="89"/>
      <c r="D841" s="89"/>
      <c r="E841" s="89"/>
      <c r="F841" s="89"/>
    </row>
    <row r="842" spans="1:6" ht="12.5">
      <c r="A842" s="9"/>
      <c r="B842" s="89"/>
      <c r="C842" s="89"/>
      <c r="D842" s="89"/>
      <c r="E842" s="89"/>
      <c r="F842" s="89"/>
    </row>
    <row r="843" spans="1:6" ht="12.5">
      <c r="A843" s="9"/>
      <c r="B843" s="89"/>
      <c r="C843" s="89"/>
      <c r="D843" s="89"/>
      <c r="E843" s="89"/>
      <c r="F843" s="89"/>
    </row>
    <row r="844" spans="1:6" ht="12.5">
      <c r="A844" s="9"/>
      <c r="B844" s="89"/>
      <c r="C844" s="89"/>
      <c r="D844" s="89"/>
      <c r="E844" s="89"/>
      <c r="F844" s="89"/>
    </row>
    <row r="845" spans="1:6" ht="12.5">
      <c r="A845" s="9"/>
      <c r="B845" s="89"/>
      <c r="C845" s="89"/>
      <c r="D845" s="89"/>
      <c r="E845" s="89"/>
      <c r="F845" s="89"/>
    </row>
    <row r="846" spans="1:6" ht="12.5">
      <c r="A846" s="9"/>
      <c r="B846" s="89"/>
      <c r="C846" s="89"/>
      <c r="D846" s="89"/>
      <c r="E846" s="89"/>
      <c r="F846" s="89"/>
    </row>
    <row r="847" spans="1:6" ht="12.5">
      <c r="A847" s="9"/>
      <c r="B847" s="89"/>
      <c r="C847" s="89"/>
      <c r="D847" s="89"/>
      <c r="E847" s="89"/>
      <c r="F847" s="89"/>
    </row>
    <row r="848" spans="1:6" ht="12.5">
      <c r="A848" s="9"/>
      <c r="B848" s="89"/>
      <c r="C848" s="89"/>
      <c r="D848" s="89"/>
      <c r="E848" s="89"/>
      <c r="F848" s="89"/>
    </row>
    <row r="849" spans="1:6" ht="12.5">
      <c r="A849" s="9"/>
      <c r="B849" s="89"/>
      <c r="C849" s="89"/>
      <c r="D849" s="89"/>
      <c r="E849" s="89"/>
      <c r="F849" s="89"/>
    </row>
    <row r="850" spans="1:6" ht="12.5">
      <c r="A850" s="9"/>
      <c r="B850" s="89"/>
      <c r="C850" s="89"/>
      <c r="D850" s="89"/>
      <c r="E850" s="89"/>
      <c r="F850" s="89"/>
    </row>
    <row r="851" spans="1:6" ht="12.5">
      <c r="A851" s="9"/>
      <c r="B851" s="89"/>
      <c r="C851" s="89"/>
      <c r="D851" s="89"/>
      <c r="E851" s="89"/>
      <c r="F851" s="89"/>
    </row>
    <row r="852" spans="1:6" ht="12.5">
      <c r="A852" s="9"/>
      <c r="B852" s="89"/>
      <c r="C852" s="89"/>
      <c r="D852" s="89"/>
      <c r="E852" s="89"/>
      <c r="F852" s="89"/>
    </row>
    <row r="853" spans="1:6" ht="12.5">
      <c r="A853" s="9"/>
      <c r="B853" s="89"/>
      <c r="C853" s="89"/>
      <c r="D853" s="89"/>
      <c r="E853" s="89"/>
      <c r="F853" s="89"/>
    </row>
    <row r="854" spans="1:6" ht="12.5">
      <c r="A854" s="9"/>
      <c r="B854" s="89"/>
      <c r="C854" s="89"/>
      <c r="D854" s="89"/>
      <c r="E854" s="89"/>
      <c r="F854" s="89"/>
    </row>
    <row r="855" spans="1:6" ht="12.5">
      <c r="A855" s="9"/>
      <c r="B855" s="89"/>
      <c r="C855" s="89"/>
      <c r="D855" s="89"/>
      <c r="E855" s="89"/>
      <c r="F855" s="89"/>
    </row>
    <row r="856" spans="1:6" ht="12.5">
      <c r="A856" s="9"/>
      <c r="B856" s="89"/>
      <c r="C856" s="89"/>
      <c r="D856" s="89"/>
      <c r="E856" s="89"/>
      <c r="F856" s="89"/>
    </row>
    <row r="857" spans="1:6" ht="12.5">
      <c r="A857" s="9"/>
      <c r="B857" s="89"/>
      <c r="C857" s="89"/>
      <c r="D857" s="89"/>
      <c r="E857" s="89"/>
      <c r="F857" s="89"/>
    </row>
    <row r="858" spans="1:6" ht="12.5">
      <c r="A858" s="9"/>
      <c r="B858" s="89"/>
      <c r="C858" s="89"/>
      <c r="D858" s="89"/>
      <c r="E858" s="89"/>
      <c r="F858" s="89"/>
    </row>
    <row r="859" spans="1:6" ht="12.5">
      <c r="A859" s="9"/>
      <c r="B859" s="89"/>
      <c r="C859" s="89"/>
      <c r="D859" s="89"/>
      <c r="E859" s="89"/>
      <c r="F859" s="89"/>
    </row>
    <row r="860" spans="1:6" ht="12.5">
      <c r="A860" s="9"/>
      <c r="B860" s="89"/>
      <c r="C860" s="89"/>
      <c r="D860" s="89"/>
      <c r="E860" s="89"/>
      <c r="F860" s="89"/>
    </row>
    <row r="861" spans="1:6" ht="12.5">
      <c r="A861" s="9"/>
      <c r="B861" s="89"/>
      <c r="C861" s="89"/>
      <c r="D861" s="89"/>
      <c r="E861" s="89"/>
      <c r="F861" s="89"/>
    </row>
    <row r="862" spans="1:6" ht="12.5">
      <c r="A862" s="9"/>
      <c r="B862" s="89"/>
      <c r="C862" s="89"/>
      <c r="D862" s="89"/>
      <c r="E862" s="89"/>
      <c r="F862" s="89"/>
    </row>
    <row r="863" spans="1:6" ht="12.5">
      <c r="A863" s="9"/>
      <c r="B863" s="89"/>
      <c r="C863" s="89"/>
      <c r="D863" s="89"/>
      <c r="E863" s="89"/>
      <c r="F863" s="89"/>
    </row>
    <row r="864" spans="1:6" ht="12.5">
      <c r="A864" s="9"/>
      <c r="B864" s="89"/>
      <c r="C864" s="89"/>
      <c r="D864" s="89"/>
      <c r="E864" s="89"/>
      <c r="F864" s="89"/>
    </row>
    <row r="865" spans="1:6" ht="12.5">
      <c r="A865" s="9"/>
      <c r="B865" s="89"/>
      <c r="C865" s="89"/>
      <c r="D865" s="89"/>
      <c r="E865" s="89"/>
      <c r="F865" s="89"/>
    </row>
    <row r="866" spans="1:6" ht="12.5">
      <c r="A866" s="9"/>
      <c r="B866" s="89"/>
      <c r="C866" s="89"/>
      <c r="D866" s="89"/>
      <c r="E866" s="89"/>
      <c r="F866" s="89"/>
    </row>
    <row r="867" spans="1:6" ht="12.5">
      <c r="A867" s="9"/>
      <c r="B867" s="89"/>
      <c r="C867" s="89"/>
      <c r="D867" s="89"/>
      <c r="E867" s="89"/>
      <c r="F867" s="89"/>
    </row>
    <row r="868" spans="1:6" ht="12.5">
      <c r="A868" s="9"/>
      <c r="B868" s="89"/>
      <c r="C868" s="89"/>
      <c r="D868" s="89"/>
      <c r="E868" s="89"/>
      <c r="F868" s="89"/>
    </row>
    <row r="869" spans="1:6" ht="12.5">
      <c r="A869" s="9"/>
      <c r="B869" s="89"/>
      <c r="C869" s="89"/>
      <c r="D869" s="89"/>
      <c r="E869" s="89"/>
      <c r="F869" s="89"/>
    </row>
    <row r="870" spans="1:6" ht="12.5">
      <c r="A870" s="9"/>
      <c r="B870" s="89"/>
      <c r="C870" s="89"/>
      <c r="D870" s="89"/>
      <c r="E870" s="89"/>
      <c r="F870" s="89"/>
    </row>
    <row r="871" spans="1:6" ht="12.5">
      <c r="A871" s="9"/>
      <c r="B871" s="89"/>
      <c r="C871" s="89"/>
      <c r="D871" s="89"/>
      <c r="E871" s="89"/>
      <c r="F871" s="89"/>
    </row>
    <row r="872" spans="1:6" ht="12.5">
      <c r="A872" s="9"/>
      <c r="B872" s="89"/>
      <c r="C872" s="89"/>
      <c r="D872" s="89"/>
      <c r="E872" s="89"/>
      <c r="F872" s="89"/>
    </row>
    <row r="873" spans="1:6" ht="12.5">
      <c r="A873" s="9"/>
      <c r="B873" s="89"/>
      <c r="C873" s="89"/>
      <c r="D873" s="89"/>
      <c r="E873" s="89"/>
      <c r="F873" s="89"/>
    </row>
    <row r="874" spans="1:6" ht="12.5">
      <c r="A874" s="9"/>
      <c r="B874" s="89"/>
      <c r="C874" s="89"/>
      <c r="D874" s="89"/>
      <c r="E874" s="89"/>
      <c r="F874" s="89"/>
    </row>
    <row r="875" spans="1:6" ht="12.5">
      <c r="A875" s="9"/>
      <c r="B875" s="89"/>
      <c r="C875" s="89"/>
      <c r="D875" s="89"/>
      <c r="E875" s="89"/>
      <c r="F875" s="89"/>
    </row>
    <row r="876" spans="1:6" ht="12.5">
      <c r="A876" s="9"/>
      <c r="B876" s="89"/>
      <c r="C876" s="89"/>
      <c r="D876" s="89"/>
      <c r="E876" s="89"/>
      <c r="F876" s="89"/>
    </row>
    <row r="877" spans="1:6" ht="12.5">
      <c r="A877" s="9"/>
      <c r="B877" s="89"/>
      <c r="C877" s="89"/>
      <c r="D877" s="89"/>
      <c r="E877" s="89"/>
      <c r="F877" s="89"/>
    </row>
    <row r="878" spans="1:6" ht="12.5">
      <c r="A878" s="9"/>
      <c r="B878" s="89"/>
      <c r="C878" s="89"/>
      <c r="D878" s="89"/>
      <c r="E878" s="89"/>
      <c r="F878" s="89"/>
    </row>
    <row r="879" spans="1:6" ht="12.5">
      <c r="A879" s="9"/>
      <c r="B879" s="89"/>
      <c r="C879" s="89"/>
      <c r="D879" s="89"/>
      <c r="E879" s="89"/>
      <c r="F879" s="89"/>
    </row>
    <row r="880" spans="1:6" ht="12.5">
      <c r="A880" s="9"/>
      <c r="B880" s="89"/>
      <c r="C880" s="89"/>
      <c r="D880" s="89"/>
      <c r="E880" s="89"/>
      <c r="F880" s="89"/>
    </row>
    <row r="881" spans="1:6" ht="12.5">
      <c r="A881" s="9"/>
      <c r="B881" s="89"/>
      <c r="C881" s="89"/>
      <c r="D881" s="89"/>
      <c r="E881" s="89"/>
      <c r="F881" s="89"/>
    </row>
    <row r="882" spans="1:6" ht="12.5">
      <c r="A882" s="9"/>
      <c r="B882" s="89"/>
      <c r="C882" s="89"/>
      <c r="D882" s="89"/>
      <c r="E882" s="89"/>
      <c r="F882" s="89"/>
    </row>
    <row r="883" spans="1:6" ht="12.5">
      <c r="A883" s="9"/>
      <c r="B883" s="89"/>
      <c r="C883" s="89"/>
      <c r="D883" s="89"/>
      <c r="E883" s="89"/>
      <c r="F883" s="89"/>
    </row>
    <row r="884" spans="1:6" ht="12.5">
      <c r="A884" s="9"/>
      <c r="B884" s="89"/>
      <c r="C884" s="89"/>
      <c r="D884" s="89"/>
      <c r="E884" s="89"/>
      <c r="F884" s="89"/>
    </row>
    <row r="885" spans="1:6" ht="12.5">
      <c r="A885" s="9"/>
      <c r="B885" s="89"/>
      <c r="C885" s="89"/>
      <c r="D885" s="89"/>
      <c r="E885" s="89"/>
      <c r="F885" s="89"/>
    </row>
    <row r="886" spans="1:6" ht="12.5">
      <c r="A886" s="9"/>
      <c r="B886" s="89"/>
      <c r="C886" s="89"/>
      <c r="D886" s="89"/>
      <c r="E886" s="89"/>
      <c r="F886" s="89"/>
    </row>
    <row r="887" spans="1:6" ht="12.5">
      <c r="A887" s="9"/>
      <c r="B887" s="89"/>
      <c r="C887" s="89"/>
      <c r="D887" s="89"/>
      <c r="E887" s="89"/>
      <c r="F887" s="89"/>
    </row>
    <row r="888" spans="1:6" ht="12.5">
      <c r="A888" s="9"/>
      <c r="B888" s="89"/>
      <c r="C888" s="89"/>
      <c r="D888" s="89"/>
      <c r="E888" s="89"/>
      <c r="F888" s="89"/>
    </row>
    <row r="889" spans="1:6" ht="12.5">
      <c r="A889" s="9"/>
      <c r="B889" s="89"/>
      <c r="C889" s="89"/>
      <c r="D889" s="89"/>
      <c r="E889" s="89"/>
      <c r="F889" s="89"/>
    </row>
    <row r="890" spans="1:6" ht="12.5">
      <c r="A890" s="9"/>
      <c r="B890" s="89"/>
      <c r="C890" s="89"/>
      <c r="D890" s="89"/>
      <c r="E890" s="89"/>
      <c r="F890" s="89"/>
    </row>
    <row r="891" spans="1:6" ht="12.5">
      <c r="A891" s="9"/>
      <c r="B891" s="89"/>
      <c r="C891" s="89"/>
      <c r="D891" s="89"/>
      <c r="E891" s="89"/>
      <c r="F891" s="89"/>
    </row>
    <row r="892" spans="1:6" ht="12.5">
      <c r="A892" s="9"/>
      <c r="B892" s="89"/>
      <c r="C892" s="89"/>
      <c r="D892" s="89"/>
      <c r="E892" s="89"/>
      <c r="F892" s="89"/>
    </row>
    <row r="893" spans="1:6" ht="12.5">
      <c r="A893" s="9"/>
      <c r="B893" s="89"/>
      <c r="C893" s="89"/>
      <c r="D893" s="89"/>
      <c r="E893" s="89"/>
      <c r="F893" s="89"/>
    </row>
    <row r="894" spans="1:6" ht="12.5">
      <c r="A894" s="9"/>
      <c r="B894" s="89"/>
      <c r="C894" s="89"/>
      <c r="D894" s="89"/>
      <c r="E894" s="89"/>
      <c r="F894" s="89"/>
    </row>
    <row r="895" spans="1:6" ht="12.5">
      <c r="A895" s="9"/>
      <c r="B895" s="89"/>
      <c r="C895" s="89"/>
      <c r="D895" s="89"/>
      <c r="E895" s="89"/>
      <c r="F895" s="89"/>
    </row>
    <row r="896" spans="1:6" ht="12.5">
      <c r="A896" s="9"/>
      <c r="B896" s="89"/>
      <c r="C896" s="89"/>
      <c r="D896" s="89"/>
      <c r="E896" s="89"/>
      <c r="F896" s="89"/>
    </row>
    <row r="897" spans="1:6" ht="12.5">
      <c r="A897" s="9"/>
      <c r="B897" s="89"/>
      <c r="C897" s="89"/>
      <c r="D897" s="89"/>
      <c r="E897" s="89"/>
      <c r="F897" s="89"/>
    </row>
    <row r="898" spans="1:6" ht="12.5">
      <c r="A898" s="9"/>
      <c r="B898" s="89"/>
      <c r="C898" s="89"/>
      <c r="D898" s="89"/>
      <c r="E898" s="89"/>
      <c r="F898" s="89"/>
    </row>
    <row r="899" spans="1:6" ht="12.5">
      <c r="A899" s="9"/>
      <c r="B899" s="89"/>
      <c r="C899" s="89"/>
      <c r="D899" s="89"/>
      <c r="E899" s="89"/>
      <c r="F899" s="89"/>
    </row>
    <row r="900" spans="1:6" ht="12.5">
      <c r="A900" s="9"/>
      <c r="B900" s="89"/>
      <c r="C900" s="89"/>
      <c r="D900" s="89"/>
      <c r="E900" s="89"/>
      <c r="F900" s="89"/>
    </row>
    <row r="901" spans="1:6" ht="12.5">
      <c r="A901" s="9"/>
      <c r="B901" s="89"/>
      <c r="C901" s="89"/>
      <c r="D901" s="89"/>
      <c r="E901" s="89"/>
      <c r="F901" s="89"/>
    </row>
    <row r="902" spans="1:6" ht="12.5">
      <c r="A902" s="9"/>
      <c r="B902" s="89"/>
      <c r="C902" s="89"/>
      <c r="D902" s="89"/>
      <c r="E902" s="89"/>
      <c r="F902" s="89"/>
    </row>
    <row r="903" spans="1:6" ht="12.5">
      <c r="A903" s="9"/>
      <c r="B903" s="89"/>
      <c r="C903" s="89"/>
      <c r="D903" s="89"/>
      <c r="E903" s="89"/>
      <c r="F903" s="89"/>
    </row>
    <row r="904" spans="1:6" ht="12.5">
      <c r="A904" s="9"/>
      <c r="B904" s="89"/>
      <c r="C904" s="89"/>
      <c r="D904" s="89"/>
      <c r="E904" s="89"/>
      <c r="F904" s="89"/>
    </row>
    <row r="905" spans="1:6" ht="12.5">
      <c r="A905" s="9"/>
      <c r="B905" s="89"/>
      <c r="C905" s="89"/>
      <c r="D905" s="89"/>
      <c r="E905" s="89"/>
      <c r="F905" s="89"/>
    </row>
    <row r="906" spans="1:6" ht="12.5">
      <c r="A906" s="9"/>
      <c r="B906" s="89"/>
      <c r="C906" s="89"/>
      <c r="D906" s="89"/>
      <c r="E906" s="89"/>
      <c r="F906" s="89"/>
    </row>
    <row r="907" spans="1:6" ht="12.5">
      <c r="A907" s="9"/>
      <c r="B907" s="89"/>
      <c r="C907" s="89"/>
      <c r="D907" s="89"/>
      <c r="E907" s="89"/>
      <c r="F907" s="89"/>
    </row>
    <row r="908" spans="1:6" ht="12.5">
      <c r="A908" s="9"/>
      <c r="B908" s="89"/>
      <c r="C908" s="89"/>
      <c r="D908" s="89"/>
      <c r="E908" s="89"/>
      <c r="F908" s="89"/>
    </row>
    <row r="909" spans="1:6" ht="12.5">
      <c r="A909" s="9"/>
      <c r="B909" s="89"/>
      <c r="C909" s="89"/>
      <c r="D909" s="89"/>
      <c r="E909" s="89"/>
      <c r="F909" s="89"/>
    </row>
    <row r="910" spans="1:6" ht="12.5">
      <c r="A910" s="9"/>
      <c r="B910" s="89"/>
      <c r="C910" s="89"/>
      <c r="D910" s="89"/>
      <c r="E910" s="89"/>
      <c r="F910" s="89"/>
    </row>
    <row r="911" spans="1:6" ht="12.5">
      <c r="A911" s="9"/>
      <c r="B911" s="89"/>
      <c r="C911" s="89"/>
      <c r="D911" s="89"/>
      <c r="E911" s="89"/>
      <c r="F911" s="89"/>
    </row>
    <row r="912" spans="1:6" ht="12.5">
      <c r="A912" s="9"/>
      <c r="B912" s="89"/>
      <c r="C912" s="89"/>
      <c r="D912" s="89"/>
      <c r="E912" s="89"/>
      <c r="F912" s="89"/>
    </row>
    <row r="913" spans="1:6" ht="12.5">
      <c r="A913" s="9"/>
      <c r="B913" s="89"/>
      <c r="C913" s="89"/>
      <c r="D913" s="89"/>
      <c r="E913" s="89"/>
      <c r="F913" s="89"/>
    </row>
    <row r="914" spans="1:6" ht="12.5">
      <c r="A914" s="9"/>
      <c r="B914" s="89"/>
      <c r="C914" s="89"/>
      <c r="D914" s="89"/>
      <c r="E914" s="89"/>
      <c r="F914" s="89"/>
    </row>
    <row r="915" spans="1:6" ht="12.5">
      <c r="A915" s="9"/>
      <c r="B915" s="89"/>
      <c r="C915" s="89"/>
      <c r="D915" s="89"/>
      <c r="E915" s="89"/>
      <c r="F915" s="89"/>
    </row>
    <row r="916" spans="1:6" ht="12.5">
      <c r="A916" s="9"/>
      <c r="B916" s="89"/>
      <c r="C916" s="89"/>
      <c r="D916" s="89"/>
      <c r="E916" s="89"/>
      <c r="F916" s="89"/>
    </row>
    <row r="917" spans="1:6" ht="12.5">
      <c r="A917" s="9"/>
      <c r="B917" s="89"/>
      <c r="C917" s="89"/>
      <c r="D917" s="89"/>
      <c r="E917" s="89"/>
      <c r="F917" s="89"/>
    </row>
    <row r="918" spans="1:6" ht="12.5">
      <c r="A918" s="9"/>
      <c r="B918" s="89"/>
      <c r="C918" s="89"/>
      <c r="D918" s="89"/>
      <c r="E918" s="89"/>
      <c r="F918" s="89"/>
    </row>
    <row r="919" spans="1:6" ht="12.5">
      <c r="A919" s="9"/>
      <c r="B919" s="89"/>
      <c r="C919" s="89"/>
      <c r="D919" s="89"/>
      <c r="E919" s="89"/>
      <c r="F919" s="89"/>
    </row>
    <row r="920" spans="1:6" ht="12.5">
      <c r="A920" s="9"/>
      <c r="B920" s="89"/>
      <c r="C920" s="89"/>
      <c r="D920" s="89"/>
      <c r="E920" s="89"/>
      <c r="F920" s="89"/>
    </row>
    <row r="921" spans="1:6" ht="12.5">
      <c r="A921" s="9"/>
      <c r="B921" s="89"/>
      <c r="C921" s="89"/>
      <c r="D921" s="89"/>
      <c r="E921" s="89"/>
      <c r="F921" s="89"/>
    </row>
    <row r="922" spans="1:6" ht="12.5">
      <c r="A922" s="9"/>
      <c r="B922" s="89"/>
      <c r="C922" s="89"/>
      <c r="D922" s="89"/>
      <c r="E922" s="89"/>
      <c r="F922" s="89"/>
    </row>
    <row r="923" spans="1:6" ht="12.5">
      <c r="A923" s="9"/>
      <c r="B923" s="89"/>
      <c r="C923" s="89"/>
      <c r="D923" s="89"/>
      <c r="E923" s="89"/>
      <c r="F923" s="89"/>
    </row>
    <row r="924" spans="1:6" ht="12.5">
      <c r="A924" s="9"/>
      <c r="B924" s="89"/>
      <c r="C924" s="89"/>
      <c r="D924" s="89"/>
      <c r="E924" s="89"/>
      <c r="F924" s="89"/>
    </row>
    <row r="925" spans="1:6" ht="12.5">
      <c r="A925" s="9"/>
      <c r="B925" s="89"/>
      <c r="C925" s="89"/>
      <c r="D925" s="89"/>
      <c r="E925" s="89"/>
      <c r="F925" s="89"/>
    </row>
    <row r="926" spans="1:6" ht="12.5">
      <c r="A926" s="9"/>
      <c r="B926" s="89"/>
      <c r="C926" s="89"/>
      <c r="D926" s="89"/>
      <c r="E926" s="89"/>
      <c r="F926" s="89"/>
    </row>
    <row r="927" spans="1:6" ht="12.5">
      <c r="A927" s="9"/>
      <c r="B927" s="89"/>
      <c r="C927" s="89"/>
      <c r="D927" s="89"/>
      <c r="E927" s="89"/>
      <c r="F927" s="89"/>
    </row>
    <row r="928" spans="1:6" ht="12.5">
      <c r="A928" s="9"/>
      <c r="B928" s="89"/>
      <c r="C928" s="89"/>
      <c r="D928" s="89"/>
      <c r="E928" s="89"/>
      <c r="F928" s="89"/>
    </row>
    <row r="929" spans="1:6" ht="12.5">
      <c r="A929" s="9"/>
      <c r="B929" s="89"/>
      <c r="C929" s="89"/>
      <c r="D929" s="89"/>
      <c r="E929" s="89"/>
      <c r="F929" s="89"/>
    </row>
    <row r="930" spans="1:6" ht="12.5">
      <c r="A930" s="9"/>
      <c r="B930" s="89"/>
      <c r="C930" s="89"/>
      <c r="D930" s="89"/>
      <c r="E930" s="89"/>
      <c r="F930" s="89"/>
    </row>
    <row r="931" spans="1:6" ht="12.5">
      <c r="A931" s="9"/>
      <c r="B931" s="89"/>
      <c r="C931" s="89"/>
      <c r="D931" s="89"/>
      <c r="E931" s="89"/>
      <c r="F931" s="89"/>
    </row>
    <row r="932" spans="1:6" ht="12.5">
      <c r="A932" s="9"/>
      <c r="B932" s="89"/>
      <c r="C932" s="89"/>
      <c r="D932" s="89"/>
      <c r="E932" s="89"/>
      <c r="F932" s="89"/>
    </row>
    <row r="933" spans="1:6" ht="12.5">
      <c r="A933" s="9"/>
      <c r="B933" s="89"/>
      <c r="C933" s="89"/>
      <c r="D933" s="89"/>
      <c r="E933" s="89"/>
      <c r="F933" s="89"/>
    </row>
    <row r="934" spans="1:6" ht="12.5">
      <c r="A934" s="9"/>
      <c r="B934" s="89"/>
      <c r="C934" s="89"/>
      <c r="D934" s="89"/>
      <c r="E934" s="89"/>
      <c r="F934" s="89"/>
    </row>
    <row r="935" spans="1:6" ht="12.5">
      <c r="A935" s="9"/>
      <c r="B935" s="89"/>
      <c r="C935" s="89"/>
      <c r="D935" s="89"/>
      <c r="E935" s="89"/>
      <c r="F935" s="89"/>
    </row>
    <row r="936" spans="1:6" ht="12.5">
      <c r="A936" s="9"/>
      <c r="B936" s="89"/>
      <c r="C936" s="89"/>
      <c r="D936" s="89"/>
      <c r="E936" s="89"/>
      <c r="F936" s="89"/>
    </row>
    <row r="937" spans="1:6" ht="12.5">
      <c r="A937" s="9"/>
      <c r="B937" s="89"/>
      <c r="C937" s="89"/>
      <c r="D937" s="89"/>
      <c r="E937" s="89"/>
      <c r="F937" s="89"/>
    </row>
    <row r="938" spans="1:6" ht="12.5">
      <c r="A938" s="9"/>
      <c r="B938" s="89"/>
      <c r="C938" s="89"/>
      <c r="D938" s="89"/>
      <c r="E938" s="89"/>
      <c r="F938" s="89"/>
    </row>
    <row r="939" spans="1:6" ht="12.5">
      <c r="A939" s="9"/>
      <c r="B939" s="89"/>
      <c r="C939" s="89"/>
      <c r="D939" s="89"/>
      <c r="E939" s="89"/>
      <c r="F939" s="89"/>
    </row>
    <row r="940" spans="1:6" ht="12.5">
      <c r="A940" s="9"/>
      <c r="B940" s="89"/>
      <c r="C940" s="89"/>
      <c r="D940" s="89"/>
      <c r="E940" s="89"/>
      <c r="F940" s="89"/>
    </row>
    <row r="941" spans="1:6" ht="12.5">
      <c r="A941" s="9"/>
      <c r="B941" s="89"/>
      <c r="C941" s="89"/>
      <c r="D941" s="89"/>
      <c r="E941" s="89"/>
      <c r="F941" s="89"/>
    </row>
    <row r="942" spans="1:6" ht="12.5">
      <c r="A942" s="9"/>
      <c r="B942" s="89"/>
      <c r="C942" s="89"/>
      <c r="D942" s="89"/>
      <c r="E942" s="89"/>
      <c r="F942" s="89"/>
    </row>
    <row r="943" spans="1:6" ht="12.5">
      <c r="A943" s="9"/>
      <c r="B943" s="89"/>
      <c r="C943" s="89"/>
      <c r="D943" s="89"/>
      <c r="E943" s="89"/>
      <c r="F943" s="89"/>
    </row>
    <row r="944" spans="1:6" ht="12.5">
      <c r="A944" s="9"/>
      <c r="B944" s="89"/>
      <c r="C944" s="89"/>
      <c r="D944" s="89"/>
      <c r="E944" s="89"/>
      <c r="F944" s="89"/>
    </row>
    <row r="945" spans="1:6" ht="12.5">
      <c r="A945" s="9"/>
      <c r="B945" s="89"/>
      <c r="C945" s="89"/>
      <c r="D945" s="89"/>
      <c r="E945" s="89"/>
      <c r="F945" s="89"/>
    </row>
    <row r="946" spans="1:6" ht="12.5">
      <c r="A946" s="9"/>
      <c r="B946" s="89"/>
      <c r="C946" s="89"/>
      <c r="D946" s="89"/>
      <c r="E946" s="89"/>
      <c r="F946" s="89"/>
    </row>
    <row r="947" spans="1:6" ht="12.5">
      <c r="A947" s="9"/>
      <c r="B947" s="89"/>
      <c r="C947" s="89"/>
      <c r="D947" s="89"/>
      <c r="E947" s="89"/>
      <c r="F947" s="89"/>
    </row>
    <row r="948" spans="1:6" ht="12.5">
      <c r="A948" s="9"/>
      <c r="B948" s="89"/>
      <c r="C948" s="89"/>
      <c r="D948" s="89"/>
      <c r="E948" s="89"/>
      <c r="F948" s="89"/>
    </row>
    <row r="949" spans="1:6" ht="12.5">
      <c r="A949" s="9"/>
      <c r="B949" s="89"/>
      <c r="C949" s="89"/>
      <c r="D949" s="89"/>
      <c r="E949" s="89"/>
      <c r="F949" s="89"/>
    </row>
    <row r="950" spans="1:6" ht="12.5">
      <c r="A950" s="9"/>
      <c r="B950" s="89"/>
      <c r="C950" s="89"/>
      <c r="D950" s="89"/>
      <c r="E950" s="89"/>
      <c r="F950" s="89"/>
    </row>
    <row r="951" spans="1:6" ht="12.5">
      <c r="A951" s="9"/>
      <c r="B951" s="89"/>
      <c r="C951" s="89"/>
      <c r="D951" s="89"/>
      <c r="E951" s="89"/>
      <c r="F951" s="89"/>
    </row>
    <row r="952" spans="1:6" ht="12.5">
      <c r="A952" s="9"/>
      <c r="B952" s="89"/>
      <c r="C952" s="89"/>
      <c r="D952" s="89"/>
      <c r="E952" s="89"/>
      <c r="F952" s="89"/>
    </row>
    <row r="953" spans="1:6" ht="12.5">
      <c r="A953" s="9"/>
      <c r="B953" s="89"/>
      <c r="C953" s="89"/>
      <c r="D953" s="89"/>
      <c r="E953" s="89"/>
      <c r="F953" s="89"/>
    </row>
    <row r="954" spans="1:6" ht="12.5">
      <c r="A954" s="9"/>
      <c r="B954" s="89"/>
      <c r="C954" s="89"/>
      <c r="D954" s="89"/>
      <c r="E954" s="89"/>
      <c r="F954" s="89"/>
    </row>
    <row r="955" spans="1:6" ht="12.5">
      <c r="A955" s="9"/>
      <c r="B955" s="89"/>
      <c r="C955" s="89"/>
      <c r="D955" s="89"/>
      <c r="E955" s="89"/>
      <c r="F955" s="89"/>
    </row>
    <row r="956" spans="1:6" ht="12.5">
      <c r="A956" s="9"/>
      <c r="B956" s="89"/>
      <c r="C956" s="89"/>
      <c r="D956" s="89"/>
      <c r="E956" s="89"/>
      <c r="F956" s="89"/>
    </row>
    <row r="957" spans="1:6" ht="12.5">
      <c r="A957" s="9"/>
      <c r="B957" s="89"/>
      <c r="C957" s="89"/>
      <c r="D957" s="89"/>
      <c r="E957" s="89"/>
      <c r="F957" s="89"/>
    </row>
    <row r="958" spans="1:6" ht="12.5">
      <c r="A958" s="9"/>
      <c r="B958" s="89"/>
      <c r="C958" s="89"/>
      <c r="D958" s="89"/>
      <c r="E958" s="89"/>
      <c r="F958" s="89"/>
    </row>
    <row r="959" spans="1:6" ht="12.5">
      <c r="A959" s="9"/>
      <c r="B959" s="89"/>
      <c r="C959" s="89"/>
      <c r="D959" s="89"/>
      <c r="E959" s="89"/>
      <c r="F959" s="89"/>
    </row>
    <row r="960" spans="1:6" ht="12.5">
      <c r="A960" s="9"/>
      <c r="B960" s="89"/>
      <c r="C960" s="89"/>
      <c r="D960" s="89"/>
      <c r="E960" s="89"/>
      <c r="F960" s="89"/>
    </row>
    <row r="961" spans="1:6" ht="12.5">
      <c r="A961" s="9"/>
      <c r="B961" s="89"/>
      <c r="C961" s="89"/>
      <c r="D961" s="89"/>
      <c r="E961" s="89"/>
      <c r="F961" s="89"/>
    </row>
    <row r="962" spans="1:6" ht="12.5">
      <c r="A962" s="9"/>
      <c r="B962" s="89"/>
      <c r="C962" s="89"/>
      <c r="D962" s="89"/>
      <c r="E962" s="89"/>
      <c r="F962" s="89"/>
    </row>
    <row r="963" spans="1:6" ht="12.5">
      <c r="A963" s="9"/>
      <c r="B963" s="89"/>
      <c r="C963" s="89"/>
      <c r="D963" s="89"/>
      <c r="E963" s="89"/>
      <c r="F963" s="89"/>
    </row>
    <row r="964" spans="1:6" ht="12.5">
      <c r="A964" s="9"/>
      <c r="B964" s="89"/>
      <c r="C964" s="89"/>
      <c r="D964" s="89"/>
      <c r="E964" s="89"/>
      <c r="F964" s="89"/>
    </row>
    <row r="965" spans="1:6" ht="12.5">
      <c r="A965" s="9"/>
      <c r="B965" s="89"/>
      <c r="C965" s="89"/>
      <c r="D965" s="89"/>
      <c r="E965" s="89"/>
      <c r="F965" s="89"/>
    </row>
    <row r="966" spans="1:6" ht="12.5">
      <c r="A966" s="9"/>
      <c r="B966" s="89"/>
      <c r="C966" s="89"/>
      <c r="D966" s="89"/>
      <c r="E966" s="89"/>
      <c r="F966" s="89"/>
    </row>
    <row r="967" spans="1:6" ht="12.5">
      <c r="A967" s="9"/>
      <c r="B967" s="89"/>
      <c r="C967" s="89"/>
      <c r="D967" s="89"/>
      <c r="E967" s="89"/>
      <c r="F967" s="89"/>
    </row>
    <row r="968" spans="1:6" ht="12.5">
      <c r="A968" s="9"/>
      <c r="B968" s="89"/>
      <c r="C968" s="89"/>
      <c r="D968" s="89"/>
      <c r="E968" s="89"/>
      <c r="F968" s="89"/>
    </row>
    <row r="969" spans="1:6" ht="12.5">
      <c r="A969" s="9"/>
      <c r="B969" s="89"/>
      <c r="C969" s="89"/>
      <c r="D969" s="89"/>
      <c r="E969" s="89"/>
      <c r="F969" s="89"/>
    </row>
    <row r="970" spans="1:6" ht="12.5">
      <c r="A970" s="9"/>
      <c r="B970" s="89"/>
      <c r="C970" s="89"/>
      <c r="D970" s="89"/>
      <c r="E970" s="89"/>
      <c r="F970" s="89"/>
    </row>
    <row r="971" spans="1:6" ht="12.5">
      <c r="A971" s="9"/>
      <c r="B971" s="89"/>
      <c r="C971" s="89"/>
      <c r="D971" s="89"/>
      <c r="E971" s="89"/>
      <c r="F971" s="89"/>
    </row>
    <row r="972" spans="1:6" ht="12.5">
      <c r="A972" s="9"/>
      <c r="B972" s="89"/>
      <c r="C972" s="89"/>
      <c r="D972" s="89"/>
      <c r="E972" s="89"/>
      <c r="F972" s="89"/>
    </row>
    <row r="973" spans="1:6" ht="12.5">
      <c r="A973" s="9"/>
      <c r="B973" s="89"/>
      <c r="C973" s="89"/>
      <c r="D973" s="89"/>
      <c r="E973" s="89"/>
      <c r="F973" s="89"/>
    </row>
    <row r="974" spans="1:6" ht="12.5">
      <c r="A974" s="9"/>
      <c r="B974" s="89"/>
      <c r="C974" s="89"/>
      <c r="D974" s="89"/>
      <c r="E974" s="89"/>
      <c r="F974" s="89"/>
    </row>
    <row r="975" spans="1:6" ht="12.5">
      <c r="A975" s="9"/>
      <c r="B975" s="89"/>
      <c r="C975" s="89"/>
      <c r="D975" s="89"/>
      <c r="E975" s="89"/>
      <c r="F975" s="89"/>
    </row>
    <row r="976" spans="1:6" ht="12.5">
      <c r="A976" s="9"/>
      <c r="B976" s="89"/>
      <c r="C976" s="89"/>
      <c r="D976" s="89"/>
      <c r="E976" s="89"/>
      <c r="F976" s="89"/>
    </row>
    <row r="977" spans="1:6" ht="12.5">
      <c r="A977" s="9"/>
      <c r="B977" s="89"/>
      <c r="C977" s="89"/>
      <c r="D977" s="89"/>
      <c r="E977" s="89"/>
      <c r="F977" s="89"/>
    </row>
    <row r="978" spans="1:6" ht="12.5">
      <c r="A978" s="9"/>
      <c r="B978" s="89"/>
      <c r="C978" s="89"/>
      <c r="D978" s="89"/>
      <c r="E978" s="89"/>
      <c r="F978" s="89"/>
    </row>
    <row r="979" spans="1:6" ht="12.5">
      <c r="A979" s="9"/>
      <c r="B979" s="89"/>
      <c r="C979" s="89"/>
      <c r="D979" s="89"/>
      <c r="E979" s="89"/>
      <c r="F979" s="89"/>
    </row>
    <row r="980" spans="1:6" ht="12.5">
      <c r="A980" s="9"/>
      <c r="B980" s="89"/>
      <c r="C980" s="89"/>
      <c r="D980" s="89"/>
      <c r="E980" s="89"/>
      <c r="F980" s="89"/>
    </row>
    <row r="981" spans="1:6" ht="12.5">
      <c r="A981" s="9"/>
      <c r="B981" s="89"/>
      <c r="C981" s="89"/>
      <c r="D981" s="89"/>
      <c r="E981" s="89"/>
      <c r="F981" s="89"/>
    </row>
    <row r="982" spans="1:6" ht="12.5">
      <c r="A982" s="9"/>
      <c r="B982" s="89"/>
      <c r="C982" s="89"/>
      <c r="D982" s="89"/>
      <c r="E982" s="89"/>
      <c r="F982" s="89"/>
    </row>
    <row r="983" spans="1:6" ht="12.5">
      <c r="A983" s="9"/>
      <c r="B983" s="89"/>
      <c r="C983" s="89"/>
      <c r="D983" s="89"/>
      <c r="E983" s="89"/>
      <c r="F983" s="89"/>
    </row>
    <row r="984" spans="1:6" ht="12.5">
      <c r="A984" s="9"/>
      <c r="B984" s="89"/>
      <c r="C984" s="89"/>
      <c r="D984" s="89"/>
      <c r="E984" s="89"/>
      <c r="F984" s="89"/>
    </row>
    <row r="985" spans="1:6" ht="12.5">
      <c r="A985" s="9"/>
      <c r="B985" s="89"/>
      <c r="C985" s="89"/>
      <c r="D985" s="89"/>
      <c r="E985" s="89"/>
      <c r="F985" s="89"/>
    </row>
    <row r="986" spans="1:6" ht="12.5">
      <c r="A986" s="9"/>
      <c r="B986" s="89"/>
      <c r="C986" s="89"/>
      <c r="D986" s="89"/>
      <c r="E986" s="89"/>
      <c r="F986" s="89"/>
    </row>
    <row r="987" spans="1:6" ht="12.5">
      <c r="A987" s="9"/>
      <c r="B987" s="89"/>
      <c r="C987" s="89"/>
      <c r="D987" s="89"/>
      <c r="E987" s="89"/>
      <c r="F987" s="89"/>
    </row>
    <row r="988" spans="1:6" ht="12.5">
      <c r="A988" s="9"/>
      <c r="B988" s="89"/>
      <c r="C988" s="89"/>
      <c r="D988" s="89"/>
      <c r="E988" s="89"/>
      <c r="F988" s="89"/>
    </row>
    <row r="989" spans="1:6" ht="12.5">
      <c r="A989" s="9"/>
      <c r="B989" s="89"/>
      <c r="C989" s="89"/>
      <c r="D989" s="89"/>
      <c r="E989" s="89"/>
      <c r="F989" s="89"/>
    </row>
    <row r="990" spans="1:6" ht="12.5">
      <c r="A990" s="9"/>
      <c r="B990" s="89"/>
      <c r="C990" s="89"/>
      <c r="D990" s="89"/>
      <c r="E990" s="89"/>
      <c r="F990" s="89"/>
    </row>
    <row r="991" spans="1:6" ht="12.5">
      <c r="A991" s="9"/>
      <c r="B991" s="89"/>
      <c r="C991" s="89"/>
      <c r="D991" s="89"/>
      <c r="E991" s="89"/>
      <c r="F991" s="89"/>
    </row>
    <row r="992" spans="1:6" ht="12.5">
      <c r="A992" s="9"/>
      <c r="B992" s="89"/>
      <c r="C992" s="89"/>
      <c r="D992" s="89"/>
      <c r="E992" s="89"/>
      <c r="F992" s="89"/>
    </row>
    <row r="993" spans="1:6" ht="12.5">
      <c r="A993" s="9"/>
      <c r="B993" s="89"/>
      <c r="C993" s="89"/>
      <c r="D993" s="89"/>
      <c r="E993" s="89"/>
      <c r="F993" s="89"/>
    </row>
    <row r="994" spans="1:6" ht="12.5">
      <c r="A994" s="9"/>
      <c r="B994" s="89"/>
      <c r="C994" s="89"/>
      <c r="D994" s="89"/>
      <c r="E994" s="89"/>
      <c r="F994" s="89"/>
    </row>
    <row r="995" spans="1:6" ht="12.5">
      <c r="A995" s="9"/>
      <c r="B995" s="89"/>
      <c r="C995" s="89"/>
      <c r="D995" s="89"/>
      <c r="E995" s="89"/>
      <c r="F995" s="89"/>
    </row>
    <row r="996" spans="1:6" ht="12.5">
      <c r="A996" s="9"/>
      <c r="B996" s="89"/>
      <c r="C996" s="89"/>
      <c r="D996" s="89"/>
      <c r="E996" s="89"/>
      <c r="F996" s="89"/>
    </row>
    <row r="997" spans="1:6" ht="12.5">
      <c r="A997" s="9"/>
      <c r="B997" s="89"/>
      <c r="C997" s="89"/>
      <c r="D997" s="89"/>
      <c r="E997" s="89"/>
      <c r="F997" s="89"/>
    </row>
    <row r="998" spans="1:6" ht="12.5">
      <c r="A998" s="9"/>
      <c r="B998" s="89"/>
      <c r="C998" s="89"/>
      <c r="D998" s="89"/>
      <c r="E998" s="89"/>
      <c r="F998" s="89"/>
    </row>
    <row r="999" spans="1:6" ht="12.5">
      <c r="A999" s="9"/>
      <c r="B999" s="89"/>
      <c r="C999" s="89"/>
      <c r="D999" s="89"/>
      <c r="E999" s="89"/>
      <c r="F999" s="89"/>
    </row>
    <row r="1000" spans="1:6" ht="12.5">
      <c r="A1000" s="9"/>
      <c r="B1000" s="89"/>
      <c r="C1000" s="89"/>
      <c r="D1000" s="89"/>
      <c r="E1000" s="89"/>
      <c r="F1000" s="89"/>
    </row>
    <row r="1001" spans="1:6" ht="12.5">
      <c r="A1001" s="9"/>
      <c r="B1001" s="89"/>
      <c r="C1001" s="89"/>
      <c r="D1001" s="89"/>
      <c r="E1001" s="89"/>
      <c r="F1001" s="8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A1000"/>
  <sheetViews>
    <sheetView workbookViewId="0"/>
  </sheetViews>
  <sheetFormatPr defaultColWidth="12.6328125" defaultRowHeight="15.75" customHeight="1"/>
  <sheetData>
    <row r="1" spans="1:27" ht="13">
      <c r="A1" s="92" t="s">
        <v>14382</v>
      </c>
      <c r="B1" s="92" t="s">
        <v>14383</v>
      </c>
      <c r="C1" s="92" t="s">
        <v>14384</v>
      </c>
      <c r="D1" s="92" t="s">
        <v>37</v>
      </c>
      <c r="E1" s="92" t="s">
        <v>14385</v>
      </c>
      <c r="F1" s="92"/>
      <c r="G1" s="92"/>
      <c r="H1" s="92"/>
      <c r="I1" s="92"/>
      <c r="J1" s="92"/>
      <c r="K1" s="92"/>
      <c r="L1" s="92"/>
      <c r="M1" s="92"/>
      <c r="N1" s="92"/>
      <c r="O1" s="92"/>
      <c r="P1" s="92"/>
      <c r="Q1" s="92"/>
      <c r="R1" s="92"/>
      <c r="S1" s="92"/>
      <c r="T1" s="92"/>
      <c r="U1" s="92"/>
      <c r="V1" s="92"/>
      <c r="W1" s="92"/>
      <c r="X1" s="92"/>
      <c r="Y1" s="92"/>
      <c r="Z1" s="92"/>
      <c r="AA1" s="92"/>
    </row>
    <row r="2" spans="1:27" ht="15.75" customHeight="1">
      <c r="A2" s="9">
        <v>2020</v>
      </c>
      <c r="B2" s="9" t="s">
        <v>57</v>
      </c>
      <c r="C2" s="9" t="str">
        <f t="shared" ref="C2:C16" si="0">CONCATENATE(A2,B2)</f>
        <v>2020USD</v>
      </c>
      <c r="D2" s="9">
        <v>0.77980000000000005</v>
      </c>
    </row>
    <row r="3" spans="1:27" ht="15.75" customHeight="1">
      <c r="A3" s="9">
        <v>2020</v>
      </c>
      <c r="B3" s="9" t="s">
        <v>1823</v>
      </c>
      <c r="C3" s="9" t="str">
        <f t="shared" si="0"/>
        <v>2020EUR</v>
      </c>
      <c r="D3" s="9">
        <v>0.88970000000000005</v>
      </c>
    </row>
    <row r="4" spans="1:27" ht="15.75" customHeight="1">
      <c r="A4" s="9">
        <v>2020</v>
      </c>
      <c r="B4" s="9" t="s">
        <v>301</v>
      </c>
      <c r="C4" s="9" t="str">
        <f t="shared" si="0"/>
        <v>2020GBP</v>
      </c>
      <c r="D4" s="9">
        <v>1</v>
      </c>
    </row>
    <row r="5" spans="1:27" ht="15.75" customHeight="1">
      <c r="A5" s="9">
        <v>2021</v>
      </c>
      <c r="B5" s="9" t="s">
        <v>57</v>
      </c>
      <c r="C5" s="9" t="str">
        <f t="shared" si="0"/>
        <v>2021USD</v>
      </c>
      <c r="D5" s="9">
        <v>0.72709999999999997</v>
      </c>
    </row>
    <row r="6" spans="1:27" ht="15.75" customHeight="1">
      <c r="A6" s="9">
        <v>2021</v>
      </c>
      <c r="B6" s="9" t="s">
        <v>1823</v>
      </c>
      <c r="C6" s="9" t="str">
        <f t="shared" si="0"/>
        <v>2021EUR</v>
      </c>
      <c r="D6" s="9">
        <v>0.8599</v>
      </c>
    </row>
    <row r="7" spans="1:27" ht="15.75" customHeight="1">
      <c r="A7" s="9">
        <v>2021</v>
      </c>
      <c r="B7" s="9" t="s">
        <v>301</v>
      </c>
      <c r="C7" s="9" t="str">
        <f t="shared" si="0"/>
        <v>2021GBP</v>
      </c>
      <c r="D7" s="9">
        <v>1</v>
      </c>
    </row>
    <row r="8" spans="1:27" ht="15.75" customHeight="1">
      <c r="A8" s="9">
        <v>2022</v>
      </c>
      <c r="B8" s="9" t="s">
        <v>57</v>
      </c>
      <c r="C8" s="9" t="str">
        <f t="shared" si="0"/>
        <v>2022USD</v>
      </c>
      <c r="D8" s="9">
        <v>0.8115</v>
      </c>
    </row>
    <row r="9" spans="1:27" ht="15.75" customHeight="1">
      <c r="A9" s="9">
        <v>2022</v>
      </c>
      <c r="B9" s="9" t="s">
        <v>1823</v>
      </c>
      <c r="C9" s="9" t="str">
        <f t="shared" si="0"/>
        <v>2022EUR</v>
      </c>
      <c r="D9" s="9">
        <v>0.8528</v>
      </c>
    </row>
    <row r="10" spans="1:27" ht="15.75" customHeight="1">
      <c r="A10" s="9">
        <v>2022</v>
      </c>
      <c r="B10" s="9" t="s">
        <v>301</v>
      </c>
      <c r="C10" s="9" t="str">
        <f t="shared" si="0"/>
        <v>2022GBP</v>
      </c>
      <c r="D10" s="9">
        <v>1</v>
      </c>
    </row>
    <row r="11" spans="1:27" ht="15.75" customHeight="1">
      <c r="A11" s="9">
        <v>2023</v>
      </c>
      <c r="B11" s="9" t="s">
        <v>57</v>
      </c>
      <c r="C11" s="9" t="str">
        <f t="shared" si="0"/>
        <v>2023USD</v>
      </c>
      <c r="D11" s="9">
        <v>0.80430000000000001</v>
      </c>
      <c r="E11" s="10"/>
    </row>
    <row r="12" spans="1:27" ht="12.5">
      <c r="A12" s="9">
        <v>2023</v>
      </c>
      <c r="B12" s="9" t="s">
        <v>1823</v>
      </c>
      <c r="C12" s="9" t="str">
        <f t="shared" si="0"/>
        <v>2023EUR</v>
      </c>
      <c r="D12" s="9">
        <v>0.87029999999999996</v>
      </c>
      <c r="E12" s="10"/>
    </row>
    <row r="13" spans="1:27" ht="12.5">
      <c r="A13" s="9">
        <v>2023</v>
      </c>
      <c r="B13" s="9" t="s">
        <v>301</v>
      </c>
      <c r="C13" s="9" t="str">
        <f t="shared" si="0"/>
        <v>2023GBP</v>
      </c>
      <c r="D13" s="9">
        <v>1</v>
      </c>
    </row>
    <row r="14" spans="1:27" ht="12.5">
      <c r="A14" s="9">
        <v>2024</v>
      </c>
      <c r="B14" s="9" t="s">
        <v>57</v>
      </c>
      <c r="C14" s="9" t="str">
        <f t="shared" si="0"/>
        <v>2024USD</v>
      </c>
      <c r="D14" s="9">
        <v>0.79079999999999995</v>
      </c>
      <c r="E14" s="9" t="s">
        <v>14386</v>
      </c>
    </row>
    <row r="15" spans="1:27" ht="12.5">
      <c r="A15" s="9">
        <v>2024</v>
      </c>
      <c r="B15" s="9" t="s">
        <v>1823</v>
      </c>
      <c r="C15" s="9" t="str">
        <f t="shared" si="0"/>
        <v>2024EUR</v>
      </c>
      <c r="D15" s="9">
        <v>0.85589999999999999</v>
      </c>
      <c r="E15" s="9" t="s">
        <v>14386</v>
      </c>
    </row>
    <row r="16" spans="1:27" ht="12.5">
      <c r="A16" s="9">
        <v>2024</v>
      </c>
      <c r="B16" s="9" t="s">
        <v>301</v>
      </c>
      <c r="C16" s="9" t="str">
        <f t="shared" si="0"/>
        <v>2024GBP</v>
      </c>
      <c r="D16" s="9">
        <v>1</v>
      </c>
    </row>
    <row r="17" spans="2:2" ht="12.5">
      <c r="B17" s="9"/>
    </row>
    <row r="18" spans="2:2" ht="12.5">
      <c r="B18" s="9"/>
    </row>
    <row r="19" spans="2:2" ht="12.5">
      <c r="B19" s="9"/>
    </row>
    <row r="20" spans="2:2" ht="12.5">
      <c r="B20" s="9"/>
    </row>
    <row r="21" spans="2:2" ht="12.5">
      <c r="B21" s="9"/>
    </row>
    <row r="22" spans="2:2" ht="12.5">
      <c r="B22" s="9"/>
    </row>
    <row r="23" spans="2:2" ht="12.5">
      <c r="B23" s="9"/>
    </row>
    <row r="24" spans="2:2" ht="12.5">
      <c r="B24" s="9"/>
    </row>
    <row r="25" spans="2:2" ht="12.5">
      <c r="B25" s="9"/>
    </row>
    <row r="26" spans="2:2" ht="12.5">
      <c r="B26" s="9"/>
    </row>
    <row r="27" spans="2:2" ht="12.5">
      <c r="B27" s="9"/>
    </row>
    <row r="28" spans="2:2" ht="12.5">
      <c r="B28" s="9"/>
    </row>
    <row r="29" spans="2:2" ht="12.5">
      <c r="B29" s="9"/>
    </row>
    <row r="30" spans="2:2" ht="12.5">
      <c r="B30" s="9"/>
    </row>
    <row r="31" spans="2:2" ht="12.5">
      <c r="B31" s="9"/>
    </row>
    <row r="32" spans="2:2" ht="12.5">
      <c r="B32" s="9"/>
    </row>
    <row r="33" spans="2:2" ht="12.5">
      <c r="B33" s="9"/>
    </row>
    <row r="34" spans="2:2" ht="12.5">
      <c r="B34" s="9"/>
    </row>
    <row r="35" spans="2:2" ht="12.5">
      <c r="B35" s="9"/>
    </row>
    <row r="36" spans="2:2" ht="12.5">
      <c r="B36" s="9"/>
    </row>
    <row r="37" spans="2:2" ht="12.5">
      <c r="B37" s="9"/>
    </row>
    <row r="38" spans="2:2" ht="12.5">
      <c r="B38" s="9"/>
    </row>
    <row r="39" spans="2:2" ht="12.5">
      <c r="B39" s="9"/>
    </row>
    <row r="40" spans="2:2" ht="12.5">
      <c r="B40" s="9"/>
    </row>
    <row r="41" spans="2:2" ht="12.5">
      <c r="B41" s="9"/>
    </row>
    <row r="42" spans="2:2" ht="12.5">
      <c r="B42" s="9"/>
    </row>
    <row r="43" spans="2:2" ht="12.5">
      <c r="B43" s="9"/>
    </row>
    <row r="44" spans="2:2" ht="12.5">
      <c r="B44" s="9"/>
    </row>
    <row r="45" spans="2:2" ht="12.5">
      <c r="B45" s="9"/>
    </row>
    <row r="46" spans="2:2" ht="12.5">
      <c r="B46" s="9"/>
    </row>
    <row r="47" spans="2:2" ht="12.5">
      <c r="B47" s="9"/>
    </row>
    <row r="48" spans="2:2" ht="12.5">
      <c r="B48" s="9"/>
    </row>
    <row r="49" spans="2:2" ht="12.5">
      <c r="B49" s="9"/>
    </row>
    <row r="50" spans="2:2" ht="12.5">
      <c r="B50" s="9"/>
    </row>
    <row r="51" spans="2:2" ht="12.5">
      <c r="B51" s="9"/>
    </row>
    <row r="52" spans="2:2" ht="12.5">
      <c r="B52" s="9"/>
    </row>
    <row r="53" spans="2:2" ht="12.5">
      <c r="B53" s="9"/>
    </row>
    <row r="54" spans="2:2" ht="12.5">
      <c r="B54" s="9"/>
    </row>
    <row r="55" spans="2:2" ht="12.5">
      <c r="B55" s="9"/>
    </row>
    <row r="56" spans="2:2" ht="12.5">
      <c r="B56" s="9"/>
    </row>
    <row r="57" spans="2:2" ht="12.5">
      <c r="B57" s="9"/>
    </row>
    <row r="58" spans="2:2" ht="12.5">
      <c r="B58" s="9"/>
    </row>
    <row r="59" spans="2:2" ht="12.5">
      <c r="B59" s="9"/>
    </row>
    <row r="60" spans="2:2" ht="12.5">
      <c r="B60" s="9"/>
    </row>
    <row r="61" spans="2:2" ht="12.5">
      <c r="B61" s="9"/>
    </row>
    <row r="62" spans="2:2" ht="12.5">
      <c r="B62" s="9"/>
    </row>
    <row r="63" spans="2:2" ht="12.5">
      <c r="B63" s="9"/>
    </row>
    <row r="64" spans="2:2" ht="12.5">
      <c r="B64" s="9"/>
    </row>
    <row r="65" spans="2:2" ht="12.5">
      <c r="B65" s="9"/>
    </row>
    <row r="66" spans="2:2" ht="12.5">
      <c r="B66" s="9"/>
    </row>
    <row r="67" spans="2:2" ht="12.5">
      <c r="B67" s="9"/>
    </row>
    <row r="68" spans="2:2" ht="12.5">
      <c r="B68" s="9"/>
    </row>
    <row r="69" spans="2:2" ht="12.5">
      <c r="B69" s="9"/>
    </row>
    <row r="70" spans="2:2" ht="12.5">
      <c r="B70" s="9"/>
    </row>
    <row r="71" spans="2:2" ht="12.5">
      <c r="B71" s="9"/>
    </row>
    <row r="72" spans="2:2" ht="12.5">
      <c r="B72" s="9"/>
    </row>
    <row r="73" spans="2:2" ht="12.5">
      <c r="B73" s="9"/>
    </row>
    <row r="74" spans="2:2" ht="12.5">
      <c r="B74" s="9"/>
    </row>
    <row r="75" spans="2:2" ht="12.5">
      <c r="B75" s="9"/>
    </row>
    <row r="76" spans="2:2" ht="12.5">
      <c r="B76" s="9"/>
    </row>
    <row r="77" spans="2:2" ht="12.5">
      <c r="B77" s="9"/>
    </row>
    <row r="78" spans="2:2" ht="12.5">
      <c r="B78" s="9"/>
    </row>
    <row r="79" spans="2:2" ht="12.5">
      <c r="B79" s="9"/>
    </row>
    <row r="80" spans="2:2" ht="12.5">
      <c r="B80" s="9"/>
    </row>
    <row r="81" spans="2:2" ht="12.5">
      <c r="B81" s="9"/>
    </row>
    <row r="82" spans="2:2" ht="12.5">
      <c r="B82" s="9"/>
    </row>
    <row r="83" spans="2:2" ht="12.5">
      <c r="B83" s="9"/>
    </row>
    <row r="84" spans="2:2" ht="12.5">
      <c r="B84" s="9"/>
    </row>
    <row r="85" spans="2:2" ht="12.5">
      <c r="B85" s="9"/>
    </row>
    <row r="86" spans="2:2" ht="12.5">
      <c r="B86" s="9"/>
    </row>
    <row r="87" spans="2:2" ht="12.5">
      <c r="B87" s="9"/>
    </row>
    <row r="88" spans="2:2" ht="12.5">
      <c r="B88" s="9"/>
    </row>
    <row r="89" spans="2:2" ht="12.5">
      <c r="B89" s="9"/>
    </row>
    <row r="90" spans="2:2" ht="12.5">
      <c r="B90" s="9"/>
    </row>
    <row r="91" spans="2:2" ht="12.5">
      <c r="B91" s="9"/>
    </row>
    <row r="92" spans="2:2" ht="12.5">
      <c r="B92" s="9"/>
    </row>
    <row r="93" spans="2:2" ht="12.5">
      <c r="B93" s="9"/>
    </row>
    <row r="94" spans="2:2" ht="12.5">
      <c r="B94" s="9"/>
    </row>
    <row r="95" spans="2:2" ht="12.5">
      <c r="B95" s="9"/>
    </row>
    <row r="96" spans="2:2" ht="12.5">
      <c r="B96" s="9"/>
    </row>
    <row r="97" spans="2:2" ht="12.5">
      <c r="B97" s="9"/>
    </row>
    <row r="98" spans="2:2" ht="12.5">
      <c r="B98" s="9"/>
    </row>
    <row r="99" spans="2:2" ht="12.5">
      <c r="B99" s="9"/>
    </row>
    <row r="100" spans="2:2" ht="12.5">
      <c r="B100" s="9"/>
    </row>
    <row r="101" spans="2:2" ht="12.5">
      <c r="B101" s="9"/>
    </row>
    <row r="102" spans="2:2" ht="12.5">
      <c r="B102" s="9"/>
    </row>
    <row r="103" spans="2:2" ht="12.5">
      <c r="B103" s="9"/>
    </row>
    <row r="104" spans="2:2" ht="12.5">
      <c r="B104" s="9"/>
    </row>
    <row r="105" spans="2:2" ht="12.5">
      <c r="B105" s="9"/>
    </row>
    <row r="106" spans="2:2" ht="12.5">
      <c r="B106" s="9"/>
    </row>
    <row r="107" spans="2:2" ht="12.5">
      <c r="B107" s="9"/>
    </row>
    <row r="108" spans="2:2" ht="12.5">
      <c r="B108" s="9"/>
    </row>
    <row r="109" spans="2:2" ht="12.5">
      <c r="B109" s="9"/>
    </row>
    <row r="110" spans="2:2" ht="12.5">
      <c r="B110" s="9"/>
    </row>
    <row r="111" spans="2:2" ht="12.5">
      <c r="B111" s="9"/>
    </row>
    <row r="112" spans="2:2" ht="12.5">
      <c r="B112" s="9"/>
    </row>
    <row r="113" spans="2:2" ht="12.5">
      <c r="B113" s="9"/>
    </row>
    <row r="114" spans="2:2" ht="12.5">
      <c r="B114" s="9"/>
    </row>
    <row r="115" spans="2:2" ht="12.5">
      <c r="B115" s="9"/>
    </row>
    <row r="116" spans="2:2" ht="12.5">
      <c r="B116" s="9"/>
    </row>
    <row r="117" spans="2:2" ht="12.5">
      <c r="B117" s="9"/>
    </row>
    <row r="118" spans="2:2" ht="12.5">
      <c r="B118" s="9"/>
    </row>
    <row r="119" spans="2:2" ht="12.5">
      <c r="B119" s="9"/>
    </row>
    <row r="120" spans="2:2" ht="12.5">
      <c r="B120" s="9"/>
    </row>
    <row r="121" spans="2:2" ht="12.5">
      <c r="B121" s="9"/>
    </row>
    <row r="122" spans="2:2" ht="12.5">
      <c r="B122" s="9"/>
    </row>
    <row r="123" spans="2:2" ht="12.5">
      <c r="B123" s="9"/>
    </row>
    <row r="124" spans="2:2" ht="12.5">
      <c r="B124" s="9"/>
    </row>
    <row r="125" spans="2:2" ht="12.5">
      <c r="B125" s="9"/>
    </row>
    <row r="126" spans="2:2" ht="12.5">
      <c r="B126" s="9"/>
    </row>
    <row r="127" spans="2:2" ht="12.5">
      <c r="B127" s="9"/>
    </row>
    <row r="128" spans="2:2" ht="12.5">
      <c r="B128" s="9"/>
    </row>
    <row r="129" spans="2:2" ht="12.5">
      <c r="B129" s="9"/>
    </row>
    <row r="130" spans="2:2" ht="12.5">
      <c r="B130" s="9"/>
    </row>
    <row r="131" spans="2:2" ht="12.5">
      <c r="B131" s="9"/>
    </row>
    <row r="132" spans="2:2" ht="12.5">
      <c r="B132" s="9"/>
    </row>
    <row r="133" spans="2:2" ht="12.5">
      <c r="B133" s="9"/>
    </row>
    <row r="134" spans="2:2" ht="12.5">
      <c r="B134" s="9"/>
    </row>
    <row r="135" spans="2:2" ht="12.5">
      <c r="B135" s="9"/>
    </row>
    <row r="136" spans="2:2" ht="12.5">
      <c r="B136" s="9"/>
    </row>
    <row r="137" spans="2:2" ht="12.5">
      <c r="B137" s="9"/>
    </row>
    <row r="138" spans="2:2" ht="12.5">
      <c r="B138" s="9"/>
    </row>
    <row r="139" spans="2:2" ht="12.5">
      <c r="B139" s="9"/>
    </row>
    <row r="140" spans="2:2" ht="12.5">
      <c r="B140" s="9"/>
    </row>
    <row r="141" spans="2:2" ht="12.5">
      <c r="B141" s="9"/>
    </row>
    <row r="142" spans="2:2" ht="12.5">
      <c r="B142" s="9"/>
    </row>
    <row r="143" spans="2:2" ht="12.5">
      <c r="B143" s="9"/>
    </row>
    <row r="144" spans="2:2" ht="12.5">
      <c r="B144" s="9"/>
    </row>
    <row r="145" spans="2:2" ht="12.5">
      <c r="B145" s="9"/>
    </row>
    <row r="146" spans="2:2" ht="12.5">
      <c r="B146" s="9"/>
    </row>
    <row r="147" spans="2:2" ht="12.5">
      <c r="B147" s="9"/>
    </row>
    <row r="148" spans="2:2" ht="12.5">
      <c r="B148" s="9"/>
    </row>
    <row r="149" spans="2:2" ht="12.5">
      <c r="B149" s="9"/>
    </row>
    <row r="150" spans="2:2" ht="12.5">
      <c r="B150" s="9"/>
    </row>
    <row r="151" spans="2:2" ht="12.5">
      <c r="B151" s="9"/>
    </row>
    <row r="152" spans="2:2" ht="12.5">
      <c r="B152" s="9"/>
    </row>
    <row r="153" spans="2:2" ht="12.5">
      <c r="B153" s="9"/>
    </row>
    <row r="154" spans="2:2" ht="12.5">
      <c r="B154" s="9"/>
    </row>
    <row r="155" spans="2:2" ht="12.5">
      <c r="B155" s="9"/>
    </row>
    <row r="156" spans="2:2" ht="12.5">
      <c r="B156" s="9"/>
    </row>
    <row r="157" spans="2:2" ht="12.5">
      <c r="B157" s="9"/>
    </row>
    <row r="158" spans="2:2" ht="12.5">
      <c r="B158" s="9"/>
    </row>
    <row r="159" spans="2:2" ht="12.5">
      <c r="B159" s="9"/>
    </row>
    <row r="160" spans="2:2" ht="12.5">
      <c r="B160" s="9"/>
    </row>
    <row r="161" spans="2:2" ht="12.5">
      <c r="B161" s="9"/>
    </row>
    <row r="162" spans="2:2" ht="12.5">
      <c r="B162" s="9"/>
    </row>
    <row r="163" spans="2:2" ht="12.5">
      <c r="B163" s="9"/>
    </row>
    <row r="164" spans="2:2" ht="12.5">
      <c r="B164" s="9"/>
    </row>
    <row r="165" spans="2:2" ht="12.5">
      <c r="B165" s="9"/>
    </row>
    <row r="166" spans="2:2" ht="12.5">
      <c r="B166" s="9"/>
    </row>
    <row r="167" spans="2:2" ht="12.5">
      <c r="B167" s="9"/>
    </row>
    <row r="168" spans="2:2" ht="12.5">
      <c r="B168" s="9"/>
    </row>
    <row r="169" spans="2:2" ht="12.5">
      <c r="B169" s="9"/>
    </row>
    <row r="170" spans="2:2" ht="12.5">
      <c r="B170" s="9"/>
    </row>
    <row r="171" spans="2:2" ht="12.5">
      <c r="B171" s="9"/>
    </row>
    <row r="172" spans="2:2" ht="12.5">
      <c r="B172" s="9"/>
    </row>
    <row r="173" spans="2:2" ht="12.5">
      <c r="B173" s="9"/>
    </row>
    <row r="174" spans="2:2" ht="12.5">
      <c r="B174" s="9"/>
    </row>
    <row r="175" spans="2:2" ht="12.5">
      <c r="B175" s="9"/>
    </row>
    <row r="176" spans="2:2" ht="12.5">
      <c r="B176" s="9"/>
    </row>
    <row r="177" spans="2:2" ht="12.5">
      <c r="B177" s="9"/>
    </row>
    <row r="178" spans="2:2" ht="12.5">
      <c r="B178" s="9"/>
    </row>
    <row r="179" spans="2:2" ht="12.5">
      <c r="B179" s="9"/>
    </row>
    <row r="180" spans="2:2" ht="12.5">
      <c r="B180" s="9"/>
    </row>
    <row r="181" spans="2:2" ht="12.5">
      <c r="B181" s="9"/>
    </row>
    <row r="182" spans="2:2" ht="12.5">
      <c r="B182" s="9"/>
    </row>
    <row r="183" spans="2:2" ht="12.5">
      <c r="B183" s="9"/>
    </row>
    <row r="184" spans="2:2" ht="12.5">
      <c r="B184" s="9"/>
    </row>
    <row r="185" spans="2:2" ht="12.5">
      <c r="B185" s="9"/>
    </row>
    <row r="186" spans="2:2" ht="12.5">
      <c r="B186" s="9"/>
    </row>
    <row r="187" spans="2:2" ht="12.5">
      <c r="B187" s="9"/>
    </row>
    <row r="188" spans="2:2" ht="12.5">
      <c r="B188" s="9"/>
    </row>
    <row r="189" spans="2:2" ht="12.5">
      <c r="B189" s="9"/>
    </row>
    <row r="190" spans="2:2" ht="12.5">
      <c r="B190" s="9"/>
    </row>
    <row r="191" spans="2:2" ht="12.5">
      <c r="B191" s="9"/>
    </row>
    <row r="192" spans="2:2" ht="12.5">
      <c r="B192" s="9"/>
    </row>
    <row r="193" spans="2:2" ht="12.5">
      <c r="B193" s="9"/>
    </row>
    <row r="194" spans="2:2" ht="12.5">
      <c r="B194" s="9"/>
    </row>
    <row r="195" spans="2:2" ht="12.5">
      <c r="B195" s="9"/>
    </row>
    <row r="196" spans="2:2" ht="12.5">
      <c r="B196" s="9"/>
    </row>
    <row r="197" spans="2:2" ht="12.5">
      <c r="B197" s="9"/>
    </row>
    <row r="198" spans="2:2" ht="12.5">
      <c r="B198" s="9"/>
    </row>
    <row r="199" spans="2:2" ht="12.5">
      <c r="B199" s="9"/>
    </row>
    <row r="200" spans="2:2" ht="12.5">
      <c r="B200" s="9"/>
    </row>
    <row r="201" spans="2:2" ht="12.5">
      <c r="B201" s="9"/>
    </row>
    <row r="202" spans="2:2" ht="12.5">
      <c r="B202" s="9"/>
    </row>
    <row r="203" spans="2:2" ht="12.5">
      <c r="B203" s="9"/>
    </row>
    <row r="204" spans="2:2" ht="12.5">
      <c r="B204" s="9"/>
    </row>
    <row r="205" spans="2:2" ht="12.5">
      <c r="B205" s="9"/>
    </row>
    <row r="206" spans="2:2" ht="12.5">
      <c r="B206" s="9"/>
    </row>
    <row r="207" spans="2:2" ht="12.5">
      <c r="B207" s="9"/>
    </row>
    <row r="208" spans="2:2" ht="12.5">
      <c r="B208" s="9"/>
    </row>
    <row r="209" spans="2:2" ht="12.5">
      <c r="B209" s="9"/>
    </row>
    <row r="210" spans="2:2" ht="12.5">
      <c r="B210" s="9"/>
    </row>
    <row r="211" spans="2:2" ht="12.5">
      <c r="B211" s="9"/>
    </row>
    <row r="212" spans="2:2" ht="12.5">
      <c r="B212" s="9"/>
    </row>
    <row r="213" spans="2:2" ht="12.5">
      <c r="B213" s="9"/>
    </row>
    <row r="214" spans="2:2" ht="12.5">
      <c r="B214" s="9"/>
    </row>
    <row r="215" spans="2:2" ht="12.5">
      <c r="B215" s="9"/>
    </row>
    <row r="216" spans="2:2" ht="12.5">
      <c r="B216" s="9"/>
    </row>
    <row r="217" spans="2:2" ht="12.5">
      <c r="B217" s="9"/>
    </row>
    <row r="218" spans="2:2" ht="12.5">
      <c r="B218" s="9"/>
    </row>
    <row r="219" spans="2:2" ht="12.5">
      <c r="B219" s="9"/>
    </row>
    <row r="220" spans="2:2" ht="12.5">
      <c r="B220" s="9"/>
    </row>
    <row r="221" spans="2:2" ht="12.5">
      <c r="B221" s="9"/>
    </row>
    <row r="222" spans="2:2" ht="12.5">
      <c r="B222" s="9"/>
    </row>
    <row r="223" spans="2:2" ht="12.5">
      <c r="B223" s="9"/>
    </row>
    <row r="224" spans="2:2" ht="12.5">
      <c r="B224" s="9"/>
    </row>
    <row r="225" spans="2:2" ht="12.5">
      <c r="B225" s="9"/>
    </row>
    <row r="226" spans="2:2" ht="12.5">
      <c r="B226" s="9"/>
    </row>
    <row r="227" spans="2:2" ht="12.5">
      <c r="B227" s="9"/>
    </row>
    <row r="228" spans="2:2" ht="12.5">
      <c r="B228" s="9"/>
    </row>
    <row r="229" spans="2:2" ht="12.5">
      <c r="B229" s="9"/>
    </row>
    <row r="230" spans="2:2" ht="12.5">
      <c r="B230" s="9"/>
    </row>
    <row r="231" spans="2:2" ht="12.5">
      <c r="B231" s="9"/>
    </row>
    <row r="232" spans="2:2" ht="12.5">
      <c r="B232" s="9"/>
    </row>
    <row r="233" spans="2:2" ht="12.5">
      <c r="B233" s="9"/>
    </row>
    <row r="234" spans="2:2" ht="12.5">
      <c r="B234" s="9"/>
    </row>
    <row r="235" spans="2:2" ht="12.5">
      <c r="B235" s="9"/>
    </row>
    <row r="236" spans="2:2" ht="12.5">
      <c r="B236" s="9"/>
    </row>
    <row r="237" spans="2:2" ht="12.5">
      <c r="B237" s="9"/>
    </row>
    <row r="238" spans="2:2" ht="12.5">
      <c r="B238" s="9"/>
    </row>
    <row r="239" spans="2:2" ht="12.5">
      <c r="B239" s="9"/>
    </row>
    <row r="240" spans="2:2" ht="12.5">
      <c r="B240" s="9"/>
    </row>
    <row r="241" spans="2:2" ht="12.5">
      <c r="B241" s="9"/>
    </row>
    <row r="242" spans="2:2" ht="12.5">
      <c r="B242" s="9"/>
    </row>
    <row r="243" spans="2:2" ht="12.5">
      <c r="B243" s="9"/>
    </row>
    <row r="244" spans="2:2" ht="12.5">
      <c r="B244" s="9"/>
    </row>
    <row r="245" spans="2:2" ht="12.5">
      <c r="B245" s="9"/>
    </row>
    <row r="246" spans="2:2" ht="12.5">
      <c r="B246" s="9"/>
    </row>
    <row r="247" spans="2:2" ht="12.5">
      <c r="B247" s="9"/>
    </row>
    <row r="248" spans="2:2" ht="12.5">
      <c r="B248" s="9"/>
    </row>
    <row r="249" spans="2:2" ht="12.5">
      <c r="B249" s="9"/>
    </row>
    <row r="250" spans="2:2" ht="12.5">
      <c r="B250" s="9"/>
    </row>
    <row r="251" spans="2:2" ht="12.5">
      <c r="B251" s="9"/>
    </row>
    <row r="252" spans="2:2" ht="12.5">
      <c r="B252" s="9"/>
    </row>
    <row r="253" spans="2:2" ht="12.5">
      <c r="B253" s="9"/>
    </row>
    <row r="254" spans="2:2" ht="12.5">
      <c r="B254" s="9"/>
    </row>
    <row r="255" spans="2:2" ht="12.5">
      <c r="B255" s="9"/>
    </row>
    <row r="256" spans="2:2" ht="12.5">
      <c r="B256" s="9"/>
    </row>
    <row r="257" spans="2:2" ht="12.5">
      <c r="B257" s="9"/>
    </row>
    <row r="258" spans="2:2" ht="12.5">
      <c r="B258" s="9"/>
    </row>
    <row r="259" spans="2:2" ht="12.5">
      <c r="B259" s="9"/>
    </row>
    <row r="260" spans="2:2" ht="12.5">
      <c r="B260" s="9"/>
    </row>
    <row r="261" spans="2:2" ht="12.5">
      <c r="B261" s="9"/>
    </row>
    <row r="262" spans="2:2" ht="12.5">
      <c r="B262" s="9"/>
    </row>
    <row r="263" spans="2:2" ht="12.5">
      <c r="B263" s="9"/>
    </row>
    <row r="264" spans="2:2" ht="12.5">
      <c r="B264" s="9"/>
    </row>
    <row r="265" spans="2:2" ht="12.5">
      <c r="B265" s="9"/>
    </row>
    <row r="266" spans="2:2" ht="12.5">
      <c r="B266" s="9"/>
    </row>
    <row r="267" spans="2:2" ht="12.5">
      <c r="B267" s="9"/>
    </row>
    <row r="268" spans="2:2" ht="12.5">
      <c r="B268" s="9"/>
    </row>
    <row r="269" spans="2:2" ht="12.5">
      <c r="B269" s="9"/>
    </row>
    <row r="270" spans="2:2" ht="12.5">
      <c r="B270" s="9"/>
    </row>
    <row r="271" spans="2:2" ht="12.5">
      <c r="B271" s="9"/>
    </row>
    <row r="272" spans="2:2" ht="12.5">
      <c r="B272" s="9"/>
    </row>
    <row r="273" spans="2:2" ht="12.5">
      <c r="B273" s="9"/>
    </row>
    <row r="274" spans="2:2" ht="12.5">
      <c r="B274" s="9"/>
    </row>
    <row r="275" spans="2:2" ht="12.5">
      <c r="B275" s="9"/>
    </row>
    <row r="276" spans="2:2" ht="12.5">
      <c r="B276" s="9"/>
    </row>
    <row r="277" spans="2:2" ht="12.5">
      <c r="B277" s="9"/>
    </row>
    <row r="278" spans="2:2" ht="12.5">
      <c r="B278" s="9"/>
    </row>
    <row r="279" spans="2:2" ht="12.5">
      <c r="B279" s="9"/>
    </row>
    <row r="280" spans="2:2" ht="12.5">
      <c r="B280" s="9"/>
    </row>
    <row r="281" spans="2:2" ht="12.5">
      <c r="B281" s="9"/>
    </row>
    <row r="282" spans="2:2" ht="12.5">
      <c r="B282" s="9"/>
    </row>
    <row r="283" spans="2:2" ht="12.5">
      <c r="B283" s="9"/>
    </row>
    <row r="284" spans="2:2" ht="12.5">
      <c r="B284" s="9"/>
    </row>
    <row r="285" spans="2:2" ht="12.5">
      <c r="B285" s="9"/>
    </row>
    <row r="286" spans="2:2" ht="12.5">
      <c r="B286" s="9"/>
    </row>
    <row r="287" spans="2:2" ht="12.5">
      <c r="B287" s="9"/>
    </row>
    <row r="288" spans="2:2" ht="12.5">
      <c r="B288" s="9"/>
    </row>
    <row r="289" spans="2:2" ht="12.5">
      <c r="B289" s="9"/>
    </row>
    <row r="290" spans="2:2" ht="12.5">
      <c r="B290" s="9"/>
    </row>
    <row r="291" spans="2:2" ht="12.5">
      <c r="B291" s="9"/>
    </row>
    <row r="292" spans="2:2" ht="12.5">
      <c r="B292" s="9"/>
    </row>
    <row r="293" spans="2:2" ht="12.5">
      <c r="B293" s="9"/>
    </row>
    <row r="294" spans="2:2" ht="12.5">
      <c r="B294" s="9"/>
    </row>
    <row r="295" spans="2:2" ht="12.5">
      <c r="B295" s="9"/>
    </row>
    <row r="296" spans="2:2" ht="12.5">
      <c r="B296" s="9"/>
    </row>
    <row r="297" spans="2:2" ht="12.5">
      <c r="B297" s="9"/>
    </row>
    <row r="298" spans="2:2" ht="12.5">
      <c r="B298" s="9"/>
    </row>
    <row r="299" spans="2:2" ht="12.5">
      <c r="B299" s="9"/>
    </row>
    <row r="300" spans="2:2" ht="12.5">
      <c r="B300" s="9"/>
    </row>
    <row r="301" spans="2:2" ht="12.5">
      <c r="B301" s="9"/>
    </row>
    <row r="302" spans="2:2" ht="12.5">
      <c r="B302" s="9"/>
    </row>
    <row r="303" spans="2:2" ht="12.5">
      <c r="B303" s="9"/>
    </row>
    <row r="304" spans="2:2" ht="12.5">
      <c r="B304" s="9"/>
    </row>
    <row r="305" spans="2:2" ht="12.5">
      <c r="B305" s="9"/>
    </row>
    <row r="306" spans="2:2" ht="12.5">
      <c r="B306" s="9"/>
    </row>
    <row r="307" spans="2:2" ht="12.5">
      <c r="B307" s="9"/>
    </row>
    <row r="308" spans="2:2" ht="12.5">
      <c r="B308" s="9"/>
    </row>
    <row r="309" spans="2:2" ht="12.5">
      <c r="B309" s="9"/>
    </row>
    <row r="310" spans="2:2" ht="12.5">
      <c r="B310" s="9"/>
    </row>
    <row r="311" spans="2:2" ht="12.5">
      <c r="B311" s="9"/>
    </row>
    <row r="312" spans="2:2" ht="12.5">
      <c r="B312" s="9"/>
    </row>
    <row r="313" spans="2:2" ht="12.5">
      <c r="B313" s="9"/>
    </row>
    <row r="314" spans="2:2" ht="12.5">
      <c r="B314" s="9"/>
    </row>
    <row r="315" spans="2:2" ht="12.5">
      <c r="B315" s="9"/>
    </row>
    <row r="316" spans="2:2" ht="12.5">
      <c r="B316" s="9"/>
    </row>
    <row r="317" spans="2:2" ht="12.5">
      <c r="B317" s="9"/>
    </row>
    <row r="318" spans="2:2" ht="12.5">
      <c r="B318" s="9"/>
    </row>
    <row r="319" spans="2:2" ht="12.5">
      <c r="B319" s="9"/>
    </row>
    <row r="320" spans="2:2" ht="12.5">
      <c r="B320" s="9"/>
    </row>
    <row r="321" spans="2:2" ht="12.5">
      <c r="B321" s="9"/>
    </row>
    <row r="322" spans="2:2" ht="12.5">
      <c r="B322" s="9"/>
    </row>
    <row r="323" spans="2:2" ht="12.5">
      <c r="B323" s="9"/>
    </row>
    <row r="324" spans="2:2" ht="12.5">
      <c r="B324" s="9"/>
    </row>
    <row r="325" spans="2:2" ht="12.5">
      <c r="B325" s="9"/>
    </row>
    <row r="326" spans="2:2" ht="12.5">
      <c r="B326" s="9"/>
    </row>
    <row r="327" spans="2:2" ht="12.5">
      <c r="B327" s="9"/>
    </row>
    <row r="328" spans="2:2" ht="12.5">
      <c r="B328" s="9"/>
    </row>
    <row r="329" spans="2:2" ht="12.5">
      <c r="B329" s="9"/>
    </row>
    <row r="330" spans="2:2" ht="12.5">
      <c r="B330" s="9"/>
    </row>
    <row r="331" spans="2:2" ht="12.5">
      <c r="B331" s="9"/>
    </row>
    <row r="332" spans="2:2" ht="12.5">
      <c r="B332" s="9"/>
    </row>
    <row r="333" spans="2:2" ht="12.5">
      <c r="B333" s="9"/>
    </row>
    <row r="334" spans="2:2" ht="12.5">
      <c r="B334" s="9"/>
    </row>
    <row r="335" spans="2:2" ht="12.5">
      <c r="B335" s="9"/>
    </row>
    <row r="336" spans="2:2" ht="12.5">
      <c r="B336" s="9"/>
    </row>
    <row r="337" spans="2:2" ht="12.5">
      <c r="B337" s="9"/>
    </row>
    <row r="338" spans="2:2" ht="12.5">
      <c r="B338" s="9"/>
    </row>
    <row r="339" spans="2:2" ht="12.5">
      <c r="B339" s="9"/>
    </row>
    <row r="340" spans="2:2" ht="12.5">
      <c r="B340" s="9"/>
    </row>
    <row r="341" spans="2:2" ht="12.5">
      <c r="B341" s="9"/>
    </row>
    <row r="342" spans="2:2" ht="12.5">
      <c r="B342" s="9"/>
    </row>
    <row r="343" spans="2:2" ht="12.5">
      <c r="B343" s="9"/>
    </row>
    <row r="344" spans="2:2" ht="12.5">
      <c r="B344" s="9"/>
    </row>
    <row r="345" spans="2:2" ht="12.5">
      <c r="B345" s="9"/>
    </row>
    <row r="346" spans="2:2" ht="12.5">
      <c r="B346" s="9"/>
    </row>
    <row r="347" spans="2:2" ht="12.5">
      <c r="B347" s="9"/>
    </row>
    <row r="348" spans="2:2" ht="12.5">
      <c r="B348" s="9"/>
    </row>
    <row r="349" spans="2:2" ht="12.5">
      <c r="B349" s="9"/>
    </row>
    <row r="350" spans="2:2" ht="12.5">
      <c r="B350" s="9"/>
    </row>
    <row r="351" spans="2:2" ht="12.5">
      <c r="B351" s="9"/>
    </row>
    <row r="352" spans="2:2" ht="12.5">
      <c r="B352" s="9"/>
    </row>
    <row r="353" spans="2:2" ht="12.5">
      <c r="B353" s="9"/>
    </row>
    <row r="354" spans="2:2" ht="12.5">
      <c r="B354" s="9"/>
    </row>
    <row r="355" spans="2:2" ht="12.5">
      <c r="B355" s="9"/>
    </row>
    <row r="356" spans="2:2" ht="12.5">
      <c r="B356" s="9"/>
    </row>
    <row r="357" spans="2:2" ht="12.5">
      <c r="B357" s="9"/>
    </row>
    <row r="358" spans="2:2" ht="12.5">
      <c r="B358" s="9"/>
    </row>
    <row r="359" spans="2:2" ht="12.5">
      <c r="B359" s="9"/>
    </row>
    <row r="360" spans="2:2" ht="12.5">
      <c r="B360" s="9"/>
    </row>
    <row r="361" spans="2:2" ht="12.5">
      <c r="B361" s="9"/>
    </row>
    <row r="362" spans="2:2" ht="12.5">
      <c r="B362" s="9"/>
    </row>
    <row r="363" spans="2:2" ht="12.5">
      <c r="B363" s="9"/>
    </row>
    <row r="364" spans="2:2" ht="12.5">
      <c r="B364" s="9"/>
    </row>
    <row r="365" spans="2:2" ht="12.5">
      <c r="B365" s="9"/>
    </row>
    <row r="366" spans="2:2" ht="12.5">
      <c r="B366" s="9"/>
    </row>
    <row r="367" spans="2:2" ht="12.5">
      <c r="B367" s="9"/>
    </row>
    <row r="368" spans="2:2" ht="12.5">
      <c r="B368" s="9"/>
    </row>
    <row r="369" spans="2:2" ht="12.5">
      <c r="B369" s="9"/>
    </row>
    <row r="370" spans="2:2" ht="12.5">
      <c r="B370" s="9"/>
    </row>
    <row r="371" spans="2:2" ht="12.5">
      <c r="B371" s="9"/>
    </row>
    <row r="372" spans="2:2" ht="12.5">
      <c r="B372" s="9"/>
    </row>
    <row r="373" spans="2:2" ht="12.5">
      <c r="B373" s="9"/>
    </row>
    <row r="374" spans="2:2" ht="12.5">
      <c r="B374" s="9"/>
    </row>
    <row r="375" spans="2:2" ht="12.5">
      <c r="B375" s="9"/>
    </row>
    <row r="376" spans="2:2" ht="12.5">
      <c r="B376" s="9"/>
    </row>
    <row r="377" spans="2:2" ht="12.5">
      <c r="B377" s="9"/>
    </row>
    <row r="378" spans="2:2" ht="12.5">
      <c r="B378" s="9"/>
    </row>
    <row r="379" spans="2:2" ht="12.5">
      <c r="B379" s="9"/>
    </row>
    <row r="380" spans="2:2" ht="12.5">
      <c r="B380" s="9"/>
    </row>
    <row r="381" spans="2:2" ht="12.5">
      <c r="B381" s="9"/>
    </row>
    <row r="382" spans="2:2" ht="12.5">
      <c r="B382" s="9"/>
    </row>
    <row r="383" spans="2:2" ht="12.5">
      <c r="B383" s="9"/>
    </row>
    <row r="384" spans="2:2" ht="12.5">
      <c r="B384" s="9"/>
    </row>
    <row r="385" spans="2:2" ht="12.5">
      <c r="B385" s="9"/>
    </row>
    <row r="386" spans="2:2" ht="12.5">
      <c r="B386" s="9"/>
    </row>
    <row r="387" spans="2:2" ht="12.5">
      <c r="B387" s="9"/>
    </row>
    <row r="388" spans="2:2" ht="12.5">
      <c r="B388" s="9"/>
    </row>
    <row r="389" spans="2:2" ht="12.5">
      <c r="B389" s="9"/>
    </row>
    <row r="390" spans="2:2" ht="12.5">
      <c r="B390" s="9"/>
    </row>
    <row r="391" spans="2:2" ht="12.5">
      <c r="B391" s="9"/>
    </row>
    <row r="392" spans="2:2" ht="12.5">
      <c r="B392" s="9"/>
    </row>
    <row r="393" spans="2:2" ht="12.5">
      <c r="B393" s="9"/>
    </row>
    <row r="394" spans="2:2" ht="12.5">
      <c r="B394" s="9"/>
    </row>
    <row r="395" spans="2:2" ht="12.5">
      <c r="B395" s="9"/>
    </row>
    <row r="396" spans="2:2" ht="12.5">
      <c r="B396" s="9"/>
    </row>
    <row r="397" spans="2:2" ht="12.5">
      <c r="B397" s="9"/>
    </row>
    <row r="398" spans="2:2" ht="12.5">
      <c r="B398" s="9"/>
    </row>
    <row r="399" spans="2:2" ht="12.5">
      <c r="B399" s="9"/>
    </row>
    <row r="400" spans="2:2" ht="12.5">
      <c r="B400" s="9"/>
    </row>
    <row r="401" spans="2:2" ht="12.5">
      <c r="B401" s="9"/>
    </row>
    <row r="402" spans="2:2" ht="12.5">
      <c r="B402" s="9"/>
    </row>
    <row r="403" spans="2:2" ht="12.5">
      <c r="B403" s="9"/>
    </row>
    <row r="404" spans="2:2" ht="12.5">
      <c r="B404" s="9"/>
    </row>
    <row r="405" spans="2:2" ht="12.5">
      <c r="B405" s="9"/>
    </row>
    <row r="406" spans="2:2" ht="12.5">
      <c r="B406" s="9"/>
    </row>
    <row r="407" spans="2:2" ht="12.5">
      <c r="B407" s="9"/>
    </row>
    <row r="408" spans="2:2" ht="12.5">
      <c r="B408" s="9"/>
    </row>
    <row r="409" spans="2:2" ht="12.5">
      <c r="B409" s="9"/>
    </row>
    <row r="410" spans="2:2" ht="12.5">
      <c r="B410" s="9"/>
    </row>
    <row r="411" spans="2:2" ht="12.5">
      <c r="B411" s="9"/>
    </row>
    <row r="412" spans="2:2" ht="12.5">
      <c r="B412" s="9"/>
    </row>
    <row r="413" spans="2:2" ht="12.5">
      <c r="B413" s="9"/>
    </row>
    <row r="414" spans="2:2" ht="12.5">
      <c r="B414" s="9"/>
    </row>
    <row r="415" spans="2:2" ht="12.5">
      <c r="B415" s="9"/>
    </row>
    <row r="416" spans="2:2" ht="12.5">
      <c r="B416" s="9"/>
    </row>
    <row r="417" spans="2:2" ht="12.5">
      <c r="B417" s="9"/>
    </row>
    <row r="418" spans="2:2" ht="12.5">
      <c r="B418" s="9"/>
    </row>
    <row r="419" spans="2:2" ht="12.5">
      <c r="B419" s="9"/>
    </row>
    <row r="420" spans="2:2" ht="12.5">
      <c r="B420" s="9"/>
    </row>
    <row r="421" spans="2:2" ht="12.5">
      <c r="B421" s="9"/>
    </row>
    <row r="422" spans="2:2" ht="12.5">
      <c r="B422" s="9"/>
    </row>
    <row r="423" spans="2:2" ht="12.5">
      <c r="B423" s="9"/>
    </row>
    <row r="424" spans="2:2" ht="12.5">
      <c r="B424" s="9"/>
    </row>
    <row r="425" spans="2:2" ht="12.5">
      <c r="B425" s="9"/>
    </row>
    <row r="426" spans="2:2" ht="12.5">
      <c r="B426" s="9"/>
    </row>
    <row r="427" spans="2:2" ht="12.5">
      <c r="B427" s="9"/>
    </row>
    <row r="428" spans="2:2" ht="12.5">
      <c r="B428" s="9"/>
    </row>
    <row r="429" spans="2:2" ht="12.5">
      <c r="B429" s="9"/>
    </row>
    <row r="430" spans="2:2" ht="12.5">
      <c r="B430" s="9"/>
    </row>
    <row r="431" spans="2:2" ht="12.5">
      <c r="B431" s="9"/>
    </row>
    <row r="432" spans="2:2" ht="12.5">
      <c r="B432" s="9"/>
    </row>
    <row r="433" spans="2:2" ht="12.5">
      <c r="B433" s="9"/>
    </row>
    <row r="434" spans="2:2" ht="12.5">
      <c r="B434" s="9"/>
    </row>
    <row r="435" spans="2:2" ht="12.5">
      <c r="B435" s="9"/>
    </row>
    <row r="436" spans="2:2" ht="12.5">
      <c r="B436" s="9"/>
    </row>
    <row r="437" spans="2:2" ht="12.5">
      <c r="B437" s="9"/>
    </row>
    <row r="438" spans="2:2" ht="12.5">
      <c r="B438" s="9"/>
    </row>
    <row r="439" spans="2:2" ht="12.5">
      <c r="B439" s="9"/>
    </row>
    <row r="440" spans="2:2" ht="12.5">
      <c r="B440" s="9"/>
    </row>
    <row r="441" spans="2:2" ht="12.5">
      <c r="B441" s="9"/>
    </row>
    <row r="442" spans="2:2" ht="12.5">
      <c r="B442" s="9"/>
    </row>
    <row r="443" spans="2:2" ht="12.5">
      <c r="B443" s="9"/>
    </row>
    <row r="444" spans="2:2" ht="12.5">
      <c r="B444" s="9"/>
    </row>
    <row r="445" spans="2:2" ht="12.5">
      <c r="B445" s="9"/>
    </row>
    <row r="446" spans="2:2" ht="12.5">
      <c r="B446" s="9"/>
    </row>
    <row r="447" spans="2:2" ht="12.5">
      <c r="B447" s="9"/>
    </row>
    <row r="448" spans="2:2" ht="12.5">
      <c r="B448" s="9"/>
    </row>
    <row r="449" spans="2:2" ht="12.5">
      <c r="B449" s="9"/>
    </row>
    <row r="450" spans="2:2" ht="12.5">
      <c r="B450" s="9"/>
    </row>
    <row r="451" spans="2:2" ht="12.5">
      <c r="B451" s="9"/>
    </row>
    <row r="452" spans="2:2" ht="12.5">
      <c r="B452" s="9"/>
    </row>
    <row r="453" spans="2:2" ht="12.5">
      <c r="B453" s="9"/>
    </row>
    <row r="454" spans="2:2" ht="12.5">
      <c r="B454" s="9"/>
    </row>
    <row r="455" spans="2:2" ht="12.5">
      <c r="B455" s="9"/>
    </row>
    <row r="456" spans="2:2" ht="12.5">
      <c r="B456" s="9"/>
    </row>
    <row r="457" spans="2:2" ht="12.5">
      <c r="B457" s="9"/>
    </row>
    <row r="458" spans="2:2" ht="12.5">
      <c r="B458" s="9"/>
    </row>
    <row r="459" spans="2:2" ht="12.5">
      <c r="B459" s="9"/>
    </row>
    <row r="460" spans="2:2" ht="12.5">
      <c r="B460" s="9"/>
    </row>
    <row r="461" spans="2:2" ht="12.5">
      <c r="B461" s="9"/>
    </row>
    <row r="462" spans="2:2" ht="12.5">
      <c r="B462" s="9"/>
    </row>
    <row r="463" spans="2:2" ht="12.5">
      <c r="B463" s="9"/>
    </row>
    <row r="464" spans="2:2" ht="12.5">
      <c r="B464" s="9"/>
    </row>
    <row r="465" spans="2:2" ht="12.5">
      <c r="B465" s="9"/>
    </row>
    <row r="466" spans="2:2" ht="12.5">
      <c r="B466" s="9"/>
    </row>
    <row r="467" spans="2:2" ht="12.5">
      <c r="B467" s="9"/>
    </row>
    <row r="468" spans="2:2" ht="12.5">
      <c r="B468" s="9"/>
    </row>
    <row r="469" spans="2:2" ht="12.5">
      <c r="B469" s="9"/>
    </row>
    <row r="470" spans="2:2" ht="12.5">
      <c r="B470" s="9"/>
    </row>
    <row r="471" spans="2:2" ht="12.5">
      <c r="B471" s="9"/>
    </row>
    <row r="472" spans="2:2" ht="12.5">
      <c r="B472" s="9"/>
    </row>
    <row r="473" spans="2:2" ht="12.5">
      <c r="B473" s="9"/>
    </row>
    <row r="474" spans="2:2" ht="12.5">
      <c r="B474" s="9"/>
    </row>
    <row r="475" spans="2:2" ht="12.5">
      <c r="B475" s="9"/>
    </row>
    <row r="476" spans="2:2" ht="12.5">
      <c r="B476" s="9"/>
    </row>
    <row r="477" spans="2:2" ht="12.5">
      <c r="B477" s="9"/>
    </row>
    <row r="478" spans="2:2" ht="12.5">
      <c r="B478" s="9"/>
    </row>
    <row r="479" spans="2:2" ht="12.5">
      <c r="B479" s="9"/>
    </row>
    <row r="480" spans="2:2" ht="12.5">
      <c r="B480" s="9"/>
    </row>
    <row r="481" spans="2:2" ht="12.5">
      <c r="B481" s="9"/>
    </row>
    <row r="482" spans="2:2" ht="12.5">
      <c r="B482" s="9"/>
    </row>
    <row r="483" spans="2:2" ht="12.5">
      <c r="B483" s="9"/>
    </row>
    <row r="484" spans="2:2" ht="12.5">
      <c r="B484" s="9"/>
    </row>
    <row r="485" spans="2:2" ht="12.5">
      <c r="B485" s="9"/>
    </row>
    <row r="486" spans="2:2" ht="12.5">
      <c r="B486" s="9"/>
    </row>
    <row r="487" spans="2:2" ht="12.5">
      <c r="B487" s="9"/>
    </row>
    <row r="488" spans="2:2" ht="12.5">
      <c r="B488" s="9"/>
    </row>
    <row r="489" spans="2:2" ht="12.5">
      <c r="B489" s="9"/>
    </row>
    <row r="490" spans="2:2" ht="12.5">
      <c r="B490" s="9"/>
    </row>
    <row r="491" spans="2:2" ht="12.5">
      <c r="B491" s="9"/>
    </row>
    <row r="492" spans="2:2" ht="12.5">
      <c r="B492" s="9"/>
    </row>
    <row r="493" spans="2:2" ht="12.5">
      <c r="B493" s="9"/>
    </row>
    <row r="494" spans="2:2" ht="12.5">
      <c r="B494" s="9"/>
    </row>
    <row r="495" spans="2:2" ht="12.5">
      <c r="B495" s="9"/>
    </row>
    <row r="496" spans="2:2" ht="12.5">
      <c r="B496" s="9"/>
    </row>
    <row r="497" spans="2:2" ht="12.5">
      <c r="B497" s="9"/>
    </row>
    <row r="498" spans="2:2" ht="12.5">
      <c r="B498" s="9"/>
    </row>
    <row r="499" spans="2:2" ht="12.5">
      <c r="B499" s="9"/>
    </row>
    <row r="500" spans="2:2" ht="12.5">
      <c r="B500" s="9"/>
    </row>
    <row r="501" spans="2:2" ht="12.5">
      <c r="B501" s="9"/>
    </row>
    <row r="502" spans="2:2" ht="12.5">
      <c r="B502" s="9"/>
    </row>
    <row r="503" spans="2:2" ht="12.5">
      <c r="B503" s="9"/>
    </row>
    <row r="504" spans="2:2" ht="12.5">
      <c r="B504" s="9"/>
    </row>
    <row r="505" spans="2:2" ht="12.5">
      <c r="B505" s="9"/>
    </row>
    <row r="506" spans="2:2" ht="12.5">
      <c r="B506" s="9"/>
    </row>
    <row r="507" spans="2:2" ht="12.5">
      <c r="B507" s="9"/>
    </row>
    <row r="508" spans="2:2" ht="12.5">
      <c r="B508" s="9"/>
    </row>
    <row r="509" spans="2:2" ht="12.5">
      <c r="B509" s="9"/>
    </row>
    <row r="510" spans="2:2" ht="12.5">
      <c r="B510" s="9"/>
    </row>
    <row r="511" spans="2:2" ht="12.5">
      <c r="B511" s="9"/>
    </row>
    <row r="512" spans="2:2" ht="12.5">
      <c r="B512" s="9"/>
    </row>
    <row r="513" spans="2:2" ht="12.5">
      <c r="B513" s="9"/>
    </row>
    <row r="514" spans="2:2" ht="12.5">
      <c r="B514" s="9"/>
    </row>
    <row r="515" spans="2:2" ht="12.5">
      <c r="B515" s="9"/>
    </row>
    <row r="516" spans="2:2" ht="12.5">
      <c r="B516" s="9"/>
    </row>
    <row r="517" spans="2:2" ht="12.5">
      <c r="B517" s="9"/>
    </row>
    <row r="518" spans="2:2" ht="12.5">
      <c r="B518" s="9"/>
    </row>
    <row r="519" spans="2:2" ht="12.5">
      <c r="B519" s="9"/>
    </row>
    <row r="520" spans="2:2" ht="12.5">
      <c r="B520" s="9"/>
    </row>
    <row r="521" spans="2:2" ht="12.5">
      <c r="B521" s="9"/>
    </row>
    <row r="522" spans="2:2" ht="12.5">
      <c r="B522" s="9"/>
    </row>
    <row r="523" spans="2:2" ht="12.5">
      <c r="B523" s="9"/>
    </row>
    <row r="524" spans="2:2" ht="12.5">
      <c r="B524" s="9"/>
    </row>
    <row r="525" spans="2:2" ht="12.5">
      <c r="B525" s="9"/>
    </row>
    <row r="526" spans="2:2" ht="12.5">
      <c r="B526" s="9"/>
    </row>
    <row r="527" spans="2:2" ht="12.5">
      <c r="B527" s="9"/>
    </row>
    <row r="528" spans="2:2" ht="12.5">
      <c r="B528" s="9"/>
    </row>
    <row r="529" spans="2:2" ht="12.5">
      <c r="B529" s="9"/>
    </row>
    <row r="530" spans="2:2" ht="12.5">
      <c r="B530" s="9"/>
    </row>
    <row r="531" spans="2:2" ht="12.5">
      <c r="B531" s="9"/>
    </row>
    <row r="532" spans="2:2" ht="12.5">
      <c r="B532" s="9"/>
    </row>
    <row r="533" spans="2:2" ht="12.5">
      <c r="B533" s="9"/>
    </row>
    <row r="534" spans="2:2" ht="12.5">
      <c r="B534" s="9"/>
    </row>
    <row r="535" spans="2:2" ht="12.5">
      <c r="B535" s="9"/>
    </row>
    <row r="536" spans="2:2" ht="12.5">
      <c r="B536" s="9"/>
    </row>
    <row r="537" spans="2:2" ht="12.5">
      <c r="B537" s="9"/>
    </row>
    <row r="538" spans="2:2" ht="12.5">
      <c r="B538" s="9"/>
    </row>
    <row r="539" spans="2:2" ht="12.5">
      <c r="B539" s="9"/>
    </row>
    <row r="540" spans="2:2" ht="12.5">
      <c r="B540" s="9"/>
    </row>
    <row r="541" spans="2:2" ht="12.5">
      <c r="B541" s="9"/>
    </row>
    <row r="542" spans="2:2" ht="12.5">
      <c r="B542" s="9"/>
    </row>
    <row r="543" spans="2:2" ht="12.5">
      <c r="B543" s="9"/>
    </row>
    <row r="544" spans="2:2" ht="12.5">
      <c r="B544" s="9"/>
    </row>
    <row r="545" spans="2:2" ht="12.5">
      <c r="B545" s="9"/>
    </row>
    <row r="546" spans="2:2" ht="12.5">
      <c r="B546" s="9"/>
    </row>
    <row r="547" spans="2:2" ht="12.5">
      <c r="B547" s="9"/>
    </row>
    <row r="548" spans="2:2" ht="12.5">
      <c r="B548" s="9"/>
    </row>
    <row r="549" spans="2:2" ht="12.5">
      <c r="B549" s="9"/>
    </row>
    <row r="550" spans="2:2" ht="12.5">
      <c r="B550" s="9"/>
    </row>
    <row r="551" spans="2:2" ht="12.5">
      <c r="B551" s="9"/>
    </row>
    <row r="552" spans="2:2" ht="12.5">
      <c r="B552" s="9"/>
    </row>
    <row r="553" spans="2:2" ht="12.5">
      <c r="B553" s="9"/>
    </row>
    <row r="554" spans="2:2" ht="12.5">
      <c r="B554" s="9"/>
    </row>
    <row r="555" spans="2:2" ht="12.5">
      <c r="B555" s="9"/>
    </row>
    <row r="556" spans="2:2" ht="12.5">
      <c r="B556" s="9"/>
    </row>
    <row r="557" spans="2:2" ht="12.5">
      <c r="B557" s="9"/>
    </row>
    <row r="558" spans="2:2" ht="12.5">
      <c r="B558" s="9"/>
    </row>
    <row r="559" spans="2:2" ht="12.5">
      <c r="B559" s="9"/>
    </row>
    <row r="560" spans="2:2" ht="12.5">
      <c r="B560" s="9"/>
    </row>
    <row r="561" spans="2:2" ht="12.5">
      <c r="B561" s="9"/>
    </row>
    <row r="562" spans="2:2" ht="12.5">
      <c r="B562" s="9"/>
    </row>
    <row r="563" spans="2:2" ht="12.5">
      <c r="B563" s="9"/>
    </row>
    <row r="564" spans="2:2" ht="12.5">
      <c r="B564" s="9"/>
    </row>
    <row r="565" spans="2:2" ht="12.5">
      <c r="B565" s="9"/>
    </row>
    <row r="566" spans="2:2" ht="12.5">
      <c r="B566" s="9"/>
    </row>
    <row r="567" spans="2:2" ht="12.5">
      <c r="B567" s="9"/>
    </row>
    <row r="568" spans="2:2" ht="12.5">
      <c r="B568" s="9"/>
    </row>
    <row r="569" spans="2:2" ht="12.5">
      <c r="B569" s="9"/>
    </row>
    <row r="570" spans="2:2" ht="12.5">
      <c r="B570" s="9"/>
    </row>
    <row r="571" spans="2:2" ht="12.5">
      <c r="B571" s="9"/>
    </row>
    <row r="572" spans="2:2" ht="12.5">
      <c r="B572" s="9"/>
    </row>
    <row r="573" spans="2:2" ht="12.5">
      <c r="B573" s="9"/>
    </row>
    <row r="574" spans="2:2" ht="12.5">
      <c r="B574" s="9"/>
    </row>
    <row r="575" spans="2:2" ht="12.5">
      <c r="B575" s="9"/>
    </row>
    <row r="576" spans="2:2" ht="12.5">
      <c r="B576" s="9"/>
    </row>
    <row r="577" spans="2:2" ht="12.5">
      <c r="B577" s="9"/>
    </row>
    <row r="578" spans="2:2" ht="12.5">
      <c r="B578" s="9"/>
    </row>
    <row r="579" spans="2:2" ht="12.5">
      <c r="B579" s="9"/>
    </row>
    <row r="580" spans="2:2" ht="12.5">
      <c r="B580" s="9"/>
    </row>
    <row r="581" spans="2:2" ht="12.5">
      <c r="B581" s="9"/>
    </row>
    <row r="582" spans="2:2" ht="12.5">
      <c r="B582" s="9"/>
    </row>
    <row r="583" spans="2:2" ht="12.5">
      <c r="B583" s="9"/>
    </row>
    <row r="584" spans="2:2" ht="12.5">
      <c r="B584" s="9"/>
    </row>
    <row r="585" spans="2:2" ht="12.5">
      <c r="B585" s="9"/>
    </row>
    <row r="586" spans="2:2" ht="12.5">
      <c r="B586" s="9"/>
    </row>
    <row r="587" spans="2:2" ht="12.5">
      <c r="B587" s="9"/>
    </row>
    <row r="588" spans="2:2" ht="12.5">
      <c r="B588" s="9"/>
    </row>
    <row r="589" spans="2:2" ht="12.5">
      <c r="B589" s="9"/>
    </row>
    <row r="590" spans="2:2" ht="12.5">
      <c r="B590" s="9"/>
    </row>
    <row r="591" spans="2:2" ht="12.5">
      <c r="B591" s="9"/>
    </row>
    <row r="592" spans="2:2" ht="12.5">
      <c r="B592" s="9"/>
    </row>
    <row r="593" spans="2:2" ht="12.5">
      <c r="B593" s="9"/>
    </row>
    <row r="594" spans="2:2" ht="12.5">
      <c r="B594" s="9"/>
    </row>
    <row r="595" spans="2:2" ht="12.5">
      <c r="B595" s="9"/>
    </row>
    <row r="596" spans="2:2" ht="12.5">
      <c r="B596" s="9"/>
    </row>
    <row r="597" spans="2:2" ht="12.5">
      <c r="B597" s="9"/>
    </row>
    <row r="598" spans="2:2" ht="12.5">
      <c r="B598" s="9"/>
    </row>
    <row r="599" spans="2:2" ht="12.5">
      <c r="B599" s="9"/>
    </row>
    <row r="600" spans="2:2" ht="12.5">
      <c r="B600" s="9"/>
    </row>
    <row r="601" spans="2:2" ht="12.5">
      <c r="B601" s="9"/>
    </row>
    <row r="602" spans="2:2" ht="12.5">
      <c r="B602" s="9"/>
    </row>
    <row r="603" spans="2:2" ht="12.5">
      <c r="B603" s="9"/>
    </row>
    <row r="604" spans="2:2" ht="12.5">
      <c r="B604" s="9"/>
    </row>
    <row r="605" spans="2:2" ht="12.5">
      <c r="B605" s="9"/>
    </row>
    <row r="606" spans="2:2" ht="12.5">
      <c r="B606" s="9"/>
    </row>
    <row r="607" spans="2:2" ht="12.5">
      <c r="B607" s="9"/>
    </row>
    <row r="608" spans="2:2" ht="12.5">
      <c r="B608" s="9"/>
    </row>
    <row r="609" spans="2:2" ht="12.5">
      <c r="B609" s="9"/>
    </row>
    <row r="610" spans="2:2" ht="12.5">
      <c r="B610" s="9"/>
    </row>
    <row r="611" spans="2:2" ht="12.5">
      <c r="B611" s="9"/>
    </row>
    <row r="612" spans="2:2" ht="12.5">
      <c r="B612" s="9"/>
    </row>
    <row r="613" spans="2:2" ht="12.5">
      <c r="B613" s="9"/>
    </row>
    <row r="614" spans="2:2" ht="12.5">
      <c r="B614" s="9"/>
    </row>
    <row r="615" spans="2:2" ht="12.5">
      <c r="B615" s="9"/>
    </row>
    <row r="616" spans="2:2" ht="12.5">
      <c r="B616" s="9"/>
    </row>
    <row r="617" spans="2:2" ht="12.5">
      <c r="B617" s="9"/>
    </row>
    <row r="618" spans="2:2" ht="12.5">
      <c r="B618" s="9"/>
    </row>
    <row r="619" spans="2:2" ht="12.5">
      <c r="B619" s="9"/>
    </row>
    <row r="620" spans="2:2" ht="12.5">
      <c r="B620" s="9"/>
    </row>
    <row r="621" spans="2:2" ht="12.5">
      <c r="B621" s="9"/>
    </row>
    <row r="622" spans="2:2" ht="12.5">
      <c r="B622" s="9"/>
    </row>
    <row r="623" spans="2:2" ht="12.5">
      <c r="B623" s="9"/>
    </row>
    <row r="624" spans="2:2" ht="12.5">
      <c r="B624" s="9"/>
    </row>
    <row r="625" spans="2:2" ht="12.5">
      <c r="B625" s="9"/>
    </row>
    <row r="626" spans="2:2" ht="12.5">
      <c r="B626" s="9"/>
    </row>
    <row r="627" spans="2:2" ht="12.5">
      <c r="B627" s="9"/>
    </row>
    <row r="628" spans="2:2" ht="12.5">
      <c r="B628" s="9"/>
    </row>
    <row r="629" spans="2:2" ht="12.5">
      <c r="B629" s="9"/>
    </row>
    <row r="630" spans="2:2" ht="12.5">
      <c r="B630" s="9"/>
    </row>
    <row r="631" spans="2:2" ht="12.5">
      <c r="B631" s="9"/>
    </row>
    <row r="632" spans="2:2" ht="12.5">
      <c r="B632" s="9"/>
    </row>
    <row r="633" spans="2:2" ht="12.5">
      <c r="B633" s="9"/>
    </row>
    <row r="634" spans="2:2" ht="12.5">
      <c r="B634" s="9"/>
    </row>
    <row r="635" spans="2:2" ht="12.5">
      <c r="B635" s="9"/>
    </row>
    <row r="636" spans="2:2" ht="12.5">
      <c r="B636" s="9"/>
    </row>
    <row r="637" spans="2:2" ht="12.5">
      <c r="B637" s="9"/>
    </row>
    <row r="638" spans="2:2" ht="12.5">
      <c r="B638" s="9"/>
    </row>
    <row r="639" spans="2:2" ht="12.5">
      <c r="B639" s="9"/>
    </row>
    <row r="640" spans="2:2" ht="12.5">
      <c r="B640" s="9"/>
    </row>
    <row r="641" spans="2:2" ht="12.5">
      <c r="B641" s="9"/>
    </row>
    <row r="642" spans="2:2" ht="12.5">
      <c r="B642" s="9"/>
    </row>
    <row r="643" spans="2:2" ht="12.5">
      <c r="B643" s="9"/>
    </row>
    <row r="644" spans="2:2" ht="12.5">
      <c r="B644" s="9"/>
    </row>
    <row r="645" spans="2:2" ht="12.5">
      <c r="B645" s="9"/>
    </row>
    <row r="646" spans="2:2" ht="12.5">
      <c r="B646" s="9"/>
    </row>
    <row r="647" spans="2:2" ht="12.5">
      <c r="B647" s="9"/>
    </row>
    <row r="648" spans="2:2" ht="12.5">
      <c r="B648" s="9"/>
    </row>
    <row r="649" spans="2:2" ht="12.5">
      <c r="B649" s="9"/>
    </row>
    <row r="650" spans="2:2" ht="12.5">
      <c r="B650" s="9"/>
    </row>
    <row r="651" spans="2:2" ht="12.5">
      <c r="B651" s="9"/>
    </row>
    <row r="652" spans="2:2" ht="12.5">
      <c r="B652" s="9"/>
    </row>
    <row r="653" spans="2:2" ht="12.5">
      <c r="B653" s="9"/>
    </row>
    <row r="654" spans="2:2" ht="12.5">
      <c r="B654" s="9"/>
    </row>
    <row r="655" spans="2:2" ht="12.5">
      <c r="B655" s="9"/>
    </row>
    <row r="656" spans="2:2" ht="12.5">
      <c r="B656" s="9"/>
    </row>
    <row r="657" spans="2:2" ht="12.5">
      <c r="B657" s="9"/>
    </row>
    <row r="658" spans="2:2" ht="12.5">
      <c r="B658" s="9"/>
    </row>
    <row r="659" spans="2:2" ht="12.5">
      <c r="B659" s="9"/>
    </row>
    <row r="660" spans="2:2" ht="12.5">
      <c r="B660" s="9"/>
    </row>
    <row r="661" spans="2:2" ht="12.5">
      <c r="B661" s="9"/>
    </row>
    <row r="662" spans="2:2" ht="12.5">
      <c r="B662" s="9"/>
    </row>
    <row r="663" spans="2:2" ht="12.5">
      <c r="B663" s="9"/>
    </row>
    <row r="664" spans="2:2" ht="12.5">
      <c r="B664" s="9"/>
    </row>
    <row r="665" spans="2:2" ht="12.5">
      <c r="B665" s="9"/>
    </row>
    <row r="666" spans="2:2" ht="12.5">
      <c r="B666" s="9"/>
    </row>
    <row r="667" spans="2:2" ht="12.5">
      <c r="B667" s="9"/>
    </row>
    <row r="668" spans="2:2" ht="12.5">
      <c r="B668" s="9"/>
    </row>
    <row r="669" spans="2:2" ht="12.5">
      <c r="B669" s="9"/>
    </row>
    <row r="670" spans="2:2" ht="12.5">
      <c r="B670" s="9"/>
    </row>
    <row r="671" spans="2:2" ht="12.5">
      <c r="B671" s="9"/>
    </row>
    <row r="672" spans="2:2" ht="12.5">
      <c r="B672" s="9"/>
    </row>
    <row r="673" spans="2:2" ht="12.5">
      <c r="B673" s="9"/>
    </row>
    <row r="674" spans="2:2" ht="12.5">
      <c r="B674" s="9"/>
    </row>
    <row r="675" spans="2:2" ht="12.5">
      <c r="B675" s="9"/>
    </row>
    <row r="676" spans="2:2" ht="12.5">
      <c r="B676" s="9"/>
    </row>
    <row r="677" spans="2:2" ht="12.5">
      <c r="B677" s="9"/>
    </row>
    <row r="678" spans="2:2" ht="12.5">
      <c r="B678" s="9"/>
    </row>
    <row r="679" spans="2:2" ht="12.5">
      <c r="B679" s="9"/>
    </row>
    <row r="680" spans="2:2" ht="12.5">
      <c r="B680" s="9"/>
    </row>
    <row r="681" spans="2:2" ht="12.5">
      <c r="B681" s="9"/>
    </row>
    <row r="682" spans="2:2" ht="12.5">
      <c r="B682" s="9"/>
    </row>
    <row r="683" spans="2:2" ht="12.5">
      <c r="B683" s="9"/>
    </row>
    <row r="684" spans="2:2" ht="12.5">
      <c r="B684" s="9"/>
    </row>
    <row r="685" spans="2:2" ht="12.5">
      <c r="B685" s="9"/>
    </row>
    <row r="686" spans="2:2" ht="12.5">
      <c r="B686" s="9"/>
    </row>
    <row r="687" spans="2:2" ht="12.5">
      <c r="B687" s="9"/>
    </row>
    <row r="688" spans="2:2" ht="12.5">
      <c r="B688" s="9"/>
    </row>
    <row r="689" spans="2:2" ht="12.5">
      <c r="B689" s="9"/>
    </row>
    <row r="690" spans="2:2" ht="12.5">
      <c r="B690" s="9"/>
    </row>
    <row r="691" spans="2:2" ht="12.5">
      <c r="B691" s="9"/>
    </row>
    <row r="692" spans="2:2" ht="12.5">
      <c r="B692" s="9"/>
    </row>
    <row r="693" spans="2:2" ht="12.5">
      <c r="B693" s="9"/>
    </row>
    <row r="694" spans="2:2" ht="12.5">
      <c r="B694" s="9"/>
    </row>
    <row r="695" spans="2:2" ht="12.5">
      <c r="B695" s="9"/>
    </row>
    <row r="696" spans="2:2" ht="12.5">
      <c r="B696" s="9"/>
    </row>
    <row r="697" spans="2:2" ht="12.5">
      <c r="B697" s="9"/>
    </row>
    <row r="698" spans="2:2" ht="12.5">
      <c r="B698" s="9"/>
    </row>
    <row r="699" spans="2:2" ht="12.5">
      <c r="B699" s="9"/>
    </row>
    <row r="700" spans="2:2" ht="12.5">
      <c r="B700" s="9"/>
    </row>
    <row r="701" spans="2:2" ht="12.5">
      <c r="B701" s="9"/>
    </row>
    <row r="702" spans="2:2" ht="12.5">
      <c r="B702" s="9"/>
    </row>
    <row r="703" spans="2:2" ht="12.5">
      <c r="B703" s="9"/>
    </row>
    <row r="704" spans="2:2" ht="12.5">
      <c r="B704" s="9"/>
    </row>
    <row r="705" spans="2:2" ht="12.5">
      <c r="B705" s="9"/>
    </row>
    <row r="706" spans="2:2" ht="12.5">
      <c r="B706" s="9"/>
    </row>
    <row r="707" spans="2:2" ht="12.5">
      <c r="B707" s="9"/>
    </row>
    <row r="708" spans="2:2" ht="12.5">
      <c r="B708" s="9"/>
    </row>
    <row r="709" spans="2:2" ht="12.5">
      <c r="B709" s="9"/>
    </row>
    <row r="710" spans="2:2" ht="12.5">
      <c r="B710" s="9"/>
    </row>
    <row r="711" spans="2:2" ht="12.5">
      <c r="B711" s="9"/>
    </row>
    <row r="712" spans="2:2" ht="12.5">
      <c r="B712" s="9"/>
    </row>
    <row r="713" spans="2:2" ht="12.5">
      <c r="B713" s="9"/>
    </row>
    <row r="714" spans="2:2" ht="12.5">
      <c r="B714" s="9"/>
    </row>
    <row r="715" spans="2:2" ht="12.5">
      <c r="B715" s="9"/>
    </row>
    <row r="716" spans="2:2" ht="12.5">
      <c r="B716" s="9"/>
    </row>
    <row r="717" spans="2:2" ht="12.5">
      <c r="B717" s="9"/>
    </row>
    <row r="718" spans="2:2" ht="12.5">
      <c r="B718" s="9"/>
    </row>
    <row r="719" spans="2:2" ht="12.5">
      <c r="B719" s="9"/>
    </row>
    <row r="720" spans="2:2" ht="12.5">
      <c r="B720" s="9"/>
    </row>
    <row r="721" spans="2:2" ht="12.5">
      <c r="B721" s="9"/>
    </row>
    <row r="722" spans="2:2" ht="12.5">
      <c r="B722" s="9"/>
    </row>
    <row r="723" spans="2:2" ht="12.5">
      <c r="B723" s="9"/>
    </row>
    <row r="724" spans="2:2" ht="12.5">
      <c r="B724" s="9"/>
    </row>
    <row r="725" spans="2:2" ht="12.5">
      <c r="B725" s="9"/>
    </row>
    <row r="726" spans="2:2" ht="12.5">
      <c r="B726" s="9"/>
    </row>
    <row r="727" spans="2:2" ht="12.5">
      <c r="B727" s="9"/>
    </row>
    <row r="728" spans="2:2" ht="12.5">
      <c r="B728" s="9"/>
    </row>
    <row r="729" spans="2:2" ht="12.5">
      <c r="B729" s="9"/>
    </row>
    <row r="730" spans="2:2" ht="12.5">
      <c r="B730" s="9"/>
    </row>
    <row r="731" spans="2:2" ht="12.5">
      <c r="B731" s="9"/>
    </row>
    <row r="732" spans="2:2" ht="12.5">
      <c r="B732" s="9"/>
    </row>
    <row r="733" spans="2:2" ht="12.5">
      <c r="B733" s="9"/>
    </row>
    <row r="734" spans="2:2" ht="12.5">
      <c r="B734" s="9"/>
    </row>
    <row r="735" spans="2:2" ht="12.5">
      <c r="B735" s="9"/>
    </row>
    <row r="736" spans="2:2" ht="12.5">
      <c r="B736" s="9"/>
    </row>
    <row r="737" spans="2:2" ht="12.5">
      <c r="B737" s="9"/>
    </row>
    <row r="738" spans="2:2" ht="12.5">
      <c r="B738" s="9"/>
    </row>
    <row r="739" spans="2:2" ht="12.5">
      <c r="B739" s="9"/>
    </row>
    <row r="740" spans="2:2" ht="12.5">
      <c r="B740" s="9"/>
    </row>
    <row r="741" spans="2:2" ht="12.5">
      <c r="B741" s="9"/>
    </row>
    <row r="742" spans="2:2" ht="12.5">
      <c r="B742" s="9"/>
    </row>
    <row r="743" spans="2:2" ht="12.5">
      <c r="B743" s="9"/>
    </row>
    <row r="744" spans="2:2" ht="12.5">
      <c r="B744" s="9"/>
    </row>
    <row r="745" spans="2:2" ht="12.5">
      <c r="B745" s="9"/>
    </row>
    <row r="746" spans="2:2" ht="12.5">
      <c r="B746" s="9"/>
    </row>
    <row r="747" spans="2:2" ht="12.5">
      <c r="B747" s="9"/>
    </row>
    <row r="748" spans="2:2" ht="12.5">
      <c r="B748" s="9"/>
    </row>
    <row r="749" spans="2:2" ht="12.5">
      <c r="B749" s="9"/>
    </row>
    <row r="750" spans="2:2" ht="12.5">
      <c r="B750" s="9"/>
    </row>
    <row r="751" spans="2:2" ht="12.5">
      <c r="B751" s="9"/>
    </row>
    <row r="752" spans="2:2" ht="12.5">
      <c r="B752" s="9"/>
    </row>
    <row r="753" spans="2:2" ht="12.5">
      <c r="B753" s="9"/>
    </row>
    <row r="754" spans="2:2" ht="12.5">
      <c r="B754" s="9"/>
    </row>
    <row r="755" spans="2:2" ht="12.5">
      <c r="B755" s="9"/>
    </row>
    <row r="756" spans="2:2" ht="12.5">
      <c r="B756" s="9"/>
    </row>
    <row r="757" spans="2:2" ht="12.5">
      <c r="B757" s="9"/>
    </row>
    <row r="758" spans="2:2" ht="12.5">
      <c r="B758" s="9"/>
    </row>
    <row r="759" spans="2:2" ht="12.5">
      <c r="B759" s="9"/>
    </row>
    <row r="760" spans="2:2" ht="12.5">
      <c r="B760" s="9"/>
    </row>
    <row r="761" spans="2:2" ht="12.5">
      <c r="B761" s="9"/>
    </row>
    <row r="762" spans="2:2" ht="12.5">
      <c r="B762" s="9"/>
    </row>
    <row r="763" spans="2:2" ht="12.5">
      <c r="B763" s="9"/>
    </row>
    <row r="764" spans="2:2" ht="12.5">
      <c r="B764" s="9"/>
    </row>
    <row r="765" spans="2:2" ht="12.5">
      <c r="B765" s="9"/>
    </row>
    <row r="766" spans="2:2" ht="12.5">
      <c r="B766" s="9"/>
    </row>
    <row r="767" spans="2:2" ht="12.5">
      <c r="B767" s="9"/>
    </row>
    <row r="768" spans="2:2" ht="12.5">
      <c r="B768" s="9"/>
    </row>
    <row r="769" spans="2:2" ht="12.5">
      <c r="B769" s="9"/>
    </row>
    <row r="770" spans="2:2" ht="12.5">
      <c r="B770" s="9"/>
    </row>
    <row r="771" spans="2:2" ht="12.5">
      <c r="B771" s="9"/>
    </row>
    <row r="772" spans="2:2" ht="12.5">
      <c r="B772" s="9"/>
    </row>
    <row r="773" spans="2:2" ht="12.5">
      <c r="B773" s="9"/>
    </row>
    <row r="774" spans="2:2" ht="12.5">
      <c r="B774" s="9"/>
    </row>
    <row r="775" spans="2:2" ht="12.5">
      <c r="B775" s="9"/>
    </row>
    <row r="776" spans="2:2" ht="12.5">
      <c r="B776" s="9"/>
    </row>
    <row r="777" spans="2:2" ht="12.5">
      <c r="B777" s="9"/>
    </row>
    <row r="778" spans="2:2" ht="12.5">
      <c r="B778" s="9"/>
    </row>
    <row r="779" spans="2:2" ht="12.5">
      <c r="B779" s="9"/>
    </row>
    <row r="780" spans="2:2" ht="12.5">
      <c r="B780" s="9"/>
    </row>
    <row r="781" spans="2:2" ht="12.5">
      <c r="B781" s="9"/>
    </row>
    <row r="782" spans="2:2" ht="12.5">
      <c r="B782" s="9"/>
    </row>
    <row r="783" spans="2:2" ht="12.5">
      <c r="B783" s="9"/>
    </row>
    <row r="784" spans="2:2" ht="12.5">
      <c r="B784" s="9"/>
    </row>
    <row r="785" spans="2:2" ht="12.5">
      <c r="B785" s="9"/>
    </row>
    <row r="786" spans="2:2" ht="12.5">
      <c r="B786" s="9"/>
    </row>
    <row r="787" spans="2:2" ht="12.5">
      <c r="B787" s="9"/>
    </row>
    <row r="788" spans="2:2" ht="12.5">
      <c r="B788" s="9"/>
    </row>
    <row r="789" spans="2:2" ht="12.5">
      <c r="B789" s="9"/>
    </row>
    <row r="790" spans="2:2" ht="12.5">
      <c r="B790" s="9"/>
    </row>
    <row r="791" spans="2:2" ht="12.5">
      <c r="B791" s="9"/>
    </row>
    <row r="792" spans="2:2" ht="12.5">
      <c r="B792" s="9"/>
    </row>
    <row r="793" spans="2:2" ht="12.5">
      <c r="B793" s="9"/>
    </row>
    <row r="794" spans="2:2" ht="12.5">
      <c r="B794" s="9"/>
    </row>
    <row r="795" spans="2:2" ht="12.5">
      <c r="B795" s="9"/>
    </row>
    <row r="796" spans="2:2" ht="12.5">
      <c r="B796" s="9"/>
    </row>
    <row r="797" spans="2:2" ht="12.5">
      <c r="B797" s="9"/>
    </row>
    <row r="798" spans="2:2" ht="12.5">
      <c r="B798" s="9"/>
    </row>
    <row r="799" spans="2:2" ht="12.5">
      <c r="B799" s="9"/>
    </row>
    <row r="800" spans="2:2" ht="12.5">
      <c r="B800" s="9"/>
    </row>
    <row r="801" spans="2:2" ht="12.5">
      <c r="B801" s="9"/>
    </row>
    <row r="802" spans="2:2" ht="12.5">
      <c r="B802" s="9"/>
    </row>
    <row r="803" spans="2:2" ht="12.5">
      <c r="B803" s="9"/>
    </row>
    <row r="804" spans="2:2" ht="12.5">
      <c r="B804" s="9"/>
    </row>
    <row r="805" spans="2:2" ht="12.5">
      <c r="B805" s="9"/>
    </row>
    <row r="806" spans="2:2" ht="12.5">
      <c r="B806" s="9"/>
    </row>
    <row r="807" spans="2:2" ht="12.5">
      <c r="B807" s="9"/>
    </row>
    <row r="808" spans="2:2" ht="12.5">
      <c r="B808" s="9"/>
    </row>
    <row r="809" spans="2:2" ht="12.5">
      <c r="B809" s="9"/>
    </row>
    <row r="810" spans="2:2" ht="12.5">
      <c r="B810" s="9"/>
    </row>
    <row r="811" spans="2:2" ht="12.5">
      <c r="B811" s="9"/>
    </row>
    <row r="812" spans="2:2" ht="12.5">
      <c r="B812" s="9"/>
    </row>
    <row r="813" spans="2:2" ht="12.5">
      <c r="B813" s="9"/>
    </row>
    <row r="814" spans="2:2" ht="12.5">
      <c r="B814" s="9"/>
    </row>
    <row r="815" spans="2:2" ht="12.5">
      <c r="B815" s="9"/>
    </row>
    <row r="816" spans="2:2" ht="12.5">
      <c r="B816" s="9"/>
    </row>
    <row r="817" spans="2:2" ht="12.5">
      <c r="B817" s="9"/>
    </row>
    <row r="818" spans="2:2" ht="12.5">
      <c r="B818" s="9"/>
    </row>
    <row r="819" spans="2:2" ht="12.5">
      <c r="B819" s="9"/>
    </row>
    <row r="820" spans="2:2" ht="12.5">
      <c r="B820" s="9"/>
    </row>
    <row r="821" spans="2:2" ht="12.5">
      <c r="B821" s="9"/>
    </row>
    <row r="822" spans="2:2" ht="12.5">
      <c r="B822" s="9"/>
    </row>
    <row r="823" spans="2:2" ht="12.5">
      <c r="B823" s="9"/>
    </row>
    <row r="824" spans="2:2" ht="12.5">
      <c r="B824" s="9"/>
    </row>
    <row r="825" spans="2:2" ht="12.5">
      <c r="B825" s="9"/>
    </row>
    <row r="826" spans="2:2" ht="12.5">
      <c r="B826" s="9"/>
    </row>
    <row r="827" spans="2:2" ht="12.5">
      <c r="B827" s="9"/>
    </row>
    <row r="828" spans="2:2" ht="12.5">
      <c r="B828" s="9"/>
    </row>
    <row r="829" spans="2:2" ht="12.5">
      <c r="B829" s="9"/>
    </row>
    <row r="830" spans="2:2" ht="12.5">
      <c r="B830" s="9"/>
    </row>
    <row r="831" spans="2:2" ht="12.5">
      <c r="B831" s="9"/>
    </row>
    <row r="832" spans="2:2" ht="12.5">
      <c r="B832" s="9"/>
    </row>
    <row r="833" spans="2:2" ht="12.5">
      <c r="B833" s="9"/>
    </row>
    <row r="834" spans="2:2" ht="12.5">
      <c r="B834" s="9"/>
    </row>
    <row r="835" spans="2:2" ht="12.5">
      <c r="B835" s="9"/>
    </row>
    <row r="836" spans="2:2" ht="12.5">
      <c r="B836" s="9"/>
    </row>
    <row r="837" spans="2:2" ht="12.5">
      <c r="B837" s="9"/>
    </row>
    <row r="838" spans="2:2" ht="12.5">
      <c r="B838" s="9"/>
    </row>
    <row r="839" spans="2:2" ht="12.5">
      <c r="B839" s="9"/>
    </row>
    <row r="840" spans="2:2" ht="12.5">
      <c r="B840" s="9"/>
    </row>
    <row r="841" spans="2:2" ht="12.5">
      <c r="B841" s="9"/>
    </row>
    <row r="842" spans="2:2" ht="12.5">
      <c r="B842" s="9"/>
    </row>
    <row r="843" spans="2:2" ht="12.5">
      <c r="B843" s="9"/>
    </row>
    <row r="844" spans="2:2" ht="12.5">
      <c r="B844" s="9"/>
    </row>
    <row r="845" spans="2:2" ht="12.5">
      <c r="B845" s="9"/>
    </row>
    <row r="846" spans="2:2" ht="12.5">
      <c r="B846" s="9"/>
    </row>
    <row r="847" spans="2:2" ht="12.5">
      <c r="B847" s="9"/>
    </row>
    <row r="848" spans="2:2" ht="12.5">
      <c r="B848" s="9"/>
    </row>
    <row r="849" spans="2:2" ht="12.5">
      <c r="B849" s="9"/>
    </row>
    <row r="850" spans="2:2" ht="12.5">
      <c r="B850" s="9"/>
    </row>
    <row r="851" spans="2:2" ht="12.5">
      <c r="B851" s="9"/>
    </row>
    <row r="852" spans="2:2" ht="12.5">
      <c r="B852" s="9"/>
    </row>
    <row r="853" spans="2:2" ht="12.5">
      <c r="B853" s="9"/>
    </row>
    <row r="854" spans="2:2" ht="12.5">
      <c r="B854" s="9"/>
    </row>
    <row r="855" spans="2:2" ht="12.5">
      <c r="B855" s="9"/>
    </row>
    <row r="856" spans="2:2" ht="12.5">
      <c r="B856" s="9"/>
    </row>
    <row r="857" spans="2:2" ht="12.5">
      <c r="B857" s="9"/>
    </row>
    <row r="858" spans="2:2" ht="12.5">
      <c r="B858" s="9"/>
    </row>
    <row r="859" spans="2:2" ht="12.5">
      <c r="B859" s="9"/>
    </row>
    <row r="860" spans="2:2" ht="12.5">
      <c r="B860" s="9"/>
    </row>
    <row r="861" spans="2:2" ht="12.5">
      <c r="B861" s="9"/>
    </row>
    <row r="862" spans="2:2" ht="12.5">
      <c r="B862" s="9"/>
    </row>
    <row r="863" spans="2:2" ht="12.5">
      <c r="B863" s="9"/>
    </row>
    <row r="864" spans="2:2" ht="12.5">
      <c r="B864" s="9"/>
    </row>
    <row r="865" spans="2:2" ht="12.5">
      <c r="B865" s="9"/>
    </row>
    <row r="866" spans="2:2" ht="12.5">
      <c r="B866" s="9"/>
    </row>
    <row r="867" spans="2:2" ht="12.5">
      <c r="B867" s="9"/>
    </row>
    <row r="868" spans="2:2" ht="12.5">
      <c r="B868" s="9"/>
    </row>
    <row r="869" spans="2:2" ht="12.5">
      <c r="B869" s="9"/>
    </row>
    <row r="870" spans="2:2" ht="12.5">
      <c r="B870" s="9"/>
    </row>
    <row r="871" spans="2:2" ht="12.5">
      <c r="B871" s="9"/>
    </row>
    <row r="872" spans="2:2" ht="12.5">
      <c r="B872" s="9"/>
    </row>
    <row r="873" spans="2:2" ht="12.5">
      <c r="B873" s="9"/>
    </row>
    <row r="874" spans="2:2" ht="12.5">
      <c r="B874" s="9"/>
    </row>
    <row r="875" spans="2:2" ht="12.5">
      <c r="B875" s="9"/>
    </row>
    <row r="876" spans="2:2" ht="12.5">
      <c r="B876" s="9"/>
    </row>
    <row r="877" spans="2:2" ht="12.5">
      <c r="B877" s="9"/>
    </row>
    <row r="878" spans="2:2" ht="12.5">
      <c r="B878" s="9"/>
    </row>
    <row r="879" spans="2:2" ht="12.5">
      <c r="B879" s="9"/>
    </row>
    <row r="880" spans="2:2" ht="12.5">
      <c r="B880" s="9"/>
    </row>
    <row r="881" spans="2:2" ht="12.5">
      <c r="B881" s="9"/>
    </row>
    <row r="882" spans="2:2" ht="12.5">
      <c r="B882" s="9"/>
    </row>
    <row r="883" spans="2:2" ht="12.5">
      <c r="B883" s="9"/>
    </row>
    <row r="884" spans="2:2" ht="12.5">
      <c r="B884" s="9"/>
    </row>
    <row r="885" spans="2:2" ht="12.5">
      <c r="B885" s="9"/>
    </row>
    <row r="886" spans="2:2" ht="12.5">
      <c r="B886" s="9"/>
    </row>
    <row r="887" spans="2:2" ht="12.5">
      <c r="B887" s="9"/>
    </row>
    <row r="888" spans="2:2" ht="12.5">
      <c r="B888" s="9"/>
    </row>
    <row r="889" spans="2:2" ht="12.5">
      <c r="B889" s="9"/>
    </row>
    <row r="890" spans="2:2" ht="12.5">
      <c r="B890" s="9"/>
    </row>
    <row r="891" spans="2:2" ht="12.5">
      <c r="B891" s="9"/>
    </row>
    <row r="892" spans="2:2" ht="12.5">
      <c r="B892" s="9"/>
    </row>
    <row r="893" spans="2:2" ht="12.5">
      <c r="B893" s="9"/>
    </row>
    <row r="894" spans="2:2" ht="12.5">
      <c r="B894" s="9"/>
    </row>
    <row r="895" spans="2:2" ht="12.5">
      <c r="B895" s="9"/>
    </row>
    <row r="896" spans="2:2" ht="12.5">
      <c r="B896" s="9"/>
    </row>
    <row r="897" spans="2:2" ht="12.5">
      <c r="B897" s="9"/>
    </row>
    <row r="898" spans="2:2" ht="12.5">
      <c r="B898" s="9"/>
    </row>
    <row r="899" spans="2:2" ht="12.5">
      <c r="B899" s="9"/>
    </row>
    <row r="900" spans="2:2" ht="12.5">
      <c r="B900" s="9"/>
    </row>
    <row r="901" spans="2:2" ht="12.5">
      <c r="B901" s="9"/>
    </row>
    <row r="902" spans="2:2" ht="12.5">
      <c r="B902" s="9"/>
    </row>
    <row r="903" spans="2:2" ht="12.5">
      <c r="B903" s="9"/>
    </row>
    <row r="904" spans="2:2" ht="12.5">
      <c r="B904" s="9"/>
    </row>
    <row r="905" spans="2:2" ht="12.5">
      <c r="B905" s="9"/>
    </row>
    <row r="906" spans="2:2" ht="12.5">
      <c r="B906" s="9"/>
    </row>
    <row r="907" spans="2:2" ht="12.5">
      <c r="B907" s="9"/>
    </row>
    <row r="908" spans="2:2" ht="12.5">
      <c r="B908" s="9"/>
    </row>
    <row r="909" spans="2:2" ht="12.5">
      <c r="B909" s="9"/>
    </row>
    <row r="910" spans="2:2" ht="12.5">
      <c r="B910" s="9"/>
    </row>
    <row r="911" spans="2:2" ht="12.5">
      <c r="B911" s="9"/>
    </row>
    <row r="912" spans="2:2" ht="12.5">
      <c r="B912" s="9"/>
    </row>
    <row r="913" spans="2:2" ht="12.5">
      <c r="B913" s="9"/>
    </row>
    <row r="914" spans="2:2" ht="12.5">
      <c r="B914" s="9"/>
    </row>
    <row r="915" spans="2:2" ht="12.5">
      <c r="B915" s="9"/>
    </row>
    <row r="916" spans="2:2" ht="12.5">
      <c r="B916" s="9"/>
    </row>
    <row r="917" spans="2:2" ht="12.5">
      <c r="B917" s="9"/>
    </row>
    <row r="918" spans="2:2" ht="12.5">
      <c r="B918" s="9"/>
    </row>
    <row r="919" spans="2:2" ht="12.5">
      <c r="B919" s="9"/>
    </row>
    <row r="920" spans="2:2" ht="12.5">
      <c r="B920" s="9"/>
    </row>
    <row r="921" spans="2:2" ht="12.5">
      <c r="B921" s="9"/>
    </row>
    <row r="922" spans="2:2" ht="12.5">
      <c r="B922" s="9"/>
    </row>
    <row r="923" spans="2:2" ht="12.5">
      <c r="B923" s="9"/>
    </row>
    <row r="924" spans="2:2" ht="12.5">
      <c r="B924" s="9"/>
    </row>
    <row r="925" spans="2:2" ht="12.5">
      <c r="B925" s="9"/>
    </row>
    <row r="926" spans="2:2" ht="12.5">
      <c r="B926" s="9"/>
    </row>
    <row r="927" spans="2:2" ht="12.5">
      <c r="B927" s="9"/>
    </row>
    <row r="928" spans="2:2" ht="12.5">
      <c r="B928" s="9"/>
    </row>
    <row r="929" spans="2:2" ht="12.5">
      <c r="B929" s="9"/>
    </row>
    <row r="930" spans="2:2" ht="12.5">
      <c r="B930" s="9"/>
    </row>
    <row r="931" spans="2:2" ht="12.5">
      <c r="B931" s="9"/>
    </row>
    <row r="932" spans="2:2" ht="12.5">
      <c r="B932" s="9"/>
    </row>
    <row r="933" spans="2:2" ht="12.5">
      <c r="B933" s="9"/>
    </row>
    <row r="934" spans="2:2" ht="12.5">
      <c r="B934" s="9"/>
    </row>
    <row r="935" spans="2:2" ht="12.5">
      <c r="B935" s="9"/>
    </row>
    <row r="936" spans="2:2" ht="12.5">
      <c r="B936" s="9"/>
    </row>
    <row r="937" spans="2:2" ht="12.5">
      <c r="B937" s="9"/>
    </row>
    <row r="938" spans="2:2" ht="12.5">
      <c r="B938" s="9"/>
    </row>
    <row r="939" spans="2:2" ht="12.5">
      <c r="B939" s="9"/>
    </row>
    <row r="940" spans="2:2" ht="12.5">
      <c r="B940" s="9"/>
    </row>
    <row r="941" spans="2:2" ht="12.5">
      <c r="B941" s="9"/>
    </row>
    <row r="942" spans="2:2" ht="12.5">
      <c r="B942" s="9"/>
    </row>
    <row r="943" spans="2:2" ht="12.5">
      <c r="B943" s="9"/>
    </row>
    <row r="944" spans="2:2" ht="12.5">
      <c r="B944" s="9"/>
    </row>
    <row r="945" spans="2:2" ht="12.5">
      <c r="B945" s="9"/>
    </row>
    <row r="946" spans="2:2" ht="12.5">
      <c r="B946" s="9"/>
    </row>
    <row r="947" spans="2:2" ht="12.5">
      <c r="B947" s="9"/>
    </row>
    <row r="948" spans="2:2" ht="12.5">
      <c r="B948" s="9"/>
    </row>
    <row r="949" spans="2:2" ht="12.5">
      <c r="B949" s="9"/>
    </row>
    <row r="950" spans="2:2" ht="12.5">
      <c r="B950" s="9"/>
    </row>
    <row r="951" spans="2:2" ht="12.5">
      <c r="B951" s="9"/>
    </row>
    <row r="952" spans="2:2" ht="12.5">
      <c r="B952" s="9"/>
    </row>
    <row r="953" spans="2:2" ht="12.5">
      <c r="B953" s="9"/>
    </row>
    <row r="954" spans="2:2" ht="12.5">
      <c r="B954" s="9"/>
    </row>
    <row r="955" spans="2:2" ht="12.5">
      <c r="B955" s="9"/>
    </row>
    <row r="956" spans="2:2" ht="12.5">
      <c r="B956" s="9"/>
    </row>
    <row r="957" spans="2:2" ht="12.5">
      <c r="B957" s="9"/>
    </row>
    <row r="958" spans="2:2" ht="12.5">
      <c r="B958" s="9"/>
    </row>
    <row r="959" spans="2:2" ht="12.5">
      <c r="B959" s="9"/>
    </row>
    <row r="960" spans="2:2" ht="12.5">
      <c r="B960" s="9"/>
    </row>
    <row r="961" spans="2:2" ht="12.5">
      <c r="B961" s="9"/>
    </row>
    <row r="962" spans="2:2" ht="12.5">
      <c r="B962" s="9"/>
    </row>
    <row r="963" spans="2:2" ht="12.5">
      <c r="B963" s="9"/>
    </row>
    <row r="964" spans="2:2" ht="12.5">
      <c r="B964" s="9"/>
    </row>
    <row r="965" spans="2:2" ht="12.5">
      <c r="B965" s="9"/>
    </row>
    <row r="966" spans="2:2" ht="12.5">
      <c r="B966" s="9"/>
    </row>
    <row r="967" spans="2:2" ht="12.5">
      <c r="B967" s="9"/>
    </row>
    <row r="968" spans="2:2" ht="12.5">
      <c r="B968" s="9"/>
    </row>
    <row r="969" spans="2:2" ht="12.5">
      <c r="B969" s="9"/>
    </row>
    <row r="970" spans="2:2" ht="12.5">
      <c r="B970" s="9"/>
    </row>
    <row r="971" spans="2:2" ht="12.5">
      <c r="B971" s="9"/>
    </row>
    <row r="972" spans="2:2" ht="12.5">
      <c r="B972" s="9"/>
    </row>
    <row r="973" spans="2:2" ht="12.5">
      <c r="B973" s="9"/>
    </row>
    <row r="974" spans="2:2" ht="12.5">
      <c r="B974" s="9"/>
    </row>
    <row r="975" spans="2:2" ht="12.5">
      <c r="B975" s="9"/>
    </row>
    <row r="976" spans="2:2" ht="12.5">
      <c r="B976" s="9"/>
    </row>
    <row r="977" spans="2:2" ht="12.5">
      <c r="B977" s="9"/>
    </row>
    <row r="978" spans="2:2" ht="12.5">
      <c r="B978" s="9"/>
    </row>
    <row r="979" spans="2:2" ht="12.5">
      <c r="B979" s="9"/>
    </row>
    <row r="980" spans="2:2" ht="12.5">
      <c r="B980" s="9"/>
    </row>
    <row r="981" spans="2:2" ht="12.5">
      <c r="B981" s="9"/>
    </row>
    <row r="982" spans="2:2" ht="12.5">
      <c r="B982" s="9"/>
    </row>
    <row r="983" spans="2:2" ht="12.5">
      <c r="B983" s="9"/>
    </row>
    <row r="984" spans="2:2" ht="12.5">
      <c r="B984" s="9"/>
    </row>
    <row r="985" spans="2:2" ht="12.5">
      <c r="B985" s="9"/>
    </row>
    <row r="986" spans="2:2" ht="12.5">
      <c r="B986" s="9"/>
    </row>
    <row r="987" spans="2:2" ht="12.5">
      <c r="B987" s="9"/>
    </row>
    <row r="988" spans="2:2" ht="12.5">
      <c r="B988" s="9"/>
    </row>
    <row r="989" spans="2:2" ht="12.5">
      <c r="B989" s="9"/>
    </row>
    <row r="990" spans="2:2" ht="12.5">
      <c r="B990" s="9"/>
    </row>
    <row r="991" spans="2:2" ht="12.5">
      <c r="B991" s="9"/>
    </row>
    <row r="992" spans="2:2" ht="12.5">
      <c r="B992" s="9"/>
    </row>
    <row r="993" spans="2:2" ht="12.5">
      <c r="B993" s="9"/>
    </row>
    <row r="994" spans="2:2" ht="12.5">
      <c r="B994" s="9"/>
    </row>
    <row r="995" spans="2:2" ht="12.5">
      <c r="B995" s="9"/>
    </row>
    <row r="996" spans="2:2" ht="12.5">
      <c r="B996" s="9"/>
    </row>
    <row r="997" spans="2:2" ht="12.5">
      <c r="B997" s="9"/>
    </row>
    <row r="998" spans="2:2" ht="12.5">
      <c r="B998" s="9"/>
    </row>
    <row r="999" spans="2:2" ht="12.5">
      <c r="B999" s="9"/>
    </row>
    <row r="1000" spans="2:2" ht="12.5">
      <c r="B1000" s="9"/>
    </row>
  </sheetData>
  <dataValidations count="1">
    <dataValidation type="list" allowBlank="1" showErrorMessage="1" sqref="B2:B1000" xr:uid="{00000000-0002-0000-0A00-000000000000}">
      <formula1>"USD,EUR,GBP"</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2"/>
  <sheetViews>
    <sheetView workbookViewId="0"/>
  </sheetViews>
  <sheetFormatPr defaultColWidth="12.6328125" defaultRowHeight="15.75" customHeight="1"/>
  <cols>
    <col min="1" max="1" width="19.08984375" customWidth="1"/>
  </cols>
  <sheetData>
    <row r="1" spans="1:1" ht="15.75" customHeight="1">
      <c r="A1" s="9" t="s">
        <v>14387</v>
      </c>
    </row>
    <row r="2" spans="1:1" ht="15.75" customHeight="1">
      <c r="A2" s="93">
        <v>45467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Articles</vt:lpstr>
      <vt:lpstr>Sources</vt:lpstr>
      <vt:lpstr>Publishers</vt:lpstr>
      <vt:lpstr>Deals_master</vt:lpstr>
      <vt:lpstr>Average_APC_price</vt:lpstr>
      <vt:lpstr>UKRI_APCs</vt:lpstr>
      <vt:lpstr>APC_source</vt:lpstr>
      <vt:lpstr>Fully_OA_APCs</vt:lpstr>
      <vt:lpstr>PlumX_snapshot</vt:lpstr>
      <vt:lpstr>PlumX_aggregation</vt:lpstr>
      <vt:lpstr>Exchange_rates</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Paula Schirrmacher</cp:lastModifiedBy>
  <dcterms:modified xsi:type="dcterms:W3CDTF">2024-06-25T15:26:58Z</dcterms:modified>
</cp:coreProperties>
</file>